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16.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externalLinks/externalLink17.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Testimony and Exhibits/Cost_Service/Testimony Workpapers/"/>
    </mc:Choice>
  </mc:AlternateContent>
  <xr:revisionPtr revIDLastSave="0" documentId="13_ncr:1_{165C7090-20FC-4E02-B56D-74A379E0BBF2}" xr6:coauthVersionLast="36" xr6:coauthVersionMax="36" xr10:uidLastSave="{00000000-0000-0000-0000-000000000000}"/>
  <bookViews>
    <workbookView xWindow="0" yWindow="0" windowWidth="51600" windowHeight="17025" tabRatio="896" xr2:uid="{AC0D29F4-7B12-477F-AF6F-7925C3430252}"/>
  </bookViews>
  <sheets>
    <sheet name="Index" sheetId="24" r:id="rId1"/>
    <sheet name="WA Volumes &amp; Revenues" sheetId="1" r:id="rId2"/>
    <sheet name="Rate Spread Proposal" sheetId="2" r:id="rId3"/>
    <sheet name="Allocation = ¢ per Therm" sheetId="3" state="hidden" r:id="rId4"/>
    <sheet name="Allocation = % of Margin" sheetId="4" r:id="rId5"/>
    <sheet name="Allocation = % of Revenue" sheetId="5" state="hidden" r:id="rId6"/>
    <sheet name="Rev Req Proof Yr1" sheetId="6" r:id="rId7"/>
    <sheet name="Rev Req Proof Yr2" sheetId="18" r:id="rId8"/>
    <sheet name="Temps Proof" sheetId="7" r:id="rId9"/>
    <sheet name="Combined Items Proof Yr1" sheetId="9" r:id="rId10"/>
    <sheet name="Combined Items Proof Yr2" sheetId="19" r:id="rId11"/>
    <sheet name="Rates in Detail" sheetId="10" r:id="rId12"/>
    <sheet name="Rates in summary" sheetId="11" r:id="rId13"/>
    <sheet name="Avg Bill by RS" sheetId="12" r:id="rId14"/>
    <sheet name="Rate Impacts - Rev Req ONLY" sheetId="13" r:id="rId15"/>
    <sheet name="Rate Impacts - COMBINED" sheetId="14" r:id="rId16"/>
    <sheet name="Proposed Rates - COMBINED" sheetId="17" r:id="rId17"/>
    <sheet name="Exh. RJW-3 RR" sheetId="20" r:id="rId18"/>
    <sheet name="Exh. RJW-3 Combined" sheetId="21" r:id="rId19"/>
    <sheet name="Exh. RJW-4 RR" sheetId="22" r:id="rId20"/>
    <sheet name="Exh. RJW-4 Combined" sheetId="23"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0" localSheetId="10">#REF!</definedName>
    <definedName name="\0" localSheetId="18">#REF!</definedName>
    <definedName name="\0" localSheetId="17">#REF!</definedName>
    <definedName name="\0" localSheetId="20">#REF!</definedName>
    <definedName name="\0" localSheetId="19">#REF!</definedName>
    <definedName name="\0" localSheetId="7">#REF!</definedName>
    <definedName name="\0">#REF!</definedName>
    <definedName name="_000000" localSheetId="10">#REF!</definedName>
    <definedName name="_000000" localSheetId="18">#REF!</definedName>
    <definedName name="_000000" localSheetId="17">#REF!</definedName>
    <definedName name="_000000" localSheetId="20">#REF!</definedName>
    <definedName name="_000000" localSheetId="19">#REF!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18" hidden="1">#REF!</definedName>
    <definedName name="_AtRisk_FitDataRange_FIT_B5E8B_D24B5" localSheetId="17" hidden="1">#REF!</definedName>
    <definedName name="_AtRisk_FitDataRange_FIT_B5E8B_D24B5" localSheetId="20" hidden="1">#REF!</definedName>
    <definedName name="_AtRisk_FitDataRange_FIT_B5E8B_D24B5" localSheetId="19" hidden="1">#REF!</definedName>
    <definedName name="_AtRisk_FitDataRange_FIT_B5E8B_D24B5" localSheetId="15"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18" hidden="1">#REF!</definedName>
    <definedName name="_Fill" localSheetId="17" hidden="1">#REF!</definedName>
    <definedName name="_Fill" localSheetId="20" hidden="1">#REF!</definedName>
    <definedName name="_Fill" localSheetId="19" hidden="1">#REF!</definedName>
    <definedName name="_Fill" localSheetId="15"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18">[1]DEPR!#REF!</definedName>
    <definedName name="A" localSheetId="17">[1]DEPR!#REF!</definedName>
    <definedName name="A" localSheetId="20">[1]DEPR!#REF!</definedName>
    <definedName name="A" localSheetId="19">[1]DEPR!#REF!</definedName>
    <definedName name="A" localSheetId="7">[1]DEPR!#REF!</definedName>
    <definedName name="A">[1]DEPR!#REF!</definedName>
    <definedName name="AcctData" localSheetId="10">#REF!</definedName>
    <definedName name="AcctData" localSheetId="18">#REF!</definedName>
    <definedName name="AcctData" localSheetId="17">#REF!</definedName>
    <definedName name="AcctData" localSheetId="20">#REF!</definedName>
    <definedName name="AcctData" localSheetId="19">#REF!</definedName>
    <definedName name="AcctData" localSheetId="7">#REF!</definedName>
    <definedName name="AcctData">#REF!</definedName>
    <definedName name="Alloc0" localSheetId="10">[2]Allocators!#REF!</definedName>
    <definedName name="Alloc0" localSheetId="18">[2]Allocators!#REF!</definedName>
    <definedName name="Alloc0" localSheetId="17">[2]Allocators!#REF!</definedName>
    <definedName name="Alloc0" localSheetId="20">[2]Allocators!#REF!</definedName>
    <definedName name="Alloc0" localSheetId="19">[2]Allocators!#REF!</definedName>
    <definedName name="Alloc0" localSheetId="7">[2]Allocators!#REF!</definedName>
    <definedName name="Alloc0">[2]Allocators!#REF!</definedName>
    <definedName name="ALLOCATION" localSheetId="10">#REF!</definedName>
    <definedName name="ALLOCATION" localSheetId="18">#REF!</definedName>
    <definedName name="ALLOCATION" localSheetId="17">#REF!</definedName>
    <definedName name="ALLOCATION" localSheetId="20">#REF!</definedName>
    <definedName name="ALLOCATION" localSheetId="19">#REF!</definedName>
    <definedName name="ALLOCATION" localSheetId="7">#REF!</definedName>
    <definedName name="ALLOCATION">#REF!</definedName>
    <definedName name="AllocPct" localSheetId="10">[2]Allocators!#REF!</definedName>
    <definedName name="AllocPct" localSheetId="18">[2]Allocators!#REF!</definedName>
    <definedName name="AllocPct" localSheetId="17">[2]Allocators!#REF!</definedName>
    <definedName name="AllocPct" localSheetId="20">[2]Allocators!#REF!</definedName>
    <definedName name="AllocPct" localSheetId="19">[2]Allocators!#REF!</definedName>
    <definedName name="AllocPct" localSheetId="7">[2]Allocators!#REF!</definedName>
    <definedName name="AllocPct">[2]Allocators!#REF!</definedName>
    <definedName name="AllocRevReq" localSheetId="10">#REF!</definedName>
    <definedName name="AllocRevReq" localSheetId="18">#REF!</definedName>
    <definedName name="AllocRevReq" localSheetId="17">#REF!</definedName>
    <definedName name="AllocRevReq" localSheetId="20">#REF!</definedName>
    <definedName name="AllocRevReq" localSheetId="19">#REF!</definedName>
    <definedName name="AllocRevReq" localSheetId="7">#REF!</definedName>
    <definedName name="AllocRevReq">#REF!</definedName>
    <definedName name="AT" localSheetId="10">#REF!</definedName>
    <definedName name="AT" localSheetId="18">#REF!</definedName>
    <definedName name="AT" localSheetId="17">#REF!</definedName>
    <definedName name="AT" localSheetId="20">#REF!</definedName>
    <definedName name="AT" localSheetId="19">#REF!</definedName>
    <definedName name="AT" localSheetId="7">#REF!</definedName>
    <definedName name="AT">#REF!</definedName>
    <definedName name="Bank" localSheetId="10">[3]Input!#REF!</definedName>
    <definedName name="Bank" localSheetId="18">[3]Input!#REF!</definedName>
    <definedName name="Bank" localSheetId="17">[3]Input!#REF!</definedName>
    <definedName name="Bank" localSheetId="20">[3]Input!#REF!</definedName>
    <definedName name="Bank" localSheetId="19">[3]Input!#REF!</definedName>
    <definedName name="Bank" localSheetId="7">[3]Input!#REF!</definedName>
    <definedName name="Bank">[3]Input!#REF!</definedName>
    <definedName name="BillROR" localSheetId="10">'[4]Unit Cost'!#REF!</definedName>
    <definedName name="BillROR" localSheetId="18">'[4]Unit Cost'!#REF!</definedName>
    <definedName name="BillROR" localSheetId="17">'[4]Unit Cost'!#REF!</definedName>
    <definedName name="BillROR" localSheetId="20">'[4]Unit Cost'!#REF!</definedName>
    <definedName name="BillROR" localSheetId="19">'[4]Unit Cost'!#REF!</definedName>
    <definedName name="BillROR" localSheetId="7">'[4]Unit Cost'!#REF!</definedName>
    <definedName name="BillROR">'[4]Unit Cost'!#REF!</definedName>
    <definedName name="BKLIFE" localSheetId="10">#REF!</definedName>
    <definedName name="BKLIFE" localSheetId="18">#REF!</definedName>
    <definedName name="BKLIFE" localSheetId="17">#REF!</definedName>
    <definedName name="BKLIFE" localSheetId="20">#REF!</definedName>
    <definedName name="BKLIFE" localSheetId="19">#REF!</definedName>
    <definedName name="BKLIFE" localSheetId="7">#REF!</definedName>
    <definedName name="BKLIFE">#REF!</definedName>
    <definedName name="BOOK" localSheetId="10">#REF!</definedName>
    <definedName name="BOOK" localSheetId="18">#REF!</definedName>
    <definedName name="BOOK" localSheetId="17">#REF!</definedName>
    <definedName name="BOOK" localSheetId="20">#REF!</definedName>
    <definedName name="BOOK" localSheetId="19">#REF!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18">[5]Input!#REF!</definedName>
    <definedName name="Case" localSheetId="17">[5]Input!#REF!</definedName>
    <definedName name="Case" localSheetId="20">[5]Input!#REF!</definedName>
    <definedName name="Case" localSheetId="19">[5]Input!#REF!</definedName>
    <definedName name="Case" localSheetId="7">[5]Input!#REF!</definedName>
    <definedName name="Case">[5]Input!#REF!</definedName>
    <definedName name="casepg1">#N/A</definedName>
    <definedName name="ccc" localSheetId="10">#REF!</definedName>
    <definedName name="ccc" localSheetId="18">#REF!</definedName>
    <definedName name="ccc" localSheetId="17">#REF!</definedName>
    <definedName name="ccc" localSheetId="20">#REF!</definedName>
    <definedName name="ccc" localSheetId="19">#REF!</definedName>
    <definedName name="ccc" localSheetId="7">#REF!</definedName>
    <definedName name="ccc">#REF!</definedName>
    <definedName name="CEX_21110_ACT_DATA" localSheetId="10">#REF!</definedName>
    <definedName name="CEX_21110_ACT_DATA" localSheetId="18">#REF!</definedName>
    <definedName name="CEX_21110_ACT_DATA" localSheetId="17">#REF!</definedName>
    <definedName name="CEX_21110_ACT_DATA" localSheetId="20">#REF!</definedName>
    <definedName name="CEX_21110_ACT_DATA" localSheetId="19">#REF!</definedName>
    <definedName name="CEX_21110_ACT_DATA" localSheetId="7">#REF!</definedName>
    <definedName name="CEX_21110_ACT_DATA">#REF!</definedName>
    <definedName name="CEX_21110_ACT_GRP" localSheetId="10">#REF!</definedName>
    <definedName name="CEX_21110_ACT_GRP" localSheetId="18">#REF!</definedName>
    <definedName name="CEX_21110_ACT_GRP" localSheetId="17">#REF!</definedName>
    <definedName name="CEX_21110_ACT_GRP" localSheetId="20">#REF!</definedName>
    <definedName name="CEX_21110_ACT_GRP" localSheetId="19">#REF!</definedName>
    <definedName name="CEX_21110_ACT_GRP" localSheetId="7">#REF!</definedName>
    <definedName name="CEX_21110_ACT_GRP">#REF!</definedName>
    <definedName name="CEX_21110_EST_DATA" localSheetId="10">#REF!</definedName>
    <definedName name="CEX_21110_EST_DATA" localSheetId="18">#REF!</definedName>
    <definedName name="CEX_21110_EST_DATA" localSheetId="17">#REF!</definedName>
    <definedName name="CEX_21110_EST_DATA" localSheetId="20">#REF!</definedName>
    <definedName name="CEX_21110_EST_DATA" localSheetId="19">#REF!</definedName>
    <definedName name="CEX_21110_EST_DATA" localSheetId="7">#REF!</definedName>
    <definedName name="CEX_21110_EST_DATA">#REF!</definedName>
    <definedName name="CEX_21110_EST_GRP" localSheetId="10">#REF!</definedName>
    <definedName name="CEX_21110_EST_GRP" localSheetId="18">#REF!</definedName>
    <definedName name="CEX_21110_EST_GRP" localSheetId="17">#REF!</definedName>
    <definedName name="CEX_21110_EST_GRP" localSheetId="20">#REF!</definedName>
    <definedName name="CEX_21110_EST_GRP" localSheetId="19">#REF!</definedName>
    <definedName name="CEX_21110_EST_GRP" localSheetId="7">#REF!</definedName>
    <definedName name="CEX_21110_EST_GRP">#REF!</definedName>
    <definedName name="Classes" localSheetId="10">#REF!</definedName>
    <definedName name="Classes" localSheetId="18">#REF!</definedName>
    <definedName name="Classes" localSheetId="17">#REF!</definedName>
    <definedName name="Classes" localSheetId="20">#REF!</definedName>
    <definedName name="Classes" localSheetId="19">#REF!</definedName>
    <definedName name="Classes" localSheetId="7">#REF!</definedName>
    <definedName name="Classes">#REF!</definedName>
    <definedName name="Classes1" localSheetId="10">#REF!</definedName>
    <definedName name="Classes1" localSheetId="18">#REF!</definedName>
    <definedName name="Classes1" localSheetId="17">#REF!</definedName>
    <definedName name="Classes1" localSheetId="20">#REF!</definedName>
    <definedName name="Classes1" localSheetId="19">#REF!</definedName>
    <definedName name="Classes1" localSheetId="7">#REF!</definedName>
    <definedName name="Classes1">#REF!</definedName>
    <definedName name="ClassSum" localSheetId="10">#REF!</definedName>
    <definedName name="ClassSum" localSheetId="18">#REF!</definedName>
    <definedName name="ClassSum" localSheetId="17">#REF!</definedName>
    <definedName name="ClassSum" localSheetId="20">#REF!</definedName>
    <definedName name="ClassSum" localSheetId="19">#REF!</definedName>
    <definedName name="ClassSum" localSheetId="7">#REF!</definedName>
    <definedName name="ClassSum">#REF!</definedName>
    <definedName name="CMonth" localSheetId="10">#REF!</definedName>
    <definedName name="CMonth" localSheetId="18">#REF!</definedName>
    <definedName name="CMonth" localSheetId="17">#REF!</definedName>
    <definedName name="CMonth" localSheetId="20">#REF!</definedName>
    <definedName name="CMonth" localSheetId="19">#REF!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18">'[7]Meter-Service'!#REF!</definedName>
    <definedName name="ContractInflator" localSheetId="17">'[7]Meter-Service'!#REF!</definedName>
    <definedName name="ContractInflator" localSheetId="20">'[7]Meter-Service'!#REF!</definedName>
    <definedName name="ContractInflator" localSheetId="19">'[7]Meter-Service'!#REF!</definedName>
    <definedName name="ContractInflator" localSheetId="7">'[7]Meter-Service'!#REF!</definedName>
    <definedName name="ContractInflator">'[7]Meter-Service'!#REF!</definedName>
    <definedName name="Corp_Serv_Print_CEX" localSheetId="10">#REF!</definedName>
    <definedName name="Corp_Serv_Print_CEX" localSheetId="18">#REF!</definedName>
    <definedName name="Corp_Serv_Print_CEX" localSheetId="17">#REF!</definedName>
    <definedName name="Corp_Serv_Print_CEX" localSheetId="20">#REF!</definedName>
    <definedName name="Corp_Serv_Print_CEX" localSheetId="19">#REF!</definedName>
    <definedName name="Corp_Serv_Print_CEX" localSheetId="7">#REF!</definedName>
    <definedName name="Corp_Serv_Print_CEX">#REF!</definedName>
    <definedName name="CustBills" localSheetId="10">#REF!</definedName>
    <definedName name="CustBills" localSheetId="18">#REF!</definedName>
    <definedName name="CustBills" localSheetId="17">#REF!</definedName>
    <definedName name="CustBills" localSheetId="20">#REF!</definedName>
    <definedName name="CustBills" localSheetId="19">#REF!</definedName>
    <definedName name="CustBills" localSheetId="7">#REF!</definedName>
    <definedName name="CustBills">#REF!</definedName>
    <definedName name="CYTD" localSheetId="10">#REF!</definedName>
    <definedName name="CYTD" localSheetId="18">#REF!</definedName>
    <definedName name="CYTD" localSheetId="17">#REF!</definedName>
    <definedName name="CYTD" localSheetId="20">#REF!</definedName>
    <definedName name="CYTD" localSheetId="19">#REF!</definedName>
    <definedName name="CYTD" localSheetId="7">#REF!</definedName>
    <definedName name="CYTD">#REF!</definedName>
    <definedName name="DATA11" localSheetId="10">[8]data!#REF!</definedName>
    <definedName name="DATA11" localSheetId="18">[8]data!#REF!</definedName>
    <definedName name="DATA11" localSheetId="17">[8]data!#REF!</definedName>
    <definedName name="DATA11" localSheetId="20">[8]data!#REF!</definedName>
    <definedName name="DATA11" localSheetId="19">[8]data!#REF!</definedName>
    <definedName name="DATA11" localSheetId="7">[8]data!#REF!</definedName>
    <definedName name="DATA11">[8]data!#REF!</definedName>
    <definedName name="DATA5" localSheetId="10">[8]data!#REF!</definedName>
    <definedName name="DATA5" localSheetId="18">[8]data!#REF!</definedName>
    <definedName name="DATA5" localSheetId="17">[8]data!#REF!</definedName>
    <definedName name="DATA5" localSheetId="20">[8]data!#REF!</definedName>
    <definedName name="DATA5" localSheetId="19">[8]data!#REF!</definedName>
    <definedName name="DATA5" localSheetId="7">[8]data!#REF!</definedName>
    <definedName name="DATA5">[8]data!#REF!</definedName>
    <definedName name="DATA8" localSheetId="10">[8]data!#REF!</definedName>
    <definedName name="DATA8" localSheetId="18">[8]data!#REF!</definedName>
    <definedName name="DATA8" localSheetId="17">[8]data!#REF!</definedName>
    <definedName name="DATA8" localSheetId="20">[8]data!#REF!</definedName>
    <definedName name="DATA8" localSheetId="19">[8]data!#REF!</definedName>
    <definedName name="DATA8" localSheetId="7">[8]data!#REF!</definedName>
    <definedName name="DATA8">[8]data!#REF!</definedName>
    <definedName name="DATA9" localSheetId="10">[8]data!#REF!</definedName>
    <definedName name="DATA9" localSheetId="18">[8]data!#REF!</definedName>
    <definedName name="DATA9" localSheetId="17">[8]data!#REF!</definedName>
    <definedName name="DATA9" localSheetId="20">[8]data!#REF!</definedName>
    <definedName name="DATA9" localSheetId="19">[8]data!#REF!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18">#REF!</definedName>
    <definedName name="dbYear200" localSheetId="17">#REF!</definedName>
    <definedName name="dbYear200" localSheetId="20">#REF!</definedName>
    <definedName name="dbYear200" localSheetId="19">#REF!</definedName>
    <definedName name="dbYear200" localSheetId="7">#REF!</definedName>
    <definedName name="dbYear200">#REF!</definedName>
    <definedName name="Desc">[10]Sheet1!$J$1:$K$298</definedName>
    <definedName name="DEX_21110_ACT_DATA" localSheetId="10">#REF!</definedName>
    <definedName name="DEX_21110_ACT_DATA" localSheetId="18">#REF!</definedName>
    <definedName name="DEX_21110_ACT_DATA" localSheetId="17">#REF!</definedName>
    <definedName name="DEX_21110_ACT_DATA" localSheetId="20">#REF!</definedName>
    <definedName name="DEX_21110_ACT_DATA" localSheetId="19">#REF!</definedName>
    <definedName name="DEX_21110_ACT_DATA" localSheetId="7">#REF!</definedName>
    <definedName name="DEX_21110_ACT_DATA">#REF!</definedName>
    <definedName name="DEX_21110_ACT_GRP" localSheetId="10">#REF!</definedName>
    <definedName name="DEX_21110_ACT_GRP" localSheetId="18">#REF!</definedName>
    <definedName name="DEX_21110_ACT_GRP" localSheetId="17">#REF!</definedName>
    <definedName name="DEX_21110_ACT_GRP" localSheetId="20">#REF!</definedName>
    <definedName name="DEX_21110_ACT_GRP" localSheetId="19">#REF!</definedName>
    <definedName name="DEX_21110_ACT_GRP" localSheetId="7">#REF!</definedName>
    <definedName name="DEX_21110_ACT_GRP">#REF!</definedName>
    <definedName name="DEX_21110_EST_DATA" localSheetId="10">#REF!</definedName>
    <definedName name="DEX_21110_EST_DATA" localSheetId="18">#REF!</definedName>
    <definedName name="DEX_21110_EST_DATA" localSheetId="17">#REF!</definedName>
    <definedName name="DEX_21110_EST_DATA" localSheetId="20">#REF!</definedName>
    <definedName name="DEX_21110_EST_DATA" localSheetId="19">#REF!</definedName>
    <definedName name="DEX_21110_EST_DATA" localSheetId="7">#REF!</definedName>
    <definedName name="DEX_21110_EST_DATA">#REF!</definedName>
    <definedName name="DEX_21110_EST_GRP" localSheetId="10">#REF!</definedName>
    <definedName name="DEX_21110_EST_GRP" localSheetId="18">#REF!</definedName>
    <definedName name="DEX_21110_EST_GRP" localSheetId="17">#REF!</definedName>
    <definedName name="DEX_21110_EST_GRP" localSheetId="20">#REF!</definedName>
    <definedName name="DEX_21110_EST_GRP" localSheetId="19">#REF!</definedName>
    <definedName name="DEX_21110_EST_GRP" localSheetId="7">#REF!</definedName>
    <definedName name="DEX_21110_EST_GRP">#REF!</definedName>
    <definedName name="DFRDFIT?" localSheetId="10">#REF!</definedName>
    <definedName name="DFRDFIT?" localSheetId="18">#REF!</definedName>
    <definedName name="DFRDFIT?" localSheetId="17">#REF!</definedName>
    <definedName name="DFRDFIT?" localSheetId="20">#REF!</definedName>
    <definedName name="DFRDFIT?" localSheetId="19">#REF!</definedName>
    <definedName name="DFRDFIT?" localSheetId="7">#REF!</definedName>
    <definedName name="DFRDFIT?">#REF!</definedName>
    <definedName name="Differences" localSheetId="10">#REF!</definedName>
    <definedName name="Differences" localSheetId="18">#REF!</definedName>
    <definedName name="Differences" localSheetId="17">#REF!</definedName>
    <definedName name="Differences" localSheetId="20">#REF!</definedName>
    <definedName name="Differences" localSheetId="19">#REF!</definedName>
    <definedName name="Differences" localSheetId="7">#REF!</definedName>
    <definedName name="Differences">#REF!</definedName>
    <definedName name="DISP?" localSheetId="10">#REF!</definedName>
    <definedName name="DISP?" localSheetId="18">#REF!</definedName>
    <definedName name="DISP?" localSheetId="17">#REF!</definedName>
    <definedName name="DISP?" localSheetId="20">#REF!</definedName>
    <definedName name="DISP?" localSheetId="19">#REF!</definedName>
    <definedName name="DISP?" localSheetId="7">#REF!</definedName>
    <definedName name="DISP?">#REF!</definedName>
    <definedName name="Distrib_Print_CEX" localSheetId="10">#REF!</definedName>
    <definedName name="Distrib_Print_CEX" localSheetId="18">#REF!</definedName>
    <definedName name="Distrib_Print_CEX" localSheetId="17">#REF!</definedName>
    <definedName name="Distrib_Print_CEX" localSheetId="20">#REF!</definedName>
    <definedName name="Distrib_Print_CEX" localSheetId="19">#REF!</definedName>
    <definedName name="Distrib_Print_CEX" localSheetId="7">#REF!</definedName>
    <definedName name="Distrib_Print_CEX">#REF!</definedName>
    <definedName name="DivM" localSheetId="10">#REF!</definedName>
    <definedName name="DivM" localSheetId="18">#REF!</definedName>
    <definedName name="DivM" localSheetId="17">#REF!</definedName>
    <definedName name="DivM" localSheetId="20">#REF!</definedName>
    <definedName name="DivM" localSheetId="19">#REF!</definedName>
    <definedName name="DivM" localSheetId="7">#REF!</definedName>
    <definedName name="DivM">#REF!</definedName>
    <definedName name="DivY" localSheetId="10">#REF!</definedName>
    <definedName name="DivY" localSheetId="18">#REF!</definedName>
    <definedName name="DivY" localSheetId="17">#REF!</definedName>
    <definedName name="DivY" localSheetId="20">#REF!</definedName>
    <definedName name="DivY" localSheetId="19">#REF!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18">[13]Data!$G$4:$G$4,[13]Data!#REF!</definedName>
    <definedName name="EMonth" localSheetId="17">[13]Data!$G$4:$G$4,[13]Data!#REF!</definedName>
    <definedName name="EMonth" localSheetId="20">[13]Data!$G$4:$G$4,[13]Data!#REF!</definedName>
    <definedName name="EMonth" localSheetId="19">[13]Data!$G$4:$G$4,[13]Data!#REF!</definedName>
    <definedName name="EMonth" localSheetId="7">[13]Data!$G$4:$G$4,[13]Data!#REF!</definedName>
    <definedName name="EMonth">[13]Data!$G$4:$G$4,[13]Data!#REF!</definedName>
    <definedName name="EnerROR" localSheetId="10">'[4]Unit Cost'!#REF!</definedName>
    <definedName name="EnerROR" localSheetId="18">'[4]Unit Cost'!#REF!</definedName>
    <definedName name="EnerROR" localSheetId="17">'[4]Unit Cost'!#REF!</definedName>
    <definedName name="EnerROR" localSheetId="20">'[4]Unit Cost'!#REF!</definedName>
    <definedName name="EnerROR" localSheetId="19">'[4]Unit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18">#REF!</definedName>
    <definedName name="EXHIBIT__" localSheetId="17">#REF!</definedName>
    <definedName name="EXHIBIT__" localSheetId="20">#REF!</definedName>
    <definedName name="EXHIBIT__" localSheetId="19">#REF!</definedName>
    <definedName name="EXHIBIT__" localSheetId="7">#REF!</definedName>
    <definedName name="EXHIBIT__">#REF!</definedName>
    <definedName name="ExpM" localSheetId="10">#REF!</definedName>
    <definedName name="ExpM" localSheetId="18">#REF!</definedName>
    <definedName name="ExpM" localSheetId="17">#REF!</definedName>
    <definedName name="ExpM" localSheetId="20">#REF!</definedName>
    <definedName name="ExpM" localSheetId="19">#REF!</definedName>
    <definedName name="ExpM" localSheetId="7">#REF!</definedName>
    <definedName name="ExpM">#REF!</definedName>
    <definedName name="ExpY" localSheetId="10">#REF!</definedName>
    <definedName name="ExpY" localSheetId="18">#REF!</definedName>
    <definedName name="ExpY" localSheetId="17">#REF!</definedName>
    <definedName name="ExpY" localSheetId="20">#REF!</definedName>
    <definedName name="ExpY" localSheetId="19">#REF!</definedName>
    <definedName name="ExpY" localSheetId="7">#REF!</definedName>
    <definedName name="ExpY">#REF!</definedName>
    <definedName name="EYTD" localSheetId="10">[13]Data!#REF!,[13]Data!#REF!</definedName>
    <definedName name="EYTD" localSheetId="18">[13]Data!#REF!,[13]Data!#REF!</definedName>
    <definedName name="EYTD" localSheetId="17">[13]Data!#REF!,[13]Data!#REF!</definedName>
    <definedName name="EYTD" localSheetId="20">[13]Data!#REF!,[13]Data!#REF!</definedName>
    <definedName name="EYTD" localSheetId="19">[13]Data!#REF!,[13]Data!#REF!</definedName>
    <definedName name="EYTD" localSheetId="7">[13]Data!#REF!,[13]Data!#REF!</definedName>
    <definedName name="EYTD">[13]Data!#REF!,[13]Data!#REF!</definedName>
    <definedName name="FERC_1" localSheetId="10">#REF!</definedName>
    <definedName name="FERC_1" localSheetId="18">#REF!</definedName>
    <definedName name="FERC_1" localSheetId="17">#REF!</definedName>
    <definedName name="FERC_1" localSheetId="20">#REF!</definedName>
    <definedName name="FERC_1" localSheetId="19">#REF!</definedName>
    <definedName name="FERC_1" localSheetId="7">#REF!</definedName>
    <definedName name="FERC_1">#REF!</definedName>
    <definedName name="ffff" localSheetId="10">'[15]HEO-Sch5'!#REF!</definedName>
    <definedName name="ffff" localSheetId="18">'[15]HEO-Sch5'!#REF!</definedName>
    <definedName name="ffff" localSheetId="17">'[15]HEO-Sch5'!#REF!</definedName>
    <definedName name="ffff" localSheetId="20">'[15]HEO-Sch5'!#REF!</definedName>
    <definedName name="ffff" localSheetId="19">'[15]HEO-Sch5'!#REF!</definedName>
    <definedName name="ffff" localSheetId="7">'[15]HEO-Sch5'!#REF!</definedName>
    <definedName name="ffff">'[15]HEO-Sch5'!#REF!</definedName>
    <definedName name="firmcom" localSheetId="10">[3]Input!#REF!</definedName>
    <definedName name="firmcom" localSheetId="18">[3]Input!#REF!</definedName>
    <definedName name="firmcom" localSheetId="17">[3]Input!#REF!</definedName>
    <definedName name="firmcom" localSheetId="20">[3]Input!#REF!</definedName>
    <definedName name="firmcom" localSheetId="19">[3]Input!#REF!</definedName>
    <definedName name="firmcom" localSheetId="7">[3]Input!#REF!</definedName>
    <definedName name="firmcom">[3]Input!#REF!</definedName>
    <definedName name="firmdem" localSheetId="10">[3]Input!#REF!</definedName>
    <definedName name="firmdem" localSheetId="18">[3]Input!#REF!</definedName>
    <definedName name="firmdem" localSheetId="17">[3]Input!#REF!</definedName>
    <definedName name="firmdem" localSheetId="20">[3]Input!#REF!</definedName>
    <definedName name="firmdem" localSheetId="19">[3]Input!#REF!</definedName>
    <definedName name="firmdem" localSheetId="7">[3]Input!#REF!</definedName>
    <definedName name="firmdem">[3]Input!#REF!</definedName>
    <definedName name="FIT" localSheetId="10">#REF!</definedName>
    <definedName name="FIT" localSheetId="18">#REF!</definedName>
    <definedName name="FIT" localSheetId="17">#REF!</definedName>
    <definedName name="FIT" localSheetId="20">#REF!</definedName>
    <definedName name="FIT" localSheetId="19">#REF!</definedName>
    <definedName name="FIT" localSheetId="7">#REF!</definedName>
    <definedName name="FIT">#REF!</definedName>
    <definedName name="Flex">[16]Index!$A$2:$C$693</definedName>
    <definedName name="FORMULA" localSheetId="10">#REF!</definedName>
    <definedName name="FORMULA" localSheetId="18">#REF!</definedName>
    <definedName name="FORMULA" localSheetId="17">#REF!</definedName>
    <definedName name="FORMULA" localSheetId="20">#REF!</definedName>
    <definedName name="FORMULA" localSheetId="19">#REF!</definedName>
    <definedName name="FORMULA" localSheetId="7">#REF!</definedName>
    <definedName name="FORMULA">#REF!</definedName>
    <definedName name="Freight" localSheetId="10">'[7]Meter-Service'!#REF!</definedName>
    <definedName name="Freight" localSheetId="18">'[7]Meter-Service'!#REF!</definedName>
    <definedName name="Freight" localSheetId="17">'[7]Meter-Service'!#REF!</definedName>
    <definedName name="Freight" localSheetId="20">'[7]Meter-Service'!#REF!</definedName>
    <definedName name="Freight" localSheetId="19">'[7]Meter-Service'!#REF!</definedName>
    <definedName name="Freight" localSheetId="7">'[7]Meter-Service'!#REF!</definedName>
    <definedName name="Freight">'[7]Meter-Service'!#REF!</definedName>
    <definedName name="FreqTable" localSheetId="10">#REF!</definedName>
    <definedName name="FreqTable" localSheetId="18">#REF!</definedName>
    <definedName name="FreqTable" localSheetId="17">#REF!</definedName>
    <definedName name="FreqTable" localSheetId="20">#REF!</definedName>
    <definedName name="FreqTable" localSheetId="19">#REF!</definedName>
    <definedName name="FreqTable" localSheetId="7">#REF!</definedName>
    <definedName name="FreqTable">#REF!</definedName>
    <definedName name="Function3" localSheetId="10">[4]Functions!#REF!</definedName>
    <definedName name="Function3" localSheetId="18">[4]Functions!#REF!</definedName>
    <definedName name="Function3" localSheetId="17">[4]Functions!#REF!</definedName>
    <definedName name="Function3" localSheetId="20">[4]Functions!#REF!</definedName>
    <definedName name="Function3" localSheetId="19">[4]Functions!#REF!</definedName>
    <definedName name="Function3" localSheetId="7">[4]Functions!#REF!</definedName>
    <definedName name="Function3">[4]Functions!#REF!</definedName>
    <definedName name="Function5" localSheetId="10">[4]Functions!#REF!</definedName>
    <definedName name="Function5" localSheetId="18">[4]Functions!#REF!</definedName>
    <definedName name="Function5" localSheetId="17">[4]Functions!#REF!</definedName>
    <definedName name="Function5" localSheetId="20">[4]Functions!#REF!</definedName>
    <definedName name="Function5" localSheetId="19">[4]Functions!#REF!</definedName>
    <definedName name="Function5" localSheetId="7">[4]Functions!#REF!</definedName>
    <definedName name="Function5">[4]Functions!#REF!</definedName>
    <definedName name="Function6" localSheetId="10">[4]Functions!#REF!</definedName>
    <definedName name="Function6" localSheetId="18">[4]Functions!#REF!</definedName>
    <definedName name="Function6" localSheetId="17">[4]Functions!#REF!</definedName>
    <definedName name="Function6" localSheetId="20">[4]Functions!#REF!</definedName>
    <definedName name="Function6" localSheetId="19">[4]Functions!#REF!</definedName>
    <definedName name="Function6" localSheetId="7">[4]Functions!#REF!</definedName>
    <definedName name="Function6">[4]Functions!#REF!</definedName>
    <definedName name="Gas" localSheetId="10">#REF!</definedName>
    <definedName name="Gas" localSheetId="18">#REF!</definedName>
    <definedName name="Gas" localSheetId="17">#REF!</definedName>
    <definedName name="Gas" localSheetId="20">#REF!</definedName>
    <definedName name="Gas" localSheetId="19">#REF!</definedName>
    <definedName name="Gas" localSheetId="7">#REF!</definedName>
    <definedName name="Gas">#REF!</definedName>
    <definedName name="GRT" localSheetId="10">#REF!</definedName>
    <definedName name="GRT" localSheetId="18">#REF!</definedName>
    <definedName name="GRT" localSheetId="17">#REF!</definedName>
    <definedName name="GRT" localSheetId="20">#REF!</definedName>
    <definedName name="GRT" localSheetId="19">#REF!</definedName>
    <definedName name="GRT" localSheetId="7">#REF!</definedName>
    <definedName name="GRT">#REF!</definedName>
    <definedName name="GRTFACT" localSheetId="10">#REF!</definedName>
    <definedName name="GRTFACT" localSheetId="18">#REF!</definedName>
    <definedName name="GRTFACT" localSheetId="17">#REF!</definedName>
    <definedName name="GRTFACT" localSheetId="20">#REF!</definedName>
    <definedName name="GRTFACT" localSheetId="19">#REF!</definedName>
    <definedName name="GRTFACT" localSheetId="7">#REF!</definedName>
    <definedName name="GRTFACT">#REF!</definedName>
    <definedName name="HousingAuth_Volumes_SumByMonth" localSheetId="10">#REF!</definedName>
    <definedName name="HousingAuth_Volumes_SumByMonth" localSheetId="18">#REF!</definedName>
    <definedName name="HousingAuth_Volumes_SumByMonth" localSheetId="17">#REF!</definedName>
    <definedName name="HousingAuth_Volumes_SumByMonth" localSheetId="20">#REF!</definedName>
    <definedName name="HousingAuth_Volumes_SumByMonth" localSheetId="19">#REF!</definedName>
    <definedName name="HousingAuth_Volumes_SumByMonth" localSheetId="7">#REF!</definedName>
    <definedName name="HousingAuth_Volumes_SumByMonth">#REF!</definedName>
    <definedName name="HR_Print" localSheetId="10">#REF!</definedName>
    <definedName name="HR_Print" localSheetId="18">#REF!</definedName>
    <definedName name="HR_Print" localSheetId="17">#REF!</definedName>
    <definedName name="HR_Print" localSheetId="20">#REF!</definedName>
    <definedName name="HR_Print" localSheetId="19">#REF!</definedName>
    <definedName name="HR_Print" localSheetId="7">#REF!</definedName>
    <definedName name="HR_Print">#REF!</definedName>
    <definedName name="HR_Print_CEX" localSheetId="10">#REF!</definedName>
    <definedName name="HR_Print_CEX" localSheetId="18">#REF!</definedName>
    <definedName name="HR_Print_CEX" localSheetId="17">#REF!</definedName>
    <definedName name="HR_Print_CEX" localSheetId="20">#REF!</definedName>
    <definedName name="HR_Print_CEX" localSheetId="19">#REF!</definedName>
    <definedName name="HR_Print_CEX" localSheetId="7">#REF!</definedName>
    <definedName name="HR_Print_CEX">#REF!</definedName>
    <definedName name="I">"a1..m50"</definedName>
    <definedName name="InfillSplitRatio" localSheetId="10">'[7]Meter-Service'!#REF!</definedName>
    <definedName name="InfillSplitRatio" localSheetId="18">'[7]Meter-Service'!#REF!</definedName>
    <definedName name="InfillSplitRatio" localSheetId="17">'[7]Meter-Service'!#REF!</definedName>
    <definedName name="InfillSplitRatio" localSheetId="20">'[7]Meter-Service'!#REF!</definedName>
    <definedName name="InfillSplitRatio" localSheetId="19">'[7]Meter-Service'!#REF!</definedName>
    <definedName name="InfillSplitRatio" localSheetId="7">'[7]Meter-Service'!#REF!</definedName>
    <definedName name="InfillSplitRatio">'[7]Meter-Service'!#REF!</definedName>
    <definedName name="kind" localSheetId="10">#REF!</definedName>
    <definedName name="kind" localSheetId="18">#REF!</definedName>
    <definedName name="kind" localSheetId="17">#REF!</definedName>
    <definedName name="kind" localSheetId="20">#REF!</definedName>
    <definedName name="kind" localSheetId="19">#REF!</definedName>
    <definedName name="kind" localSheetId="7">#REF!</definedName>
    <definedName name="kind">#REF!</definedName>
    <definedName name="LABELS" localSheetId="10">#REF!</definedName>
    <definedName name="LABELS" localSheetId="18">#REF!</definedName>
    <definedName name="LABELS" localSheetId="17">#REF!</definedName>
    <definedName name="LABELS" localSheetId="20">#REF!</definedName>
    <definedName name="LABELS" localSheetId="19">#REF!</definedName>
    <definedName name="LABELS" localSheetId="7">#REF!</definedName>
    <definedName name="LABELS">#REF!</definedName>
    <definedName name="LaborAcct" localSheetId="10">#REF!</definedName>
    <definedName name="LaborAcct" localSheetId="18">#REF!</definedName>
    <definedName name="LaborAcct" localSheetId="17">#REF!</definedName>
    <definedName name="LaborAcct" localSheetId="20">#REF!</definedName>
    <definedName name="LaborAcct" localSheetId="19">#REF!</definedName>
    <definedName name="LaborAcct" localSheetId="7">#REF!</definedName>
    <definedName name="LaborAcct">#REF!</definedName>
    <definedName name="LaborOR" localSheetId="10">#REF!</definedName>
    <definedName name="LaborOR" localSheetId="18">#REF!</definedName>
    <definedName name="LaborOR" localSheetId="17">#REF!</definedName>
    <definedName name="LaborOR" localSheetId="20">#REF!</definedName>
    <definedName name="LaborOR" localSheetId="19">#REF!</definedName>
    <definedName name="LaborOR" localSheetId="7">#REF!</definedName>
    <definedName name="LaborOR">#REF!</definedName>
    <definedName name="LaborP">[5]LaborPercentage!$A$3:$H$123</definedName>
    <definedName name="LIFE" localSheetId="10">#REF!</definedName>
    <definedName name="LIFE" localSheetId="18">#REF!</definedName>
    <definedName name="LIFE" localSheetId="17">#REF!</definedName>
    <definedName name="LIFE" localSheetId="20">#REF!</definedName>
    <definedName name="LIFE" localSheetId="19">#REF!</definedName>
    <definedName name="LIFE" localSheetId="7">#REF!</definedName>
    <definedName name="LIFE">#REF!</definedName>
    <definedName name="Line_Loss">'[17]General Inputs - Others'!$F$10</definedName>
    <definedName name="List" localSheetId="10">#REF!</definedName>
    <definedName name="List" localSheetId="18">#REF!</definedName>
    <definedName name="List" localSheetId="17">#REF!</definedName>
    <definedName name="List" localSheetId="20">#REF!</definedName>
    <definedName name="List" localSheetId="19">#REF!</definedName>
    <definedName name="List" localSheetId="7">#REF!</definedName>
    <definedName name="List">#REF!</definedName>
    <definedName name="LKACCT" localSheetId="10">#REF!</definedName>
    <definedName name="LKACCT" localSheetId="18">#REF!</definedName>
    <definedName name="LKACCT" localSheetId="17">#REF!</definedName>
    <definedName name="LKACCT" localSheetId="20">#REF!</definedName>
    <definedName name="LKACCT" localSheetId="19">#REF!</definedName>
    <definedName name="LKACCT" localSheetId="7">#REF!</definedName>
    <definedName name="LKACCT">#REF!</definedName>
    <definedName name="MACRO" localSheetId="10">#REF!</definedName>
    <definedName name="MACRO" localSheetId="18">#REF!</definedName>
    <definedName name="MACRO" localSheetId="17">#REF!</definedName>
    <definedName name="MACRO" localSheetId="20">#REF!</definedName>
    <definedName name="MACRO" localSheetId="19">#REF!</definedName>
    <definedName name="MACRO" localSheetId="7">#REF!</definedName>
    <definedName name="MACRO">#REF!</definedName>
    <definedName name="MeterHandling" localSheetId="10">'[7]Meter-Service'!#REF!</definedName>
    <definedName name="MeterHandling" localSheetId="18">'[7]Meter-Service'!#REF!</definedName>
    <definedName name="MeterHandling" localSheetId="17">'[7]Meter-Service'!#REF!</definedName>
    <definedName name="MeterHandling" localSheetId="20">'[7]Meter-Service'!#REF!</definedName>
    <definedName name="MeterHandling" localSheetId="19">'[7]Meter-Service'!#REF!</definedName>
    <definedName name="MeterHandling" localSheetId="7">'[7]Meter-Service'!#REF!</definedName>
    <definedName name="MeterHandling">'[7]Meter-Service'!#REF!</definedName>
    <definedName name="MISC_TAX" localSheetId="10">#REF!</definedName>
    <definedName name="MISC_TAX" localSheetId="18">#REF!</definedName>
    <definedName name="MISC_TAX" localSheetId="17">#REF!</definedName>
    <definedName name="MISC_TAX" localSheetId="20">#REF!</definedName>
    <definedName name="MISC_TAX" localSheetId="19">#REF!</definedName>
    <definedName name="MISC_TAX" localSheetId="7">#REF!</definedName>
    <definedName name="MISC_TAX">#REF!</definedName>
    <definedName name="MOAfee">[18]Inputs!$A$43</definedName>
    <definedName name="MOAfees" localSheetId="10">'[7]Meter-Service'!#REF!</definedName>
    <definedName name="MOAfees" localSheetId="18">'[7]Meter-Service'!#REF!</definedName>
    <definedName name="MOAfees" localSheetId="17">'[7]Meter-Service'!#REF!</definedName>
    <definedName name="MOAfees" localSheetId="20">'[7]Meter-Service'!#REF!</definedName>
    <definedName name="MOAfees" localSheetId="19">'[7]Meter-Service'!#REF!</definedName>
    <definedName name="MOAfees" localSheetId="7">'[7]Meter-Service'!#REF!</definedName>
    <definedName name="MOAfees">'[7]Meter-Service'!#REF!</definedName>
    <definedName name="MOApercent" localSheetId="10">'[7]Meter-Service'!#REF!</definedName>
    <definedName name="MOApercent" localSheetId="18">'[7]Meter-Service'!#REF!</definedName>
    <definedName name="MOApercent" localSheetId="17">'[7]Meter-Service'!#REF!</definedName>
    <definedName name="MOApercent" localSheetId="20">'[7]Meter-Service'!#REF!</definedName>
    <definedName name="MOApercent" localSheetId="19">'[7]Meter-Service'!#REF!</definedName>
    <definedName name="MOApercent" localSheetId="7">'[7]Meter-Service'!#REF!</definedName>
    <definedName name="MOApercent">'[7]Meter-Service'!#REF!</definedName>
    <definedName name="Month" localSheetId="10">#REF!</definedName>
    <definedName name="Month" localSheetId="18">#REF!</definedName>
    <definedName name="Month" localSheetId="17">#REF!</definedName>
    <definedName name="Month" localSheetId="20">#REF!</definedName>
    <definedName name="Month" localSheetId="19">#REF!</definedName>
    <definedName name="Month" localSheetId="7">#REF!</definedName>
    <definedName name="Month">#REF!</definedName>
    <definedName name="MonthPrev" localSheetId="10">[19]Report!#REF!</definedName>
    <definedName name="MonthPrev" localSheetId="18">[19]Report!#REF!</definedName>
    <definedName name="MonthPrev" localSheetId="17">[19]Report!#REF!</definedName>
    <definedName name="MonthPrev" localSheetId="20">[19]Report!#REF!</definedName>
    <definedName name="MonthPrev" localSheetId="19">[19]Report!#REF!</definedName>
    <definedName name="MonthPrev" localSheetId="7">[19]Report!#REF!</definedName>
    <definedName name="MonthPrev">[19]Report!#REF!</definedName>
    <definedName name="Months" localSheetId="10">#REF!</definedName>
    <definedName name="Months" localSheetId="18">#REF!</definedName>
    <definedName name="Months" localSheetId="17">#REF!</definedName>
    <definedName name="Months" localSheetId="20">#REF!</definedName>
    <definedName name="Months" localSheetId="19">#REF!</definedName>
    <definedName name="Months" localSheetId="7">#REF!</definedName>
    <definedName name="Months">#REF!</definedName>
    <definedName name="NAME" localSheetId="10">#REF!</definedName>
    <definedName name="NAME" localSheetId="18">#REF!</definedName>
    <definedName name="NAME" localSheetId="17">#REF!</definedName>
    <definedName name="NAME" localSheetId="20">#REF!</definedName>
    <definedName name="NAME" localSheetId="19">#REF!</definedName>
    <definedName name="NAME" localSheetId="7">#REF!</definedName>
    <definedName name="NAME">#REF!</definedName>
    <definedName name="NAME1" localSheetId="10">#REF!</definedName>
    <definedName name="NAME1" localSheetId="18">#REF!</definedName>
    <definedName name="NAME1" localSheetId="17">#REF!</definedName>
    <definedName name="NAME1" localSheetId="20">#REF!</definedName>
    <definedName name="NAME1" localSheetId="19">#REF!</definedName>
    <definedName name="NAME1" localSheetId="7">#REF!</definedName>
    <definedName name="NAME1">#REF!</definedName>
    <definedName name="NCOMRatio" localSheetId="10">'[7]Meter-Service'!#REF!</definedName>
    <definedName name="NCOMRatio" localSheetId="18">'[7]Meter-Service'!#REF!</definedName>
    <definedName name="NCOMRatio" localSheetId="17">'[7]Meter-Service'!#REF!</definedName>
    <definedName name="NCOMRatio" localSheetId="20">'[7]Meter-Service'!#REF!</definedName>
    <definedName name="NCOMRatio" localSheetId="19">'[7]Meter-Service'!#REF!</definedName>
    <definedName name="NCOMRatio" localSheetId="7">'[7]Meter-Service'!#REF!</definedName>
    <definedName name="NCOMRatio">'[7]Meter-Service'!#REF!</definedName>
    <definedName name="NoProposed" localSheetId="10">#REF!,#REF!</definedName>
    <definedName name="NoProposed" localSheetId="18">#REF!,#REF!</definedName>
    <definedName name="NoProposed" localSheetId="17">#REF!,#REF!</definedName>
    <definedName name="NoProposed" localSheetId="20">#REF!,#REF!</definedName>
    <definedName name="NoProposed" localSheetId="19">#REF!,#REF!</definedName>
    <definedName name="NoProposed" localSheetId="7">#REF!,#REF!</definedName>
    <definedName name="NoProposed">#REF!,#REF!</definedName>
    <definedName name="NoProposed1" localSheetId="10">#REF!</definedName>
    <definedName name="NoProposed1" localSheetId="18">#REF!</definedName>
    <definedName name="NoProposed1" localSheetId="17">#REF!</definedName>
    <definedName name="NoProposed1" localSheetId="20">#REF!</definedName>
    <definedName name="NoProposed1" localSheetId="19">#REF!</definedName>
    <definedName name="NoProposed1" localSheetId="7">#REF!</definedName>
    <definedName name="NoProposed1">#REF!</definedName>
    <definedName name="NoProposed2" localSheetId="10">#REF!</definedName>
    <definedName name="NoProposed2" localSheetId="18">#REF!</definedName>
    <definedName name="NoProposed2" localSheetId="17">#REF!</definedName>
    <definedName name="NoProposed2" localSheetId="20">#REF!</definedName>
    <definedName name="NoProposed2" localSheetId="19">#REF!</definedName>
    <definedName name="NoProposed2" localSheetId="7">#REF!</definedName>
    <definedName name="NoProposed2">#REF!</definedName>
    <definedName name="NORMALIZE" localSheetId="10">#REF!</definedName>
    <definedName name="NORMALIZE" localSheetId="18">#REF!</definedName>
    <definedName name="NORMALIZE" localSheetId="17">#REF!</definedName>
    <definedName name="NORMALIZE" localSheetId="20">#REF!</definedName>
    <definedName name="NORMALIZE" localSheetId="19">#REF!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18">[1]DEPR!#REF!</definedName>
    <definedName name="OH_HOME" localSheetId="17">[1]DEPR!#REF!</definedName>
    <definedName name="OH_HOME" localSheetId="20">[1]DEPR!#REF!</definedName>
    <definedName name="OH_HOME" localSheetId="19">[1]DEPR!#REF!</definedName>
    <definedName name="OH_HOME" localSheetId="7">[1]DEPR!#REF!</definedName>
    <definedName name="OH_HOME">[1]DEPR!#REF!</definedName>
    <definedName name="ONCOR_ELECTRIC_DELIVERY_COMPANY" localSheetId="10">#REF!</definedName>
    <definedName name="ONCOR_ELECTRIC_DELIVERY_COMPANY" localSheetId="18">#REF!</definedName>
    <definedName name="ONCOR_ELECTRIC_DELIVERY_COMPANY" localSheetId="17">#REF!</definedName>
    <definedName name="ONCOR_ELECTRIC_DELIVERY_COMPANY" localSheetId="20">#REF!</definedName>
    <definedName name="ONCOR_ELECTRIC_DELIVERY_COMPANY" localSheetId="19">#REF!</definedName>
    <definedName name="ONCOR_ELECTRIC_DELIVERY_COMPANY" localSheetId="7">#REF!</definedName>
    <definedName name="ONCOR_ELECTRIC_DELIVERY_COMPANY">#REF!</definedName>
    <definedName name="OperRev" localSheetId="10">#REF!</definedName>
    <definedName name="OperRev" localSheetId="18">#REF!</definedName>
    <definedName name="OperRev" localSheetId="17">#REF!</definedName>
    <definedName name="OperRev" localSheetId="20">#REF!</definedName>
    <definedName name="OperRev" localSheetId="19">#REF!</definedName>
    <definedName name="OperRev" localSheetId="7">#REF!</definedName>
    <definedName name="OperRev">#REF!</definedName>
    <definedName name="Over60_1" localSheetId="10">#REF!</definedName>
    <definedName name="Over60_1" localSheetId="18">#REF!</definedName>
    <definedName name="Over60_1" localSheetId="17">#REF!</definedName>
    <definedName name="Over60_1" localSheetId="20">#REF!</definedName>
    <definedName name="Over60_1" localSheetId="19">#REF!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18">'[7]Meter-Service'!#REF!</definedName>
    <definedName name="Planning" localSheetId="17">'[7]Meter-Service'!#REF!</definedName>
    <definedName name="Planning" localSheetId="20">'[7]Meter-Service'!#REF!</definedName>
    <definedName name="Planning" localSheetId="19">'[7]Meter-Service'!#REF!</definedName>
    <definedName name="Planning" localSheetId="7">'[7]Meter-Service'!#REF!</definedName>
    <definedName name="Planning">'[7]Meter-Service'!#REF!</definedName>
    <definedName name="PRINT" localSheetId="10">#REF!</definedName>
    <definedName name="PRINT" localSheetId="18">#REF!</definedName>
    <definedName name="PRINT" localSheetId="17">#REF!</definedName>
    <definedName name="PRINT" localSheetId="20">#REF!</definedName>
    <definedName name="PRINT" localSheetId="19">#REF!</definedName>
    <definedName name="PRINT" localSheetId="7">#REF!</definedName>
    <definedName name="PRINT">#REF!</definedName>
    <definedName name="_xlnm.Print_Area" localSheetId="18">'Exh. RJW-3 Combined'!$A$1:$V$53</definedName>
    <definedName name="_xlnm.Print_Area" localSheetId="17">'Exh. RJW-3 RR'!$A$1:$L$49</definedName>
    <definedName name="_xlnm.Print_Area" localSheetId="15">'Rate Impacts - COMBINED'!$A$2:$X$52</definedName>
    <definedName name="_xlnm.Print_Area" localSheetId="14">'Rate Impacts - Rev Req ONLY'!$A$1:$M$49</definedName>
    <definedName name="_xlnm.Print_Area">#REF!</definedName>
    <definedName name="_xlnm.Print_Titles">#REF!,#REF!</definedName>
    <definedName name="print55" localSheetId="10">#REF!</definedName>
    <definedName name="print55" localSheetId="18">#REF!</definedName>
    <definedName name="print55" localSheetId="17">#REF!</definedName>
    <definedName name="print55" localSheetId="20">#REF!</definedName>
    <definedName name="print55" localSheetId="19">#REF!</definedName>
    <definedName name="print55" localSheetId="7">#REF!</definedName>
    <definedName name="print55">#REF!</definedName>
    <definedName name="PrintClassMerDel" localSheetId="10">[4]Classify!#REF!</definedName>
    <definedName name="PrintClassMerDel" localSheetId="18">[4]Classify!#REF!</definedName>
    <definedName name="PrintClassMerDel" localSheetId="17">[4]Classify!#REF!</definedName>
    <definedName name="PrintClassMerDel" localSheetId="20">[4]Classify!#REF!</definedName>
    <definedName name="PrintClassMerDel" localSheetId="19">[4]Classify!#REF!</definedName>
    <definedName name="PrintClassMerDel" localSheetId="7">[4]Classify!#REF!</definedName>
    <definedName name="PrintClassMerDel">[4]Classify!#REF!</definedName>
    <definedName name="PrintFunctMerDel" localSheetId="10">[4]Functions!#REF!</definedName>
    <definedName name="PrintFunctMerDel" localSheetId="18">[4]Functions!#REF!</definedName>
    <definedName name="PrintFunctMerDel" localSheetId="17">[4]Functions!#REF!</definedName>
    <definedName name="PrintFunctMerDel" localSheetId="20">[4]Functions!#REF!</definedName>
    <definedName name="PrintFunctMerDel" localSheetId="19">[4]Functions!#REF!</definedName>
    <definedName name="PrintFunctMerDel" localSheetId="7">[4]Functions!#REF!</definedName>
    <definedName name="PrintFunctMerDel">[4]Functions!#REF!</definedName>
    <definedName name="PrintMainRB" localSheetId="10">#REF!</definedName>
    <definedName name="PrintMainRB" localSheetId="18">#REF!</definedName>
    <definedName name="PrintMainRB" localSheetId="17">#REF!</definedName>
    <definedName name="PrintMainRB" localSheetId="20">#REF!</definedName>
    <definedName name="PrintMainRB" localSheetId="19">#REF!</definedName>
    <definedName name="PrintMainRB" localSheetId="7">#REF!</definedName>
    <definedName name="PrintMainRB">#REF!</definedName>
    <definedName name="PrintMerDelMain" localSheetId="10">[4]Total!#REF!</definedName>
    <definedName name="PrintMerDelMain" localSheetId="18">[4]Total!#REF!</definedName>
    <definedName name="PrintMerDelMain" localSheetId="17">[4]Total!#REF!</definedName>
    <definedName name="PrintMerDelMain" localSheetId="20">[4]Total!#REF!</definedName>
    <definedName name="PrintMerDelMain" localSheetId="19">[4]Total!#REF!</definedName>
    <definedName name="PrintMerDelMain" localSheetId="7">[4]Total!#REF!</definedName>
    <definedName name="PrintMerDelMain">[4]Total!#REF!</definedName>
    <definedName name="PrintMSSDet" localSheetId="10">#REF!</definedName>
    <definedName name="PrintMSSDet" localSheetId="18">#REF!</definedName>
    <definedName name="PrintMSSDet" localSheetId="17">#REF!</definedName>
    <definedName name="PrintMSSDet" localSheetId="20">#REF!</definedName>
    <definedName name="PrintMSSDet" localSheetId="19">#REF!</definedName>
    <definedName name="PrintMSSDet" localSheetId="7">#REF!</definedName>
    <definedName name="PrintMSSDet">#REF!</definedName>
    <definedName name="PrintMSSSum" localSheetId="10">#REF!</definedName>
    <definedName name="PrintMSSSum" localSheetId="18">#REF!</definedName>
    <definedName name="PrintMSSSum" localSheetId="17">#REF!</definedName>
    <definedName name="PrintMSSSum" localSheetId="20">#REF!</definedName>
    <definedName name="PrintMSSSum" localSheetId="19">#REF!</definedName>
    <definedName name="PrintMSSSum" localSheetId="7">#REF!</definedName>
    <definedName name="PrintMSSSum">#REF!</definedName>
    <definedName name="PrintSpecDet" localSheetId="10">#REF!</definedName>
    <definedName name="PrintSpecDet" localSheetId="18">#REF!</definedName>
    <definedName name="PrintSpecDet" localSheetId="17">#REF!</definedName>
    <definedName name="PrintSpecDet" localSheetId="20">#REF!</definedName>
    <definedName name="PrintSpecDet" localSheetId="19">#REF!</definedName>
    <definedName name="PrintSpecDet" localSheetId="7">#REF!</definedName>
    <definedName name="PrintSpecDet">#REF!</definedName>
    <definedName name="PrintSpecSum" localSheetId="10">#REF!</definedName>
    <definedName name="PrintSpecSum" localSheetId="18">#REF!</definedName>
    <definedName name="PrintSpecSum" localSheetId="17">#REF!</definedName>
    <definedName name="PrintSpecSum" localSheetId="20">#REF!</definedName>
    <definedName name="PrintSpecSum" localSheetId="19">#REF!</definedName>
    <definedName name="PrintSpecSum" localSheetId="7">#REF!</definedName>
    <definedName name="PrintSpecSum">#REF!</definedName>
    <definedName name="PrintUnitMerDel" localSheetId="10">'[4]Unit Cost'!#REF!</definedName>
    <definedName name="PrintUnitMerDel" localSheetId="18">'[4]Unit Cost'!#REF!</definedName>
    <definedName name="PrintUnitMerDel" localSheetId="17">'[4]Unit Cost'!#REF!</definedName>
    <definedName name="PrintUnitMerDel" localSheetId="20">'[4]Unit Cost'!#REF!</definedName>
    <definedName name="PrintUnitMerDel" localSheetId="19">'[4]Unit Cost'!#REF!</definedName>
    <definedName name="PrintUnitMerDel" localSheetId="7">'[4]Unit Cost'!#REF!</definedName>
    <definedName name="PrintUnitMerDel">'[4]Unit Cost'!#REF!</definedName>
    <definedName name="PROP_TAX" localSheetId="10">#REF!</definedName>
    <definedName name="PROP_TAX" localSheetId="18">#REF!</definedName>
    <definedName name="PROP_TAX" localSheetId="17">#REF!</definedName>
    <definedName name="PROP_TAX" localSheetId="20">#REF!</definedName>
    <definedName name="PROP_TAX" localSheetId="19">#REF!</definedName>
    <definedName name="PROP_TAX" localSheetId="7">#REF!</definedName>
    <definedName name="PROP_TAX">#REF!</definedName>
    <definedName name="Q" localSheetId="10">[4]Factors!#REF!</definedName>
    <definedName name="Q" localSheetId="18">[4]Factors!#REF!</definedName>
    <definedName name="Q" localSheetId="17">[4]Factors!#REF!</definedName>
    <definedName name="Q" localSheetId="20">[4]Factors!#REF!</definedName>
    <definedName name="Q" localSheetId="19">[4]Factors!#REF!</definedName>
    <definedName name="Q" localSheetId="7">[4]Factors!#REF!</definedName>
    <definedName name="Q">[4]Factors!#REF!</definedName>
    <definedName name="rAdmin" localSheetId="10">#REF!</definedName>
    <definedName name="rAdmin" localSheetId="18">#REF!</definedName>
    <definedName name="rAdmin" localSheetId="17">#REF!</definedName>
    <definedName name="rAdmin" localSheetId="20">#REF!</definedName>
    <definedName name="rAdmin" localSheetId="19">#REF!</definedName>
    <definedName name="rAdmin" localSheetId="7">#REF!</definedName>
    <definedName name="rAdmin">#REF!</definedName>
    <definedName name="rAlloList" localSheetId="10">[4]Registry!#REF!</definedName>
    <definedName name="rAlloList" localSheetId="18">[4]Registry!#REF!</definedName>
    <definedName name="rAlloList" localSheetId="17">[4]Registry!#REF!</definedName>
    <definedName name="rAlloList" localSheetId="20">[4]Registry!#REF!</definedName>
    <definedName name="rAlloList" localSheetId="19">[4]Registry!#REF!</definedName>
    <definedName name="rAlloList" localSheetId="7">[4]Registry!#REF!</definedName>
    <definedName name="rAlloList">[4]Registry!#REF!</definedName>
    <definedName name="rEGC" localSheetId="10">#REF!</definedName>
    <definedName name="rEGC" localSheetId="18">#REF!</definedName>
    <definedName name="rEGC" localSheetId="17">#REF!</definedName>
    <definedName name="rEGC" localSheetId="20">#REF!</definedName>
    <definedName name="rEGC" localSheetId="19">#REF!</definedName>
    <definedName name="rEGC" localSheetId="7">#REF!</definedName>
    <definedName name="rEGC">#REF!</definedName>
    <definedName name="RESERVE_REPORT" localSheetId="10">[20]UTILPLNT!#REF!</definedName>
    <definedName name="RESERVE_REPORT" localSheetId="18">[20]UTILPLNT!#REF!</definedName>
    <definedName name="RESERVE_REPORT" localSheetId="17">[20]UTILPLNT!#REF!</definedName>
    <definedName name="RESERVE_REPORT" localSheetId="20">[20]UTILPLNT!#REF!</definedName>
    <definedName name="RESERVE_REPORT" localSheetId="19">[20]UTILPLNT!#REF!</definedName>
    <definedName name="RESERVE_REPORT" localSheetId="7">[20]UTILPLNT!#REF!</definedName>
    <definedName name="RESERVE_REPORT">[20]UTILPLNT!#REF!</definedName>
    <definedName name="RevM" localSheetId="10">#REF!</definedName>
    <definedName name="RevM" localSheetId="18">#REF!</definedName>
    <definedName name="RevM" localSheetId="17">#REF!</definedName>
    <definedName name="RevM" localSheetId="20">#REF!</definedName>
    <definedName name="RevM" localSheetId="19">#REF!</definedName>
    <definedName name="RevM" localSheetId="7">#REF!</definedName>
    <definedName name="RevM">#REF!</definedName>
    <definedName name="revsens" localSheetId="3">[21]Inputs!$B$30</definedName>
    <definedName name="revsens" localSheetId="10">#REF!</definedName>
    <definedName name="revsens" localSheetId="18">#REF!</definedName>
    <definedName name="revsens" localSheetId="17">#REF!</definedName>
    <definedName name="revsens" localSheetId="20">#REF!</definedName>
    <definedName name="revsens" localSheetId="19">#REF!</definedName>
    <definedName name="revsens" localSheetId="7">#REF!</definedName>
    <definedName name="revsens">#REF!</definedName>
    <definedName name="RevY" localSheetId="10">#REF!</definedName>
    <definedName name="RevY" localSheetId="18">#REF!</definedName>
    <definedName name="RevY" localSheetId="17">#REF!</definedName>
    <definedName name="RevY" localSheetId="20">#REF!</definedName>
    <definedName name="RevY" localSheetId="19">#REF!</definedName>
    <definedName name="RevY" localSheetId="7">#REF!</definedName>
    <definedName name="RevY">#REF!</definedName>
    <definedName name="rGRT" localSheetId="10">#REF!</definedName>
    <definedName name="rGRT" localSheetId="18">#REF!</definedName>
    <definedName name="rGRT" localSheetId="17">#REF!</definedName>
    <definedName name="rGRT" localSheetId="20">#REF!</definedName>
    <definedName name="rGRT" localSheetId="19">#REF!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18">#REF!</definedName>
    <definedName name="rPIP" localSheetId="17">#REF!</definedName>
    <definedName name="rPIP" localSheetId="20">#REF!</definedName>
    <definedName name="rPIP" localSheetId="19">#REF!</definedName>
    <definedName name="rPIP" localSheetId="7">#REF!</definedName>
    <definedName name="rPIP">#REF!</definedName>
    <definedName name="RptDate" localSheetId="10">#REF!</definedName>
    <definedName name="RptDate" localSheetId="18">#REF!</definedName>
    <definedName name="RptDate" localSheetId="17">#REF!</definedName>
    <definedName name="RptDate" localSheetId="20">#REF!</definedName>
    <definedName name="RptDate" localSheetId="19">#REF!</definedName>
    <definedName name="RptDate" localSheetId="7">#REF!</definedName>
    <definedName name="RptDate">#REF!</definedName>
    <definedName name="rSB" localSheetId="10">#REF!</definedName>
    <definedName name="rSB" localSheetId="18">#REF!</definedName>
    <definedName name="rSB" localSheetId="17">#REF!</definedName>
    <definedName name="rSB" localSheetId="20">#REF!</definedName>
    <definedName name="rSB" localSheetId="19">#REF!</definedName>
    <definedName name="rSB" localSheetId="7">#REF!</definedName>
    <definedName name="rSB">#REF!</definedName>
    <definedName name="rShare" localSheetId="10">#REF!</definedName>
    <definedName name="rShare" localSheetId="18">#REF!</definedName>
    <definedName name="rShare" localSheetId="17">#REF!</definedName>
    <definedName name="rShare" localSheetId="20">#REF!</definedName>
    <definedName name="rShare" localSheetId="19">#REF!</definedName>
    <definedName name="rShare" localSheetId="7">#REF!</definedName>
    <definedName name="rShare">#REF!</definedName>
    <definedName name="rTemp" localSheetId="10">#REF!</definedName>
    <definedName name="rTemp" localSheetId="18">#REF!</definedName>
    <definedName name="rTemp" localSheetId="17">#REF!</definedName>
    <definedName name="rTemp" localSheetId="20">#REF!</definedName>
    <definedName name="rTemp" localSheetId="19">#REF!</definedName>
    <definedName name="rTemp" localSheetId="7">#REF!</definedName>
    <definedName name="rTemp">#REF!</definedName>
    <definedName name="rUnc" localSheetId="10">#REF!</definedName>
    <definedName name="rUnc" localSheetId="18">#REF!</definedName>
    <definedName name="rUnc" localSheetId="17">#REF!</definedName>
    <definedName name="rUnc" localSheetId="20">#REF!</definedName>
    <definedName name="rUnc" localSheetId="19">#REF!</definedName>
    <definedName name="rUnc" localSheetId="7">#REF!</definedName>
    <definedName name="rUnc">#REF!</definedName>
    <definedName name="Sales_Print_CEX" localSheetId="10">#REF!</definedName>
    <definedName name="Sales_Print_CEX" localSheetId="18">#REF!</definedName>
    <definedName name="Sales_Print_CEX" localSheetId="17">#REF!</definedName>
    <definedName name="Sales_Print_CEX" localSheetId="20">#REF!</definedName>
    <definedName name="Sales_Print_CEX" localSheetId="19">#REF!</definedName>
    <definedName name="Sales_Print_CEX" localSheetId="7">#REF!</definedName>
    <definedName name="Sales_Print_CEX">#REF!</definedName>
    <definedName name="SALV" localSheetId="10">#REF!</definedName>
    <definedName name="SALV" localSheetId="18">#REF!</definedName>
    <definedName name="SALV" localSheetId="17">#REF!</definedName>
    <definedName name="SALV" localSheetId="20">#REF!</definedName>
    <definedName name="SALV" localSheetId="19">#REF!</definedName>
    <definedName name="SALV" localSheetId="7">#REF!</definedName>
    <definedName name="SALV">#REF!</definedName>
    <definedName name="SAS_GasCost" localSheetId="10">[3]Input!#REF!</definedName>
    <definedName name="SAS_GasCost" localSheetId="18">[3]Input!#REF!</definedName>
    <definedName name="SAS_GasCost" localSheetId="17">[3]Input!#REF!</definedName>
    <definedName name="SAS_GasCost" localSheetId="20">[3]Input!#REF!</definedName>
    <definedName name="SAS_GasCost" localSheetId="19">[3]Input!#REF!</definedName>
    <definedName name="SAS_GasCost" localSheetId="7">[3]Input!#REF!</definedName>
    <definedName name="SAS_GasCost">[3]Input!#REF!</definedName>
    <definedName name="sch10print" localSheetId="10">#REF!</definedName>
    <definedName name="sch10print" localSheetId="18">#REF!</definedName>
    <definedName name="sch10print" localSheetId="17">#REF!</definedName>
    <definedName name="sch10print" localSheetId="20">#REF!</definedName>
    <definedName name="sch10print" localSheetId="19">#REF!</definedName>
    <definedName name="sch10print" localSheetId="7">#REF!</definedName>
    <definedName name="sch10print">#REF!</definedName>
    <definedName name="sch3data" localSheetId="10">#REF!</definedName>
    <definedName name="sch3data" localSheetId="18">#REF!</definedName>
    <definedName name="sch3data" localSheetId="17">#REF!</definedName>
    <definedName name="sch3data" localSheetId="20">#REF!</definedName>
    <definedName name="sch3data" localSheetId="19">#REF!</definedName>
    <definedName name="sch3data" localSheetId="7">#REF!</definedName>
    <definedName name="sch3data">#REF!</definedName>
    <definedName name="sch3data_grp" localSheetId="10">#REF!</definedName>
    <definedName name="sch3data_grp" localSheetId="18">#REF!</definedName>
    <definedName name="sch3data_grp" localSheetId="17">#REF!</definedName>
    <definedName name="sch3data_grp" localSheetId="20">#REF!</definedName>
    <definedName name="sch3data_grp" localSheetId="19">#REF!</definedName>
    <definedName name="sch3data_grp" localSheetId="7">#REF!</definedName>
    <definedName name="sch3data_grp">#REF!</definedName>
    <definedName name="sch3print" localSheetId="10">#REF!</definedName>
    <definedName name="sch3print" localSheetId="18">#REF!</definedName>
    <definedName name="sch3print" localSheetId="17">#REF!</definedName>
    <definedName name="sch3print" localSheetId="20">#REF!</definedName>
    <definedName name="sch3print" localSheetId="19">#REF!</definedName>
    <definedName name="sch3print" localSheetId="7">#REF!</definedName>
    <definedName name="sch3print">#REF!</definedName>
    <definedName name="sch4_2data" localSheetId="10">#REF!</definedName>
    <definedName name="sch4_2data" localSheetId="18">#REF!</definedName>
    <definedName name="sch4_2data" localSheetId="17">#REF!</definedName>
    <definedName name="sch4_2data" localSheetId="20">#REF!</definedName>
    <definedName name="sch4_2data" localSheetId="19">#REF!</definedName>
    <definedName name="sch4_2data" localSheetId="7">#REF!</definedName>
    <definedName name="sch4_2data">#REF!</definedName>
    <definedName name="sch4_2data_grp" localSheetId="10">#REF!</definedName>
    <definedName name="sch4_2data_grp" localSheetId="18">#REF!</definedName>
    <definedName name="sch4_2data_grp" localSheetId="17">#REF!</definedName>
    <definedName name="sch4_2data_grp" localSheetId="20">#REF!</definedName>
    <definedName name="sch4_2data_grp" localSheetId="19">#REF!</definedName>
    <definedName name="sch4_2data_grp" localSheetId="7">#REF!</definedName>
    <definedName name="sch4_2data_grp">#REF!</definedName>
    <definedName name="sch4_2data1" localSheetId="10">#REF!</definedName>
    <definedName name="sch4_2data1" localSheetId="18">#REF!</definedName>
    <definedName name="sch4_2data1" localSheetId="17">#REF!</definedName>
    <definedName name="sch4_2data1" localSheetId="20">#REF!</definedName>
    <definedName name="sch4_2data1" localSheetId="19">#REF!</definedName>
    <definedName name="sch4_2data1" localSheetId="7">#REF!</definedName>
    <definedName name="sch4_2data1">#REF!</definedName>
    <definedName name="sch4_2data1_grp" localSheetId="10">#REF!</definedName>
    <definedName name="sch4_2data1_grp" localSheetId="18">#REF!</definedName>
    <definedName name="sch4_2data1_grp" localSheetId="17">#REF!</definedName>
    <definedName name="sch4_2data1_grp" localSheetId="20">#REF!</definedName>
    <definedName name="sch4_2data1_grp" localSheetId="19">#REF!</definedName>
    <definedName name="sch4_2data1_grp" localSheetId="7">#REF!</definedName>
    <definedName name="sch4_2data1_grp">#REF!</definedName>
    <definedName name="sch4_2print" localSheetId="10">#REF!</definedName>
    <definedName name="sch4_2print" localSheetId="18">#REF!</definedName>
    <definedName name="sch4_2print" localSheetId="17">#REF!</definedName>
    <definedName name="sch4_2print" localSheetId="20">#REF!</definedName>
    <definedName name="sch4_2print" localSheetId="19">#REF!</definedName>
    <definedName name="sch4_2print" localSheetId="7">#REF!</definedName>
    <definedName name="sch4_2print">#REF!</definedName>
    <definedName name="sch4_3print" localSheetId="10">#REF!</definedName>
    <definedName name="sch4_3print" localSheetId="18">#REF!</definedName>
    <definedName name="sch4_3print" localSheetId="17">#REF!</definedName>
    <definedName name="sch4_3print" localSheetId="20">#REF!</definedName>
    <definedName name="sch4_3print" localSheetId="19">#REF!</definedName>
    <definedName name="sch4_3print" localSheetId="7">#REF!</definedName>
    <definedName name="sch4_3print">#REF!</definedName>
    <definedName name="sch4print" localSheetId="10">#REF!</definedName>
    <definedName name="sch4print" localSheetId="18">#REF!</definedName>
    <definedName name="sch4print" localSheetId="17">#REF!</definedName>
    <definedName name="sch4print" localSheetId="20">#REF!</definedName>
    <definedName name="sch4print" localSheetId="19">#REF!</definedName>
    <definedName name="sch4print" localSheetId="7">#REF!</definedName>
    <definedName name="sch4print">#REF!</definedName>
    <definedName name="sch5_1print" localSheetId="10">#REF!</definedName>
    <definedName name="sch5_1print" localSheetId="18">#REF!</definedName>
    <definedName name="sch5_1print" localSheetId="17">#REF!</definedName>
    <definedName name="sch5_1print" localSheetId="20">#REF!</definedName>
    <definedName name="sch5_1print" localSheetId="19">#REF!</definedName>
    <definedName name="sch5_1print" localSheetId="7">#REF!</definedName>
    <definedName name="sch5_1print">#REF!</definedName>
    <definedName name="sch5_2print" localSheetId="10">#REF!</definedName>
    <definedName name="sch5_2print" localSheetId="18">#REF!</definedName>
    <definedName name="sch5_2print" localSheetId="17">#REF!</definedName>
    <definedName name="sch5_2print" localSheetId="20">#REF!</definedName>
    <definedName name="sch5_2print" localSheetId="19">#REF!</definedName>
    <definedName name="sch5_2print" localSheetId="7">#REF!</definedName>
    <definedName name="sch5_2print">#REF!</definedName>
    <definedName name="sch5_3print" localSheetId="10">#REF!</definedName>
    <definedName name="sch5_3print" localSheetId="18">#REF!</definedName>
    <definedName name="sch5_3print" localSheetId="17">#REF!</definedName>
    <definedName name="sch5_3print" localSheetId="20">#REF!</definedName>
    <definedName name="sch5_3print" localSheetId="19">#REF!</definedName>
    <definedName name="sch5_3print" localSheetId="7">#REF!</definedName>
    <definedName name="sch5_3print">#REF!</definedName>
    <definedName name="sch5_4print" localSheetId="10">#REF!</definedName>
    <definedName name="sch5_4print" localSheetId="18">#REF!</definedName>
    <definedName name="sch5_4print" localSheetId="17">#REF!</definedName>
    <definedName name="sch5_4print" localSheetId="20">#REF!</definedName>
    <definedName name="sch5_4print" localSheetId="19">#REF!</definedName>
    <definedName name="sch5_4print" localSheetId="7">#REF!</definedName>
    <definedName name="sch5_4print">#REF!</definedName>
    <definedName name="sch5_5print" localSheetId="10">#REF!</definedName>
    <definedName name="sch5_5print" localSheetId="18">#REF!</definedName>
    <definedName name="sch5_5print" localSheetId="17">#REF!</definedName>
    <definedName name="sch5_5print" localSheetId="20">#REF!</definedName>
    <definedName name="sch5_5print" localSheetId="19">#REF!</definedName>
    <definedName name="sch5_5print" localSheetId="7">#REF!</definedName>
    <definedName name="sch5_5print">#REF!</definedName>
    <definedName name="sch5print" localSheetId="10">#REF!</definedName>
    <definedName name="sch5print" localSheetId="18">#REF!</definedName>
    <definedName name="sch5print" localSheetId="17">#REF!</definedName>
    <definedName name="sch5print" localSheetId="20">#REF!</definedName>
    <definedName name="sch5print" localSheetId="19">#REF!</definedName>
    <definedName name="sch5print" localSheetId="7">#REF!</definedName>
    <definedName name="sch5print">#REF!</definedName>
    <definedName name="sch6print" localSheetId="10">#REF!</definedName>
    <definedName name="sch6print" localSheetId="18">#REF!</definedName>
    <definedName name="sch6print" localSheetId="17">#REF!</definedName>
    <definedName name="sch6print" localSheetId="20">#REF!</definedName>
    <definedName name="sch6print" localSheetId="19">#REF!</definedName>
    <definedName name="sch6print" localSheetId="7">#REF!</definedName>
    <definedName name="sch6print">#REF!</definedName>
    <definedName name="sch7_1_1print" localSheetId="10">#REF!</definedName>
    <definedName name="sch7_1_1print" localSheetId="18">#REF!</definedName>
    <definedName name="sch7_1_1print" localSheetId="17">#REF!</definedName>
    <definedName name="sch7_1_1print" localSheetId="20">#REF!</definedName>
    <definedName name="sch7_1_1print" localSheetId="19">#REF!</definedName>
    <definedName name="sch7_1_1print" localSheetId="7">#REF!</definedName>
    <definedName name="sch7_1_1print">#REF!</definedName>
    <definedName name="sch7_1_2print" localSheetId="10">#REF!</definedName>
    <definedName name="sch7_1_2print" localSheetId="18">#REF!</definedName>
    <definedName name="sch7_1_2print" localSheetId="17">#REF!</definedName>
    <definedName name="sch7_1_2print" localSheetId="20">#REF!</definedName>
    <definedName name="sch7_1_2print" localSheetId="19">#REF!</definedName>
    <definedName name="sch7_1_2print" localSheetId="7">#REF!</definedName>
    <definedName name="sch7_1_2print">#REF!</definedName>
    <definedName name="sch7_1_3print" localSheetId="10">#REF!</definedName>
    <definedName name="sch7_1_3print" localSheetId="18">#REF!</definedName>
    <definedName name="sch7_1_3print" localSheetId="17">#REF!</definedName>
    <definedName name="sch7_1_3print" localSheetId="20">#REF!</definedName>
    <definedName name="sch7_1_3print" localSheetId="19">#REF!</definedName>
    <definedName name="sch7_1_3print" localSheetId="7">#REF!</definedName>
    <definedName name="sch7_1_3print">#REF!</definedName>
    <definedName name="sch7_1_4print" localSheetId="10">#REF!</definedName>
    <definedName name="sch7_1_4print" localSheetId="18">#REF!</definedName>
    <definedName name="sch7_1_4print" localSheetId="17">#REF!</definedName>
    <definedName name="sch7_1_4print" localSheetId="20">#REF!</definedName>
    <definedName name="sch7_1_4print" localSheetId="19">#REF!</definedName>
    <definedName name="sch7_1_4print" localSheetId="7">#REF!</definedName>
    <definedName name="sch7_1_4print">#REF!</definedName>
    <definedName name="sch7_1_5print" localSheetId="10">#REF!</definedName>
    <definedName name="sch7_1_5print" localSheetId="18">#REF!</definedName>
    <definedName name="sch7_1_5print" localSheetId="17">#REF!</definedName>
    <definedName name="sch7_1_5print" localSheetId="20">#REF!</definedName>
    <definedName name="sch7_1_5print" localSheetId="19">#REF!</definedName>
    <definedName name="sch7_1_5print" localSheetId="7">#REF!</definedName>
    <definedName name="sch7_1_5print">#REF!</definedName>
    <definedName name="sch7_1_6print" localSheetId="10">#REF!</definedName>
    <definedName name="sch7_1_6print" localSheetId="18">#REF!</definedName>
    <definedName name="sch7_1_6print" localSheetId="17">#REF!</definedName>
    <definedName name="sch7_1_6print" localSheetId="20">#REF!</definedName>
    <definedName name="sch7_1_6print" localSheetId="19">#REF!</definedName>
    <definedName name="sch7_1_6print" localSheetId="7">#REF!</definedName>
    <definedName name="sch7_1_6print">#REF!</definedName>
    <definedName name="sch7_1_7print" localSheetId="10">#REF!</definedName>
    <definedName name="sch7_1_7print" localSheetId="18">#REF!</definedName>
    <definedName name="sch7_1_7print" localSheetId="17">#REF!</definedName>
    <definedName name="sch7_1_7print" localSheetId="20">#REF!</definedName>
    <definedName name="sch7_1_7print" localSheetId="19">#REF!</definedName>
    <definedName name="sch7_1_7print" localSheetId="7">#REF!</definedName>
    <definedName name="sch7_1_7print">#REF!</definedName>
    <definedName name="sch7_1print" localSheetId="10">#REF!</definedName>
    <definedName name="sch7_1print" localSheetId="18">#REF!</definedName>
    <definedName name="sch7_1print" localSheetId="17">#REF!</definedName>
    <definedName name="sch7_1print" localSheetId="20">#REF!</definedName>
    <definedName name="sch7_1print" localSheetId="19">#REF!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18">#REF!</definedName>
    <definedName name="sch7_2print" localSheetId="17">#REF!</definedName>
    <definedName name="sch7_2print" localSheetId="20">#REF!</definedName>
    <definedName name="sch7_2print" localSheetId="19">#REF!</definedName>
    <definedName name="sch7_2print" localSheetId="7">#REF!</definedName>
    <definedName name="sch7_2print">#REF!</definedName>
    <definedName name="sch7_3print" localSheetId="10">#REF!</definedName>
    <definedName name="sch7_3print" localSheetId="18">#REF!</definedName>
    <definedName name="sch7_3print" localSheetId="17">#REF!</definedName>
    <definedName name="sch7_3print" localSheetId="20">#REF!</definedName>
    <definedName name="sch7_3print" localSheetId="19">#REF!</definedName>
    <definedName name="sch7_3print" localSheetId="7">#REF!</definedName>
    <definedName name="sch7_3print">#REF!</definedName>
    <definedName name="sch7_4print" localSheetId="10">#REF!</definedName>
    <definedName name="sch7_4print" localSheetId="18">#REF!</definedName>
    <definedName name="sch7_4print" localSheetId="17">#REF!</definedName>
    <definedName name="sch7_4print" localSheetId="20">#REF!</definedName>
    <definedName name="sch7_4print" localSheetId="19">#REF!</definedName>
    <definedName name="sch7_4print" localSheetId="7">#REF!</definedName>
    <definedName name="sch7_4print">#REF!</definedName>
    <definedName name="sch7_5print" localSheetId="10">#REF!</definedName>
    <definedName name="sch7_5print" localSheetId="18">#REF!</definedName>
    <definedName name="sch7_5print" localSheetId="17">#REF!</definedName>
    <definedName name="sch7_5print" localSheetId="20">#REF!</definedName>
    <definedName name="sch7_5print" localSheetId="19">#REF!</definedName>
    <definedName name="sch7_5print" localSheetId="7">#REF!</definedName>
    <definedName name="sch7_5print">#REF!</definedName>
    <definedName name="sch7_6print" localSheetId="10">#REF!</definedName>
    <definedName name="sch7_6print" localSheetId="18">#REF!</definedName>
    <definedName name="sch7_6print" localSheetId="17">#REF!</definedName>
    <definedName name="sch7_6print" localSheetId="20">#REF!</definedName>
    <definedName name="sch7_6print" localSheetId="19">#REF!</definedName>
    <definedName name="sch7_6print" localSheetId="7">#REF!</definedName>
    <definedName name="sch7_6print">#REF!</definedName>
    <definedName name="sch7print" localSheetId="10">#REF!</definedName>
    <definedName name="sch7print" localSheetId="18">#REF!</definedName>
    <definedName name="sch7print" localSheetId="17">#REF!</definedName>
    <definedName name="sch7print" localSheetId="20">#REF!</definedName>
    <definedName name="sch7print" localSheetId="19">#REF!</definedName>
    <definedName name="sch7print" localSheetId="7">#REF!</definedName>
    <definedName name="sch7print">#REF!</definedName>
    <definedName name="sch8print" localSheetId="10">#REF!</definedName>
    <definedName name="sch8print" localSheetId="18">#REF!</definedName>
    <definedName name="sch8print" localSheetId="17">#REF!</definedName>
    <definedName name="sch8print" localSheetId="20">#REF!</definedName>
    <definedName name="sch8print" localSheetId="19">#REF!</definedName>
    <definedName name="sch8print" localSheetId="7">#REF!</definedName>
    <definedName name="sch8print">#REF!</definedName>
    <definedName name="sch9print" localSheetId="10">#REF!</definedName>
    <definedName name="sch9print" localSheetId="18">#REF!</definedName>
    <definedName name="sch9print" localSheetId="17">#REF!</definedName>
    <definedName name="sch9print" localSheetId="20">#REF!</definedName>
    <definedName name="sch9print" localSheetId="19">#REF!</definedName>
    <definedName name="sch9print" localSheetId="7">#REF!</definedName>
    <definedName name="sch9print">#REF!</definedName>
    <definedName name="SewerConflictCost" localSheetId="10">'[7]Meter-Service'!#REF!</definedName>
    <definedName name="SewerConflictCost" localSheetId="18">'[7]Meter-Service'!#REF!</definedName>
    <definedName name="SewerConflictCost" localSheetId="17">'[7]Meter-Service'!#REF!</definedName>
    <definedName name="SewerConflictCost" localSheetId="20">'[7]Meter-Service'!#REF!</definedName>
    <definedName name="SewerConflictCost" localSheetId="19">'[7]Meter-Service'!#REF!</definedName>
    <definedName name="SewerConflictCost" localSheetId="7">'[7]Meter-Service'!#REF!</definedName>
    <definedName name="SewerConflictCost">'[7]Meter-Service'!#REF!</definedName>
    <definedName name="size" localSheetId="10">#REF!</definedName>
    <definedName name="size" localSheetId="18">#REF!</definedName>
    <definedName name="size" localSheetId="17">#REF!</definedName>
    <definedName name="size" localSheetId="20">#REF!</definedName>
    <definedName name="size" localSheetId="19">#REF!</definedName>
    <definedName name="size" localSheetId="7">#REF!</definedName>
    <definedName name="size">#REF!</definedName>
    <definedName name="START" localSheetId="10">#REF!</definedName>
    <definedName name="START" localSheetId="18">#REF!</definedName>
    <definedName name="START" localSheetId="17">#REF!</definedName>
    <definedName name="START" localSheetId="20">#REF!</definedName>
    <definedName name="START" localSheetId="19">#REF!</definedName>
    <definedName name="START" localSheetId="7">#REF!</definedName>
    <definedName name="START">#REF!</definedName>
    <definedName name="sue">#N/A</definedName>
    <definedName name="SumMerchantDel" localSheetId="10">[4]Total!#REF!</definedName>
    <definedName name="SumMerchantDel" localSheetId="18">[4]Total!#REF!</definedName>
    <definedName name="SumMerchantDel" localSheetId="17">[4]Total!#REF!</definedName>
    <definedName name="SumMerchantDel" localSheetId="20">[4]Total!#REF!</definedName>
    <definedName name="SumMerchantDel" localSheetId="19">[4]Total!#REF!</definedName>
    <definedName name="SumMerchantDel" localSheetId="7">[4]Total!#REF!</definedName>
    <definedName name="SumMerchantDel">[4]Total!#REF!</definedName>
    <definedName name="sumunitmerchdelivery" localSheetId="10">'[4]Unit Cost'!#REF!</definedName>
    <definedName name="sumunitmerchdelivery" localSheetId="18">'[4]Unit Cost'!#REF!</definedName>
    <definedName name="sumunitmerchdelivery" localSheetId="17">'[4]Unit Cost'!#REF!</definedName>
    <definedName name="sumunitmerchdelivery" localSheetId="20">'[4]Unit Cost'!#REF!</definedName>
    <definedName name="sumunitmerchdelivery" localSheetId="19">'[4]Unit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18">#REF!</definedName>
    <definedName name="tabCustChg" localSheetId="17">#REF!</definedName>
    <definedName name="tabCustChg" localSheetId="20">#REF!</definedName>
    <definedName name="tabCustChg" localSheetId="19">#REF!</definedName>
    <definedName name="tabCustChg" localSheetId="7">#REF!</definedName>
    <definedName name="tabCustChg">#REF!</definedName>
    <definedName name="tabDelChg" localSheetId="10">#REF!</definedName>
    <definedName name="tabDelChg" localSheetId="18">#REF!</definedName>
    <definedName name="tabDelChg" localSheetId="17">#REF!</definedName>
    <definedName name="tabDelChg" localSheetId="20">#REF!</definedName>
    <definedName name="tabDelChg" localSheetId="19">#REF!</definedName>
    <definedName name="tabDelChg" localSheetId="7">#REF!</definedName>
    <definedName name="tabDelChg">#REF!</definedName>
    <definedName name="TAXBASE" localSheetId="10">#REF!</definedName>
    <definedName name="TAXBASE" localSheetId="18">#REF!</definedName>
    <definedName name="TAXBASE" localSheetId="17">#REF!</definedName>
    <definedName name="TAXBASE" localSheetId="20">#REF!</definedName>
    <definedName name="TAXBASE" localSheetId="19">#REF!</definedName>
    <definedName name="TAXBASE" localSheetId="7">#REF!</definedName>
    <definedName name="TAXBASE">#REF!</definedName>
    <definedName name="TDRATE" localSheetId="10">#REF!</definedName>
    <definedName name="TDRATE" localSheetId="18">#REF!</definedName>
    <definedName name="TDRATE" localSheetId="17">#REF!</definedName>
    <definedName name="TDRATE" localSheetId="20">#REF!</definedName>
    <definedName name="TDRATE" localSheetId="19">#REF!</definedName>
    <definedName name="TDRATE" localSheetId="7">#REF!</definedName>
    <definedName name="TDRATE">#REF!</definedName>
    <definedName name="TEMP" localSheetId="10">#REF!</definedName>
    <definedName name="TEMP" localSheetId="18">#REF!</definedName>
    <definedName name="TEMP" localSheetId="17">#REF!</definedName>
    <definedName name="TEMP" localSheetId="20">#REF!</definedName>
    <definedName name="TEMP" localSheetId="19">#REF!</definedName>
    <definedName name="TEMP" localSheetId="7">#REF!</definedName>
    <definedName name="TEMP">#REF!</definedName>
    <definedName name="Title">[6]Registry!$E$95</definedName>
    <definedName name="TranROR" localSheetId="10">'[4]Unit Cost'!#REF!</definedName>
    <definedName name="TranROR" localSheetId="18">'[4]Unit Cost'!#REF!</definedName>
    <definedName name="TranROR" localSheetId="17">'[4]Unit Cost'!#REF!</definedName>
    <definedName name="TranROR" localSheetId="20">'[4]Unit Cost'!#REF!</definedName>
    <definedName name="TranROR" localSheetId="19">'[4]Unit Cost'!#REF!</definedName>
    <definedName name="TranROR" localSheetId="7">'[4]Unit Cost'!#REF!</definedName>
    <definedName name="TranROR">'[4]Unit Cost'!#REF!</definedName>
    <definedName name="TXADJST1" localSheetId="10">#REF!</definedName>
    <definedName name="TXADJST1" localSheetId="18">#REF!</definedName>
    <definedName name="TXADJST1" localSheetId="17">#REF!</definedName>
    <definedName name="TXADJST1" localSheetId="20">#REF!</definedName>
    <definedName name="TXADJST1" localSheetId="19">#REF!</definedName>
    <definedName name="TXADJST1" localSheetId="7">#REF!</definedName>
    <definedName name="TXADJST1">#REF!</definedName>
    <definedName name="TXLIFE" localSheetId="10">#REF!</definedName>
    <definedName name="TXLIFE" localSheetId="18">#REF!</definedName>
    <definedName name="TXLIFE" localSheetId="17">#REF!</definedName>
    <definedName name="TXLIFE" localSheetId="20">#REF!</definedName>
    <definedName name="TXLIFE" localSheetId="19">#REF!</definedName>
    <definedName name="TXLIFE" localSheetId="7">#REF!</definedName>
    <definedName name="TXLIFE">#REF!</definedName>
    <definedName name="TYDESC">[3]A!$A$3</definedName>
    <definedName name="Types" localSheetId="10">#REF!</definedName>
    <definedName name="Types" localSheetId="18">#REF!</definedName>
    <definedName name="Types" localSheetId="17">#REF!</definedName>
    <definedName name="Types" localSheetId="20">#REF!</definedName>
    <definedName name="Types" localSheetId="19">#REF!</definedName>
    <definedName name="Types" localSheetId="7">#REF!</definedName>
    <definedName name="Types">#REF!</definedName>
    <definedName name="UNITCOST" localSheetId="10">#REF!</definedName>
    <definedName name="UNITCOST" localSheetId="18">#REF!</definedName>
    <definedName name="UNITCOST" localSheetId="17">#REF!</definedName>
    <definedName name="UNITCOST" localSheetId="20">#REF!</definedName>
    <definedName name="UNITCOST" localSheetId="19">#REF!</definedName>
    <definedName name="UNITCOST" localSheetId="7">#REF!</definedName>
    <definedName name="UNITCOST">#REF!</definedName>
    <definedName name="UNITRATE_EXP" localSheetId="10">'[4]Unit Cost'!#REF!</definedName>
    <definedName name="UNITRATE_EXP" localSheetId="18">'[4]Unit Cost'!#REF!</definedName>
    <definedName name="UNITRATE_EXP" localSheetId="17">'[4]Unit Cost'!#REF!</definedName>
    <definedName name="UNITRATE_EXP" localSheetId="20">'[4]Unit Cost'!#REF!</definedName>
    <definedName name="UNITRATE_EXP" localSheetId="19">'[4]Unit Cost'!#REF!</definedName>
    <definedName name="UNITRATE_EXP" localSheetId="7">'[4]Unit Cost'!#REF!</definedName>
    <definedName name="UNITRATE_EXP">'[4]Unit Cost'!#REF!</definedName>
    <definedName name="Version" localSheetId="10">#REF!</definedName>
    <definedName name="Version" localSheetId="18">#REF!</definedName>
    <definedName name="Version" localSheetId="17">#REF!</definedName>
    <definedName name="Version" localSheetId="20">#REF!</definedName>
    <definedName name="Version" localSheetId="19">#REF!</definedName>
    <definedName name="Version" localSheetId="7">#REF!</definedName>
    <definedName name="Version">#REF!</definedName>
    <definedName name="Winter" localSheetId="10">'[7]Meter-Service'!#REF!</definedName>
    <definedName name="Winter" localSheetId="18">'[7]Meter-Service'!#REF!</definedName>
    <definedName name="Winter" localSheetId="17">'[7]Meter-Service'!#REF!</definedName>
    <definedName name="Winter" localSheetId="20">'[7]Meter-Service'!#REF!</definedName>
    <definedName name="Winter" localSheetId="19">'[7]Meter-Service'!#REF!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18">#REF!</definedName>
    <definedName name="WTD_COST_PCT" localSheetId="17">#REF!</definedName>
    <definedName name="WTD_COST_PCT" localSheetId="20">#REF!</definedName>
    <definedName name="WTD_COST_PCT" localSheetId="19">#REF!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Yr1'!$AN:$AO</definedName>
    <definedName name="Z_37B35166_7378_4B00_BB4E_9E442A0D870E_.wvu.Cols" localSheetId="10" hidden="1">'Combined Items Proof Yr2'!$AN:$AO</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18" hidden="1">'Exh. RJW-3 Combined'!$A$1:$Z$53</definedName>
    <definedName name="Z_37B35166_7378_4B00_BB4E_9E442A0D870E_.wvu.PrintArea" localSheetId="17" hidden="1">'Exh. RJW-3 RR'!$A$1:$L$49</definedName>
    <definedName name="Z_37B35166_7378_4B00_BB4E_9E442A0D870E_.wvu.PrintArea" localSheetId="15" hidden="1">'Rate Impacts - COMBINED'!$A$2:$Y$52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Yr1'!$AN:$AO</definedName>
    <definedName name="Z_80646397_1CEF_4A79_B348_594AB32B8020_.wvu.Cols" localSheetId="10" hidden="1">'Combined Items Proof Yr2'!$AN:$AO</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18" hidden="1">'Exh. RJW-3 Combined'!$A$1:$Z$53</definedName>
    <definedName name="Z_80646397_1CEF_4A79_B348_594AB32B8020_.wvu.PrintArea" localSheetId="17" hidden="1">'Exh. RJW-3 RR'!$A$1:$L$49</definedName>
    <definedName name="Z_80646397_1CEF_4A79_B348_594AB32B8020_.wvu.PrintArea" localSheetId="15" hidden="1">'Rate Impacts - COMBINED'!$A$2:$Y$52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workbook>
</file>

<file path=xl/calcChain.xml><?xml version="1.0" encoding="utf-8"?>
<calcChain xmlns="http://schemas.openxmlformats.org/spreadsheetml/2006/main">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D28" i="2"/>
  <c r="D21" i="2"/>
  <c r="P8" i="11" l="1"/>
  <c r="K8" i="11"/>
  <c r="H8" i="7"/>
  <c r="K9" i="7"/>
  <c r="G8" i="7"/>
  <c r="AX9" i="17" l="1"/>
  <c r="N25" i="10"/>
  <c r="J25" i="10"/>
  <c r="M78" i="23" l="1"/>
  <c r="L78" i="23"/>
  <c r="K78" i="23"/>
  <c r="J78" i="23"/>
  <c r="H78" i="23"/>
  <c r="F78" i="23"/>
  <c r="C78" i="23"/>
  <c r="M77" i="23"/>
  <c r="L77" i="23"/>
  <c r="K77" i="23"/>
  <c r="J77" i="23"/>
  <c r="H77" i="23"/>
  <c r="G77" i="23"/>
  <c r="F77" i="23"/>
  <c r="C77" i="23"/>
  <c r="M76" i="23"/>
  <c r="L76" i="23"/>
  <c r="K76" i="23"/>
  <c r="J76" i="23"/>
  <c r="H76" i="23"/>
  <c r="G76" i="23"/>
  <c r="F76" i="23"/>
  <c r="C76" i="23"/>
  <c r="M75" i="23"/>
  <c r="L75" i="23"/>
  <c r="K75" i="23"/>
  <c r="J75" i="23"/>
  <c r="F75" i="23"/>
  <c r="M74" i="23"/>
  <c r="L74" i="23"/>
  <c r="K74" i="23"/>
  <c r="J74" i="23"/>
  <c r="F74" i="23"/>
  <c r="M73" i="23"/>
  <c r="L73" i="23"/>
  <c r="K73" i="23"/>
  <c r="J73" i="23"/>
  <c r="F73" i="23"/>
  <c r="M72" i="23"/>
  <c r="L72" i="23"/>
  <c r="K72" i="23"/>
  <c r="J72" i="23"/>
  <c r="F72" i="23"/>
  <c r="M71" i="23"/>
  <c r="L71" i="23"/>
  <c r="K71" i="23"/>
  <c r="J71" i="23"/>
  <c r="F71" i="23"/>
  <c r="M70" i="23"/>
  <c r="L70" i="23"/>
  <c r="K70" i="23"/>
  <c r="J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N65" i="23" s="1"/>
  <c r="F65" i="23"/>
  <c r="M64" i="23"/>
  <c r="L64" i="23"/>
  <c r="K64" i="23"/>
  <c r="J64" i="23"/>
  <c r="H64" i="23"/>
  <c r="G64" i="23"/>
  <c r="F64" i="23"/>
  <c r="C64" i="23"/>
  <c r="M63" i="23"/>
  <c r="L63" i="23"/>
  <c r="K63" i="23"/>
  <c r="J63" i="23"/>
  <c r="F63" i="23"/>
  <c r="M62" i="23"/>
  <c r="L62" i="23"/>
  <c r="K62" i="23"/>
  <c r="J62" i="23"/>
  <c r="F62" i="23"/>
  <c r="M61" i="23"/>
  <c r="L61" i="23"/>
  <c r="K61" i="23"/>
  <c r="J61" i="23"/>
  <c r="F61" i="23"/>
  <c r="M60" i="23"/>
  <c r="L60" i="23"/>
  <c r="K60" i="23"/>
  <c r="J60" i="23"/>
  <c r="F60" i="23"/>
  <c r="M59" i="23"/>
  <c r="L59" i="23"/>
  <c r="K59" i="23"/>
  <c r="J59" i="23"/>
  <c r="F59" i="23"/>
  <c r="M58" i="23"/>
  <c r="L58" i="23"/>
  <c r="K58" i="23"/>
  <c r="J58" i="23"/>
  <c r="I58" i="23"/>
  <c r="H58" i="23"/>
  <c r="F58" i="23"/>
  <c r="C58" i="23"/>
  <c r="M57" i="23"/>
  <c r="L57" i="23"/>
  <c r="K57" i="23"/>
  <c r="J57" i="23"/>
  <c r="F57" i="23"/>
  <c r="M56" i="23"/>
  <c r="L56" i="23"/>
  <c r="K56" i="23"/>
  <c r="J56" i="23"/>
  <c r="F56" i="23"/>
  <c r="M55" i="23"/>
  <c r="L55" i="23"/>
  <c r="K55" i="23"/>
  <c r="J55" i="23"/>
  <c r="N55" i="23" s="1"/>
  <c r="F55" i="23"/>
  <c r="M54" i="23"/>
  <c r="L54" i="23"/>
  <c r="K54" i="23"/>
  <c r="J54" i="23"/>
  <c r="F54" i="23"/>
  <c r="M53" i="23"/>
  <c r="L53" i="23"/>
  <c r="K53" i="23"/>
  <c r="J53" i="23"/>
  <c r="F53" i="23"/>
  <c r="M52" i="23"/>
  <c r="L52" i="23"/>
  <c r="K52" i="23"/>
  <c r="J52" i="23"/>
  <c r="H52" i="23"/>
  <c r="F52" i="23"/>
  <c r="C52" i="23"/>
  <c r="M51" i="23"/>
  <c r="L51" i="23"/>
  <c r="K51" i="23"/>
  <c r="J51" i="23"/>
  <c r="F51" i="23"/>
  <c r="M50" i="23"/>
  <c r="L50" i="23"/>
  <c r="K50" i="23"/>
  <c r="J50" i="23"/>
  <c r="F50" i="23"/>
  <c r="M49" i="23"/>
  <c r="L49" i="23"/>
  <c r="K49" i="23"/>
  <c r="J49" i="23"/>
  <c r="N49" i="23" s="1"/>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N43" i="23" s="1"/>
  <c r="F43" i="23"/>
  <c r="M42" i="23"/>
  <c r="L42" i="23"/>
  <c r="K42" i="23"/>
  <c r="J42" i="23"/>
  <c r="F42" i="23"/>
  <c r="M41" i="23"/>
  <c r="L41" i="23"/>
  <c r="K41" i="23"/>
  <c r="J41" i="23"/>
  <c r="F41" i="23"/>
  <c r="M40" i="23"/>
  <c r="L40" i="23"/>
  <c r="K40" i="23"/>
  <c r="J40" i="23"/>
  <c r="H40" i="23"/>
  <c r="F40" i="23"/>
  <c r="C40" i="23"/>
  <c r="M39" i="23"/>
  <c r="L39" i="23"/>
  <c r="K39" i="23"/>
  <c r="J39" i="23"/>
  <c r="F39" i="23"/>
  <c r="M38" i="23"/>
  <c r="L38" i="23"/>
  <c r="K38" i="23"/>
  <c r="J38" i="23"/>
  <c r="F38" i="23"/>
  <c r="M37" i="23"/>
  <c r="L37" i="23"/>
  <c r="K37" i="23"/>
  <c r="J37" i="23"/>
  <c r="F37" i="23"/>
  <c r="M36" i="23"/>
  <c r="L36" i="23"/>
  <c r="K36" i="23"/>
  <c r="J36" i="23"/>
  <c r="F36" i="23"/>
  <c r="M35" i="23"/>
  <c r="L35" i="23"/>
  <c r="K35" i="23"/>
  <c r="J35" i="23"/>
  <c r="F35" i="23"/>
  <c r="M34" i="23"/>
  <c r="L34" i="23"/>
  <c r="K34" i="23"/>
  <c r="J34" i="23"/>
  <c r="N34" i="23" s="1"/>
  <c r="H34" i="23"/>
  <c r="F34" i="23"/>
  <c r="C34" i="23"/>
  <c r="M33" i="23"/>
  <c r="L33" i="23"/>
  <c r="K33" i="23"/>
  <c r="J33" i="23"/>
  <c r="F33" i="23"/>
  <c r="M32" i="23"/>
  <c r="L32" i="23"/>
  <c r="K32" i="23"/>
  <c r="J32" i="23"/>
  <c r="F32" i="23"/>
  <c r="M31" i="23"/>
  <c r="L31" i="23"/>
  <c r="K31" i="23"/>
  <c r="J31" i="23"/>
  <c r="F31" i="23"/>
  <c r="M30" i="23"/>
  <c r="L30" i="23"/>
  <c r="K30" i="23"/>
  <c r="J30" i="23"/>
  <c r="F30" i="23"/>
  <c r="M29" i="23"/>
  <c r="L29" i="23"/>
  <c r="K29" i="23"/>
  <c r="J29" i="23"/>
  <c r="F29" i="23"/>
  <c r="M28" i="23"/>
  <c r="L28" i="23"/>
  <c r="K28" i="23"/>
  <c r="J28" i="23"/>
  <c r="H28" i="23"/>
  <c r="G28" i="23"/>
  <c r="F28" i="23"/>
  <c r="C28" i="23"/>
  <c r="M27" i="23"/>
  <c r="L27" i="23"/>
  <c r="K27" i="23"/>
  <c r="J27" i="23"/>
  <c r="F27" i="23"/>
  <c r="M26" i="23"/>
  <c r="L26" i="23"/>
  <c r="K26" i="23"/>
  <c r="J26" i="23"/>
  <c r="H26" i="23"/>
  <c r="G26" i="23"/>
  <c r="F26" i="23"/>
  <c r="C26" i="23"/>
  <c r="M25" i="23"/>
  <c r="L25" i="23"/>
  <c r="K25" i="23"/>
  <c r="J25" i="23"/>
  <c r="F25" i="23"/>
  <c r="M24" i="23"/>
  <c r="L24" i="23"/>
  <c r="K24" i="23"/>
  <c r="J24" i="23"/>
  <c r="H24" i="23"/>
  <c r="F24" i="23"/>
  <c r="C24" i="23"/>
  <c r="M23" i="23"/>
  <c r="L23" i="23"/>
  <c r="K23" i="23"/>
  <c r="J23" i="23"/>
  <c r="F23" i="23"/>
  <c r="M22" i="23"/>
  <c r="L22" i="23"/>
  <c r="K22" i="23"/>
  <c r="J22" i="23"/>
  <c r="H22" i="23"/>
  <c r="G22" i="23"/>
  <c r="F22" i="23"/>
  <c r="C22" i="23"/>
  <c r="M21" i="23"/>
  <c r="L21" i="23"/>
  <c r="K21" i="23"/>
  <c r="J21" i="23"/>
  <c r="F21" i="23"/>
  <c r="M20" i="23"/>
  <c r="L20" i="23"/>
  <c r="K20" i="23"/>
  <c r="J20" i="23"/>
  <c r="H20" i="23"/>
  <c r="G20" i="23"/>
  <c r="F20" i="23"/>
  <c r="C20" i="23"/>
  <c r="M19" i="23"/>
  <c r="L19" i="23"/>
  <c r="K19" i="23"/>
  <c r="J19" i="23"/>
  <c r="F19" i="23"/>
  <c r="M18" i="23"/>
  <c r="L18" i="23"/>
  <c r="K18" i="23"/>
  <c r="J18" i="23"/>
  <c r="N18" i="23" s="1"/>
  <c r="H18" i="23"/>
  <c r="F18" i="23"/>
  <c r="C18" i="23"/>
  <c r="M17" i="23"/>
  <c r="L17" i="23"/>
  <c r="K17" i="23"/>
  <c r="J17" i="23"/>
  <c r="F17" i="23"/>
  <c r="M16" i="23"/>
  <c r="L16" i="23"/>
  <c r="K16" i="23"/>
  <c r="J16" i="23"/>
  <c r="H16" i="23"/>
  <c r="G16" i="23"/>
  <c r="F16" i="23"/>
  <c r="C16" i="23"/>
  <c r="M15" i="23"/>
  <c r="L15" i="23"/>
  <c r="K15" i="23"/>
  <c r="J15" i="23"/>
  <c r="H15" i="23"/>
  <c r="G15" i="23"/>
  <c r="F15" i="23"/>
  <c r="C15" i="23"/>
  <c r="M14" i="23"/>
  <c r="L14" i="23"/>
  <c r="K14" i="23"/>
  <c r="J14" i="23"/>
  <c r="H14" i="23"/>
  <c r="F14" i="23"/>
  <c r="C14" i="23"/>
  <c r="M13" i="23"/>
  <c r="L13" i="23"/>
  <c r="K13" i="23"/>
  <c r="J13" i="23"/>
  <c r="H13" i="23"/>
  <c r="G13" i="23"/>
  <c r="F13" i="23"/>
  <c r="C13" i="23"/>
  <c r="M12" i="23"/>
  <c r="L12" i="23"/>
  <c r="K12" i="23"/>
  <c r="J12" i="23"/>
  <c r="H12" i="23"/>
  <c r="G12" i="23"/>
  <c r="F12" i="23"/>
  <c r="C12" i="23"/>
  <c r="M11" i="23"/>
  <c r="L11" i="23"/>
  <c r="K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M75" i="22"/>
  <c r="L75" i="22"/>
  <c r="K75" i="22"/>
  <c r="J75" i="22"/>
  <c r="F75" i="22"/>
  <c r="M74" i="22"/>
  <c r="L74" i="22"/>
  <c r="K74" i="22"/>
  <c r="J74" i="22"/>
  <c r="F74" i="22"/>
  <c r="M73" i="22"/>
  <c r="L73" i="22"/>
  <c r="K73" i="22"/>
  <c r="J73" i="22"/>
  <c r="F73" i="22"/>
  <c r="M72" i="22"/>
  <c r="L72" i="22"/>
  <c r="K72" i="22"/>
  <c r="J72" i="22"/>
  <c r="F72" i="22"/>
  <c r="M71" i="22"/>
  <c r="L71" i="22"/>
  <c r="K71" i="22"/>
  <c r="J71" i="22"/>
  <c r="F71" i="22"/>
  <c r="M70" i="22"/>
  <c r="L70" i="22"/>
  <c r="K70" i="22"/>
  <c r="J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L63" i="22"/>
  <c r="K63" i="22"/>
  <c r="J63" i="22"/>
  <c r="F63" i="22"/>
  <c r="M62" i="22"/>
  <c r="L62" i="22"/>
  <c r="K62" i="22"/>
  <c r="J62" i="22"/>
  <c r="F62" i="22"/>
  <c r="M61" i="22"/>
  <c r="L61" i="22"/>
  <c r="K61" i="22"/>
  <c r="J61" i="22"/>
  <c r="F61" i="22"/>
  <c r="M60" i="22"/>
  <c r="L60" i="22"/>
  <c r="K60" i="22"/>
  <c r="J60" i="22"/>
  <c r="F60" i="22"/>
  <c r="M59" i="22"/>
  <c r="L59" i="22"/>
  <c r="K59" i="22"/>
  <c r="J59" i="22"/>
  <c r="F59" i="22"/>
  <c r="M58" i="22"/>
  <c r="L58" i="22"/>
  <c r="K58" i="22"/>
  <c r="J58" i="22"/>
  <c r="I58" i="22"/>
  <c r="H58" i="22"/>
  <c r="F58" i="22"/>
  <c r="C58" i="22"/>
  <c r="M57" i="22"/>
  <c r="L57" i="22"/>
  <c r="K57" i="22"/>
  <c r="J57" i="22"/>
  <c r="F57" i="22"/>
  <c r="M56" i="22"/>
  <c r="L56" i="22"/>
  <c r="K56" i="22"/>
  <c r="J56" i="22"/>
  <c r="F56" i="22"/>
  <c r="M55" i="22"/>
  <c r="L55" i="22"/>
  <c r="K55" i="22"/>
  <c r="J55" i="22"/>
  <c r="F55" i="22"/>
  <c r="M54" i="22"/>
  <c r="L54" i="22"/>
  <c r="K54" i="22"/>
  <c r="J54" i="22"/>
  <c r="F54" i="22"/>
  <c r="M53" i="22"/>
  <c r="L53" i="22"/>
  <c r="K53" i="22"/>
  <c r="J53" i="22"/>
  <c r="F53" i="22"/>
  <c r="M52" i="22"/>
  <c r="L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L39" i="22"/>
  <c r="K39" i="22"/>
  <c r="J39" i="22"/>
  <c r="F39" i="22"/>
  <c r="M38" i="22"/>
  <c r="L38" i="22"/>
  <c r="K38" i="22"/>
  <c r="J38" i="22"/>
  <c r="F38" i="22"/>
  <c r="M37" i="22"/>
  <c r="L37" i="22"/>
  <c r="K37" i="22"/>
  <c r="J37" i="22"/>
  <c r="F37" i="22"/>
  <c r="M36" i="22"/>
  <c r="L36" i="22"/>
  <c r="K36" i="22"/>
  <c r="J36" i="22"/>
  <c r="F36" i="22"/>
  <c r="M35" i="22"/>
  <c r="L35" i="22"/>
  <c r="K35" i="22"/>
  <c r="J35" i="22"/>
  <c r="F35" i="22"/>
  <c r="M34" i="22"/>
  <c r="L34" i="22"/>
  <c r="K34" i="22"/>
  <c r="J34" i="22"/>
  <c r="H34" i="22"/>
  <c r="F34" i="22"/>
  <c r="C34" i="22"/>
  <c r="M33" i="22"/>
  <c r="L33" i="22"/>
  <c r="K33" i="22"/>
  <c r="J33" i="22"/>
  <c r="F33" i="22"/>
  <c r="M32" i="22"/>
  <c r="L32" i="22"/>
  <c r="K32" i="22"/>
  <c r="J32" i="22"/>
  <c r="F32" i="22"/>
  <c r="M31" i="22"/>
  <c r="L31" i="22"/>
  <c r="K31" i="22"/>
  <c r="J31" i="22"/>
  <c r="F31" i="22"/>
  <c r="M30" i="22"/>
  <c r="L30" i="22"/>
  <c r="K30" i="22"/>
  <c r="J30" i="22"/>
  <c r="F30" i="22"/>
  <c r="M29" i="22"/>
  <c r="L29" i="22"/>
  <c r="K29" i="22"/>
  <c r="J29" i="22"/>
  <c r="F29" i="22"/>
  <c r="M28" i="22"/>
  <c r="L28" i="22"/>
  <c r="K28" i="22"/>
  <c r="J28" i="22"/>
  <c r="H28" i="22"/>
  <c r="G28" i="22"/>
  <c r="F28" i="22"/>
  <c r="C28" i="22"/>
  <c r="M27" i="22"/>
  <c r="L27" i="22"/>
  <c r="K27" i="22"/>
  <c r="J27" i="22"/>
  <c r="F27" i="22"/>
  <c r="M26" i="22"/>
  <c r="L26" i="22"/>
  <c r="K26" i="22"/>
  <c r="J26" i="22"/>
  <c r="H26" i="22"/>
  <c r="G26" i="22"/>
  <c r="F26" i="22"/>
  <c r="C26" i="22"/>
  <c r="M25" i="22"/>
  <c r="L25" i="22"/>
  <c r="K25" i="22"/>
  <c r="J25" i="22"/>
  <c r="F25" i="22"/>
  <c r="M24" i="22"/>
  <c r="L24" i="22"/>
  <c r="K24" i="22"/>
  <c r="J24" i="22"/>
  <c r="H24" i="22"/>
  <c r="F24" i="22"/>
  <c r="C24" i="22"/>
  <c r="M23" i="22"/>
  <c r="L23" i="22"/>
  <c r="K23" i="22"/>
  <c r="J23" i="22"/>
  <c r="F23" i="22"/>
  <c r="M22" i="22"/>
  <c r="L22" i="22"/>
  <c r="K22" i="22"/>
  <c r="J22" i="22"/>
  <c r="H22" i="22"/>
  <c r="G22" i="22"/>
  <c r="F22" i="22"/>
  <c r="C22" i="22"/>
  <c r="M21" i="22"/>
  <c r="L21" i="22"/>
  <c r="K21" i="22"/>
  <c r="J21" i="22"/>
  <c r="F21" i="22"/>
  <c r="M20" i="22"/>
  <c r="L20" i="22"/>
  <c r="K20" i="22"/>
  <c r="J20" i="22"/>
  <c r="H20" i="22"/>
  <c r="G20" i="22"/>
  <c r="F20" i="22"/>
  <c r="C20" i="22"/>
  <c r="M19" i="22"/>
  <c r="L19" i="22"/>
  <c r="K19" i="22"/>
  <c r="J19" i="22"/>
  <c r="F19" i="22"/>
  <c r="M18" i="22"/>
  <c r="L18" i="22"/>
  <c r="K18" i="22"/>
  <c r="J18" i="22"/>
  <c r="H18" i="22"/>
  <c r="F18" i="22"/>
  <c r="C18" i="22"/>
  <c r="M17" i="22"/>
  <c r="L17" i="22"/>
  <c r="K17" i="22"/>
  <c r="J17" i="22"/>
  <c r="F17" i="22"/>
  <c r="M16" i="22"/>
  <c r="L16" i="22"/>
  <c r="K16" i="22"/>
  <c r="J16" i="22"/>
  <c r="H16" i="22"/>
  <c r="G16" i="22"/>
  <c r="F16" i="22"/>
  <c r="C16" i="22"/>
  <c r="M15" i="22"/>
  <c r="L15" i="22"/>
  <c r="K15" i="22"/>
  <c r="J15" i="22"/>
  <c r="H15" i="22"/>
  <c r="G15" i="22"/>
  <c r="F15" i="22"/>
  <c r="C15" i="22"/>
  <c r="M14" i="22"/>
  <c r="L14" i="22"/>
  <c r="K14" i="22"/>
  <c r="J14" i="22"/>
  <c r="H14" i="22"/>
  <c r="F14" i="22"/>
  <c r="C14" i="22"/>
  <c r="M13" i="22"/>
  <c r="L13" i="22"/>
  <c r="K13" i="22"/>
  <c r="J13" i="22"/>
  <c r="H13" i="22"/>
  <c r="G13" i="22"/>
  <c r="F13" i="22"/>
  <c r="C13" i="22"/>
  <c r="M12" i="22"/>
  <c r="L12" i="22"/>
  <c r="K12" i="22"/>
  <c r="J12" i="22"/>
  <c r="H12" i="22"/>
  <c r="G12" i="22"/>
  <c r="F12" i="22"/>
  <c r="C12" i="22"/>
  <c r="M11" i="22"/>
  <c r="L11" i="22"/>
  <c r="K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39" i="23" l="1"/>
  <c r="N61" i="23"/>
  <c r="N22" i="23"/>
  <c r="N36" i="23"/>
  <c r="N42" i="23"/>
  <c r="N45" i="23"/>
  <c r="N51" i="23"/>
  <c r="N57" i="23"/>
  <c r="N14" i="23"/>
  <c r="N15" i="23"/>
  <c r="N16" i="23"/>
  <c r="N32" i="23"/>
  <c r="N38" i="23"/>
  <c r="N29" i="23"/>
  <c r="N44" i="23"/>
  <c r="N75" i="23"/>
  <c r="N77" i="23"/>
  <c r="N24" i="23"/>
  <c r="N23" i="23"/>
  <c r="N59" i="23"/>
  <c r="N21" i="23"/>
  <c r="N48" i="23"/>
  <c r="N52" i="23"/>
  <c r="N68" i="23"/>
  <c r="N72" i="23"/>
  <c r="N74" i="23"/>
  <c r="N76" i="23"/>
  <c r="N40" i="23"/>
  <c r="N46" i="23"/>
  <c r="N62" i="23"/>
  <c r="N66" i="23"/>
  <c r="N70" i="23"/>
  <c r="N26" i="23"/>
  <c r="N30" i="23"/>
  <c r="N53" i="23"/>
  <c r="N69" i="23"/>
  <c r="N13" i="23"/>
  <c r="N17" i="23"/>
  <c r="N25" i="23"/>
  <c r="N33" i="23"/>
  <c r="N37" i="23"/>
  <c r="N56" i="23"/>
  <c r="N60" i="23"/>
  <c r="N12" i="23"/>
  <c r="N20" i="23"/>
  <c r="N28" i="23"/>
  <c r="N41" i="23"/>
  <c r="N47" i="23"/>
  <c r="N63" i="23"/>
  <c r="N64" i="23"/>
  <c r="N67" i="23"/>
  <c r="N71" i="23"/>
  <c r="N73" i="23"/>
  <c r="N10" i="23"/>
  <c r="N11" i="23"/>
  <c r="N19" i="23"/>
  <c r="N27" i="23"/>
  <c r="N31" i="23"/>
  <c r="N35" i="23"/>
  <c r="N50" i="23"/>
  <c r="N54" i="23"/>
  <c r="N58" i="23"/>
  <c r="N78" i="23"/>
  <c r="N13" i="22"/>
  <c r="N59" i="22"/>
  <c r="N75" i="22"/>
  <c r="N25" i="22"/>
  <c r="N15" i="22"/>
  <c r="N50" i="22"/>
  <c r="N54" i="22"/>
  <c r="N57" i="22"/>
  <c r="N61" i="22"/>
  <c r="N47" i="22"/>
  <c r="N58" i="22"/>
  <c r="N22" i="22"/>
  <c r="N45" i="22"/>
  <c r="N49" i="22"/>
  <c r="N69" i="22"/>
  <c r="N18" i="22"/>
  <c r="N28" i="22"/>
  <c r="N53" i="22"/>
  <c r="N76" i="22"/>
  <c r="N23" i="22"/>
  <c r="N30" i="22"/>
  <c r="N41" i="22"/>
  <c r="N46" i="22"/>
  <c r="N10" i="22"/>
  <c r="N51" i="22"/>
  <c r="N60" i="22"/>
  <c r="N78" i="22"/>
  <c r="N55" i="22"/>
  <c r="N11" i="22"/>
  <c r="N19" i="22"/>
  <c r="N40" i="22"/>
  <c r="N42" i="22"/>
  <c r="N43" i="22"/>
  <c r="N62" i="22"/>
  <c r="N77" i="22"/>
  <c r="N33" i="22"/>
  <c r="N56" i="22"/>
  <c r="N74" i="22"/>
  <c r="N14" i="22"/>
  <c r="N26" i="22"/>
  <c r="N17" i="22"/>
  <c r="N20" i="22"/>
  <c r="N29" i="22"/>
  <c r="N31" i="22"/>
  <c r="N34" i="22"/>
  <c r="N35" i="22"/>
  <c r="N36" i="22"/>
  <c r="N39" i="22"/>
  <c r="N65" i="22"/>
  <c r="N12" i="22"/>
  <c r="N21" i="22"/>
  <c r="N27" i="22"/>
  <c r="N64" i="22"/>
  <c r="N70" i="22"/>
  <c r="N73" i="22"/>
  <c r="N68" i="22"/>
  <c r="N72" i="22"/>
  <c r="N16" i="22"/>
  <c r="N24" i="22"/>
  <c r="N32" i="22"/>
  <c r="N38" i="22"/>
  <c r="N44" i="22"/>
  <c r="N48" i="22"/>
  <c r="N66" i="22"/>
  <c r="N37" i="22"/>
  <c r="N52" i="22"/>
  <c r="N71" i="22"/>
  <c r="N63" i="22"/>
  <c r="N67" i="22"/>
  <c r="BC65" i="12" l="1"/>
  <c r="Y23" i="1"/>
  <c r="AL54" i="14" s="1"/>
  <c r="AL65" i="14" s="1"/>
  <c r="Y22" i="1"/>
  <c r="AL53" i="14" s="1"/>
  <c r="Y15" i="1"/>
  <c r="AL64" i="14" l="1"/>
  <c r="A18" i="12"/>
  <c r="AV87" i="12" l="1"/>
  <c r="AQ10" i="12" l="1"/>
  <c r="AR10" i="12" s="1"/>
  <c r="AQ9" i="12"/>
  <c r="AR9" i="12" s="1"/>
  <c r="AP9" i="12"/>
  <c r="AD10" i="12"/>
  <c r="AE10" i="12" s="1"/>
  <c r="AC9" i="12"/>
  <c r="AD9" i="12" s="1"/>
  <c r="AE9" i="12" s="1"/>
  <c r="AA10" i="12"/>
  <c r="AB10" i="12" s="1"/>
  <c r="AA9" i="12"/>
  <c r="AB9" i="12" s="1"/>
  <c r="Z9" i="12"/>
  <c r="X10" i="12"/>
  <c r="Y10" i="12" s="1"/>
  <c r="X9" i="12"/>
  <c r="Y9" i="12" s="1"/>
  <c r="W9" i="12"/>
  <c r="H83" i="1" l="1"/>
  <c r="H57" i="1"/>
  <c r="H51" i="1"/>
  <c r="H45" i="1"/>
  <c r="H39" i="1"/>
  <c r="H29" i="1"/>
  <c r="H23" i="1"/>
  <c r="H19" i="1"/>
  <c r="I102" i="1"/>
  <c r="H75" i="1" s="1"/>
  <c r="I100" i="1"/>
  <c r="H63" i="1" s="1"/>
  <c r="G58" i="23" l="1"/>
  <c r="G58" i="22"/>
  <c r="G70" i="22"/>
  <c r="G70" i="23"/>
  <c r="G78" i="23"/>
  <c r="G78" i="22"/>
  <c r="G24" i="23"/>
  <c r="G24" i="22"/>
  <c r="Y26" i="1"/>
  <c r="AL57" i="14" s="1"/>
  <c r="AL68" i="14" s="1"/>
  <c r="Y16" i="1"/>
  <c r="G34" i="23"/>
  <c r="G34" i="22"/>
  <c r="G40" i="22"/>
  <c r="G40" i="23"/>
  <c r="G46" i="22"/>
  <c r="G46" i="23"/>
  <c r="G52" i="23"/>
  <c r="G52" i="22"/>
  <c r="Y25" i="1"/>
  <c r="AL56" i="14" s="1"/>
  <c r="AL67" i="14" s="1"/>
  <c r="G18" i="23"/>
  <c r="G18" i="22"/>
  <c r="G14" i="23"/>
  <c r="G14" i="22"/>
  <c r="Y24" i="1"/>
  <c r="Y17" i="1"/>
  <c r="B96" i="19"/>
  <c r="B95" i="19"/>
  <c r="B94" i="19"/>
  <c r="AS93" i="19"/>
  <c r="AR93" i="19"/>
  <c r="AH93" i="19"/>
  <c r="AG93" i="19"/>
  <c r="AL92" i="19"/>
  <c r="AD92" i="19"/>
  <c r="AC92" i="19"/>
  <c r="AK92" i="19" s="1"/>
  <c r="Z92" i="19"/>
  <c r="Y92" i="19"/>
  <c r="AD91" i="19"/>
  <c r="AL91" i="19" s="1"/>
  <c r="AC91" i="19"/>
  <c r="AK91" i="19" s="1"/>
  <c r="Z91" i="19"/>
  <c r="Y91" i="19"/>
  <c r="AK90" i="19"/>
  <c r="AD90" i="19"/>
  <c r="AL90" i="19" s="1"/>
  <c r="AC90" i="19"/>
  <c r="Z90" i="19"/>
  <c r="Y90" i="19"/>
  <c r="AD89" i="19"/>
  <c r="AC89" i="19"/>
  <c r="Z89" i="19"/>
  <c r="AL89" i="19" s="1"/>
  <c r="Y89" i="19"/>
  <c r="AK89" i="19" s="1"/>
  <c r="AL88" i="19"/>
  <c r="AD88" i="19"/>
  <c r="AC88" i="19"/>
  <c r="AK88" i="19" s="1"/>
  <c r="Z88" i="19"/>
  <c r="Y88" i="19"/>
  <c r="B87" i="19"/>
  <c r="AS86" i="19"/>
  <c r="AR86" i="19"/>
  <c r="AH86" i="19"/>
  <c r="AG86" i="19"/>
  <c r="AL85" i="19"/>
  <c r="AD85" i="19"/>
  <c r="AC85" i="19"/>
  <c r="Z85" i="19"/>
  <c r="Y85" i="19"/>
  <c r="AK85" i="19" s="1"/>
  <c r="AD84" i="19"/>
  <c r="AL84" i="19" s="1"/>
  <c r="AC84" i="19"/>
  <c r="AK84" i="19" s="1"/>
  <c r="Z84" i="19"/>
  <c r="Y84" i="19"/>
  <c r="AD83" i="19"/>
  <c r="AL83" i="19" s="1"/>
  <c r="AC83" i="19"/>
  <c r="AK83" i="19" s="1"/>
  <c r="Z83" i="19"/>
  <c r="Y83" i="19"/>
  <c r="AD82" i="19"/>
  <c r="AL82" i="19" s="1"/>
  <c r="AC82" i="19"/>
  <c r="AK82" i="19" s="1"/>
  <c r="Z82" i="19"/>
  <c r="Y82" i="19"/>
  <c r="AL81" i="19"/>
  <c r="AD81" i="19"/>
  <c r="AC81" i="19"/>
  <c r="Z81" i="19"/>
  <c r="Y81" i="19"/>
  <c r="B80" i="19"/>
  <c r="AS79" i="19"/>
  <c r="AR79" i="19"/>
  <c r="AH79" i="19"/>
  <c r="AG79" i="19"/>
  <c r="AK78" i="19"/>
  <c r="AD78" i="19"/>
  <c r="AL78" i="19" s="1"/>
  <c r="AC78" i="19"/>
  <c r="Z78" i="19"/>
  <c r="Y78" i="19"/>
  <c r="AD77" i="19"/>
  <c r="AC77" i="19"/>
  <c r="AK77" i="19" s="1"/>
  <c r="Z77" i="19"/>
  <c r="Y77" i="19"/>
  <c r="AD76" i="19"/>
  <c r="AL76" i="19" s="1"/>
  <c r="AC76" i="19"/>
  <c r="AK76" i="19" s="1"/>
  <c r="Z76" i="19"/>
  <c r="Y76" i="19"/>
  <c r="AD75" i="19"/>
  <c r="AL75" i="19" s="1"/>
  <c r="AC75" i="19"/>
  <c r="AK75" i="19" s="1"/>
  <c r="Z75" i="19"/>
  <c r="Y75" i="19"/>
  <c r="AK74" i="19"/>
  <c r="AD74" i="19"/>
  <c r="AL74" i="19" s="1"/>
  <c r="AC74" i="19"/>
  <c r="Z74" i="19"/>
  <c r="Y74" i="19"/>
  <c r="T73" i="19"/>
  <c r="B73" i="19"/>
  <c r="AS72" i="19"/>
  <c r="AR72" i="19"/>
  <c r="AH72" i="19"/>
  <c r="AG72" i="19"/>
  <c r="AK71" i="19"/>
  <c r="AD71" i="19"/>
  <c r="AL71" i="19" s="1"/>
  <c r="AC71" i="19"/>
  <c r="Z71" i="19"/>
  <c r="Y71" i="19"/>
  <c r="AD70" i="19"/>
  <c r="AC70" i="19"/>
  <c r="AK70" i="19" s="1"/>
  <c r="Z70" i="19"/>
  <c r="Y70" i="19"/>
  <c r="AD69" i="19"/>
  <c r="AL69" i="19" s="1"/>
  <c r="AC69" i="19"/>
  <c r="AK69" i="19" s="1"/>
  <c r="Z69" i="19"/>
  <c r="Y69" i="19"/>
  <c r="AD68" i="19"/>
  <c r="AL68" i="19" s="1"/>
  <c r="AC68" i="19"/>
  <c r="Z68" i="19"/>
  <c r="Y68" i="19"/>
  <c r="AK68" i="19" s="1"/>
  <c r="AL67" i="19"/>
  <c r="AK67" i="19"/>
  <c r="AD67" i="19"/>
  <c r="AC67" i="19"/>
  <c r="Z67" i="19"/>
  <c r="Y67" i="19"/>
  <c r="T66" i="19"/>
  <c r="B66" i="19"/>
  <c r="AS65" i="19"/>
  <c r="AR65" i="19"/>
  <c r="AH65" i="19"/>
  <c r="AG65" i="19"/>
  <c r="AK64" i="19"/>
  <c r="AD64" i="19"/>
  <c r="AL64" i="19" s="1"/>
  <c r="AC64" i="19"/>
  <c r="Z64" i="19"/>
  <c r="Y64" i="19"/>
  <c r="AD63" i="19"/>
  <c r="AC63" i="19"/>
  <c r="AK63" i="19" s="1"/>
  <c r="Z63" i="19"/>
  <c r="Y63" i="19"/>
  <c r="AD62" i="19"/>
  <c r="AL62" i="19" s="1"/>
  <c r="AC62" i="19"/>
  <c r="AK62" i="19" s="1"/>
  <c r="Z62" i="19"/>
  <c r="Y62" i="19"/>
  <c r="AD61" i="19"/>
  <c r="AL61" i="19" s="1"/>
  <c r="AC61" i="19"/>
  <c r="AK61" i="19" s="1"/>
  <c r="Z61" i="19"/>
  <c r="Y61" i="19"/>
  <c r="AK60" i="19"/>
  <c r="AD60" i="19"/>
  <c r="AL60" i="19" s="1"/>
  <c r="AC60" i="19"/>
  <c r="Z60" i="19"/>
  <c r="Y60" i="19"/>
  <c r="T59" i="19"/>
  <c r="B59" i="19"/>
  <c r="AS58" i="19"/>
  <c r="AR58" i="19"/>
  <c r="AH58" i="19"/>
  <c r="AG58" i="19"/>
  <c r="AK57" i="19"/>
  <c r="AD57" i="19"/>
  <c r="AL57" i="19" s="1"/>
  <c r="AC57" i="19"/>
  <c r="Z57" i="19"/>
  <c r="Y57" i="19"/>
  <c r="AD56" i="19"/>
  <c r="AC56" i="19"/>
  <c r="AK56" i="19" s="1"/>
  <c r="Z56" i="19"/>
  <c r="Y56" i="19"/>
  <c r="AL55" i="19"/>
  <c r="AD55" i="19"/>
  <c r="AC55" i="19"/>
  <c r="AK55" i="19" s="1"/>
  <c r="Z55" i="19"/>
  <c r="Y55" i="19"/>
  <c r="AD54" i="19"/>
  <c r="AC54" i="19"/>
  <c r="AK54" i="19" s="1"/>
  <c r="Z54" i="19"/>
  <c r="AL54" i="19" s="1"/>
  <c r="Y54" i="19"/>
  <c r="AK53" i="19"/>
  <c r="AD53" i="19"/>
  <c r="AL53" i="19" s="1"/>
  <c r="AC53" i="19"/>
  <c r="Z53" i="19"/>
  <c r="Y53" i="19"/>
  <c r="T52" i="19"/>
  <c r="B52" i="19"/>
  <c r="AS51" i="19"/>
  <c r="AR51" i="19"/>
  <c r="AH51" i="19"/>
  <c r="AG51" i="19"/>
  <c r="AK50" i="19"/>
  <c r="AD50" i="19"/>
  <c r="AL50" i="19" s="1"/>
  <c r="AC50" i="19"/>
  <c r="Z50" i="19"/>
  <c r="Y50" i="19"/>
  <c r="AD49" i="19"/>
  <c r="AL49" i="19" s="1"/>
  <c r="AC49" i="19"/>
  <c r="AK49" i="19" s="1"/>
  <c r="Z49" i="19"/>
  <c r="Y49" i="19"/>
  <c r="AD48" i="19"/>
  <c r="AL48" i="19" s="1"/>
  <c r="AC48" i="19"/>
  <c r="AK48" i="19" s="1"/>
  <c r="Z48" i="19"/>
  <c r="Y48" i="19"/>
  <c r="AD47" i="19"/>
  <c r="AL47" i="19" s="1"/>
  <c r="AC47" i="19"/>
  <c r="AK47" i="19" s="1"/>
  <c r="Z47" i="19"/>
  <c r="Y47" i="19"/>
  <c r="AK46" i="19"/>
  <c r="AD46" i="19"/>
  <c r="AL46" i="19" s="1"/>
  <c r="AC46" i="19"/>
  <c r="Z46" i="19"/>
  <c r="Y46" i="19"/>
  <c r="T45" i="19"/>
  <c r="B45" i="19"/>
  <c r="AS44" i="19"/>
  <c r="AR44" i="19"/>
  <c r="AH44" i="19"/>
  <c r="AG44" i="19"/>
  <c r="AK43" i="19"/>
  <c r="AD43" i="19"/>
  <c r="AL43" i="19" s="1"/>
  <c r="AC43" i="19"/>
  <c r="Z43" i="19"/>
  <c r="Y43" i="19"/>
  <c r="AD42" i="19"/>
  <c r="AC42" i="19"/>
  <c r="Z42" i="19"/>
  <c r="AL42" i="19" s="1"/>
  <c r="Y42" i="19"/>
  <c r="AK42" i="19" s="1"/>
  <c r="AL41" i="19"/>
  <c r="AD41" i="19"/>
  <c r="AC41" i="19"/>
  <c r="AK41" i="19" s="1"/>
  <c r="Z41" i="19"/>
  <c r="Y41" i="19"/>
  <c r="AD40" i="19"/>
  <c r="AL40" i="19" s="1"/>
  <c r="AC40" i="19"/>
  <c r="AK40" i="19" s="1"/>
  <c r="Z40" i="19"/>
  <c r="Y40" i="19"/>
  <c r="AK39" i="19"/>
  <c r="AD39" i="19"/>
  <c r="AL39" i="19" s="1"/>
  <c r="AC39" i="19"/>
  <c r="Z39" i="19"/>
  <c r="Y39" i="19"/>
  <c r="T38" i="19"/>
  <c r="B38" i="19"/>
  <c r="AS37" i="19"/>
  <c r="AR37" i="19"/>
  <c r="AH37" i="19"/>
  <c r="AG37" i="19"/>
  <c r="AK36" i="19"/>
  <c r="AD36" i="19"/>
  <c r="AL36" i="19" s="1"/>
  <c r="AC36" i="19"/>
  <c r="Z36" i="19"/>
  <c r="Y36" i="19"/>
  <c r="B35" i="19"/>
  <c r="AS34" i="19"/>
  <c r="AR34" i="19"/>
  <c r="AH34" i="19"/>
  <c r="AG34" i="19"/>
  <c r="AD33" i="19"/>
  <c r="AL33" i="19" s="1"/>
  <c r="AC33" i="19"/>
  <c r="AK33" i="19" s="1"/>
  <c r="Z33" i="19"/>
  <c r="Y33" i="19"/>
  <c r="B32" i="19"/>
  <c r="AS31" i="19"/>
  <c r="AR31" i="19"/>
  <c r="AH31" i="19"/>
  <c r="AG31" i="19"/>
  <c r="AD30" i="19"/>
  <c r="AL30" i="19" s="1"/>
  <c r="AC30" i="19"/>
  <c r="AK30" i="19" s="1"/>
  <c r="Z30" i="19"/>
  <c r="Y30" i="19"/>
  <c r="B29" i="19"/>
  <c r="AS28" i="19"/>
  <c r="AR28" i="19"/>
  <c r="AH28" i="19"/>
  <c r="AG28" i="19"/>
  <c r="AD27" i="19"/>
  <c r="AL27" i="19" s="1"/>
  <c r="AC27" i="19"/>
  <c r="AK27" i="19" s="1"/>
  <c r="Z27" i="19"/>
  <c r="Y27" i="19"/>
  <c r="B26" i="19"/>
  <c r="AS25" i="19"/>
  <c r="AR25" i="19"/>
  <c r="AH25" i="19"/>
  <c r="AG25" i="19"/>
  <c r="AD24" i="19"/>
  <c r="AL24" i="19" s="1"/>
  <c r="AC24" i="19"/>
  <c r="AK24" i="19" s="1"/>
  <c r="Z24" i="19"/>
  <c r="Y24" i="19"/>
  <c r="B23" i="19"/>
  <c r="AS22" i="19"/>
  <c r="AR22" i="19"/>
  <c r="AH22" i="19"/>
  <c r="AG22" i="19"/>
  <c r="AD21" i="19"/>
  <c r="Z21" i="19"/>
  <c r="V21" i="19"/>
  <c r="U21" i="19"/>
  <c r="AC21" i="19" s="1"/>
  <c r="B20" i="19"/>
  <c r="B19" i="19"/>
  <c r="B18" i="19"/>
  <c r="B17" i="19"/>
  <c r="B16" i="19"/>
  <c r="B15" i="19"/>
  <c r="B14" i="19"/>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P9" i="19"/>
  <c r="N9" i="19"/>
  <c r="L9" i="19"/>
  <c r="A9" i="19"/>
  <c r="F8" i="19"/>
  <c r="AG7" i="19" s="1"/>
  <c r="A3" i="19"/>
  <c r="AS3" i="19"/>
  <c r="AR3" i="19"/>
  <c r="AH3" i="19"/>
  <c r="AG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Y96" i="18" s="1"/>
  <c r="K96" i="18"/>
  <c r="B96" i="18"/>
  <c r="T95" i="18"/>
  <c r="R95" i="18"/>
  <c r="AM95" i="18" s="1"/>
  <c r="P95" i="18"/>
  <c r="AD95" i="18" s="1"/>
  <c r="O95" i="18"/>
  <c r="N95" i="18"/>
  <c r="M95" i="18"/>
  <c r="K95" i="18"/>
  <c r="X95" i="18" s="1"/>
  <c r="B95" i="18"/>
  <c r="T94" i="18"/>
  <c r="R94" i="18"/>
  <c r="AM94" i="18" s="1"/>
  <c r="P94" i="18"/>
  <c r="O94" i="18"/>
  <c r="Y94" i="18" s="1"/>
  <c r="N94" i="18"/>
  <c r="AD94" i="18" s="1"/>
  <c r="AH94" i="18" s="1"/>
  <c r="M94" i="18"/>
  <c r="K94" i="18"/>
  <c r="B94" i="18"/>
  <c r="AN93" i="18"/>
  <c r="AH92" i="18"/>
  <c r="AG92" i="18"/>
  <c r="AD92" i="18"/>
  <c r="AC92" i="18"/>
  <c r="Y92" i="18"/>
  <c r="X92" i="18"/>
  <c r="R92" i="18"/>
  <c r="AM92" i="18" s="1"/>
  <c r="AG91" i="18"/>
  <c r="AD91" i="18"/>
  <c r="AC91" i="18"/>
  <c r="Y91" i="18"/>
  <c r="X91" i="18"/>
  <c r="R91" i="18"/>
  <c r="AM91" i="18" s="1"/>
  <c r="AD90" i="18"/>
  <c r="AH90" i="18" s="1"/>
  <c r="AC90" i="18"/>
  <c r="AG90" i="18" s="1"/>
  <c r="Y90" i="18"/>
  <c r="X90" i="18"/>
  <c r="R90" i="18"/>
  <c r="AM90" i="18" s="1"/>
  <c r="AD89" i="18"/>
  <c r="AH89" i="18" s="1"/>
  <c r="AC89" i="18"/>
  <c r="AG89" i="18" s="1"/>
  <c r="Y89" i="18"/>
  <c r="X89" i="18"/>
  <c r="R89" i="18"/>
  <c r="AM89" i="18" s="1"/>
  <c r="AH88" i="18"/>
  <c r="AG88" i="18"/>
  <c r="AD88" i="18"/>
  <c r="AC88" i="18"/>
  <c r="Y88" i="18"/>
  <c r="X88" i="18"/>
  <c r="R88" i="18"/>
  <c r="AM88" i="18" s="1"/>
  <c r="T87" i="18"/>
  <c r="R87" i="18"/>
  <c r="AM87" i="18" s="1"/>
  <c r="P87" i="18"/>
  <c r="O87" i="18"/>
  <c r="Y87" i="18" s="1"/>
  <c r="N87" i="18"/>
  <c r="AD87" i="18" s="1"/>
  <c r="M87" i="18"/>
  <c r="L87" i="18"/>
  <c r="K87" i="18"/>
  <c r="B87" i="18"/>
  <c r="AN86" i="18"/>
  <c r="AD85" i="18"/>
  <c r="AH85" i="18" s="1"/>
  <c r="AC85" i="18"/>
  <c r="AG85" i="18" s="1"/>
  <c r="Y85" i="18"/>
  <c r="X85" i="18"/>
  <c r="R85" i="18"/>
  <c r="AM85" i="18" s="1"/>
  <c r="AG84" i="18"/>
  <c r="AD84" i="18"/>
  <c r="AH84" i="18" s="1"/>
  <c r="AC84" i="18"/>
  <c r="Y84" i="18"/>
  <c r="X84" i="18"/>
  <c r="R84" i="18"/>
  <c r="AM84" i="18" s="1"/>
  <c r="AH83" i="18"/>
  <c r="AD83" i="18"/>
  <c r="AC83" i="18"/>
  <c r="Y83" i="18"/>
  <c r="X83" i="18"/>
  <c r="AG83" i="18" s="1"/>
  <c r="R83" i="18"/>
  <c r="AM83" i="18" s="1"/>
  <c r="AH82" i="18"/>
  <c r="AD82" i="18"/>
  <c r="AC82" i="18"/>
  <c r="Y82" i="18"/>
  <c r="X82" i="18"/>
  <c r="AG82" i="18" s="1"/>
  <c r="R82" i="18"/>
  <c r="AM82" i="18" s="1"/>
  <c r="AD81" i="18"/>
  <c r="AH81" i="18" s="1"/>
  <c r="AC81" i="18"/>
  <c r="AG81" i="18" s="1"/>
  <c r="Y81" i="18"/>
  <c r="X81" i="18"/>
  <c r="R81" i="18"/>
  <c r="AM81" i="18" s="1"/>
  <c r="T80" i="18"/>
  <c r="R80" i="18"/>
  <c r="AM80" i="18" s="1"/>
  <c r="P80" i="18"/>
  <c r="AD80" i="18" s="1"/>
  <c r="O80" i="18"/>
  <c r="N80" i="18"/>
  <c r="M80" i="18"/>
  <c r="K80" i="18"/>
  <c r="B80" i="18"/>
  <c r="AN79" i="18"/>
  <c r="AG78" i="18"/>
  <c r="AD78" i="18"/>
  <c r="AC78" i="18"/>
  <c r="Y78" i="18"/>
  <c r="X78" i="18"/>
  <c r="R78" i="18"/>
  <c r="AM78" i="18" s="1"/>
  <c r="AD77" i="18"/>
  <c r="AH77" i="18" s="1"/>
  <c r="AC77" i="18"/>
  <c r="AG77" i="18" s="1"/>
  <c r="Y77" i="18"/>
  <c r="X77" i="18"/>
  <c r="R77" i="18"/>
  <c r="AM77" i="18" s="1"/>
  <c r="AD76" i="18"/>
  <c r="AH76" i="18" s="1"/>
  <c r="AC76" i="18"/>
  <c r="AG76" i="18" s="1"/>
  <c r="Y76" i="18"/>
  <c r="X76" i="18"/>
  <c r="R76" i="18"/>
  <c r="AM76" i="18" s="1"/>
  <c r="AH75" i="18"/>
  <c r="AG75" i="18"/>
  <c r="AD75" i="18"/>
  <c r="AC75" i="18"/>
  <c r="Y75" i="18"/>
  <c r="X75" i="18"/>
  <c r="R75" i="18"/>
  <c r="AM75" i="18" s="1"/>
  <c r="AG74" i="18"/>
  <c r="AD74" i="18"/>
  <c r="AC74" i="18"/>
  <c r="Y74" i="18"/>
  <c r="X74" i="18"/>
  <c r="R74" i="18"/>
  <c r="AM74" i="18" s="1"/>
  <c r="R73" i="18"/>
  <c r="AM73" i="18" s="1"/>
  <c r="P73" i="18"/>
  <c r="O73" i="18"/>
  <c r="N73" i="18"/>
  <c r="AD73" i="18" s="1"/>
  <c r="M73" i="18"/>
  <c r="Y73" i="18" s="1"/>
  <c r="K73" i="18"/>
  <c r="B73" i="18"/>
  <c r="AN72" i="18"/>
  <c r="AG71" i="18"/>
  <c r="AD71" i="18"/>
  <c r="AH71" i="18" s="1"/>
  <c r="AC71" i="18"/>
  <c r="Y71" i="18"/>
  <c r="X71" i="18"/>
  <c r="R71" i="18"/>
  <c r="AM71" i="18" s="1"/>
  <c r="AD70" i="18"/>
  <c r="AH70" i="18" s="1"/>
  <c r="AC70" i="18"/>
  <c r="Y70" i="18"/>
  <c r="X70" i="18"/>
  <c r="AG70" i="18" s="1"/>
  <c r="R70" i="18"/>
  <c r="AM70" i="18" s="1"/>
  <c r="AH69" i="18"/>
  <c r="AD69" i="18"/>
  <c r="AC69" i="18"/>
  <c r="Y69" i="18"/>
  <c r="X69" i="18"/>
  <c r="AG69" i="18" s="1"/>
  <c r="R69" i="18"/>
  <c r="AM69" i="18" s="1"/>
  <c r="AD68" i="18"/>
  <c r="AH68" i="18" s="1"/>
  <c r="AC68" i="18"/>
  <c r="Y68" i="18"/>
  <c r="X68" i="18"/>
  <c r="AG68" i="18" s="1"/>
  <c r="R68" i="18"/>
  <c r="AM68" i="18" s="1"/>
  <c r="AG67" i="18"/>
  <c r="AD67" i="18"/>
  <c r="AH67" i="18" s="1"/>
  <c r="AC67" i="18"/>
  <c r="Y67" i="18"/>
  <c r="X67" i="18"/>
  <c r="R67" i="18"/>
  <c r="AM67" i="18" s="1"/>
  <c r="AD66" i="18"/>
  <c r="R66" i="18"/>
  <c r="AM66" i="18" s="1"/>
  <c r="P66" i="18"/>
  <c r="O66" i="18"/>
  <c r="N66" i="18"/>
  <c r="M66" i="18"/>
  <c r="K66" i="18"/>
  <c r="B66" i="18"/>
  <c r="AN65" i="18"/>
  <c r="AD64" i="18"/>
  <c r="AC64" i="18"/>
  <c r="AG64" i="18" s="1"/>
  <c r="Y64" i="18"/>
  <c r="X64" i="18"/>
  <c r="R64" i="18"/>
  <c r="AM64" i="18" s="1"/>
  <c r="AD63" i="18"/>
  <c r="AH63" i="18" s="1"/>
  <c r="AC63" i="18"/>
  <c r="AG63" i="18" s="1"/>
  <c r="Y63" i="18"/>
  <c r="X63" i="18"/>
  <c r="R63" i="18"/>
  <c r="AM63" i="18" s="1"/>
  <c r="AH62" i="18"/>
  <c r="AD62" i="18"/>
  <c r="AC62" i="18"/>
  <c r="AG62" i="18" s="1"/>
  <c r="Y62" i="18"/>
  <c r="X62" i="18"/>
  <c r="R62" i="18"/>
  <c r="AM62" i="18" s="1"/>
  <c r="AG61" i="18"/>
  <c r="AD61" i="18"/>
  <c r="AC61" i="18"/>
  <c r="Y61" i="18"/>
  <c r="X61" i="18"/>
  <c r="R61" i="18"/>
  <c r="AM61" i="18" s="1"/>
  <c r="AD60" i="18"/>
  <c r="AH60" i="18" s="1"/>
  <c r="AC60" i="18"/>
  <c r="AG60" i="18" s="1"/>
  <c r="Y60" i="18"/>
  <c r="X60" i="18"/>
  <c r="R60" i="18"/>
  <c r="AM60" i="18" s="1"/>
  <c r="T59" i="18"/>
  <c r="R59" i="18"/>
  <c r="AM59" i="18" s="1"/>
  <c r="P59" i="18"/>
  <c r="O59" i="18"/>
  <c r="N59" i="18"/>
  <c r="AD59" i="18" s="1"/>
  <c r="M59" i="18"/>
  <c r="Y59" i="18" s="1"/>
  <c r="K59" i="18"/>
  <c r="B59" i="18"/>
  <c r="AN58" i="18"/>
  <c r="AD57" i="18"/>
  <c r="AH57" i="18" s="1"/>
  <c r="AC57" i="18"/>
  <c r="Y57" i="18"/>
  <c r="X57" i="18"/>
  <c r="AG57" i="18" s="1"/>
  <c r="R57" i="18"/>
  <c r="AM57" i="18" s="1"/>
  <c r="AG56" i="18"/>
  <c r="AD56" i="18"/>
  <c r="AH56" i="18" s="1"/>
  <c r="AC56" i="18"/>
  <c r="Y56" i="18"/>
  <c r="X56" i="18"/>
  <c r="R56" i="18"/>
  <c r="AM56" i="18" s="1"/>
  <c r="AD55" i="18"/>
  <c r="AH55" i="18" s="1"/>
  <c r="AC55" i="18"/>
  <c r="Y55" i="18"/>
  <c r="X55" i="18"/>
  <c r="AG55" i="18" s="1"/>
  <c r="R55" i="18"/>
  <c r="AM55" i="18" s="1"/>
  <c r="AG54" i="18"/>
  <c r="AD54" i="18"/>
  <c r="AH54" i="18" s="1"/>
  <c r="AC54" i="18"/>
  <c r="Y54" i="18"/>
  <c r="X54" i="18"/>
  <c r="R54" i="18"/>
  <c r="AM54" i="18" s="1"/>
  <c r="AD53" i="18"/>
  <c r="AH53" i="18" s="1"/>
  <c r="AC53" i="18"/>
  <c r="Y53" i="18"/>
  <c r="X53" i="18"/>
  <c r="AG53" i="18" s="1"/>
  <c r="R53" i="18"/>
  <c r="AM53" i="18" s="1"/>
  <c r="AD52" i="18"/>
  <c r="T52" i="18"/>
  <c r="R52" i="18"/>
  <c r="AM52" i="18" s="1"/>
  <c r="P52" i="18"/>
  <c r="O52" i="18"/>
  <c r="N52" i="18"/>
  <c r="M52" i="18"/>
  <c r="Y52" i="18" s="1"/>
  <c r="Y58" i="18" s="1"/>
  <c r="K52" i="18"/>
  <c r="B52" i="18"/>
  <c r="AN51" i="18"/>
  <c r="AD50" i="18"/>
  <c r="AC50" i="18"/>
  <c r="AG50" i="18" s="1"/>
  <c r="Y50" i="18"/>
  <c r="X50" i="18"/>
  <c r="R50" i="18"/>
  <c r="AM50" i="18" s="1"/>
  <c r="AH49" i="18"/>
  <c r="AD49" i="18"/>
  <c r="AC49" i="18"/>
  <c r="AG49" i="18" s="1"/>
  <c r="Y49" i="18"/>
  <c r="X49" i="18"/>
  <c r="R49" i="18"/>
  <c r="AM49" i="18" s="1"/>
  <c r="AD48" i="18"/>
  <c r="AH48" i="18" s="1"/>
  <c r="AC48" i="18"/>
  <c r="AG48" i="18" s="1"/>
  <c r="Y48" i="18"/>
  <c r="X48" i="18"/>
  <c r="R48" i="18"/>
  <c r="AM48" i="18" s="1"/>
  <c r="AH47" i="18"/>
  <c r="AD47" i="18"/>
  <c r="AC47" i="18"/>
  <c r="AG47" i="18" s="1"/>
  <c r="Y47" i="18"/>
  <c r="X47" i="18"/>
  <c r="R47" i="18"/>
  <c r="AM47" i="18" s="1"/>
  <c r="AD46" i="18"/>
  <c r="AH46" i="18" s="1"/>
  <c r="AC46" i="18"/>
  <c r="Y46" i="18"/>
  <c r="X46" i="18"/>
  <c r="AG46" i="18" s="1"/>
  <c r="R46" i="18"/>
  <c r="AM46" i="18" s="1"/>
  <c r="T45" i="18"/>
  <c r="R45" i="18"/>
  <c r="AM45" i="18" s="1"/>
  <c r="P45" i="18"/>
  <c r="O45" i="18"/>
  <c r="N45" i="18"/>
  <c r="AD45" i="18" s="1"/>
  <c r="AD51" i="18" s="1"/>
  <c r="M45" i="18"/>
  <c r="K45" i="18"/>
  <c r="B45" i="18"/>
  <c r="AN44" i="18"/>
  <c r="AG43" i="18"/>
  <c r="AD43" i="18"/>
  <c r="AH43" i="18" s="1"/>
  <c r="AC43" i="18"/>
  <c r="Y43" i="18"/>
  <c r="X43" i="18"/>
  <c r="R43" i="18"/>
  <c r="AM43" i="18" s="1"/>
  <c r="AG42" i="18"/>
  <c r="AD42" i="18"/>
  <c r="AH42" i="18" s="1"/>
  <c r="AC42" i="18"/>
  <c r="Y42" i="18"/>
  <c r="X42" i="18"/>
  <c r="R42" i="18"/>
  <c r="AM42" i="18" s="1"/>
  <c r="AH41" i="18"/>
  <c r="AG41" i="18"/>
  <c r="AD41" i="18"/>
  <c r="AC41" i="18"/>
  <c r="Y41" i="18"/>
  <c r="X41" i="18"/>
  <c r="R41" i="18"/>
  <c r="AM41" i="18" s="1"/>
  <c r="AD40" i="18"/>
  <c r="AH40" i="18" s="1"/>
  <c r="AC40" i="18"/>
  <c r="Y40" i="18"/>
  <c r="X40" i="18"/>
  <c r="R40" i="18"/>
  <c r="AM40" i="18" s="1"/>
  <c r="AG39" i="18"/>
  <c r="AD39" i="18"/>
  <c r="AH39" i="18" s="1"/>
  <c r="AC39" i="18"/>
  <c r="Y39" i="18"/>
  <c r="X39" i="18"/>
  <c r="R39" i="18"/>
  <c r="AM39" i="18" s="1"/>
  <c r="T38" i="18"/>
  <c r="R38" i="18"/>
  <c r="P38" i="18"/>
  <c r="O38" i="18"/>
  <c r="N38" i="18"/>
  <c r="AD38" i="18" s="1"/>
  <c r="M38" i="18"/>
  <c r="K38" i="18"/>
  <c r="B38" i="18"/>
  <c r="AN37" i="18"/>
  <c r="AH36" i="18"/>
  <c r="AD36" i="18"/>
  <c r="AC36" i="18"/>
  <c r="Y36" i="18"/>
  <c r="X36" i="18"/>
  <c r="AG36" i="18" s="1"/>
  <c r="R36" i="18"/>
  <c r="AM36" i="18" s="1"/>
  <c r="T35" i="18"/>
  <c r="R35" i="18"/>
  <c r="AM35" i="18" s="1"/>
  <c r="P35" i="18"/>
  <c r="O35" i="18"/>
  <c r="N35" i="18"/>
  <c r="AD35" i="18" s="1"/>
  <c r="M35" i="18"/>
  <c r="Y35" i="18" s="1"/>
  <c r="Y37" i="18" s="1"/>
  <c r="K35" i="18"/>
  <c r="B35" i="18"/>
  <c r="AN34" i="18"/>
  <c r="AD33" i="18"/>
  <c r="AH33" i="18" s="1"/>
  <c r="AC33" i="18"/>
  <c r="Y33" i="18"/>
  <c r="X33" i="18"/>
  <c r="AG33" i="18" s="1"/>
  <c r="R33" i="18"/>
  <c r="AM33" i="18" s="1"/>
  <c r="T32" i="18"/>
  <c r="R32" i="18"/>
  <c r="AM32" i="18" s="1"/>
  <c r="P32" i="18"/>
  <c r="AD32" i="18" s="1"/>
  <c r="O32" i="18"/>
  <c r="N32" i="18"/>
  <c r="M32" i="18"/>
  <c r="Y32" i="18" s="1"/>
  <c r="K32" i="18"/>
  <c r="B32" i="18"/>
  <c r="AN31" i="18"/>
  <c r="AN3" i="18" s="1"/>
  <c r="AD30" i="18"/>
  <c r="AC30" i="18"/>
  <c r="Y30" i="18"/>
  <c r="AH30" i="18" s="1"/>
  <c r="X30" i="18"/>
  <c r="AG30" i="18" s="1"/>
  <c r="R30" i="18"/>
  <c r="AM30" i="18" s="1"/>
  <c r="T29" i="18"/>
  <c r="R29" i="18"/>
  <c r="AM29" i="18" s="1"/>
  <c r="P29" i="18"/>
  <c r="O29" i="18"/>
  <c r="N29" i="18"/>
  <c r="AD29" i="18" s="1"/>
  <c r="M29" i="18"/>
  <c r="Y29" i="18" s="1"/>
  <c r="K29" i="18"/>
  <c r="B29" i="18"/>
  <c r="AN28" i="18"/>
  <c r="AD27" i="18"/>
  <c r="AH27" i="18" s="1"/>
  <c r="AC27" i="18"/>
  <c r="Y27" i="18"/>
  <c r="X27" i="18"/>
  <c r="AG27" i="18" s="1"/>
  <c r="R27" i="18"/>
  <c r="AM27" i="18" s="1"/>
  <c r="T26" i="18"/>
  <c r="R26" i="18"/>
  <c r="AM26" i="18" s="1"/>
  <c r="P26" i="18"/>
  <c r="O26" i="18"/>
  <c r="N26" i="18"/>
  <c r="AD26" i="18" s="1"/>
  <c r="AD28" i="18" s="1"/>
  <c r="M26" i="18"/>
  <c r="Y26" i="18" s="1"/>
  <c r="K26" i="18"/>
  <c r="B26" i="18"/>
  <c r="AN25" i="18"/>
  <c r="AD24" i="18"/>
  <c r="AC24" i="18"/>
  <c r="Y24" i="18"/>
  <c r="X24" i="18"/>
  <c r="R24" i="18"/>
  <c r="AM24" i="18" s="1"/>
  <c r="T23" i="18"/>
  <c r="R23" i="18"/>
  <c r="AM23" i="18" s="1"/>
  <c r="P23" i="18"/>
  <c r="AD23" i="18" s="1"/>
  <c r="O23" i="18"/>
  <c r="Y23" i="18" s="1"/>
  <c r="N23" i="18"/>
  <c r="M23" i="18"/>
  <c r="K23" i="18"/>
  <c r="B23" i="18"/>
  <c r="AN22" i="18"/>
  <c r="AH21" i="18"/>
  <c r="AD21" i="18"/>
  <c r="AC21" i="18"/>
  <c r="Y21" i="18"/>
  <c r="X21" i="18"/>
  <c r="R21" i="18"/>
  <c r="AM21" i="18" s="1"/>
  <c r="T20" i="18"/>
  <c r="R20" i="18"/>
  <c r="AM20" i="18" s="1"/>
  <c r="P20" i="18"/>
  <c r="O20" i="18"/>
  <c r="N20" i="18"/>
  <c r="AD20" i="18" s="1"/>
  <c r="M20" i="18"/>
  <c r="K20" i="18"/>
  <c r="B20" i="18"/>
  <c r="T19" i="18"/>
  <c r="R19" i="18"/>
  <c r="AM19" i="18" s="1"/>
  <c r="P19" i="18"/>
  <c r="AD19" i="18" s="1"/>
  <c r="O19" i="18"/>
  <c r="Y19" i="18" s="1"/>
  <c r="N19" i="18"/>
  <c r="M19" i="18"/>
  <c r="K19" i="18"/>
  <c r="B19" i="18"/>
  <c r="T18" i="18"/>
  <c r="R18" i="18"/>
  <c r="P18" i="18"/>
  <c r="O18" i="18"/>
  <c r="Y18" i="18" s="1"/>
  <c r="N18" i="18"/>
  <c r="M18" i="18"/>
  <c r="K18" i="18"/>
  <c r="AM18" i="18"/>
  <c r="B18" i="18"/>
  <c r="Y17" i="18"/>
  <c r="T17" i="18"/>
  <c r="R17" i="18"/>
  <c r="AM17" i="18" s="1"/>
  <c r="P17" i="18"/>
  <c r="O17" i="18"/>
  <c r="N17" i="18"/>
  <c r="M17" i="18"/>
  <c r="K17" i="18"/>
  <c r="B17" i="18"/>
  <c r="T16" i="18"/>
  <c r="R16" i="18"/>
  <c r="AM16" i="18" s="1"/>
  <c r="P16" i="18"/>
  <c r="AD16" i="18" s="1"/>
  <c r="AH16" i="18" s="1"/>
  <c r="O16" i="18"/>
  <c r="N16" i="18"/>
  <c r="M16" i="18"/>
  <c r="Y16" i="18" s="1"/>
  <c r="K16" i="18"/>
  <c r="B16" i="18"/>
  <c r="T15" i="18"/>
  <c r="R15" i="18"/>
  <c r="AM15" i="18" s="1"/>
  <c r="P15" i="18"/>
  <c r="O15" i="18"/>
  <c r="Y15" i="18" s="1"/>
  <c r="N15" i="18"/>
  <c r="AD15" i="18" s="1"/>
  <c r="M15" i="18"/>
  <c r="K15" i="18"/>
  <c r="B15" i="18"/>
  <c r="T14" i="18"/>
  <c r="R14" i="18"/>
  <c r="AM14" i="18" s="1"/>
  <c r="P14" i="18"/>
  <c r="O14" i="18"/>
  <c r="N14" i="18"/>
  <c r="AD14" i="18" s="1"/>
  <c r="M14" i="18"/>
  <c r="Y14" i="18" s="1"/>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U80" i="4"/>
  <c r="AH19" i="18" l="1"/>
  <c r="AH14" i="18"/>
  <c r="AH15" i="18"/>
  <c r="AD17" i="18"/>
  <c r="AH17" i="18" s="1"/>
  <c r="Y66" i="18"/>
  <c r="Y72" i="18" s="1"/>
  <c r="AD18" i="18"/>
  <c r="Y20" i="18"/>
  <c r="Y45" i="18"/>
  <c r="AH45" i="18" s="1"/>
  <c r="Y80" i="18"/>
  <c r="AH80" i="18" s="1"/>
  <c r="AH86" i="18" s="1"/>
  <c r="AD96" i="18"/>
  <c r="AH96" i="18" s="1"/>
  <c r="X29" i="18"/>
  <c r="X31" i="18" s="1"/>
  <c r="AG21" i="18"/>
  <c r="X35" i="18"/>
  <c r="X37" i="18" s="1"/>
  <c r="X38" i="18"/>
  <c r="AL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AH23" i="18"/>
  <c r="AH25" i="18" s="1"/>
  <c r="AH18" i="18"/>
  <c r="Y25" i="18"/>
  <c r="Y22" i="18"/>
  <c r="AH26" i="18"/>
  <c r="AH28" i="18" s="1"/>
  <c r="Y28" i="18"/>
  <c r="AD34" i="18"/>
  <c r="AH32" i="18"/>
  <c r="AH34" i="18" s="1"/>
  <c r="AH35" i="18"/>
  <c r="AH37" i="18" s="1"/>
  <c r="AD37" i="18"/>
  <c r="AM37" i="18"/>
  <c r="Y31" i="18"/>
  <c r="X44" i="18"/>
  <c r="AH29" i="18"/>
  <c r="AH31" i="18" s="1"/>
  <c r="AD31" i="18"/>
  <c r="AD65" i="18"/>
  <c r="AH59" i="18"/>
  <c r="AH87" i="18"/>
  <c r="AH93" i="18" s="1"/>
  <c r="AD93" i="18"/>
  <c r="I9" i="18"/>
  <c r="R9" i="18"/>
  <c r="S9" i="18" s="1"/>
  <c r="T9" i="18" s="1"/>
  <c r="U9" i="18" s="1"/>
  <c r="AM51" i="18"/>
  <c r="AM65" i="18"/>
  <c r="AM79" i="18"/>
  <c r="L9" i="18"/>
  <c r="AG40" i="18"/>
  <c r="AH24" i="18"/>
  <c r="Y38" i="18"/>
  <c r="AH38" i="18" s="1"/>
  <c r="AH44" i="18" s="1"/>
  <c r="AH91" i="18"/>
  <c r="Y95" i="18"/>
  <c r="AD44" i="18"/>
  <c r="AH52" i="18"/>
  <c r="AH58" i="18" s="1"/>
  <c r="AH74" i="18"/>
  <c r="AH78" i="18"/>
  <c r="AD86" i="18"/>
  <c r="AH61" i="18"/>
  <c r="Y79" i="18"/>
  <c r="F8" i="18"/>
  <c r="AM38" i="18"/>
  <c r="AM44" i="18" s="1"/>
  <c r="Y65" i="18"/>
  <c r="AH73" i="18"/>
  <c r="AH79" i="18" s="1"/>
  <c r="AD79" i="18"/>
  <c r="Y93" i="18"/>
  <c r="AH95" i="18"/>
  <c r="AH50" i="18"/>
  <c r="AD58" i="18"/>
  <c r="AH64" i="18"/>
  <c r="AD72" i="18"/>
  <c r="S81" i="10"/>
  <c r="P79" i="10"/>
  <c r="X81" i="4"/>
  <c r="Z80" i="10" s="1"/>
  <c r="X82" i="4"/>
  <c r="Z81" i="10" s="1"/>
  <c r="X80" i="4"/>
  <c r="Z79" i="10" s="1"/>
  <c r="U81" i="4"/>
  <c r="P80" i="10" s="1"/>
  <c r="U82" i="4"/>
  <c r="P81" i="10" s="1"/>
  <c r="R81" i="4"/>
  <c r="T80" i="10" s="1"/>
  <c r="R82" i="4"/>
  <c r="T81" i="10" s="1"/>
  <c r="R80" i="4"/>
  <c r="T79" i="10" s="1"/>
  <c r="O81" i="4"/>
  <c r="S80" i="10" s="1"/>
  <c r="O82" i="4"/>
  <c r="O80" i="4"/>
  <c r="S79" i="10" s="1"/>
  <c r="J71" i="2"/>
  <c r="J98" i="2" s="1"/>
  <c r="Y86" i="18" l="1"/>
  <c r="Y51" i="18"/>
  <c r="AH66" i="18"/>
  <c r="AH72" i="18" s="1"/>
  <c r="S77" i="23"/>
  <c r="AC95" i="12"/>
  <c r="P78" i="23"/>
  <c r="P78" i="22"/>
  <c r="W96" i="12"/>
  <c r="V78" i="23"/>
  <c r="F96" i="19"/>
  <c r="V77" i="23"/>
  <c r="F95" i="19"/>
  <c r="P77" i="23"/>
  <c r="P77" i="22"/>
  <c r="W95" i="12"/>
  <c r="V76" i="23"/>
  <c r="F94" i="19"/>
  <c r="S76" i="23"/>
  <c r="AC94" i="12"/>
  <c r="R76" i="23"/>
  <c r="Z94" i="12"/>
  <c r="R77" i="23"/>
  <c r="Z95" i="12"/>
  <c r="S78" i="23"/>
  <c r="AC96" i="12"/>
  <c r="H94" i="7"/>
  <c r="H96" i="7"/>
  <c r="H95" i="7"/>
  <c r="R78" i="23"/>
  <c r="Z96" i="12"/>
  <c r="P76" i="23"/>
  <c r="P76" i="22"/>
  <c r="W94" i="12"/>
  <c r="Y28" i="1"/>
  <c r="AL66" i="14"/>
  <c r="AL69" i="14" s="1"/>
  <c r="AL58" i="14"/>
  <c r="AG87" i="18"/>
  <c r="AG93" i="18" s="1"/>
  <c r="AC7" i="19"/>
  <c r="S9" i="19"/>
  <c r="T9" i="19" s="1"/>
  <c r="U9" i="19" s="1"/>
  <c r="V9" i="19" s="1"/>
  <c r="AM3" i="18"/>
  <c r="AD3" i="18"/>
  <c r="Y44" i="18"/>
  <c r="AH51" i="18"/>
  <c r="AH65" i="18"/>
  <c r="F71" i="2"/>
  <c r="F98" i="2" s="1"/>
  <c r="G71" i="2"/>
  <c r="G98" i="2" s="1"/>
  <c r="H71" i="2"/>
  <c r="H98" i="2" s="1"/>
  <c r="I71" i="2"/>
  <c r="I98" i="2" s="1"/>
  <c r="K71" i="2"/>
  <c r="K98" i="2" s="1"/>
  <c r="L71" i="2"/>
  <c r="L98" i="2" s="1"/>
  <c r="M71" i="2"/>
  <c r="M98" i="2" s="1"/>
  <c r="N71" i="2"/>
  <c r="N98" i="2" s="1"/>
  <c r="O71" i="2"/>
  <c r="O98" i="2" s="1"/>
  <c r="P71" i="2"/>
  <c r="P98" i="2" s="1"/>
  <c r="Q71" i="2"/>
  <c r="Q98" i="2" s="1"/>
  <c r="R71" i="2"/>
  <c r="R98" i="2" s="1"/>
  <c r="S71" i="2"/>
  <c r="S98" i="2" s="1"/>
  <c r="T71" i="2"/>
  <c r="T98" i="2" s="1"/>
  <c r="U71" i="2"/>
  <c r="U98" i="2" s="1"/>
  <c r="V71" i="2"/>
  <c r="V98" i="2" s="1"/>
  <c r="W71" i="2"/>
  <c r="W98" i="2" s="1"/>
  <c r="X71" i="2"/>
  <c r="X98" i="2" s="1"/>
  <c r="Y71" i="2"/>
  <c r="Y98" i="2" s="1"/>
  <c r="Z71" i="2"/>
  <c r="Z98" i="2" s="1"/>
  <c r="AA71" i="2"/>
  <c r="AA98" i="2" s="1"/>
  <c r="D71" i="2"/>
  <c r="E71" i="2"/>
  <c r="E98" i="2" s="1"/>
  <c r="AH3" i="18" l="1"/>
  <c r="AR5" i="18" s="1"/>
  <c r="L81" i="10"/>
  <c r="E82" i="11" s="1"/>
  <c r="Y3" i="18"/>
  <c r="D98" i="2"/>
  <c r="L80" i="10"/>
  <c r="L79" i="10"/>
  <c r="O78" i="23" l="1"/>
  <c r="Q78" i="23" s="1"/>
  <c r="T78" i="23" s="1"/>
  <c r="O78" i="22"/>
  <c r="Q78" i="22" s="1"/>
  <c r="E81" i="11"/>
  <c r="O77" i="23"/>
  <c r="Q77" i="23" s="1"/>
  <c r="T77" i="23" s="1"/>
  <c r="O77" i="22"/>
  <c r="Q77" i="22" s="1"/>
  <c r="E80" i="11"/>
  <c r="O76" i="23"/>
  <c r="Q76" i="23" s="1"/>
  <c r="T76" i="23" s="1"/>
  <c r="O76" i="22"/>
  <c r="Q76" i="22" s="1"/>
  <c r="D22" i="2"/>
  <c r="AA63" i="2" l="1"/>
  <c r="I31" i="1" l="1"/>
  <c r="U35" i="18" s="1"/>
  <c r="F9" i="5" l="1"/>
  <c r="AJ40" i="14" l="1"/>
  <c r="AF38" i="14"/>
  <c r="AF37" i="14"/>
  <c r="AF36" i="14"/>
  <c r="AF35" i="14"/>
  <c r="AF34" i="14"/>
  <c r="AF33" i="14"/>
  <c r="AF32" i="14"/>
  <c r="AF31" i="14"/>
  <c r="AF30" i="14"/>
  <c r="AF29" i="14"/>
  <c r="AF28" i="14"/>
  <c r="AF27" i="14"/>
  <c r="AF26" i="14"/>
  <c r="AF25" i="14"/>
  <c r="AF24" i="14"/>
  <c r="AF23" i="14"/>
  <c r="AF22" i="14"/>
  <c r="AF21" i="14"/>
  <c r="AF20" i="14"/>
  <c r="AF19" i="14"/>
  <c r="AF18" i="14"/>
  <c r="AF17" i="14"/>
  <c r="AF16" i="14"/>
  <c r="A2" i="12"/>
  <c r="A3" i="12"/>
  <c r="A1" i="12"/>
  <c r="BJ11" i="12"/>
  <c r="BH11" i="12"/>
  <c r="AS9" i="12"/>
  <c r="AM96" i="12"/>
  <c r="T96" i="12"/>
  <c r="I96" i="12"/>
  <c r="E96" i="12"/>
  <c r="D96" i="12"/>
  <c r="B96" i="12"/>
  <c r="AM95" i="12"/>
  <c r="T95" i="12"/>
  <c r="I95" i="12"/>
  <c r="E95" i="12"/>
  <c r="D95" i="12"/>
  <c r="B95" i="12"/>
  <c r="AM94" i="12"/>
  <c r="T94" i="12"/>
  <c r="I94" i="12"/>
  <c r="E94" i="12"/>
  <c r="D94" i="12"/>
  <c r="B94" i="12"/>
  <c r="AM92" i="12"/>
  <c r="T92" i="12"/>
  <c r="E92" i="12"/>
  <c r="D92" i="12"/>
  <c r="AM91" i="12"/>
  <c r="T91" i="12"/>
  <c r="E91" i="12"/>
  <c r="D91" i="12"/>
  <c r="AM90" i="12"/>
  <c r="T90" i="12"/>
  <c r="E90" i="12"/>
  <c r="D90" i="12"/>
  <c r="AM89" i="12"/>
  <c r="T89" i="12"/>
  <c r="E89" i="12"/>
  <c r="D89" i="12"/>
  <c r="AM88" i="12"/>
  <c r="T88" i="12"/>
  <c r="E88" i="12"/>
  <c r="D88" i="12"/>
  <c r="AM87" i="12"/>
  <c r="T87" i="12"/>
  <c r="J87" i="12"/>
  <c r="I87" i="12"/>
  <c r="E87" i="12"/>
  <c r="D87" i="12"/>
  <c r="B87" i="12"/>
  <c r="AM85" i="12"/>
  <c r="T85" i="12"/>
  <c r="E85" i="12"/>
  <c r="D85" i="12"/>
  <c r="AM84" i="12"/>
  <c r="T84" i="12"/>
  <c r="E84" i="12"/>
  <c r="D84" i="12"/>
  <c r="AM83" i="12"/>
  <c r="T83" i="12"/>
  <c r="E83" i="12"/>
  <c r="D83" i="12"/>
  <c r="AM82" i="12"/>
  <c r="T82" i="12"/>
  <c r="E82" i="12"/>
  <c r="D82" i="12"/>
  <c r="AM81" i="12"/>
  <c r="T81" i="12"/>
  <c r="E81" i="12"/>
  <c r="D81" i="12"/>
  <c r="AM80" i="12"/>
  <c r="T80" i="12"/>
  <c r="I80" i="12"/>
  <c r="E80" i="12"/>
  <c r="D80" i="12"/>
  <c r="B80" i="12"/>
  <c r="AM78" i="12"/>
  <c r="T78" i="12"/>
  <c r="E78" i="12"/>
  <c r="D78" i="12"/>
  <c r="AM77" i="12"/>
  <c r="T77" i="12"/>
  <c r="E77" i="12"/>
  <c r="D77" i="12"/>
  <c r="AM76" i="12"/>
  <c r="T76" i="12"/>
  <c r="E76" i="12"/>
  <c r="D76" i="12"/>
  <c r="AM75" i="12"/>
  <c r="T75" i="12"/>
  <c r="E75" i="12"/>
  <c r="D75" i="12"/>
  <c r="AM74" i="12"/>
  <c r="T74" i="12"/>
  <c r="E74" i="12"/>
  <c r="D74" i="12"/>
  <c r="AM73" i="12"/>
  <c r="T73" i="12"/>
  <c r="I73" i="12"/>
  <c r="E73" i="12"/>
  <c r="D73" i="12"/>
  <c r="B73" i="12"/>
  <c r="AM71" i="12"/>
  <c r="T71" i="12"/>
  <c r="E71" i="12"/>
  <c r="D71" i="12"/>
  <c r="AM70" i="12"/>
  <c r="T70" i="12"/>
  <c r="E70" i="12"/>
  <c r="D70" i="12"/>
  <c r="AM69" i="12"/>
  <c r="T69" i="12"/>
  <c r="E69" i="12"/>
  <c r="D69" i="12"/>
  <c r="AM68" i="12"/>
  <c r="T68" i="12"/>
  <c r="E68" i="12"/>
  <c r="D68" i="12"/>
  <c r="AM67" i="12"/>
  <c r="T67" i="12"/>
  <c r="E67" i="12"/>
  <c r="D67" i="12"/>
  <c r="AM66" i="12"/>
  <c r="T66" i="12"/>
  <c r="I66" i="12"/>
  <c r="E66" i="12"/>
  <c r="D66" i="12"/>
  <c r="B66" i="12"/>
  <c r="AM64" i="12"/>
  <c r="T64" i="12"/>
  <c r="E64" i="12"/>
  <c r="D64" i="12"/>
  <c r="AM63" i="12"/>
  <c r="T63" i="12"/>
  <c r="E63" i="12"/>
  <c r="D63" i="12"/>
  <c r="AM62" i="12"/>
  <c r="T62" i="12"/>
  <c r="E62" i="12"/>
  <c r="D62" i="12"/>
  <c r="AM61" i="12"/>
  <c r="T61" i="12"/>
  <c r="E61" i="12"/>
  <c r="D61" i="12"/>
  <c r="AM60" i="12"/>
  <c r="T60" i="12"/>
  <c r="E60" i="12"/>
  <c r="D60" i="12"/>
  <c r="AM59" i="12"/>
  <c r="T59" i="12"/>
  <c r="I59" i="12"/>
  <c r="E59" i="12"/>
  <c r="D59" i="12"/>
  <c r="B59" i="12"/>
  <c r="AM57" i="12"/>
  <c r="T57" i="12"/>
  <c r="E57" i="12"/>
  <c r="D57" i="12"/>
  <c r="AM56" i="12"/>
  <c r="T56" i="12"/>
  <c r="E56" i="12"/>
  <c r="D56" i="12"/>
  <c r="AM55" i="12"/>
  <c r="T55" i="12"/>
  <c r="E55" i="12"/>
  <c r="D55" i="12"/>
  <c r="AM54" i="12"/>
  <c r="T54" i="12"/>
  <c r="E54" i="12"/>
  <c r="D54" i="12"/>
  <c r="AM53" i="12"/>
  <c r="T53" i="12"/>
  <c r="E53" i="12"/>
  <c r="D53" i="12"/>
  <c r="AM52" i="12"/>
  <c r="T52" i="12"/>
  <c r="I52" i="12"/>
  <c r="E52" i="12"/>
  <c r="D52" i="12"/>
  <c r="B52" i="12"/>
  <c r="AM50" i="12"/>
  <c r="T50" i="12"/>
  <c r="E50" i="12"/>
  <c r="D50" i="12"/>
  <c r="AM49" i="12"/>
  <c r="T49" i="12"/>
  <c r="E49" i="12"/>
  <c r="D49" i="12"/>
  <c r="AM48" i="12"/>
  <c r="T48" i="12"/>
  <c r="E48" i="12"/>
  <c r="D48" i="12"/>
  <c r="AM47" i="12"/>
  <c r="T47" i="12"/>
  <c r="E47" i="12"/>
  <c r="D47" i="12"/>
  <c r="AM46" i="12"/>
  <c r="T46" i="12"/>
  <c r="E46" i="12"/>
  <c r="D46" i="12"/>
  <c r="AM45" i="12"/>
  <c r="T45" i="12"/>
  <c r="I45" i="12"/>
  <c r="E45" i="12"/>
  <c r="D45" i="12"/>
  <c r="B45" i="12"/>
  <c r="AM43" i="12"/>
  <c r="T43" i="12"/>
  <c r="E43" i="12"/>
  <c r="D43" i="12"/>
  <c r="AM42" i="12"/>
  <c r="T42" i="12"/>
  <c r="E42" i="12"/>
  <c r="D42" i="12"/>
  <c r="AM41" i="12"/>
  <c r="T41" i="12"/>
  <c r="E41" i="12"/>
  <c r="D41" i="12"/>
  <c r="AM40" i="12"/>
  <c r="T40" i="12"/>
  <c r="E40" i="12"/>
  <c r="D40" i="12"/>
  <c r="AM39" i="12"/>
  <c r="T39" i="12"/>
  <c r="E39" i="12"/>
  <c r="D39" i="12"/>
  <c r="AM38" i="12"/>
  <c r="T38" i="12"/>
  <c r="I38" i="12"/>
  <c r="E38" i="12"/>
  <c r="D38" i="12"/>
  <c r="B38" i="12"/>
  <c r="AM36" i="12"/>
  <c r="T36" i="12"/>
  <c r="E36" i="12"/>
  <c r="D36" i="12"/>
  <c r="AM35" i="12"/>
  <c r="T35" i="12"/>
  <c r="I35" i="12"/>
  <c r="E35" i="12"/>
  <c r="D35" i="12"/>
  <c r="B35" i="12"/>
  <c r="AM33" i="12"/>
  <c r="T33" i="12"/>
  <c r="E33" i="12"/>
  <c r="D33" i="12"/>
  <c r="AM32" i="12"/>
  <c r="T32" i="12"/>
  <c r="I32" i="12"/>
  <c r="E32" i="12"/>
  <c r="D32" i="12"/>
  <c r="B32" i="12"/>
  <c r="AM30" i="12"/>
  <c r="T30" i="12"/>
  <c r="E30" i="12"/>
  <c r="D30" i="12"/>
  <c r="AM29" i="12"/>
  <c r="T29" i="12"/>
  <c r="I29" i="12"/>
  <c r="E29" i="12"/>
  <c r="D29" i="12"/>
  <c r="B29" i="12"/>
  <c r="AM27" i="12"/>
  <c r="T27" i="12"/>
  <c r="E27" i="12"/>
  <c r="D27" i="12"/>
  <c r="AM26" i="12"/>
  <c r="T26" i="12"/>
  <c r="I26" i="12"/>
  <c r="E26" i="12"/>
  <c r="D26" i="12"/>
  <c r="B26" i="12"/>
  <c r="AM24" i="12"/>
  <c r="T24" i="12"/>
  <c r="E24" i="12"/>
  <c r="D24" i="12"/>
  <c r="AM23" i="12"/>
  <c r="T23" i="12"/>
  <c r="I23" i="12"/>
  <c r="E23" i="12"/>
  <c r="D23" i="12"/>
  <c r="B23" i="12"/>
  <c r="AM21" i="12"/>
  <c r="T21" i="12"/>
  <c r="E21" i="12"/>
  <c r="D21" i="12"/>
  <c r="AM20" i="12"/>
  <c r="T20" i="12"/>
  <c r="I20" i="12"/>
  <c r="E20" i="12"/>
  <c r="D20" i="12"/>
  <c r="B20" i="12"/>
  <c r="AM19" i="12"/>
  <c r="T19" i="12"/>
  <c r="I19" i="12"/>
  <c r="E19" i="12"/>
  <c r="D19" i="12"/>
  <c r="B19" i="12"/>
  <c r="AM18" i="12"/>
  <c r="T18" i="12"/>
  <c r="I18" i="12"/>
  <c r="E18" i="12"/>
  <c r="D18" i="12"/>
  <c r="B18" i="12"/>
  <c r="AM17" i="12"/>
  <c r="T17" i="12"/>
  <c r="I17" i="12"/>
  <c r="E17" i="12"/>
  <c r="D17" i="12"/>
  <c r="B17" i="12"/>
  <c r="AM16" i="12"/>
  <c r="T16" i="12"/>
  <c r="I16" i="12"/>
  <c r="E16" i="12"/>
  <c r="D16" i="12"/>
  <c r="B16" i="12"/>
  <c r="AM15" i="12"/>
  <c r="T15" i="12"/>
  <c r="I15" i="12"/>
  <c r="E15" i="12"/>
  <c r="D15" i="12"/>
  <c r="B15" i="12"/>
  <c r="AM14" i="12"/>
  <c r="T14" i="12"/>
  <c r="I14" i="12"/>
  <c r="E14" i="12"/>
  <c r="D14" i="12"/>
  <c r="B14" i="12"/>
  <c r="AX77" i="17"/>
  <c r="AX76" i="17"/>
  <c r="AX75" i="17"/>
  <c r="AX74" i="17"/>
  <c r="AX73" i="17"/>
  <c r="AX72" i="17"/>
  <c r="AX71" i="17"/>
  <c r="AX70" i="17"/>
  <c r="AX69" i="17"/>
  <c r="AX68" i="17"/>
  <c r="AX67" i="17"/>
  <c r="AX66" i="17"/>
  <c r="AX65" i="17"/>
  <c r="AX64" i="17"/>
  <c r="AX63" i="17"/>
  <c r="AX62" i="17"/>
  <c r="AX61" i="17"/>
  <c r="AX60" i="17"/>
  <c r="AX59" i="17"/>
  <c r="AX58" i="17"/>
  <c r="AX57" i="17"/>
  <c r="AX56" i="17"/>
  <c r="AX55" i="17"/>
  <c r="AX54" i="17"/>
  <c r="AX53" i="17"/>
  <c r="AX52" i="17"/>
  <c r="AX51" i="17"/>
  <c r="AX50" i="17"/>
  <c r="AX49" i="17"/>
  <c r="AX48" i="17"/>
  <c r="AX47" i="17"/>
  <c r="AX46" i="17"/>
  <c r="AX45" i="17"/>
  <c r="AX44" i="17"/>
  <c r="AX43" i="17"/>
  <c r="AX42" i="17"/>
  <c r="AX41" i="17"/>
  <c r="AX40" i="17"/>
  <c r="AX39" i="17"/>
  <c r="AX38" i="17"/>
  <c r="AX37" i="17"/>
  <c r="AX36" i="17"/>
  <c r="AX35" i="17"/>
  <c r="AX34" i="17"/>
  <c r="AX33" i="17"/>
  <c r="AX32" i="17"/>
  <c r="AX31" i="17"/>
  <c r="AX30" i="17"/>
  <c r="AX29" i="17"/>
  <c r="AX28" i="17"/>
  <c r="AX27" i="17"/>
  <c r="AX26" i="17"/>
  <c r="AX25" i="17"/>
  <c r="AX24" i="17"/>
  <c r="AX23" i="17"/>
  <c r="AX22" i="17"/>
  <c r="AX21" i="17"/>
  <c r="AX20" i="17"/>
  <c r="AX19" i="17"/>
  <c r="AX18" i="17"/>
  <c r="AX17" i="17"/>
  <c r="AX16" i="17"/>
  <c r="AX15" i="17"/>
  <c r="AX14" i="17"/>
  <c r="AX13" i="17"/>
  <c r="AX12" i="17"/>
  <c r="AX11" i="17"/>
  <c r="AX10" i="17"/>
  <c r="AU9" i="17"/>
  <c r="AU77" i="17"/>
  <c r="AU76" i="17"/>
  <c r="AU75" i="17"/>
  <c r="AU74" i="17"/>
  <c r="AU73" i="17"/>
  <c r="AU72" i="17"/>
  <c r="AU71" i="17"/>
  <c r="AU70" i="17"/>
  <c r="AU69" i="17"/>
  <c r="AU68" i="17"/>
  <c r="AU67" i="17"/>
  <c r="AU66" i="17"/>
  <c r="AU65" i="17"/>
  <c r="AU64" i="17"/>
  <c r="AU63" i="17"/>
  <c r="AU62" i="17"/>
  <c r="AU61" i="17"/>
  <c r="AU60" i="17"/>
  <c r="AU59" i="17"/>
  <c r="AU58" i="17"/>
  <c r="AU57" i="17"/>
  <c r="AU56" i="17"/>
  <c r="AU55" i="17"/>
  <c r="AU54" i="17"/>
  <c r="AU53" i="17"/>
  <c r="AU52" i="17"/>
  <c r="AU51" i="17"/>
  <c r="AU50" i="17"/>
  <c r="AU49" i="17"/>
  <c r="AU48" i="17"/>
  <c r="AU47" i="17"/>
  <c r="AU46" i="17"/>
  <c r="AU45" i="17"/>
  <c r="AU44" i="17"/>
  <c r="AU43" i="17"/>
  <c r="AU42" i="17"/>
  <c r="AU41" i="17"/>
  <c r="AU40" i="17"/>
  <c r="AU39" i="17"/>
  <c r="AU38" i="17"/>
  <c r="AU37" i="17"/>
  <c r="AU36" i="17"/>
  <c r="AU35" i="17"/>
  <c r="AU34" i="17"/>
  <c r="AU33" i="17"/>
  <c r="AU32" i="17"/>
  <c r="AU31" i="17"/>
  <c r="AU30" i="17"/>
  <c r="AU29" i="17"/>
  <c r="AU28" i="17"/>
  <c r="AU27" i="17"/>
  <c r="AU26" i="17"/>
  <c r="AU25" i="17"/>
  <c r="AU24" i="17"/>
  <c r="AU23" i="17"/>
  <c r="AU22" i="17"/>
  <c r="AU21" i="17"/>
  <c r="AU20" i="17"/>
  <c r="AU19" i="17"/>
  <c r="AU18" i="17"/>
  <c r="AU17" i="17"/>
  <c r="AU16" i="17"/>
  <c r="AU15" i="17"/>
  <c r="AU14" i="17"/>
  <c r="AU13" i="17"/>
  <c r="AU12" i="17"/>
  <c r="AU11" i="17"/>
  <c r="AU10" i="17"/>
  <c r="BA7" i="17"/>
  <c r="AZ7" i="17"/>
  <c r="AY7" i="17"/>
  <c r="T6" i="17"/>
  <c r="S6" i="17"/>
  <c r="P6" i="17"/>
  <c r="AF40" i="14" l="1"/>
  <c r="P9" i="12" l="1"/>
  <c r="AF9" i="12" l="1"/>
  <c r="AG9" i="12" s="1"/>
  <c r="AH9" i="12" s="1"/>
  <c r="AG10" i="12"/>
  <c r="AH10" i="12" s="1"/>
  <c r="AG8" i="12"/>
  <c r="AH8" i="12" s="1"/>
  <c r="AN10" i="12"/>
  <c r="AO10" i="12" s="1"/>
  <c r="N8" i="11"/>
  <c r="M8" i="11"/>
  <c r="L8" i="11"/>
  <c r="Z8" i="10"/>
  <c r="O8" i="10"/>
  <c r="V9" i="4"/>
  <c r="AO10" i="7" l="1"/>
  <c r="AO9" i="7"/>
  <c r="F96" i="7"/>
  <c r="F95" i="7"/>
  <c r="F94" i="7"/>
  <c r="P12" i="5" l="1"/>
  <c r="Q11" i="5"/>
  <c r="V10" i="4"/>
  <c r="W9" i="4"/>
  <c r="S10" i="4"/>
  <c r="T9" i="4"/>
  <c r="AY4" i="19" l="1"/>
  <c r="AN11" i="7"/>
  <c r="P4" i="10"/>
  <c r="P5" i="17" s="1"/>
  <c r="AY6" i="9"/>
  <c r="M10" i="4"/>
  <c r="N9" i="4"/>
  <c r="S4" i="10" l="1"/>
  <c r="S5" i="17" s="1"/>
  <c r="AY4" i="9"/>
  <c r="AN9" i="7"/>
  <c r="D27" i="20" l="1"/>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R83" i="1"/>
  <c r="K82" i="4" s="1"/>
  <c r="E17" i="13"/>
  <c r="E17" i="21" s="1"/>
  <c r="D35" i="13"/>
  <c r="D35" i="21" s="1"/>
  <c r="E18" i="13"/>
  <c r="E18" i="21" s="1"/>
  <c r="E28" i="13"/>
  <c r="E28" i="21" s="1"/>
  <c r="E38" i="13"/>
  <c r="E38" i="21" s="1"/>
  <c r="D19" i="13"/>
  <c r="D19" i="21" s="1"/>
  <c r="D28" i="13"/>
  <c r="D28" i="21" s="1"/>
  <c r="D36" i="13"/>
  <c r="D36" i="21" s="1"/>
  <c r="D34" i="13"/>
  <c r="D34" i="21" s="1"/>
  <c r="E19" i="13"/>
  <c r="E19" i="21" s="1"/>
  <c r="D20" i="13"/>
  <c r="D20" i="21" s="1"/>
  <c r="D37" i="13"/>
  <c r="D37" i="21" s="1"/>
  <c r="E26" i="13"/>
  <c r="E26" i="21" s="1"/>
  <c r="D18" i="13"/>
  <c r="D18" i="21" s="1"/>
  <c r="E20" i="13"/>
  <c r="E20" i="21" s="1"/>
  <c r="E30" i="13"/>
  <c r="E30" i="21" s="1"/>
  <c r="E21" i="13"/>
  <c r="E21" i="21" s="1"/>
  <c r="D21" i="13"/>
  <c r="D21" i="21" s="1"/>
  <c r="D30" i="13"/>
  <c r="D30" i="21" s="1"/>
  <c r="D38" i="13"/>
  <c r="D38" i="21" s="1"/>
  <c r="E36" i="13"/>
  <c r="E36" i="21" s="1"/>
  <c r="D26" i="13"/>
  <c r="D26" i="21" s="1"/>
  <c r="E31" i="13"/>
  <c r="E31" i="21" s="1"/>
  <c r="E23" i="13"/>
  <c r="E23" i="21" s="1"/>
  <c r="D22" i="13"/>
  <c r="D22" i="21" s="1"/>
  <c r="D31" i="13"/>
  <c r="D31" i="21" s="1"/>
  <c r="D39" i="13"/>
  <c r="D39" i="21" s="1"/>
  <c r="D25" i="13"/>
  <c r="D25" i="21" s="1"/>
  <c r="E37" i="13"/>
  <c r="E37" i="21" s="1"/>
  <c r="E39" i="13"/>
  <c r="E39" i="21" s="1"/>
  <c r="E22" i="13"/>
  <c r="E22" i="21" s="1"/>
  <c r="E24" i="13"/>
  <c r="E24" i="21" s="1"/>
  <c r="E32" i="13"/>
  <c r="E32" i="21" s="1"/>
  <c r="E33" i="13"/>
  <c r="E33" i="21" s="1"/>
  <c r="D23" i="13"/>
  <c r="D23" i="21" s="1"/>
  <c r="D32" i="13"/>
  <c r="D32" i="21" s="1"/>
  <c r="D27" i="13"/>
  <c r="D27" i="21" s="1"/>
  <c r="D17" i="13"/>
  <c r="D17" i="21" s="1"/>
  <c r="E27" i="13"/>
  <c r="E27" i="21" s="1"/>
  <c r="E29" i="13"/>
  <c r="E29" i="21" s="1"/>
  <c r="E25" i="13"/>
  <c r="E25" i="21" s="1"/>
  <c r="E35" i="13"/>
  <c r="E35" i="21" s="1"/>
  <c r="E34" i="13"/>
  <c r="E34" i="21" s="1"/>
  <c r="D24" i="13"/>
  <c r="D24" i="21" s="1"/>
  <c r="D33" i="13"/>
  <c r="D33" i="21" s="1"/>
  <c r="D29" i="13"/>
  <c r="D29" i="21" s="1"/>
  <c r="D15" i="2"/>
  <c r="D14" i="2"/>
  <c r="D41" i="21" l="1"/>
  <c r="E41" i="21"/>
  <c r="E49" i="2"/>
  <c r="J49" i="2"/>
  <c r="P49" i="2"/>
  <c r="Z49" i="2"/>
  <c r="G49" i="2"/>
  <c r="E41" i="13"/>
  <c r="U49" i="2"/>
  <c r="R49" i="2"/>
  <c r="W49" i="2"/>
  <c r="L49" i="2"/>
  <c r="I49" i="2"/>
  <c r="N49" i="2"/>
  <c r="O49" i="2"/>
  <c r="Y49" i="2"/>
  <c r="F49" i="2"/>
  <c r="T49" i="2"/>
  <c r="Q49" i="2"/>
  <c r="V49" i="2"/>
  <c r="K49" i="2"/>
  <c r="H49" i="2"/>
  <c r="M49" i="2"/>
  <c r="S49" i="2"/>
  <c r="X49" i="2"/>
  <c r="D16" i="2"/>
  <c r="D41" i="13"/>
  <c r="E16" i="2"/>
  <c r="R81" i="1"/>
  <c r="A10" i="11" l="1"/>
  <c r="A11" i="1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U77" i="17"/>
  <c r="S77" i="17"/>
  <c r="P77" i="17"/>
  <c r="U76" i="17"/>
  <c r="S76" i="17"/>
  <c r="P76" i="17"/>
  <c r="U75" i="17"/>
  <c r="S75" i="17"/>
  <c r="P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M77" i="17"/>
  <c r="L77" i="17"/>
  <c r="AH77" i="17" s="1"/>
  <c r="AZ77" i="17" s="1"/>
  <c r="K77" i="17"/>
  <c r="AG77" i="17" s="1"/>
  <c r="AY77" i="17" s="1"/>
  <c r="J77" i="17"/>
  <c r="M76" i="17"/>
  <c r="L76" i="17"/>
  <c r="AH76" i="17" s="1"/>
  <c r="AZ76" i="17" s="1"/>
  <c r="K76" i="17"/>
  <c r="AG76" i="17" s="1"/>
  <c r="AY76" i="17" s="1"/>
  <c r="J76" i="17"/>
  <c r="M75" i="17"/>
  <c r="L75" i="17"/>
  <c r="AH75" i="17" s="1"/>
  <c r="AZ75" i="17" s="1"/>
  <c r="K75" i="17"/>
  <c r="AG75" i="17" s="1"/>
  <c r="AY75" i="17" s="1"/>
  <c r="J75" i="17"/>
  <c r="L74" i="17"/>
  <c r="AH74" i="17" s="1"/>
  <c r="AZ74" i="17" s="1"/>
  <c r="K74" i="17"/>
  <c r="AG74" i="17" s="1"/>
  <c r="AY74" i="17" s="1"/>
  <c r="L73" i="17"/>
  <c r="AH73" i="17" s="1"/>
  <c r="AZ73" i="17" s="1"/>
  <c r="K73" i="17"/>
  <c r="AG73" i="17" s="1"/>
  <c r="AY73" i="17" s="1"/>
  <c r="L72" i="17"/>
  <c r="AH72" i="17" s="1"/>
  <c r="AZ72" i="17" s="1"/>
  <c r="K72" i="17"/>
  <c r="AG72" i="17" s="1"/>
  <c r="AY72" i="17" s="1"/>
  <c r="L71" i="17"/>
  <c r="AH71" i="17" s="1"/>
  <c r="AZ71" i="17" s="1"/>
  <c r="K71" i="17"/>
  <c r="AG71" i="17" s="1"/>
  <c r="AY71" i="17" s="1"/>
  <c r="L70" i="17"/>
  <c r="AH70" i="17" s="1"/>
  <c r="AZ70" i="17" s="1"/>
  <c r="K70" i="17"/>
  <c r="AG70" i="17" s="1"/>
  <c r="AY70" i="17" s="1"/>
  <c r="L69" i="17"/>
  <c r="AH69" i="17" s="1"/>
  <c r="AZ69" i="17" s="1"/>
  <c r="K69" i="17"/>
  <c r="AG69" i="17" s="1"/>
  <c r="AY69" i="17" s="1"/>
  <c r="M68" i="17"/>
  <c r="L68" i="17"/>
  <c r="AH68" i="17" s="1"/>
  <c r="AZ68" i="17" s="1"/>
  <c r="K68" i="17"/>
  <c r="AG68" i="17" s="1"/>
  <c r="AY68" i="17" s="1"/>
  <c r="J68" i="17"/>
  <c r="M67" i="17"/>
  <c r="L67" i="17"/>
  <c r="AH67" i="17" s="1"/>
  <c r="AZ67" i="17" s="1"/>
  <c r="K67" i="17"/>
  <c r="AG67" i="17" s="1"/>
  <c r="AY67" i="17" s="1"/>
  <c r="J67" i="17"/>
  <c r="M66" i="17"/>
  <c r="L66" i="17"/>
  <c r="AH66" i="17" s="1"/>
  <c r="AZ66" i="17" s="1"/>
  <c r="K66" i="17"/>
  <c r="AG66" i="17" s="1"/>
  <c r="AY66" i="17" s="1"/>
  <c r="J66" i="17"/>
  <c r="M65" i="17"/>
  <c r="L65" i="17"/>
  <c r="AH65" i="17" s="1"/>
  <c r="AZ65" i="17" s="1"/>
  <c r="K65" i="17"/>
  <c r="AG65" i="17" s="1"/>
  <c r="AY65" i="17" s="1"/>
  <c r="J65" i="17"/>
  <c r="M64" i="17"/>
  <c r="L64" i="17"/>
  <c r="AH64" i="17" s="1"/>
  <c r="AZ64" i="17" s="1"/>
  <c r="K64" i="17"/>
  <c r="AG64" i="17" s="1"/>
  <c r="AY64" i="17" s="1"/>
  <c r="J64" i="17"/>
  <c r="M63" i="17"/>
  <c r="L63" i="17"/>
  <c r="AH63" i="17" s="1"/>
  <c r="AZ63" i="17" s="1"/>
  <c r="K63" i="17"/>
  <c r="AG63" i="17" s="1"/>
  <c r="AY63" i="17" s="1"/>
  <c r="J63" i="17"/>
  <c r="M62" i="17"/>
  <c r="K62" i="17"/>
  <c r="AG62" i="17" s="1"/>
  <c r="AY62" i="17" s="1"/>
  <c r="J62" i="17"/>
  <c r="M61" i="17"/>
  <c r="K61" i="17"/>
  <c r="AG61" i="17" s="1"/>
  <c r="AY61" i="17" s="1"/>
  <c r="J61" i="17"/>
  <c r="M60" i="17"/>
  <c r="K60" i="17"/>
  <c r="AG60" i="17" s="1"/>
  <c r="AY60" i="17" s="1"/>
  <c r="J60" i="17"/>
  <c r="M59" i="17"/>
  <c r="K59" i="17"/>
  <c r="AG59" i="17" s="1"/>
  <c r="AY59" i="17" s="1"/>
  <c r="J59" i="17"/>
  <c r="M58" i="17"/>
  <c r="K58" i="17"/>
  <c r="AG58" i="17" s="1"/>
  <c r="AY58" i="17" s="1"/>
  <c r="J58" i="17"/>
  <c r="M57" i="17"/>
  <c r="K57" i="17"/>
  <c r="AG57" i="17" s="1"/>
  <c r="AY57" i="17" s="1"/>
  <c r="J57" i="17"/>
  <c r="M56" i="17"/>
  <c r="K56" i="17"/>
  <c r="AG56" i="17" s="1"/>
  <c r="AY56" i="17" s="1"/>
  <c r="J56" i="17"/>
  <c r="M55" i="17"/>
  <c r="K55" i="17"/>
  <c r="AG55" i="17" s="1"/>
  <c r="AY55" i="17" s="1"/>
  <c r="J55" i="17"/>
  <c r="M54" i="17"/>
  <c r="K54" i="17"/>
  <c r="AG54" i="17" s="1"/>
  <c r="AY54" i="17" s="1"/>
  <c r="J54" i="17"/>
  <c r="M53" i="17"/>
  <c r="K53" i="17"/>
  <c r="AG53" i="17" s="1"/>
  <c r="AY53" i="17" s="1"/>
  <c r="J53" i="17"/>
  <c r="M52" i="17"/>
  <c r="K52" i="17"/>
  <c r="AG52" i="17" s="1"/>
  <c r="AY52" i="17" s="1"/>
  <c r="J52" i="17"/>
  <c r="M51" i="17"/>
  <c r="K51" i="17"/>
  <c r="AG51" i="17" s="1"/>
  <c r="AY51" i="17" s="1"/>
  <c r="J51" i="17"/>
  <c r="M50" i="17"/>
  <c r="L50" i="17"/>
  <c r="AH50" i="17" s="1"/>
  <c r="AZ50" i="17" s="1"/>
  <c r="K50" i="17"/>
  <c r="AG50" i="17" s="1"/>
  <c r="AY50" i="17" s="1"/>
  <c r="J50" i="17"/>
  <c r="M49" i="17"/>
  <c r="L49" i="17"/>
  <c r="AH49" i="17" s="1"/>
  <c r="AZ49" i="17" s="1"/>
  <c r="K49" i="17"/>
  <c r="AG49" i="17" s="1"/>
  <c r="AY49" i="17" s="1"/>
  <c r="J49" i="17"/>
  <c r="M48" i="17"/>
  <c r="L48" i="17"/>
  <c r="AH48" i="17" s="1"/>
  <c r="AZ48" i="17" s="1"/>
  <c r="K48" i="17"/>
  <c r="AG48" i="17" s="1"/>
  <c r="AY48" i="17" s="1"/>
  <c r="J48" i="17"/>
  <c r="M47" i="17"/>
  <c r="L47" i="17"/>
  <c r="AH47" i="17" s="1"/>
  <c r="AZ47" i="17" s="1"/>
  <c r="K47" i="17"/>
  <c r="AG47" i="17" s="1"/>
  <c r="AY47" i="17" s="1"/>
  <c r="J47" i="17"/>
  <c r="M46" i="17"/>
  <c r="L46" i="17"/>
  <c r="AH46" i="17" s="1"/>
  <c r="AZ46" i="17" s="1"/>
  <c r="K46" i="17"/>
  <c r="AG46" i="17" s="1"/>
  <c r="AY46" i="17" s="1"/>
  <c r="J46" i="17"/>
  <c r="M45" i="17"/>
  <c r="L45" i="17"/>
  <c r="AH45" i="17" s="1"/>
  <c r="AZ45" i="17" s="1"/>
  <c r="K45" i="17"/>
  <c r="AG45" i="17" s="1"/>
  <c r="AY45" i="17" s="1"/>
  <c r="J45" i="17"/>
  <c r="M44" i="17"/>
  <c r="L44" i="17"/>
  <c r="AH44" i="17" s="1"/>
  <c r="AZ44" i="17" s="1"/>
  <c r="K44" i="17"/>
  <c r="AG44" i="17" s="1"/>
  <c r="AY44" i="17" s="1"/>
  <c r="J44" i="17"/>
  <c r="M43" i="17"/>
  <c r="L43" i="17"/>
  <c r="AH43" i="17" s="1"/>
  <c r="AZ43" i="17" s="1"/>
  <c r="K43" i="17"/>
  <c r="AG43" i="17" s="1"/>
  <c r="AY43" i="17" s="1"/>
  <c r="J43" i="17"/>
  <c r="M42" i="17"/>
  <c r="L42" i="17"/>
  <c r="AH42" i="17" s="1"/>
  <c r="AZ42" i="17" s="1"/>
  <c r="K42" i="17"/>
  <c r="AG42" i="17" s="1"/>
  <c r="AY42" i="17" s="1"/>
  <c r="J42" i="17"/>
  <c r="M41" i="17"/>
  <c r="L41" i="17"/>
  <c r="AH41" i="17" s="1"/>
  <c r="AZ41" i="17" s="1"/>
  <c r="K41" i="17"/>
  <c r="AG41" i="17" s="1"/>
  <c r="AY41" i="17" s="1"/>
  <c r="J41" i="17"/>
  <c r="M40" i="17"/>
  <c r="L40" i="17"/>
  <c r="AH40" i="17" s="1"/>
  <c r="AZ40" i="17" s="1"/>
  <c r="K40" i="17"/>
  <c r="AG40" i="17" s="1"/>
  <c r="AY40" i="17" s="1"/>
  <c r="J40" i="17"/>
  <c r="M39" i="17"/>
  <c r="L39" i="17"/>
  <c r="AH39" i="17" s="1"/>
  <c r="AZ39" i="17" s="1"/>
  <c r="K39" i="17"/>
  <c r="AG39" i="17" s="1"/>
  <c r="AY39" i="17" s="1"/>
  <c r="J39" i="17"/>
  <c r="M38" i="17"/>
  <c r="K38" i="17"/>
  <c r="AG38" i="17" s="1"/>
  <c r="AY38" i="17" s="1"/>
  <c r="J38" i="17"/>
  <c r="M37" i="17"/>
  <c r="K37" i="17"/>
  <c r="AG37" i="17" s="1"/>
  <c r="AY37" i="17" s="1"/>
  <c r="J37" i="17"/>
  <c r="M36" i="17"/>
  <c r="K36" i="17"/>
  <c r="AG36" i="17" s="1"/>
  <c r="AY36" i="17" s="1"/>
  <c r="J36" i="17"/>
  <c r="M35" i="17"/>
  <c r="K35" i="17"/>
  <c r="AG35" i="17" s="1"/>
  <c r="AY35" i="17" s="1"/>
  <c r="J35" i="17"/>
  <c r="M34" i="17"/>
  <c r="K34" i="17"/>
  <c r="AG34" i="17" s="1"/>
  <c r="AY34" i="17" s="1"/>
  <c r="J34" i="17"/>
  <c r="M33" i="17"/>
  <c r="K33" i="17"/>
  <c r="AG33" i="17" s="1"/>
  <c r="AY33" i="17" s="1"/>
  <c r="J33" i="17"/>
  <c r="M32" i="17"/>
  <c r="K32" i="17"/>
  <c r="AG32" i="17" s="1"/>
  <c r="AY32" i="17" s="1"/>
  <c r="J32" i="17"/>
  <c r="M31" i="17"/>
  <c r="K31" i="17"/>
  <c r="AG31" i="17" s="1"/>
  <c r="AY31" i="17" s="1"/>
  <c r="J31" i="17"/>
  <c r="M30" i="17"/>
  <c r="K30" i="17"/>
  <c r="AG30" i="17" s="1"/>
  <c r="AY30" i="17" s="1"/>
  <c r="J30" i="17"/>
  <c r="M29" i="17"/>
  <c r="K29" i="17"/>
  <c r="AG29" i="17" s="1"/>
  <c r="AY29" i="17" s="1"/>
  <c r="J29" i="17"/>
  <c r="M28" i="17"/>
  <c r="K28" i="17"/>
  <c r="AG28" i="17" s="1"/>
  <c r="AY28" i="17" s="1"/>
  <c r="J28" i="17"/>
  <c r="M27" i="17"/>
  <c r="K27" i="17"/>
  <c r="AG27" i="17" s="1"/>
  <c r="AY27" i="17" s="1"/>
  <c r="J27" i="17"/>
  <c r="L26" i="17"/>
  <c r="AH26" i="17" s="1"/>
  <c r="AZ26" i="17" s="1"/>
  <c r="K26" i="17"/>
  <c r="AG26" i="17" s="1"/>
  <c r="AY26" i="17" s="1"/>
  <c r="J26" i="17"/>
  <c r="L25" i="17"/>
  <c r="AH25" i="17" s="1"/>
  <c r="AZ25" i="17" s="1"/>
  <c r="K25" i="17"/>
  <c r="AG25" i="17" s="1"/>
  <c r="AY25" i="17" s="1"/>
  <c r="J25" i="17"/>
  <c r="M24" i="17"/>
  <c r="L24" i="17"/>
  <c r="AH24" i="17" s="1"/>
  <c r="AZ24" i="17" s="1"/>
  <c r="K24" i="17"/>
  <c r="AG24" i="17" s="1"/>
  <c r="AY24" i="17" s="1"/>
  <c r="J24" i="17"/>
  <c r="M23" i="17"/>
  <c r="L23" i="17"/>
  <c r="AH23" i="17" s="1"/>
  <c r="AZ23" i="17" s="1"/>
  <c r="K23" i="17"/>
  <c r="AG23" i="17" s="1"/>
  <c r="AY23" i="17" s="1"/>
  <c r="J23" i="17"/>
  <c r="M22" i="17"/>
  <c r="K22" i="17"/>
  <c r="AG22" i="17" s="1"/>
  <c r="AY22" i="17" s="1"/>
  <c r="M21" i="17"/>
  <c r="K21" i="17"/>
  <c r="AG21" i="17" s="1"/>
  <c r="AY21" i="17" s="1"/>
  <c r="M20" i="17"/>
  <c r="K20" i="17"/>
  <c r="AG20" i="17" s="1"/>
  <c r="AY20" i="17" s="1"/>
  <c r="J20" i="17"/>
  <c r="M19" i="17"/>
  <c r="K19" i="17"/>
  <c r="AG19" i="17" s="1"/>
  <c r="AY19" i="17" s="1"/>
  <c r="J19" i="17"/>
  <c r="M18" i="17"/>
  <c r="K18" i="17"/>
  <c r="AG18" i="17" s="1"/>
  <c r="AY18" i="17" s="1"/>
  <c r="J18" i="17"/>
  <c r="M17" i="17"/>
  <c r="K17" i="17"/>
  <c r="AG17" i="17" s="1"/>
  <c r="AY17" i="17" s="1"/>
  <c r="J17" i="17"/>
  <c r="M16" i="17"/>
  <c r="K16" i="17"/>
  <c r="AG16" i="17" s="1"/>
  <c r="AY16" i="17" s="1"/>
  <c r="J16" i="17"/>
  <c r="M15" i="17"/>
  <c r="K15" i="17"/>
  <c r="AG15" i="17" s="1"/>
  <c r="AY15" i="17" s="1"/>
  <c r="J15" i="17"/>
  <c r="M14" i="17"/>
  <c r="J14" i="17"/>
  <c r="M13" i="17"/>
  <c r="J13" i="17"/>
  <c r="M12" i="17"/>
  <c r="J12" i="17"/>
  <c r="M11" i="17"/>
  <c r="J11" i="17"/>
  <c r="M10" i="17"/>
  <c r="J10" i="17"/>
  <c r="L9" i="17"/>
  <c r="AH9" i="17" s="1"/>
  <c r="AZ9" i="17" s="1"/>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R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Z53" i="14" s="1"/>
  <c r="D16" i="14"/>
  <c r="BD11" i="12"/>
  <c r="BB11" i="12"/>
  <c r="AM9" i="12"/>
  <c r="AN9" i="12" s="1"/>
  <c r="AO9" i="12" s="1"/>
  <c r="H8" i="11"/>
  <c r="G8" i="11"/>
  <c r="AG9" i="17" l="1"/>
  <c r="AY9" i="17" s="1"/>
  <c r="U55" i="14"/>
  <c r="U57" i="14"/>
  <c r="Z56" i="14"/>
  <c r="AE56" i="14" s="1"/>
  <c r="Z54" i="14"/>
  <c r="AE54" i="14" s="1"/>
  <c r="Z55" i="14"/>
  <c r="U53" i="14"/>
  <c r="AE53" i="14"/>
  <c r="Z57" i="14"/>
  <c r="U56" i="14"/>
  <c r="U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E57" i="14" l="1"/>
  <c r="Z58" i="14"/>
  <c r="U58" i="14"/>
  <c r="AE55" i="14"/>
  <c r="B74" i="11"/>
  <c r="B28" i="11"/>
  <c r="B26" i="11"/>
  <c r="B24" i="11"/>
  <c r="B22" i="11"/>
  <c r="B20" i="11"/>
  <c r="B15" i="11"/>
  <c r="B16" i="11"/>
  <c r="B17" i="11"/>
  <c r="B18" i="11"/>
  <c r="B19" i="11"/>
  <c r="B14" i="11"/>
  <c r="AE58" i="14" l="1"/>
  <c r="AS86" i="9"/>
  <c r="AR86" i="9"/>
  <c r="AH86" i="9"/>
  <c r="AG86" i="9"/>
  <c r="AD92" i="9"/>
  <c r="AC92" i="9"/>
  <c r="AD91" i="9"/>
  <c r="AC91" i="9"/>
  <c r="AD90" i="9"/>
  <c r="AC90" i="9"/>
  <c r="AD89" i="9"/>
  <c r="AC89" i="9"/>
  <c r="AD88" i="9"/>
  <c r="AC88" i="9"/>
  <c r="AD85" i="9"/>
  <c r="AC85" i="9"/>
  <c r="AD84" i="9"/>
  <c r="AC84" i="9"/>
  <c r="AD83" i="9"/>
  <c r="AC83" i="9"/>
  <c r="AD82" i="9"/>
  <c r="AC82" i="9"/>
  <c r="AD81" i="9"/>
  <c r="AC81" i="9"/>
  <c r="AD78" i="9"/>
  <c r="AC78" i="9"/>
  <c r="AD77" i="9"/>
  <c r="AC77" i="9"/>
  <c r="AD76" i="9"/>
  <c r="AC76" i="9"/>
  <c r="AD75" i="9"/>
  <c r="AC75" i="9"/>
  <c r="AD74" i="9"/>
  <c r="AC74" i="9"/>
  <c r="AD71" i="9"/>
  <c r="AC71" i="9"/>
  <c r="AD70" i="9"/>
  <c r="AC70" i="9"/>
  <c r="AD69" i="9"/>
  <c r="AC69" i="9"/>
  <c r="AD68" i="9"/>
  <c r="AC68" i="9"/>
  <c r="AD67" i="9"/>
  <c r="AC67" i="9"/>
  <c r="AD64" i="9"/>
  <c r="AC64" i="9"/>
  <c r="AD63" i="9"/>
  <c r="AC63" i="9"/>
  <c r="AD62" i="9"/>
  <c r="AC62" i="9"/>
  <c r="AD61" i="9"/>
  <c r="AC61" i="9"/>
  <c r="AD60" i="9"/>
  <c r="AC60" i="9"/>
  <c r="AD57" i="9"/>
  <c r="AC57" i="9"/>
  <c r="AD56" i="9"/>
  <c r="AC56" i="9"/>
  <c r="AD55" i="9"/>
  <c r="AC55" i="9"/>
  <c r="AD54" i="9"/>
  <c r="AC54" i="9"/>
  <c r="AD53" i="9"/>
  <c r="AC53" i="9"/>
  <c r="AD50" i="9"/>
  <c r="AC50" i="9"/>
  <c r="AD49" i="9"/>
  <c r="AC49" i="9"/>
  <c r="AD48" i="9"/>
  <c r="AC48" i="9"/>
  <c r="AD47" i="9"/>
  <c r="AC47" i="9"/>
  <c r="AD46" i="9"/>
  <c r="AC46" i="9"/>
  <c r="AD43" i="9"/>
  <c r="AC43" i="9"/>
  <c r="AD42" i="9"/>
  <c r="AC42" i="9"/>
  <c r="AD41" i="9"/>
  <c r="AC41" i="9"/>
  <c r="AD40" i="9"/>
  <c r="AC40" i="9"/>
  <c r="AD39" i="9"/>
  <c r="AC39" i="9"/>
  <c r="AD36" i="9"/>
  <c r="AC36" i="9"/>
  <c r="AD33" i="9"/>
  <c r="AC33" i="9"/>
  <c r="AD30" i="9"/>
  <c r="AC30" i="9"/>
  <c r="AD27" i="9"/>
  <c r="AC27" i="9"/>
  <c r="AD24" i="9"/>
  <c r="AC24" i="9"/>
  <c r="AD21" i="9"/>
  <c r="Z92" i="9"/>
  <c r="Y92" i="9"/>
  <c r="Z91" i="9"/>
  <c r="Y91" i="9"/>
  <c r="Z90" i="9"/>
  <c r="Y90" i="9"/>
  <c r="Z89" i="9"/>
  <c r="Y89" i="9"/>
  <c r="Z88" i="9"/>
  <c r="Y88" i="9"/>
  <c r="Z85" i="9"/>
  <c r="Y85" i="9"/>
  <c r="Z84" i="9"/>
  <c r="Y84" i="9"/>
  <c r="Z83" i="9"/>
  <c r="Y83" i="9"/>
  <c r="Z82" i="9"/>
  <c r="Y82" i="9"/>
  <c r="Z81" i="9"/>
  <c r="Y81" i="9"/>
  <c r="Z78" i="9"/>
  <c r="Y78" i="9"/>
  <c r="Z77" i="9"/>
  <c r="Y77" i="9"/>
  <c r="Z76" i="9"/>
  <c r="Y76" i="9"/>
  <c r="Z75" i="9"/>
  <c r="Y75" i="9"/>
  <c r="Z74" i="9"/>
  <c r="Y74" i="9"/>
  <c r="Z71" i="9"/>
  <c r="Y71" i="9"/>
  <c r="Z70" i="9"/>
  <c r="Y70" i="9"/>
  <c r="Z69" i="9"/>
  <c r="Y69" i="9"/>
  <c r="Z68" i="9"/>
  <c r="Y68" i="9"/>
  <c r="Z67" i="9"/>
  <c r="Y67" i="9"/>
  <c r="Z64" i="9"/>
  <c r="Y64" i="9"/>
  <c r="Z63" i="9"/>
  <c r="Y63" i="9"/>
  <c r="Z62" i="9"/>
  <c r="Y62" i="9"/>
  <c r="Z61" i="9"/>
  <c r="Y61" i="9"/>
  <c r="Z60" i="9"/>
  <c r="Y60" i="9"/>
  <c r="Z57" i="9"/>
  <c r="Y57" i="9"/>
  <c r="Z56" i="9"/>
  <c r="Y56" i="9"/>
  <c r="Z55" i="9"/>
  <c r="Y55" i="9"/>
  <c r="Z54" i="9"/>
  <c r="Y54" i="9"/>
  <c r="Z53" i="9"/>
  <c r="Y53" i="9"/>
  <c r="Z50" i="9"/>
  <c r="Y50" i="9"/>
  <c r="Z49" i="9"/>
  <c r="Y49" i="9"/>
  <c r="Z48" i="9"/>
  <c r="Y48" i="9"/>
  <c r="Z47" i="9"/>
  <c r="Y47" i="9"/>
  <c r="Z46" i="9"/>
  <c r="Y46" i="9"/>
  <c r="Z43" i="9"/>
  <c r="Y43" i="9"/>
  <c r="Z42" i="9"/>
  <c r="Y42" i="9"/>
  <c r="Z41" i="9"/>
  <c r="Y41" i="9"/>
  <c r="Z40" i="9"/>
  <c r="Y40" i="9"/>
  <c r="Z39" i="9"/>
  <c r="Y39" i="9"/>
  <c r="Z36" i="9"/>
  <c r="Y36" i="9"/>
  <c r="Z33" i="9"/>
  <c r="Y33" i="9"/>
  <c r="Z30" i="9"/>
  <c r="Y30" i="9"/>
  <c r="AK30" i="9" s="1"/>
  <c r="Z27" i="9"/>
  <c r="Y27" i="9"/>
  <c r="Z24" i="9"/>
  <c r="Y24" i="9"/>
  <c r="Z21" i="9"/>
  <c r="T73" i="9"/>
  <c r="T66" i="9"/>
  <c r="T59" i="9"/>
  <c r="T52" i="9"/>
  <c r="T45" i="9"/>
  <c r="T38" i="9"/>
  <c r="V21" i="9"/>
  <c r="U21" i="9"/>
  <c r="Y21" i="9" s="1"/>
  <c r="B95" i="9"/>
  <c r="B96" i="9"/>
  <c r="B94" i="9"/>
  <c r="B87" i="9"/>
  <c r="B80" i="9"/>
  <c r="B73" i="9"/>
  <c r="B66" i="9"/>
  <c r="B59" i="9"/>
  <c r="B52" i="9"/>
  <c r="B45" i="9"/>
  <c r="B38" i="9"/>
  <c r="B32" i="9"/>
  <c r="AS34" i="9"/>
  <c r="AR34" i="9"/>
  <c r="AH34" i="9"/>
  <c r="AG34" i="9"/>
  <c r="B35" i="9"/>
  <c r="B29" i="9"/>
  <c r="B26" i="9"/>
  <c r="B23" i="9"/>
  <c r="AS25" i="9"/>
  <c r="AR25" i="9"/>
  <c r="AH25" i="9"/>
  <c r="AG25" i="9"/>
  <c r="B20" i="9"/>
  <c r="B15" i="9"/>
  <c r="B16" i="9"/>
  <c r="B17" i="9"/>
  <c r="B18" i="9"/>
  <c r="B19" i="9"/>
  <c r="B14" i="9"/>
  <c r="AL41" i="9" l="1"/>
  <c r="AL47" i="9"/>
  <c r="AL53" i="9"/>
  <c r="AL57" i="9"/>
  <c r="AL63" i="9"/>
  <c r="AL69" i="9"/>
  <c r="AL75" i="9"/>
  <c r="AL81" i="9"/>
  <c r="AL85" i="9"/>
  <c r="AL91" i="9"/>
  <c r="AK42" i="9"/>
  <c r="AK48" i="9"/>
  <c r="AK54" i="9"/>
  <c r="AK60" i="9"/>
  <c r="AK64" i="9"/>
  <c r="AK70" i="9"/>
  <c r="AK76" i="9"/>
  <c r="AK82" i="9"/>
  <c r="AK88" i="9"/>
  <c r="AK92" i="9"/>
  <c r="AL42" i="9"/>
  <c r="AL48" i="9"/>
  <c r="AL54" i="9"/>
  <c r="AL60" i="9"/>
  <c r="AL64" i="9"/>
  <c r="AL70" i="9"/>
  <c r="AL76" i="9"/>
  <c r="AL82" i="9"/>
  <c r="AL88" i="9"/>
  <c r="AL92" i="9"/>
  <c r="AK39" i="9"/>
  <c r="AK43" i="9"/>
  <c r="AK49" i="9"/>
  <c r="AK55" i="9"/>
  <c r="AK61" i="9"/>
  <c r="AK67" i="9"/>
  <c r="AK71" i="9"/>
  <c r="AK77" i="9"/>
  <c r="AK83" i="9"/>
  <c r="AK89" i="9"/>
  <c r="AL39" i="9"/>
  <c r="AL43" i="9"/>
  <c r="AL49" i="9"/>
  <c r="AL55" i="9"/>
  <c r="AL61" i="9"/>
  <c r="AL67" i="9"/>
  <c r="AL71" i="9"/>
  <c r="AL77" i="9"/>
  <c r="AL83" i="9"/>
  <c r="AL89" i="9"/>
  <c r="AK40" i="9"/>
  <c r="AK46" i="9"/>
  <c r="AK50" i="9"/>
  <c r="AK56" i="9"/>
  <c r="AK62" i="9"/>
  <c r="AK68" i="9"/>
  <c r="AK74" i="9"/>
  <c r="AK78" i="9"/>
  <c r="AK84" i="9"/>
  <c r="AK90" i="9"/>
  <c r="AL40" i="9"/>
  <c r="AL46" i="9"/>
  <c r="AL50" i="9"/>
  <c r="AL56" i="9"/>
  <c r="AL62" i="9"/>
  <c r="AL68" i="9"/>
  <c r="AL74" i="9"/>
  <c r="AL78" i="9"/>
  <c r="AL84" i="9"/>
  <c r="AL90" i="9"/>
  <c r="AK41" i="9"/>
  <c r="AK47" i="9"/>
  <c r="AK53" i="9"/>
  <c r="AK57" i="9"/>
  <c r="AK63" i="9"/>
  <c r="AK69" i="9"/>
  <c r="AK75" i="9"/>
  <c r="AK81" i="9"/>
  <c r="AK85" i="9"/>
  <c r="AK91" i="9"/>
  <c r="AL24" i="9"/>
  <c r="AL36" i="9"/>
  <c r="AK24" i="9"/>
  <c r="AK36" i="9"/>
  <c r="AK27" i="9"/>
  <c r="AL27" i="9"/>
  <c r="AL30" i="9"/>
  <c r="AK33" i="9"/>
  <c r="AL21" i="9"/>
  <c r="AL33" i="9"/>
  <c r="AC21" i="9"/>
  <c r="AK21" i="9" s="1"/>
  <c r="AH3" i="7"/>
  <c r="AG3" i="7"/>
  <c r="AD3" i="7"/>
  <c r="AC3" i="7"/>
  <c r="Z3" i="7"/>
  <c r="Y3" i="7"/>
  <c r="V3" i="7"/>
  <c r="U3" i="7"/>
  <c r="R3" i="7"/>
  <c r="Q3" i="7"/>
  <c r="J96" i="7"/>
  <c r="T96" i="7" s="1"/>
  <c r="J95" i="7"/>
  <c r="T95" i="7" s="1"/>
  <c r="J94" i="7"/>
  <c r="T94" i="7" s="1"/>
  <c r="J92" i="7"/>
  <c r="J91" i="7"/>
  <c r="J90" i="7"/>
  <c r="J89" i="7"/>
  <c r="J88" i="7"/>
  <c r="J87" i="7"/>
  <c r="J85" i="7"/>
  <c r="J84" i="7"/>
  <c r="J83" i="7"/>
  <c r="J82" i="7"/>
  <c r="J81" i="7"/>
  <c r="J80" i="7"/>
  <c r="J78" i="7"/>
  <c r="J77" i="7"/>
  <c r="J76" i="7"/>
  <c r="J75" i="7"/>
  <c r="J74" i="7"/>
  <c r="J73" i="7"/>
  <c r="J71" i="7"/>
  <c r="J70" i="7"/>
  <c r="J69" i="7"/>
  <c r="J68" i="7"/>
  <c r="J67" i="7"/>
  <c r="J66" i="7"/>
  <c r="J64" i="7"/>
  <c r="J63" i="7"/>
  <c r="J62" i="7"/>
  <c r="J61" i="7"/>
  <c r="J60" i="7"/>
  <c r="J59" i="7"/>
  <c r="J57" i="7"/>
  <c r="J56" i="7"/>
  <c r="J55" i="7"/>
  <c r="J54" i="7"/>
  <c r="J53" i="7"/>
  <c r="J52" i="7"/>
  <c r="J50" i="7"/>
  <c r="J49" i="7"/>
  <c r="J48" i="7"/>
  <c r="J47" i="7"/>
  <c r="J46" i="7"/>
  <c r="J45" i="7"/>
  <c r="J43" i="7"/>
  <c r="J42" i="7"/>
  <c r="J41" i="7"/>
  <c r="J40" i="7"/>
  <c r="J39" i="7"/>
  <c r="J38" i="7"/>
  <c r="J36" i="7"/>
  <c r="J35" i="7"/>
  <c r="J33" i="7"/>
  <c r="J32" i="7"/>
  <c r="J30" i="7"/>
  <c r="J29" i="7"/>
  <c r="J27" i="7"/>
  <c r="J26" i="7"/>
  <c r="J24" i="7"/>
  <c r="J23" i="7"/>
  <c r="J21" i="7"/>
  <c r="J20" i="7"/>
  <c r="J19" i="7"/>
  <c r="J18" i="7"/>
  <c r="J17" i="7"/>
  <c r="J16" i="7"/>
  <c r="J15" i="7"/>
  <c r="J14" i="7"/>
  <c r="L96" i="7"/>
  <c r="L95" i="7"/>
  <c r="L94" i="7"/>
  <c r="N92" i="7"/>
  <c r="M92" i="7"/>
  <c r="L92" i="7"/>
  <c r="N91" i="7"/>
  <c r="M91" i="7"/>
  <c r="L91" i="7"/>
  <c r="N90" i="7"/>
  <c r="M90" i="7"/>
  <c r="L90" i="7"/>
  <c r="N89" i="7"/>
  <c r="M89" i="7"/>
  <c r="L89" i="7"/>
  <c r="N88" i="7"/>
  <c r="M88" i="7"/>
  <c r="L88" i="7"/>
  <c r="L87" i="7"/>
  <c r="N85" i="7"/>
  <c r="M85" i="7"/>
  <c r="L85" i="7"/>
  <c r="N84" i="7"/>
  <c r="M84" i="7"/>
  <c r="L84" i="7"/>
  <c r="N83" i="7"/>
  <c r="M83" i="7"/>
  <c r="L83" i="7"/>
  <c r="N82" i="7"/>
  <c r="M82" i="7"/>
  <c r="L82" i="7"/>
  <c r="N81" i="7"/>
  <c r="M81" i="7"/>
  <c r="L81" i="7"/>
  <c r="L80" i="7"/>
  <c r="N78" i="7"/>
  <c r="M78" i="7"/>
  <c r="L78" i="7"/>
  <c r="N77" i="7"/>
  <c r="M77" i="7"/>
  <c r="L77" i="7"/>
  <c r="N76" i="7"/>
  <c r="M76" i="7"/>
  <c r="L76" i="7"/>
  <c r="N75" i="7"/>
  <c r="M75" i="7"/>
  <c r="L75" i="7"/>
  <c r="N74" i="7"/>
  <c r="M74" i="7"/>
  <c r="L74" i="7"/>
  <c r="L73" i="7"/>
  <c r="N71" i="7"/>
  <c r="M71" i="7"/>
  <c r="L71" i="7"/>
  <c r="N70" i="7"/>
  <c r="M70" i="7"/>
  <c r="L70" i="7"/>
  <c r="N69" i="7"/>
  <c r="M69" i="7"/>
  <c r="L69" i="7"/>
  <c r="N68" i="7"/>
  <c r="M68" i="7"/>
  <c r="L68" i="7"/>
  <c r="N67" i="7"/>
  <c r="M67" i="7"/>
  <c r="L67" i="7"/>
  <c r="L66" i="7"/>
  <c r="N64" i="7"/>
  <c r="M64" i="7"/>
  <c r="L64" i="7"/>
  <c r="N63" i="7"/>
  <c r="M63" i="7"/>
  <c r="L63" i="7"/>
  <c r="N62" i="7"/>
  <c r="M62" i="7"/>
  <c r="L62" i="7"/>
  <c r="N61" i="7"/>
  <c r="M61" i="7"/>
  <c r="L61" i="7"/>
  <c r="N60" i="7"/>
  <c r="M60" i="7"/>
  <c r="L60" i="7"/>
  <c r="L59" i="7"/>
  <c r="N57" i="7"/>
  <c r="M57" i="7"/>
  <c r="L57" i="7"/>
  <c r="N56" i="7"/>
  <c r="M56" i="7"/>
  <c r="L56" i="7"/>
  <c r="N55" i="7"/>
  <c r="M55" i="7"/>
  <c r="L55" i="7"/>
  <c r="N54" i="7"/>
  <c r="M54" i="7"/>
  <c r="L54" i="7"/>
  <c r="N53" i="7"/>
  <c r="M53" i="7"/>
  <c r="L53" i="7"/>
  <c r="L52" i="7"/>
  <c r="N50" i="7"/>
  <c r="M50" i="7"/>
  <c r="L50" i="7"/>
  <c r="N49" i="7"/>
  <c r="M49" i="7"/>
  <c r="L49" i="7"/>
  <c r="N48" i="7"/>
  <c r="M48" i="7"/>
  <c r="L48" i="7"/>
  <c r="N47" i="7"/>
  <c r="M47" i="7"/>
  <c r="L47" i="7"/>
  <c r="N46" i="7"/>
  <c r="M46" i="7"/>
  <c r="L46" i="7"/>
  <c r="L45" i="7"/>
  <c r="N43" i="7"/>
  <c r="M43" i="7"/>
  <c r="L43" i="7"/>
  <c r="N42" i="7"/>
  <c r="M42" i="7"/>
  <c r="L42" i="7"/>
  <c r="N41" i="7"/>
  <c r="M41" i="7"/>
  <c r="L41" i="7"/>
  <c r="N40" i="7"/>
  <c r="M40" i="7"/>
  <c r="L40" i="7"/>
  <c r="N39" i="7"/>
  <c r="M39" i="7"/>
  <c r="L39" i="7"/>
  <c r="L38" i="7"/>
  <c r="N36" i="7"/>
  <c r="M36" i="7"/>
  <c r="L36" i="7"/>
  <c r="L35" i="7"/>
  <c r="N33" i="7"/>
  <c r="M33" i="7"/>
  <c r="L33" i="7"/>
  <c r="L32" i="7"/>
  <c r="N30" i="7"/>
  <c r="M30" i="7"/>
  <c r="L30" i="7"/>
  <c r="L29" i="7"/>
  <c r="N27" i="7"/>
  <c r="M27" i="7"/>
  <c r="L27" i="7"/>
  <c r="L26" i="7"/>
  <c r="N24" i="7"/>
  <c r="M24" i="7"/>
  <c r="L24" i="7"/>
  <c r="L23" i="7"/>
  <c r="N21" i="7"/>
  <c r="M21" i="7"/>
  <c r="L21" i="7"/>
  <c r="L20" i="7"/>
  <c r="L19" i="7"/>
  <c r="L18" i="7"/>
  <c r="L17" i="7"/>
  <c r="L16" i="7"/>
  <c r="L15" i="7"/>
  <c r="L14" i="7"/>
  <c r="C95" i="7"/>
  <c r="C96" i="7"/>
  <c r="C94" i="7"/>
  <c r="AH86" i="7"/>
  <c r="AG86" i="7"/>
  <c r="AD86" i="7"/>
  <c r="AC86" i="7"/>
  <c r="Z86" i="7"/>
  <c r="Y86" i="7"/>
  <c r="V86" i="7"/>
  <c r="U86" i="7"/>
  <c r="R86" i="7"/>
  <c r="Q86" i="7"/>
  <c r="AH34" i="7"/>
  <c r="AG34" i="7"/>
  <c r="AD34" i="7"/>
  <c r="AC34" i="7"/>
  <c r="Z34" i="7"/>
  <c r="Y34" i="7"/>
  <c r="V34" i="7"/>
  <c r="U34" i="7"/>
  <c r="R34" i="7"/>
  <c r="Q34" i="7"/>
  <c r="AH25" i="7"/>
  <c r="AG25" i="7"/>
  <c r="AD25" i="7"/>
  <c r="AC25" i="7"/>
  <c r="Z25" i="7"/>
  <c r="Y25" i="7"/>
  <c r="V25" i="7"/>
  <c r="U25" i="7"/>
  <c r="R25" i="7"/>
  <c r="Q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J36" i="14" l="1"/>
  <c r="K36" i="14" s="1"/>
  <c r="J37" i="21"/>
  <c r="K37" i="21" s="1"/>
  <c r="J37" i="14"/>
  <c r="K37" i="14" s="1"/>
  <c r="J38" i="21"/>
  <c r="K38" i="21" s="1"/>
  <c r="J38" i="14"/>
  <c r="K38" i="14" s="1"/>
  <c r="J39" i="21"/>
  <c r="K39" i="21" s="1"/>
  <c r="AG40" i="6"/>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P19" i="9"/>
  <c r="P19" i="19"/>
  <c r="P23" i="9"/>
  <c r="P23" i="19"/>
  <c r="P29" i="9"/>
  <c r="P29" i="19"/>
  <c r="Z29" i="19" s="1"/>
  <c r="Z31" i="19" s="1"/>
  <c r="P35" i="9"/>
  <c r="P35" i="19"/>
  <c r="P95" i="9"/>
  <c r="P95" i="19"/>
  <c r="Q19" i="9"/>
  <c r="Q19" i="19"/>
  <c r="AD19" i="19" s="1"/>
  <c r="AL19" i="19" s="1"/>
  <c r="Z14" i="19"/>
  <c r="Z20" i="19"/>
  <c r="Z22" i="19" s="1"/>
  <c r="Q35" i="9"/>
  <c r="Q35" i="19"/>
  <c r="AD35" i="19" s="1"/>
  <c r="AD18" i="19"/>
  <c r="O15" i="19"/>
  <c r="AD15" i="6"/>
  <c r="Q23" i="9"/>
  <c r="Q23" i="19"/>
  <c r="AD23" i="19" s="1"/>
  <c r="Z16" i="19"/>
  <c r="P14" i="9"/>
  <c r="P14" i="19"/>
  <c r="P16" i="9"/>
  <c r="P16" i="19"/>
  <c r="P18" i="9"/>
  <c r="P18" i="19"/>
  <c r="Z18" i="19" s="1"/>
  <c r="AL18" i="19" s="1"/>
  <c r="P20" i="9"/>
  <c r="P20" i="19"/>
  <c r="P26" i="9"/>
  <c r="P26" i="19"/>
  <c r="Z26" i="19" s="1"/>
  <c r="Z28" i="19" s="1"/>
  <c r="P32" i="9"/>
  <c r="P32" i="19"/>
  <c r="Z32" i="19" s="1"/>
  <c r="Z34" i="19" s="1"/>
  <c r="P80" i="9"/>
  <c r="P80" i="19"/>
  <c r="Z80" i="19" s="1"/>
  <c r="Z86" i="19" s="1"/>
  <c r="P96" i="9"/>
  <c r="P96" i="19"/>
  <c r="Z96" i="19" s="1"/>
  <c r="AL96" i="19" s="1"/>
  <c r="Q17" i="9"/>
  <c r="Q17" i="19"/>
  <c r="AD17" i="19" s="1"/>
  <c r="AL17" i="19" s="1"/>
  <c r="Q95" i="9"/>
  <c r="Q95" i="19"/>
  <c r="AD95" i="19" s="1"/>
  <c r="AL95" i="19" s="1"/>
  <c r="AD14" i="19"/>
  <c r="Q14" i="9"/>
  <c r="Q14" i="19"/>
  <c r="Q16" i="9"/>
  <c r="Q16" i="19"/>
  <c r="AD16" i="19" s="1"/>
  <c r="AL16" i="19" s="1"/>
  <c r="Q18" i="9"/>
  <c r="Q18" i="19"/>
  <c r="Q20" i="9"/>
  <c r="Q20" i="19"/>
  <c r="AD20" i="19" s="1"/>
  <c r="Q26" i="9"/>
  <c r="Q26" i="19"/>
  <c r="AD26" i="19" s="1"/>
  <c r="Q32" i="9"/>
  <c r="Q32" i="19"/>
  <c r="AD32" i="19" s="1"/>
  <c r="Q80" i="9"/>
  <c r="Q80" i="19"/>
  <c r="AD80" i="19" s="1"/>
  <c r="Q96" i="9"/>
  <c r="Q96" i="19"/>
  <c r="AD96" i="19" s="1"/>
  <c r="Q15" i="9"/>
  <c r="Q15" i="19"/>
  <c r="Q29" i="9"/>
  <c r="Q29" i="19"/>
  <c r="AD29" i="19" s="1"/>
  <c r="Z17" i="19"/>
  <c r="Z19" i="19"/>
  <c r="Z23" i="19"/>
  <c r="Z25" i="19" s="1"/>
  <c r="Z35" i="19"/>
  <c r="Z37" i="19" s="1"/>
  <c r="Z95" i="19"/>
  <c r="AQ93" i="19"/>
  <c r="AQ86" i="19"/>
  <c r="AQ31" i="19"/>
  <c r="AQ96" i="19"/>
  <c r="AF96" i="19"/>
  <c r="AQ95" i="19"/>
  <c r="AF95" i="19"/>
  <c r="U16" i="9"/>
  <c r="M16" i="7"/>
  <c r="U17" i="9"/>
  <c r="M17" i="7"/>
  <c r="U87" i="9"/>
  <c r="M87" i="7"/>
  <c r="U80" i="9"/>
  <c r="M80" i="7"/>
  <c r="S14" i="9"/>
  <c r="AQ14" i="9" s="1"/>
  <c r="K14" i="7"/>
  <c r="U18" i="9"/>
  <c r="M18" i="7"/>
  <c r="U38" i="9"/>
  <c r="M38" i="7"/>
  <c r="U94" i="9"/>
  <c r="M94" i="7"/>
  <c r="U19" i="9"/>
  <c r="M19" i="7"/>
  <c r="U45" i="9"/>
  <c r="M45" i="7"/>
  <c r="U95" i="9"/>
  <c r="M95" i="7"/>
  <c r="S19" i="9"/>
  <c r="AQ19" i="9" s="1"/>
  <c r="K19" i="7"/>
  <c r="U20" i="9"/>
  <c r="M20" i="7"/>
  <c r="U52" i="9"/>
  <c r="M52" i="7"/>
  <c r="U96" i="9"/>
  <c r="M96" i="7"/>
  <c r="S15" i="9"/>
  <c r="AQ15" i="9" s="1"/>
  <c r="K15" i="7"/>
  <c r="S18" i="9"/>
  <c r="AQ18" i="9" s="1"/>
  <c r="K18" i="7"/>
  <c r="U23" i="9"/>
  <c r="M23" i="7"/>
  <c r="U59" i="9"/>
  <c r="M59" i="7"/>
  <c r="S17" i="9"/>
  <c r="AQ17" i="9" s="1"/>
  <c r="K17" i="7"/>
  <c r="U14" i="9"/>
  <c r="M14" i="7"/>
  <c r="U26" i="9"/>
  <c r="M26" i="7"/>
  <c r="S16" i="9"/>
  <c r="AQ16" i="9" s="1"/>
  <c r="K16" i="7"/>
  <c r="U15" i="9"/>
  <c r="M15" i="7"/>
  <c r="U29" i="9"/>
  <c r="M29" i="7"/>
  <c r="S92" i="9"/>
  <c r="AQ92" i="9" s="1"/>
  <c r="K92" i="7"/>
  <c r="S91" i="9"/>
  <c r="AQ91" i="9" s="1"/>
  <c r="K91" i="7"/>
  <c r="S80" i="9"/>
  <c r="AQ80" i="9" s="1"/>
  <c r="K80" i="7"/>
  <c r="S21" i="9"/>
  <c r="AQ21" i="9" s="1"/>
  <c r="K21" i="7"/>
  <c r="S85" i="9"/>
  <c r="AQ85" i="9" s="1"/>
  <c r="K85" i="7"/>
  <c r="S90" i="9"/>
  <c r="AQ90" i="9" s="1"/>
  <c r="K90" i="7"/>
  <c r="S23" i="9"/>
  <c r="AQ23" i="9" s="1"/>
  <c r="K23" i="7"/>
  <c r="S84" i="9"/>
  <c r="AQ84" i="9" s="1"/>
  <c r="K84" i="7"/>
  <c r="S89" i="9"/>
  <c r="AQ89" i="9" s="1"/>
  <c r="K89" i="7"/>
  <c r="S20" i="9"/>
  <c r="AQ20" i="9" s="1"/>
  <c r="K20" i="7"/>
  <c r="S24" i="9"/>
  <c r="AQ24" i="9" s="1"/>
  <c r="K24" i="7"/>
  <c r="S83" i="9"/>
  <c r="AQ83" i="9" s="1"/>
  <c r="K83" i="7"/>
  <c r="S88" i="9"/>
  <c r="AQ88" i="9" s="1"/>
  <c r="K88" i="7"/>
  <c r="S87" i="9"/>
  <c r="AQ87" i="9" s="1"/>
  <c r="K87" i="7"/>
  <c r="S29" i="9"/>
  <c r="AQ29" i="9" s="1"/>
  <c r="K29" i="7"/>
  <c r="S82" i="9"/>
  <c r="AQ82" i="9" s="1"/>
  <c r="K82" i="7"/>
  <c r="S30" i="9"/>
  <c r="AQ30" i="9" s="1"/>
  <c r="K30" i="7"/>
  <c r="S81" i="9"/>
  <c r="AQ81" i="9" s="1"/>
  <c r="K81" i="7"/>
  <c r="S95" i="9"/>
  <c r="AQ95" i="9" s="1"/>
  <c r="K95" i="7"/>
  <c r="AB95" i="7" s="1"/>
  <c r="S96" i="9"/>
  <c r="AQ96" i="9" s="1"/>
  <c r="K96" i="7"/>
  <c r="AB96" i="7" s="1"/>
  <c r="S33" i="9"/>
  <c r="AQ33" i="9" s="1"/>
  <c r="K33" i="7"/>
  <c r="S32" i="9"/>
  <c r="AQ32" i="9" s="1"/>
  <c r="K32" i="7"/>
  <c r="U35" i="9"/>
  <c r="M35" i="7"/>
  <c r="U32" i="9"/>
  <c r="M32" i="7"/>
  <c r="N80" i="9"/>
  <c r="Y80" i="6"/>
  <c r="O80" i="9"/>
  <c r="AD80" i="9" s="1"/>
  <c r="AD80" i="6"/>
  <c r="N18" i="9"/>
  <c r="Y18" i="6"/>
  <c r="O32" i="9"/>
  <c r="AD32" i="9" s="1"/>
  <c r="AD32" i="6"/>
  <c r="N26" i="9"/>
  <c r="Z26" i="9" s="1"/>
  <c r="Y26" i="6"/>
  <c r="O26" i="9"/>
  <c r="AD26" i="9" s="1"/>
  <c r="AD26" i="6"/>
  <c r="N14" i="9"/>
  <c r="Z14" i="9" s="1"/>
  <c r="Y14" i="6"/>
  <c r="N20" i="9"/>
  <c r="Z20" i="9" s="1"/>
  <c r="Y20" i="6"/>
  <c r="O18" i="9"/>
  <c r="AD18" i="9" s="1"/>
  <c r="AD18" i="6"/>
  <c r="N15" i="9"/>
  <c r="Z15" i="9" s="1"/>
  <c r="Y15" i="6"/>
  <c r="N17" i="9"/>
  <c r="Z17" i="9" s="1"/>
  <c r="Y17" i="6"/>
  <c r="N19" i="9"/>
  <c r="Z19" i="9" s="1"/>
  <c r="Y19" i="6"/>
  <c r="N23" i="9"/>
  <c r="Y23" i="6"/>
  <c r="N29" i="9"/>
  <c r="Z29" i="9" s="1"/>
  <c r="Y29" i="6"/>
  <c r="N35" i="9"/>
  <c r="Z35" i="9" s="1"/>
  <c r="Y35" i="6"/>
  <c r="N95" i="9"/>
  <c r="Z95" i="9" s="1"/>
  <c r="Y95" i="6"/>
  <c r="N32" i="9"/>
  <c r="Y32" i="6"/>
  <c r="O16" i="9"/>
  <c r="AD16" i="6"/>
  <c r="O96" i="9"/>
  <c r="AD96" i="6"/>
  <c r="O15" i="9"/>
  <c r="AD15" i="9" s="1"/>
  <c r="O17" i="9"/>
  <c r="AD17" i="9" s="1"/>
  <c r="AD17" i="6"/>
  <c r="O19" i="9"/>
  <c r="AD19" i="9" s="1"/>
  <c r="AD19" i="6"/>
  <c r="O23" i="9"/>
  <c r="AD23" i="9" s="1"/>
  <c r="AD23" i="6"/>
  <c r="O29" i="9"/>
  <c r="AD29" i="9" s="1"/>
  <c r="AD29" i="6"/>
  <c r="O35" i="9"/>
  <c r="AD35" i="9" s="1"/>
  <c r="AD35" i="6"/>
  <c r="O95" i="9"/>
  <c r="AD95" i="9" s="1"/>
  <c r="AD95" i="6"/>
  <c r="N16" i="9"/>
  <c r="Z16" i="9" s="1"/>
  <c r="Y16" i="6"/>
  <c r="N96" i="9"/>
  <c r="Z96" i="9" s="1"/>
  <c r="Y96" i="6"/>
  <c r="O14" i="9"/>
  <c r="AD14" i="9" s="1"/>
  <c r="AD14" i="6"/>
  <c r="O20" i="9"/>
  <c r="AD20" i="6"/>
  <c r="AD22" i="19" l="1"/>
  <c r="AL20" i="19"/>
  <c r="AL22" i="19" s="1"/>
  <c r="AD86" i="19"/>
  <c r="AL80" i="19"/>
  <c r="AL86" i="19" s="1"/>
  <c r="AL35" i="19"/>
  <c r="AL37" i="19" s="1"/>
  <c r="AD37" i="19"/>
  <c r="AL29" i="19"/>
  <c r="AL31" i="19" s="1"/>
  <c r="AD31" i="19"/>
  <c r="AD34" i="19"/>
  <c r="AL32" i="19"/>
  <c r="AL34" i="19" s="1"/>
  <c r="AL26" i="19"/>
  <c r="AL28" i="19" s="1"/>
  <c r="AD28" i="19"/>
  <c r="AD25" i="19"/>
  <c r="AL23" i="19"/>
  <c r="AL25" i="19" s="1"/>
  <c r="AL14" i="19"/>
  <c r="AD20" i="9"/>
  <c r="Z80" i="9"/>
  <c r="Z86" i="9" s="1"/>
  <c r="AD15" i="19"/>
  <c r="AL15" i="19" s="1"/>
  <c r="AD96" i="9"/>
  <c r="Z18" i="9"/>
  <c r="AD37" i="14"/>
  <c r="AE38" i="21"/>
  <c r="AD38" i="14"/>
  <c r="AE39" i="21"/>
  <c r="AQ93" i="9"/>
  <c r="AQ34" i="9"/>
  <c r="AH29" i="6"/>
  <c r="AH15" i="6"/>
  <c r="AQ25" i="9"/>
  <c r="AL15" i="9"/>
  <c r="AL29" i="9"/>
  <c r="AQ86" i="9"/>
  <c r="AL14" i="9"/>
  <c r="AL35" i="9"/>
  <c r="AL26" i="9"/>
  <c r="AL96" i="9"/>
  <c r="AL19" i="9"/>
  <c r="AL80" i="9"/>
  <c r="AL86" i="9" s="1"/>
  <c r="AD86" i="9"/>
  <c r="AL20" i="9"/>
  <c r="AL95" i="9"/>
  <c r="AL17" i="9"/>
  <c r="Z32" i="9"/>
  <c r="AL32" i="9" s="1"/>
  <c r="AL34" i="9" s="1"/>
  <c r="Z23" i="9"/>
  <c r="AL23" i="9" s="1"/>
  <c r="AL25" i="9" s="1"/>
  <c r="AL18" i="9"/>
  <c r="AH32" i="6"/>
  <c r="AH26" i="6"/>
  <c r="AH80" i="6"/>
  <c r="AH14" i="6"/>
  <c r="AH35" i="6"/>
  <c r="AH17" i="6"/>
  <c r="AH18" i="6"/>
  <c r="AH23" i="6"/>
  <c r="AD34" i="9"/>
  <c r="AH96" i="6"/>
  <c r="AD25" i="9"/>
  <c r="AH19" i="6"/>
  <c r="AH16" i="6"/>
  <c r="AH20" i="6"/>
  <c r="AH95" i="6"/>
  <c r="AD81" i="10"/>
  <c r="AD80" i="10"/>
  <c r="AD79" i="10"/>
  <c r="AE73" i="10"/>
  <c r="AD73" i="10"/>
  <c r="AD67" i="10"/>
  <c r="AD61" i="10"/>
  <c r="AD55" i="10"/>
  <c r="AD49" i="10"/>
  <c r="AD43" i="10"/>
  <c r="AD37" i="10"/>
  <c r="AD31" i="10"/>
  <c r="AD29" i="10"/>
  <c r="AD27" i="10"/>
  <c r="AD25" i="10"/>
  <c r="AD23" i="10"/>
  <c r="AD21" i="10"/>
  <c r="AD19" i="10"/>
  <c r="AD18" i="10"/>
  <c r="AD17" i="10"/>
  <c r="AD16" i="10"/>
  <c r="AD15" i="10"/>
  <c r="AD14" i="10"/>
  <c r="AD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X87" i="6" l="1"/>
  <c r="X93" i="6" s="1"/>
  <c r="L87" i="19"/>
  <c r="Y87" i="19" s="1"/>
  <c r="Y93" i="19" s="1"/>
  <c r="AC93" i="19"/>
  <c r="X15" i="6"/>
  <c r="L15" i="19"/>
  <c r="Y15" i="19" s="1"/>
  <c r="X14" i="6"/>
  <c r="L14" i="9"/>
  <c r="Y14" i="9" s="1"/>
  <c r="L94" i="9"/>
  <c r="Y94" i="9" s="1"/>
  <c r="X94" i="6"/>
  <c r="L16" i="9"/>
  <c r="Y16" i="9" s="1"/>
  <c r="X16" i="6"/>
  <c r="L26" i="9"/>
  <c r="Y26" i="9" s="1"/>
  <c r="X26" i="6"/>
  <c r="L29" i="9"/>
  <c r="Y29" i="9" s="1"/>
  <c r="X29" i="6"/>
  <c r="L45" i="9"/>
  <c r="Y45" i="9" s="1"/>
  <c r="X45" i="6"/>
  <c r="L73" i="9"/>
  <c r="L19" i="9"/>
  <c r="Y19" i="9" s="1"/>
  <c r="X19" i="6"/>
  <c r="L15" i="9"/>
  <c r="Y15" i="9" s="1"/>
  <c r="L96" i="9"/>
  <c r="Y96" i="9" s="1"/>
  <c r="X96" i="6"/>
  <c r="L38" i="9"/>
  <c r="Y38" i="9" s="1"/>
  <c r="X38" i="6"/>
  <c r="L32" i="9"/>
  <c r="Y32" i="9" s="1"/>
  <c r="Y34" i="9" s="1"/>
  <c r="X32" i="6"/>
  <c r="X34" i="6" s="1"/>
  <c r="L52" i="9"/>
  <c r="Y52" i="9" s="1"/>
  <c r="X52" i="6"/>
  <c r="L80" i="9"/>
  <c r="Y80" i="9" s="1"/>
  <c r="Y86" i="9" s="1"/>
  <c r="X80" i="6"/>
  <c r="X86" i="6" s="1"/>
  <c r="L66" i="9"/>
  <c r="L18" i="9"/>
  <c r="Y18" i="9" s="1"/>
  <c r="X18" i="6"/>
  <c r="L20" i="9"/>
  <c r="Y20" i="9" s="1"/>
  <c r="Y22" i="9" s="1"/>
  <c r="X20" i="6"/>
  <c r="L95" i="9"/>
  <c r="Y95" i="9" s="1"/>
  <c r="X95" i="6"/>
  <c r="L23" i="9"/>
  <c r="Y23" i="9" s="1"/>
  <c r="Y25" i="9" s="1"/>
  <c r="X23" i="6"/>
  <c r="X25" i="6" s="1"/>
  <c r="L35" i="9"/>
  <c r="Y35" i="9" s="1"/>
  <c r="X35" i="6"/>
  <c r="L59" i="9"/>
  <c r="Y59" i="9" s="1"/>
  <c r="X59" i="6"/>
  <c r="L17" i="9"/>
  <c r="Y17" i="9" s="1"/>
  <c r="X17" i="6"/>
  <c r="Z25" i="9"/>
  <c r="Z34" i="9"/>
  <c r="L87" i="9"/>
  <c r="Y87" i="9" s="1"/>
  <c r="M87" i="9"/>
  <c r="AC87" i="9" s="1"/>
  <c r="AC87" i="6"/>
  <c r="AD34" i="6"/>
  <c r="AD25" i="6"/>
  <c r="Y86" i="6"/>
  <c r="Y25" i="6"/>
  <c r="AK87" i="19" l="1"/>
  <c r="AK93" i="19" s="1"/>
  <c r="AG87" i="6"/>
  <c r="AK87" i="9"/>
  <c r="AC93" i="9"/>
  <c r="AH34" i="6"/>
  <c r="AD86" i="6"/>
  <c r="Y34" i="6"/>
  <c r="AH25" i="6"/>
  <c r="AH86" i="6"/>
  <c r="V7" i="10"/>
  <c r="J84" i="5" l="1"/>
  <c r="J83" i="5"/>
  <c r="J82" i="5"/>
  <c r="J76" i="5"/>
  <c r="J70" i="5"/>
  <c r="J52" i="5"/>
  <c r="J46" i="5"/>
  <c r="J40" i="5"/>
  <c r="J34" i="5"/>
  <c r="J32" i="5"/>
  <c r="J30" i="5"/>
  <c r="J28" i="5"/>
  <c r="J26" i="5"/>
  <c r="J24" i="5"/>
  <c r="J22" i="5"/>
  <c r="J21" i="5"/>
  <c r="J20" i="5"/>
  <c r="J19" i="5"/>
  <c r="J18" i="5"/>
  <c r="J17" i="5"/>
  <c r="J16" i="5"/>
  <c r="I76" i="5"/>
  <c r="I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W82" i="3" s="1"/>
  <c r="X81" i="3"/>
  <c r="V81" i="3"/>
  <c r="W81" i="3" s="1"/>
  <c r="X80" i="3"/>
  <c r="V80" i="3"/>
  <c r="W80" i="3" s="1"/>
  <c r="X79" i="3"/>
  <c r="V79" i="3"/>
  <c r="W79" i="3" s="1"/>
  <c r="X78" i="3"/>
  <c r="V78" i="3"/>
  <c r="W78" i="3" s="1"/>
  <c r="X77" i="3"/>
  <c r="V77" i="3"/>
  <c r="W77" i="3" s="1"/>
  <c r="X76" i="3"/>
  <c r="V76" i="3"/>
  <c r="X75" i="3"/>
  <c r="V75" i="3"/>
  <c r="X74" i="3"/>
  <c r="V74" i="3"/>
  <c r="X73" i="3"/>
  <c r="V73" i="3"/>
  <c r="X72" i="3"/>
  <c r="V72" i="3"/>
  <c r="W72" i="3" s="1"/>
  <c r="X71" i="3"/>
  <c r="V71" i="3"/>
  <c r="W71" i="3" s="1"/>
  <c r="X70" i="3"/>
  <c r="V70" i="3"/>
  <c r="W70" i="3" s="1"/>
  <c r="X69" i="3"/>
  <c r="V69" i="3"/>
  <c r="W69" i="3" s="1"/>
  <c r="X68" i="3"/>
  <c r="V68" i="3"/>
  <c r="W68" i="3" s="1"/>
  <c r="X67" i="3"/>
  <c r="V67" i="3"/>
  <c r="W67" i="3" s="1"/>
  <c r="X66" i="3"/>
  <c r="V66" i="3"/>
  <c r="W66" i="3" s="1"/>
  <c r="X65" i="3"/>
  <c r="V65" i="3"/>
  <c r="W65" i="3" s="1"/>
  <c r="X64" i="3"/>
  <c r="V64" i="3"/>
  <c r="W64" i="3" s="1"/>
  <c r="X63" i="3"/>
  <c r="V63" i="3"/>
  <c r="W63" i="3" s="1"/>
  <c r="X62" i="3"/>
  <c r="V62" i="3"/>
  <c r="W62" i="3" s="1"/>
  <c r="X61" i="3"/>
  <c r="V61" i="3"/>
  <c r="W61" i="3" s="1"/>
  <c r="X60" i="3"/>
  <c r="V60" i="3"/>
  <c r="W60" i="3" s="1"/>
  <c r="X59" i="3"/>
  <c r="V59" i="3"/>
  <c r="W59" i="3" s="1"/>
  <c r="X58" i="3"/>
  <c r="V58" i="3"/>
  <c r="X57" i="3"/>
  <c r="V57" i="3"/>
  <c r="X56" i="3"/>
  <c r="V56" i="3"/>
  <c r="W56" i="3" s="1"/>
  <c r="X55" i="3"/>
  <c r="V55" i="3"/>
  <c r="W55" i="3" s="1"/>
  <c r="X54" i="3"/>
  <c r="V54" i="3"/>
  <c r="W54" i="3" s="1"/>
  <c r="X53" i="3"/>
  <c r="V53" i="3"/>
  <c r="W53" i="3" s="1"/>
  <c r="X52" i="3"/>
  <c r="V52" i="3"/>
  <c r="W52" i="3" s="1"/>
  <c r="X51" i="3"/>
  <c r="V51" i="3"/>
  <c r="W51" i="3" s="1"/>
  <c r="X50" i="3"/>
  <c r="V50" i="3"/>
  <c r="W50" i="3" s="1"/>
  <c r="X49" i="3"/>
  <c r="V49" i="3"/>
  <c r="W49" i="3" s="1"/>
  <c r="X48" i="3"/>
  <c r="V48" i="3"/>
  <c r="W48" i="3" s="1"/>
  <c r="X47" i="3"/>
  <c r="V47" i="3"/>
  <c r="W47" i="3" s="1"/>
  <c r="X46" i="3"/>
  <c r="V46" i="3"/>
  <c r="W46" i="3" s="1"/>
  <c r="X45" i="3"/>
  <c r="V45" i="3"/>
  <c r="W45" i="3" s="1"/>
  <c r="X44" i="3"/>
  <c r="V44" i="3"/>
  <c r="X43" i="3"/>
  <c r="V43" i="3"/>
  <c r="X42" i="3"/>
  <c r="V42" i="3"/>
  <c r="W42" i="3" s="1"/>
  <c r="X41" i="3"/>
  <c r="V41" i="3"/>
  <c r="W41" i="3" s="1"/>
  <c r="X40" i="3"/>
  <c r="V40" i="3"/>
  <c r="W40" i="3" s="1"/>
  <c r="X39" i="3"/>
  <c r="V39" i="3"/>
  <c r="W39" i="3" s="1"/>
  <c r="X38" i="3"/>
  <c r="V38" i="3"/>
  <c r="W38" i="3" s="1"/>
  <c r="X37" i="3"/>
  <c r="V37" i="3"/>
  <c r="W37" i="3" s="1"/>
  <c r="X36" i="3"/>
  <c r="V36" i="3"/>
  <c r="W36" i="3" s="1"/>
  <c r="X35" i="3"/>
  <c r="V35" i="3"/>
  <c r="X34" i="3"/>
  <c r="V34" i="3"/>
  <c r="W34" i="3" s="1"/>
  <c r="X33" i="3"/>
  <c r="V33" i="3"/>
  <c r="W33" i="3" s="1"/>
  <c r="X32" i="3"/>
  <c r="V32" i="3"/>
  <c r="W32" i="3" s="1"/>
  <c r="X31" i="3"/>
  <c r="V31" i="3"/>
  <c r="W31" i="3" s="1"/>
  <c r="X30" i="3"/>
  <c r="V30" i="3"/>
  <c r="W30" i="3" s="1"/>
  <c r="X29" i="3"/>
  <c r="V29" i="3"/>
  <c r="W29" i="3" s="1"/>
  <c r="X28" i="3"/>
  <c r="V28" i="3"/>
  <c r="W28" i="3" s="1"/>
  <c r="X27" i="3"/>
  <c r="V27" i="3"/>
  <c r="X26" i="3"/>
  <c r="V26" i="3"/>
  <c r="W26" i="3" s="1"/>
  <c r="X25" i="3"/>
  <c r="V25" i="3"/>
  <c r="W25" i="3" s="1"/>
  <c r="X24" i="3"/>
  <c r="V24" i="3"/>
  <c r="W24" i="3" s="1"/>
  <c r="X23" i="3"/>
  <c r="V23" i="3"/>
  <c r="W23" i="3" s="1"/>
  <c r="X22" i="3"/>
  <c r="V22" i="3"/>
  <c r="W22" i="3" s="1"/>
  <c r="X21" i="3"/>
  <c r="V21" i="3"/>
  <c r="W21" i="3" s="1"/>
  <c r="X20" i="3"/>
  <c r="V20" i="3"/>
  <c r="W20" i="3" s="1"/>
  <c r="X19" i="3"/>
  <c r="V19" i="3"/>
  <c r="X18" i="3"/>
  <c r="V18" i="3"/>
  <c r="W18" i="3" s="1"/>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I16" i="22" l="1"/>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I82" i="4"/>
  <c r="I78" i="23"/>
  <c r="I78" i="22"/>
  <c r="I26" i="22"/>
  <c r="I26" i="23"/>
  <c r="I19" i="4"/>
  <c r="I15" i="22"/>
  <c r="I15" i="23"/>
  <c r="I38" i="4"/>
  <c r="I34" i="23"/>
  <c r="I34" i="22"/>
  <c r="W35" i="3"/>
  <c r="L20" i="18"/>
  <c r="AC20" i="18" s="1"/>
  <c r="J20" i="12"/>
  <c r="I15" i="17"/>
  <c r="L20" i="6"/>
  <c r="AE19" i="10"/>
  <c r="L52" i="18"/>
  <c r="AC52" i="18" s="1"/>
  <c r="J52" i="12"/>
  <c r="I39" i="17"/>
  <c r="L52" i="6"/>
  <c r="AE43" i="10"/>
  <c r="I81" i="4"/>
  <c r="I22" i="5"/>
  <c r="I46" i="5"/>
  <c r="L23" i="18"/>
  <c r="AC23" i="18" s="1"/>
  <c r="J23" i="12"/>
  <c r="I17" i="17"/>
  <c r="AE21" i="10"/>
  <c r="L23" i="6"/>
  <c r="L59" i="18"/>
  <c r="AC59" i="18" s="1"/>
  <c r="J59" i="12"/>
  <c r="I45" i="17"/>
  <c r="AE49" i="10"/>
  <c r="L59" i="6"/>
  <c r="I20" i="4"/>
  <c r="I44" i="4"/>
  <c r="I24" i="5"/>
  <c r="I52" i="5"/>
  <c r="L14" i="18"/>
  <c r="AC14" i="18" s="1"/>
  <c r="AG14" i="18" s="1"/>
  <c r="J14" i="12"/>
  <c r="I9" i="17"/>
  <c r="L14" i="6"/>
  <c r="AE13" i="10"/>
  <c r="L26" i="18"/>
  <c r="AC26" i="18" s="1"/>
  <c r="J26" i="12"/>
  <c r="I19" i="17"/>
  <c r="L26" i="6"/>
  <c r="AE23" i="10"/>
  <c r="L66" i="18"/>
  <c r="J66" i="12"/>
  <c r="I51" i="17"/>
  <c r="L66" i="6"/>
  <c r="AE55" i="10"/>
  <c r="I22" i="4"/>
  <c r="I50" i="4"/>
  <c r="I16" i="5"/>
  <c r="I26" i="5"/>
  <c r="I58" i="5"/>
  <c r="L15" i="18"/>
  <c r="AC15" i="18" s="1"/>
  <c r="AG15" i="18" s="1"/>
  <c r="J15" i="12"/>
  <c r="I10" i="17"/>
  <c r="L15" i="6"/>
  <c r="AE14" i="10"/>
  <c r="L29" i="18"/>
  <c r="AC29" i="18" s="1"/>
  <c r="J29" i="12"/>
  <c r="I21" i="17"/>
  <c r="L29" i="6"/>
  <c r="AE25" i="10"/>
  <c r="L73" i="18"/>
  <c r="J73" i="12"/>
  <c r="I57" i="17"/>
  <c r="L73" i="6"/>
  <c r="AE61" i="10"/>
  <c r="I14" i="4"/>
  <c r="I24" i="4"/>
  <c r="I56" i="4"/>
  <c r="I17" i="5"/>
  <c r="I28" i="5"/>
  <c r="I64" i="5"/>
  <c r="L16" i="18"/>
  <c r="AC16" i="18" s="1"/>
  <c r="AG16" i="18" s="1"/>
  <c r="J16" i="12"/>
  <c r="I11" i="17"/>
  <c r="AE15" i="10"/>
  <c r="L16" i="6"/>
  <c r="L32" i="18"/>
  <c r="AC32" i="18" s="1"/>
  <c r="J32" i="12"/>
  <c r="I23" i="17"/>
  <c r="L32" i="6"/>
  <c r="AE27" i="10"/>
  <c r="L80" i="18"/>
  <c r="AC80" i="18" s="1"/>
  <c r="J80" i="12"/>
  <c r="I63" i="17"/>
  <c r="L80" i="6"/>
  <c r="AE67" i="10"/>
  <c r="I15" i="4"/>
  <c r="I26" i="4"/>
  <c r="I62" i="4"/>
  <c r="I18" i="5"/>
  <c r="I30" i="5"/>
  <c r="I70" i="5"/>
  <c r="L17" i="18"/>
  <c r="AC17" i="18" s="1"/>
  <c r="AG17" i="18" s="1"/>
  <c r="J17" i="12"/>
  <c r="I12" i="17"/>
  <c r="AE16" i="10"/>
  <c r="L17" i="6"/>
  <c r="L35" i="18"/>
  <c r="AC35" i="18" s="1"/>
  <c r="J35" i="12"/>
  <c r="I25" i="17"/>
  <c r="AE29" i="10"/>
  <c r="L35" i="6"/>
  <c r="L94" i="18"/>
  <c r="AC94" i="18" s="1"/>
  <c r="AG94" i="18" s="1"/>
  <c r="J94" i="12"/>
  <c r="I75" i="17"/>
  <c r="L94" i="6"/>
  <c r="AE79" i="10"/>
  <c r="I16" i="4"/>
  <c r="I28" i="4"/>
  <c r="I68" i="4"/>
  <c r="I19" i="5"/>
  <c r="I32" i="5"/>
  <c r="L18" i="18"/>
  <c r="AC18" i="18" s="1"/>
  <c r="AG18" i="18" s="1"/>
  <c r="J18" i="12"/>
  <c r="I13" i="17"/>
  <c r="L18" i="6"/>
  <c r="AE17" i="10"/>
  <c r="L38" i="18"/>
  <c r="AC38" i="18" s="1"/>
  <c r="J38" i="12"/>
  <c r="I27" i="17"/>
  <c r="L38" i="6"/>
  <c r="AE31" i="10"/>
  <c r="L95" i="18"/>
  <c r="AC95" i="18" s="1"/>
  <c r="AG95" i="18" s="1"/>
  <c r="J95" i="12"/>
  <c r="I76" i="17"/>
  <c r="L95" i="6"/>
  <c r="AE80" i="10"/>
  <c r="W43" i="3"/>
  <c r="I17" i="4"/>
  <c r="I30" i="4"/>
  <c r="I20" i="5"/>
  <c r="I34" i="5"/>
  <c r="I82" i="5"/>
  <c r="L19" i="18"/>
  <c r="AC19" i="18" s="1"/>
  <c r="AG19" i="18" s="1"/>
  <c r="J19" i="12"/>
  <c r="I14" i="17"/>
  <c r="L19" i="6"/>
  <c r="AE18" i="10"/>
  <c r="L45" i="18"/>
  <c r="AC45" i="18" s="1"/>
  <c r="J45" i="12"/>
  <c r="I33" i="17"/>
  <c r="L45" i="6"/>
  <c r="AE37" i="10"/>
  <c r="L96" i="18"/>
  <c r="AC96" i="18" s="1"/>
  <c r="AG96" i="18" s="1"/>
  <c r="J96" i="12"/>
  <c r="I77" i="17"/>
  <c r="AE81" i="10"/>
  <c r="L96" i="6"/>
  <c r="I18" i="4"/>
  <c r="I32" i="4"/>
  <c r="I80" i="4"/>
  <c r="I21" i="5"/>
  <c r="I40" i="5"/>
  <c r="I84" i="5"/>
  <c r="W27" i="3"/>
  <c r="W58" i="3"/>
  <c r="W75" i="3"/>
  <c r="W76" i="3"/>
  <c r="W19" i="3"/>
  <c r="W73" i="3"/>
  <c r="W44" i="3"/>
  <c r="W57" i="3"/>
  <c r="W74" i="3"/>
  <c r="D86" i="5"/>
  <c r="O84" i="1"/>
  <c r="N9" i="1"/>
  <c r="I83" i="1"/>
  <c r="U96" i="18" s="1"/>
  <c r="B96" i="7"/>
  <c r="B95" i="7"/>
  <c r="AK96" i="12" l="1"/>
  <c r="AG45" i="18"/>
  <c r="AG51" i="18" s="1"/>
  <c r="AC51" i="18"/>
  <c r="M29" i="19"/>
  <c r="AC29" i="19" s="1"/>
  <c r="M29" i="9"/>
  <c r="AC29" i="9" s="1"/>
  <c r="AK29" i="9" s="1"/>
  <c r="AC29" i="6"/>
  <c r="AG29" i="6" s="1"/>
  <c r="M94" i="19"/>
  <c r="AC94" i="19" s="1"/>
  <c r="AK94" i="19" s="1"/>
  <c r="AC94" i="6"/>
  <c r="AG94" i="6" s="1"/>
  <c r="M94" i="9"/>
  <c r="AC94" i="9" s="1"/>
  <c r="AK94" i="9" s="1"/>
  <c r="AG35" i="18"/>
  <c r="AG37" i="18" s="1"/>
  <c r="AC37" i="18"/>
  <c r="AC86" i="18"/>
  <c r="AG80" i="18"/>
  <c r="AG86" i="18" s="1"/>
  <c r="M14" i="19"/>
  <c r="AC14" i="19" s="1"/>
  <c r="AK14" i="19" s="1"/>
  <c r="M14" i="9"/>
  <c r="AC14" i="9" s="1"/>
  <c r="AK14" i="9" s="1"/>
  <c r="AC14" i="6"/>
  <c r="AG14" i="6" s="1"/>
  <c r="M59" i="19"/>
  <c r="AC59" i="19" s="1"/>
  <c r="M59" i="9"/>
  <c r="AC59" i="9" s="1"/>
  <c r="AK59" i="9" s="1"/>
  <c r="AC59" i="6"/>
  <c r="AG59" i="6" s="1"/>
  <c r="M19" i="19"/>
  <c r="AC19" i="19" s="1"/>
  <c r="AK19" i="19" s="1"/>
  <c r="M19" i="9"/>
  <c r="AC19" i="9" s="1"/>
  <c r="AK19" i="9" s="1"/>
  <c r="AC19" i="6"/>
  <c r="AG19" i="6" s="1"/>
  <c r="M38" i="19"/>
  <c r="AC38" i="19" s="1"/>
  <c r="M38" i="9"/>
  <c r="AC38" i="9" s="1"/>
  <c r="AK38" i="9" s="1"/>
  <c r="AC38" i="6"/>
  <c r="AG38" i="6" s="1"/>
  <c r="M17" i="19"/>
  <c r="AC17" i="19" s="1"/>
  <c r="AK17" i="19" s="1"/>
  <c r="M17" i="9"/>
  <c r="AC17" i="9" s="1"/>
  <c r="AK17" i="9" s="1"/>
  <c r="AC17" i="6"/>
  <c r="AG17" i="6" s="1"/>
  <c r="AC25" i="18"/>
  <c r="AG23" i="18"/>
  <c r="AG25" i="18" s="1"/>
  <c r="AG52" i="18"/>
  <c r="AG58" i="18" s="1"/>
  <c r="AC58" i="18"/>
  <c r="M32" i="19"/>
  <c r="AC32" i="19" s="1"/>
  <c r="M32" i="9"/>
  <c r="AC32" i="9" s="1"/>
  <c r="AC32" i="6"/>
  <c r="M73" i="19"/>
  <c r="M73" i="9"/>
  <c r="AG29" i="18"/>
  <c r="AG31" i="18" s="1"/>
  <c r="AC31" i="18"/>
  <c r="M26" i="19"/>
  <c r="AC26" i="19" s="1"/>
  <c r="M26" i="9"/>
  <c r="AC26" i="9" s="1"/>
  <c r="AK26" i="9" s="1"/>
  <c r="AC26" i="6"/>
  <c r="AG26" i="6" s="1"/>
  <c r="M20" i="19"/>
  <c r="AC20" i="19" s="1"/>
  <c r="M20" i="9"/>
  <c r="AC20" i="9" s="1"/>
  <c r="AK20" i="9" s="1"/>
  <c r="AC20" i="6"/>
  <c r="AG20" i="6" s="1"/>
  <c r="M45" i="19"/>
  <c r="AC45" i="19" s="1"/>
  <c r="M45" i="9"/>
  <c r="AC45" i="9" s="1"/>
  <c r="AK45" i="9" s="1"/>
  <c r="AC45" i="6"/>
  <c r="AG45" i="6" s="1"/>
  <c r="M95" i="19"/>
  <c r="AC95" i="19" s="1"/>
  <c r="AK95" i="19" s="1"/>
  <c r="M95" i="9"/>
  <c r="AC95" i="9" s="1"/>
  <c r="AK95" i="9" s="1"/>
  <c r="AC95" i="6"/>
  <c r="AG95" i="6" s="1"/>
  <c r="AC44" i="18"/>
  <c r="AG38" i="18"/>
  <c r="AG44" i="18" s="1"/>
  <c r="M35" i="19"/>
  <c r="AC35" i="19" s="1"/>
  <c r="M35" i="9"/>
  <c r="AC35" i="9" s="1"/>
  <c r="AK35" i="9" s="1"/>
  <c r="AC35" i="6"/>
  <c r="AG35" i="6" s="1"/>
  <c r="AC15" i="6"/>
  <c r="AG15" i="6" s="1"/>
  <c r="M15" i="19"/>
  <c r="AC15" i="19" s="1"/>
  <c r="AK15" i="19" s="1"/>
  <c r="M15" i="9"/>
  <c r="AC15" i="9" s="1"/>
  <c r="AK15" i="9" s="1"/>
  <c r="AG59" i="18"/>
  <c r="AG65" i="18" s="1"/>
  <c r="AC65" i="18"/>
  <c r="M80" i="19"/>
  <c r="AC80" i="19" s="1"/>
  <c r="M80" i="9"/>
  <c r="AC80" i="9" s="1"/>
  <c r="AC80" i="6"/>
  <c r="AC34" i="18"/>
  <c r="AG32" i="18"/>
  <c r="AG34" i="18" s="1"/>
  <c r="M23" i="19"/>
  <c r="AC23" i="19" s="1"/>
  <c r="M23" i="9"/>
  <c r="AC23" i="9" s="1"/>
  <c r="AC23" i="6"/>
  <c r="M96" i="19"/>
  <c r="AC96" i="19" s="1"/>
  <c r="AK96" i="19" s="1"/>
  <c r="M96" i="9"/>
  <c r="AC96" i="9" s="1"/>
  <c r="AK96" i="9" s="1"/>
  <c r="AC96" i="6"/>
  <c r="AG96" i="6" s="1"/>
  <c r="M18" i="19"/>
  <c r="AC18" i="19" s="1"/>
  <c r="AK18" i="19" s="1"/>
  <c r="M18" i="9"/>
  <c r="AC18" i="9" s="1"/>
  <c r="AK18" i="9" s="1"/>
  <c r="AC18" i="6"/>
  <c r="AG18" i="6" s="1"/>
  <c r="M16" i="19"/>
  <c r="AC16" i="19" s="1"/>
  <c r="AK16" i="19" s="1"/>
  <c r="M16" i="9"/>
  <c r="AC16" i="6"/>
  <c r="AG16" i="6" s="1"/>
  <c r="M66" i="19"/>
  <c r="M66" i="9"/>
  <c r="AG26" i="18"/>
  <c r="AG28" i="18" s="1"/>
  <c r="AC28" i="18"/>
  <c r="M52" i="19"/>
  <c r="AC52" i="19" s="1"/>
  <c r="AC52" i="6"/>
  <c r="AG52" i="6" s="1"/>
  <c r="M52" i="9"/>
  <c r="AC52" i="9" s="1"/>
  <c r="AK52" i="9" s="1"/>
  <c r="AG20" i="18"/>
  <c r="AG22" i="18" s="1"/>
  <c r="AC22" i="18"/>
  <c r="G96" i="12"/>
  <c r="X96" i="12" s="1"/>
  <c r="U96" i="6"/>
  <c r="V96" i="19" s="1"/>
  <c r="D97" i="12"/>
  <c r="E97" i="12"/>
  <c r="AD96" i="12" l="1"/>
  <c r="AA96" i="12"/>
  <c r="AC86" i="9"/>
  <c r="AK80" i="9"/>
  <c r="AK86" i="9" s="1"/>
  <c r="AC25" i="6"/>
  <c r="AG23" i="6"/>
  <c r="AG25" i="6" s="1"/>
  <c r="AC86" i="19"/>
  <c r="AK80" i="19"/>
  <c r="AK86" i="19" s="1"/>
  <c r="AC37" i="19"/>
  <c r="AK35" i="19"/>
  <c r="AK37" i="19" s="1"/>
  <c r="AK45" i="19"/>
  <c r="AK51" i="19" s="1"/>
  <c r="AC51" i="19"/>
  <c r="AC58" i="19"/>
  <c r="AK52" i="19"/>
  <c r="AK58" i="19" s="1"/>
  <c r="AK23" i="9"/>
  <c r="AK25" i="9" s="1"/>
  <c r="AC25" i="9"/>
  <c r="AC44" i="19"/>
  <c r="AK38" i="19"/>
  <c r="AK44" i="19" s="1"/>
  <c r="AC25" i="19"/>
  <c r="AK23" i="19"/>
  <c r="AK25" i="19" s="1"/>
  <c r="AC65" i="19"/>
  <c r="AK59" i="19"/>
  <c r="AK65" i="19" s="1"/>
  <c r="AK20" i="19"/>
  <c r="AK22" i="19" s="1"/>
  <c r="AC22" i="19"/>
  <c r="AG32" i="6"/>
  <c r="AG34" i="6" s="1"/>
  <c r="AC34" i="6"/>
  <c r="AC31" i="19"/>
  <c r="AK29" i="19"/>
  <c r="AK31" i="19" s="1"/>
  <c r="AK32" i="9"/>
  <c r="AK34" i="9" s="1"/>
  <c r="AC34" i="9"/>
  <c r="AC86" i="6"/>
  <c r="AG80" i="6"/>
  <c r="AG86" i="6" s="1"/>
  <c r="AC28" i="19"/>
  <c r="AK26" i="19"/>
  <c r="AK28" i="19" s="1"/>
  <c r="AC34" i="19"/>
  <c r="AK32" i="19"/>
  <c r="AK34" i="19" s="1"/>
  <c r="V96" i="9"/>
  <c r="N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J82" i="4"/>
  <c r="J81" i="4"/>
  <c r="J80" i="4"/>
  <c r="J74" i="4"/>
  <c r="J68" i="4"/>
  <c r="J50" i="4"/>
  <c r="J44" i="4"/>
  <c r="J38" i="4"/>
  <c r="J32" i="4"/>
  <c r="J30" i="4"/>
  <c r="J28" i="4"/>
  <c r="J26" i="4"/>
  <c r="J24" i="4"/>
  <c r="J22" i="4"/>
  <c r="J20" i="4"/>
  <c r="J19" i="4"/>
  <c r="J18" i="4"/>
  <c r="J17" i="4"/>
  <c r="J16" i="4"/>
  <c r="J15" i="4"/>
  <c r="J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s="1"/>
  <c r="K96" i="12" s="1"/>
  <c r="M96" i="12" l="1"/>
  <c r="H14" i="4"/>
  <c r="H20" i="4"/>
  <c r="N81" i="10"/>
  <c r="H96" i="6" s="1"/>
  <c r="E84" i="5"/>
  <c r="H67" i="4"/>
  <c r="E70" i="3"/>
  <c r="E31" i="3"/>
  <c r="H28" i="4"/>
  <c r="E39" i="3"/>
  <c r="H36" i="4"/>
  <c r="H21" i="4"/>
  <c r="F24" i="3" s="1"/>
  <c r="E24" i="3"/>
  <c r="H29" i="4"/>
  <c r="E32" i="3"/>
  <c r="E40" i="3"/>
  <c r="H37" i="4"/>
  <c r="H45" i="4"/>
  <c r="F48" i="3" s="1"/>
  <c r="E48" i="3"/>
  <c r="H53" i="4"/>
  <c r="F56" i="3" s="1"/>
  <c r="E56" i="3"/>
  <c r="E64" i="3"/>
  <c r="H61" i="4"/>
  <c r="H69" i="4"/>
  <c r="E72" i="3"/>
  <c r="H43" i="4"/>
  <c r="E46" i="3"/>
  <c r="E47" i="3"/>
  <c r="H44" i="4"/>
  <c r="E17" i="3"/>
  <c r="E25" i="3"/>
  <c r="H22" i="4"/>
  <c r="F25" i="3" s="1"/>
  <c r="E33" i="3"/>
  <c r="H30" i="4"/>
  <c r="F33" i="3" s="1"/>
  <c r="H38" i="4"/>
  <c r="E41" i="3"/>
  <c r="E49" i="3"/>
  <c r="H46" i="4"/>
  <c r="F49" i="3" s="1"/>
  <c r="E57" i="3"/>
  <c r="H54" i="4"/>
  <c r="F57" i="3" s="1"/>
  <c r="E65" i="3"/>
  <c r="H62" i="4"/>
  <c r="F65" i="3" s="1"/>
  <c r="E73" i="3"/>
  <c r="H70" i="4"/>
  <c r="H59" i="4"/>
  <c r="F62" i="3" s="1"/>
  <c r="E62" i="3"/>
  <c r="E71" i="3"/>
  <c r="H68" i="4"/>
  <c r="H15" i="4"/>
  <c r="F18" i="3" s="1"/>
  <c r="E18" i="3"/>
  <c r="H23" i="4"/>
  <c r="F26" i="3" s="1"/>
  <c r="E26" i="3"/>
  <c r="H31" i="4"/>
  <c r="F34" i="3" s="1"/>
  <c r="E34" i="3"/>
  <c r="H39" i="4"/>
  <c r="F42" i="3" s="1"/>
  <c r="E42" i="3"/>
  <c r="H47" i="4"/>
  <c r="F50" i="3" s="1"/>
  <c r="E50" i="3"/>
  <c r="H55" i="4"/>
  <c r="E58" i="3"/>
  <c r="H63" i="4"/>
  <c r="F66" i="3" s="1"/>
  <c r="E66" i="3"/>
  <c r="H71" i="4"/>
  <c r="E74" i="3"/>
  <c r="H35" i="4"/>
  <c r="F38" i="3" s="1"/>
  <c r="E38" i="3"/>
  <c r="E55" i="3"/>
  <c r="H52" i="4"/>
  <c r="F55" i="3" s="1"/>
  <c r="H16" i="4"/>
  <c r="F19" i="3" s="1"/>
  <c r="E19" i="3"/>
  <c r="H24" i="4"/>
  <c r="E27" i="3"/>
  <c r="H32" i="4"/>
  <c r="F35" i="3" s="1"/>
  <c r="E35" i="3"/>
  <c r="H40" i="4"/>
  <c r="F43" i="3" s="1"/>
  <c r="E43" i="3"/>
  <c r="H48" i="4"/>
  <c r="E51" i="3"/>
  <c r="H56" i="4"/>
  <c r="F59" i="3" s="1"/>
  <c r="E59" i="3"/>
  <c r="H64" i="4"/>
  <c r="E67" i="3"/>
  <c r="H72" i="4"/>
  <c r="E75" i="3"/>
  <c r="H80" i="4"/>
  <c r="E83" i="3"/>
  <c r="E23" i="3"/>
  <c r="F23" i="3"/>
  <c r="E63" i="3"/>
  <c r="H60" i="4"/>
  <c r="H17" i="4"/>
  <c r="F20" i="3" s="1"/>
  <c r="E20" i="3"/>
  <c r="H25" i="4"/>
  <c r="E28" i="3"/>
  <c r="H33" i="4"/>
  <c r="F36" i="3" s="1"/>
  <c r="E36" i="3"/>
  <c r="E44" i="3"/>
  <c r="H41" i="4"/>
  <c r="F44" i="3" s="1"/>
  <c r="H49" i="4"/>
  <c r="E52" i="3"/>
  <c r="H57" i="4"/>
  <c r="F60" i="3" s="1"/>
  <c r="E60" i="3"/>
  <c r="H65" i="4"/>
  <c r="E68" i="3"/>
  <c r="E76" i="3"/>
  <c r="H73" i="4"/>
  <c r="H81" i="4"/>
  <c r="E84" i="3"/>
  <c r="H19" i="4"/>
  <c r="F22" i="3" s="1"/>
  <c r="E22" i="3"/>
  <c r="H51" i="4"/>
  <c r="F54" i="3" s="1"/>
  <c r="E54" i="3"/>
  <c r="H18" i="4"/>
  <c r="F21" i="3" s="1"/>
  <c r="E21" i="3"/>
  <c r="H34" i="4"/>
  <c r="F37" i="3" s="1"/>
  <c r="E37" i="3"/>
  <c r="H42" i="4"/>
  <c r="E45" i="3"/>
  <c r="H50" i="4"/>
  <c r="E53" i="3"/>
  <c r="H58" i="4"/>
  <c r="F61" i="3" s="1"/>
  <c r="E61" i="3"/>
  <c r="H66" i="4"/>
  <c r="E69" i="3"/>
  <c r="H82" i="4"/>
  <c r="E85" i="3"/>
  <c r="D84" i="4"/>
  <c r="R82" i="1"/>
  <c r="R75" i="1"/>
  <c r="R69" i="1"/>
  <c r="R63" i="1"/>
  <c r="R57" i="1"/>
  <c r="R51" i="1"/>
  <c r="R45" i="1"/>
  <c r="R39" i="1"/>
  <c r="R33" i="1"/>
  <c r="R31" i="1"/>
  <c r="R29" i="1"/>
  <c r="R27" i="1"/>
  <c r="R25" i="1"/>
  <c r="R23" i="1"/>
  <c r="R21" i="1"/>
  <c r="R20" i="1"/>
  <c r="R19" i="1"/>
  <c r="R18" i="1"/>
  <c r="R17" i="1"/>
  <c r="R16" i="1"/>
  <c r="R15" i="1"/>
  <c r="Q82" i="1"/>
  <c r="Z18" i="2" s="1"/>
  <c r="Q83" i="1"/>
  <c r="AA18" i="2" s="1"/>
  <c r="Q81" i="1"/>
  <c r="Q69" i="1"/>
  <c r="W18" i="2" s="1"/>
  <c r="Q63" i="1"/>
  <c r="V18" i="2" s="1"/>
  <c r="Q57" i="1"/>
  <c r="U18" i="2" s="1"/>
  <c r="Q51" i="1"/>
  <c r="T18" i="2" s="1"/>
  <c r="Q45" i="1"/>
  <c r="S18" i="2" s="1"/>
  <c r="Q39" i="1"/>
  <c r="R18" i="2" s="1"/>
  <c r="Q33" i="1"/>
  <c r="Q18" i="2" s="1"/>
  <c r="Q31" i="1"/>
  <c r="P18" i="2" s="1"/>
  <c r="Q29" i="1"/>
  <c r="O18" i="2" s="1"/>
  <c r="Q25" i="1"/>
  <c r="M18" i="2" s="1"/>
  <c r="Q23" i="1"/>
  <c r="L18" i="2" s="1"/>
  <c r="Q21" i="1"/>
  <c r="K18" i="2" s="1"/>
  <c r="Q20" i="1"/>
  <c r="J18" i="2" s="1"/>
  <c r="Q19" i="1"/>
  <c r="I18" i="2" s="1"/>
  <c r="Q18" i="1"/>
  <c r="H18" i="2" s="1"/>
  <c r="Q17" i="1"/>
  <c r="G18" i="2" s="1"/>
  <c r="Q16" i="1"/>
  <c r="F18" i="2" s="1"/>
  <c r="Q15" i="1"/>
  <c r="E18" i="2" s="1"/>
  <c r="Y96" i="12" l="1"/>
  <c r="BB65" i="12"/>
  <c r="AI96" i="12"/>
  <c r="T66" i="18"/>
  <c r="G51" i="17"/>
  <c r="T66" i="6"/>
  <c r="J58" i="5"/>
  <c r="J56" i="4"/>
  <c r="AH96" i="12"/>
  <c r="AN96" i="12"/>
  <c r="S96" i="12"/>
  <c r="L39" i="20" s="1"/>
  <c r="F73" i="3"/>
  <c r="F69" i="3"/>
  <c r="F52" i="3"/>
  <c r="F75" i="3"/>
  <c r="F58" i="3"/>
  <c r="F39" i="3"/>
  <c r="F67" i="3"/>
  <c r="F46" i="3"/>
  <c r="F71" i="3"/>
  <c r="F40" i="3"/>
  <c r="F31" i="3"/>
  <c r="F76" i="3"/>
  <c r="F63" i="3"/>
  <c r="F68" i="3"/>
  <c r="F74" i="3"/>
  <c r="F72" i="3"/>
  <c r="F64" i="3"/>
  <c r="F45" i="3"/>
  <c r="F28" i="3"/>
  <c r="F83" i="3"/>
  <c r="F51" i="3"/>
  <c r="F32" i="3"/>
  <c r="F70" i="3"/>
  <c r="I96" i="9"/>
  <c r="X96" i="9" s="1"/>
  <c r="W96" i="6"/>
  <c r="K81" i="4"/>
  <c r="G84" i="3" s="1"/>
  <c r="F84" i="3"/>
  <c r="F17" i="3"/>
  <c r="F27" i="3"/>
  <c r="F53" i="3"/>
  <c r="F41" i="3"/>
  <c r="F47" i="3"/>
  <c r="F85" i="3"/>
  <c r="R84" i="1"/>
  <c r="I78" i="10"/>
  <c r="M74" i="17" s="1"/>
  <c r="I77" i="10"/>
  <c r="M73" i="17" s="1"/>
  <c r="I76" i="10"/>
  <c r="M72" i="17" s="1"/>
  <c r="I75" i="10"/>
  <c r="M71" i="17" s="1"/>
  <c r="I74" i="10"/>
  <c r="M70" i="17" s="1"/>
  <c r="I73" i="10"/>
  <c r="M69" i="17" s="1"/>
  <c r="E78" i="10"/>
  <c r="E77" i="10"/>
  <c r="E76" i="10"/>
  <c r="E75" i="10"/>
  <c r="E74" i="10"/>
  <c r="E73" i="10"/>
  <c r="J69" i="17" s="1"/>
  <c r="I30" i="10"/>
  <c r="M26" i="17" s="1"/>
  <c r="N26" i="17" s="1"/>
  <c r="I29" i="10"/>
  <c r="M25" i="17" s="1"/>
  <c r="N25" i="17" s="1"/>
  <c r="E26" i="10"/>
  <c r="E25" i="10"/>
  <c r="J21" i="17" s="1"/>
  <c r="H14" i="10"/>
  <c r="X38" i="14" l="1"/>
  <c r="V39" i="21"/>
  <c r="BF65" i="12"/>
  <c r="BG65" i="12"/>
  <c r="L39" i="13"/>
  <c r="AE96" i="12"/>
  <c r="AR96" i="12" s="1"/>
  <c r="T73" i="18"/>
  <c r="G57" i="17"/>
  <c r="T73" i="6"/>
  <c r="J64" i="5"/>
  <c r="J62" i="4"/>
  <c r="J84" i="4" s="1"/>
  <c r="U66" i="19"/>
  <c r="U66" i="9"/>
  <c r="M66" i="7"/>
  <c r="X66" i="6"/>
  <c r="AC66" i="6"/>
  <c r="X66" i="18"/>
  <c r="X72" i="18" s="1"/>
  <c r="AC66" i="18"/>
  <c r="N69" i="17"/>
  <c r="E75" i="4"/>
  <c r="J70" i="17"/>
  <c r="N70" i="17" s="1"/>
  <c r="E76" i="4"/>
  <c r="J71" i="17"/>
  <c r="N71" i="17" s="1"/>
  <c r="H15" i="10"/>
  <c r="K10" i="17"/>
  <c r="AG10" i="17" s="1"/>
  <c r="AY10" i="17" s="1"/>
  <c r="E77" i="4"/>
  <c r="J72" i="17"/>
  <c r="N72" i="17" s="1"/>
  <c r="E78" i="4"/>
  <c r="J73" i="17"/>
  <c r="N73" i="17" s="1"/>
  <c r="E27" i="4"/>
  <c r="E30" i="3" s="1"/>
  <c r="J22" i="17"/>
  <c r="E79" i="4"/>
  <c r="J74" i="17"/>
  <c r="N74" i="17" s="1"/>
  <c r="E74" i="4"/>
  <c r="Q75" i="1"/>
  <c r="X18" i="2" s="1"/>
  <c r="E26" i="4"/>
  <c r="Q27" i="1"/>
  <c r="G85" i="3"/>
  <c r="J13" i="10"/>
  <c r="J80" i="10"/>
  <c r="D81" i="11" s="1"/>
  <c r="K95" i="12" s="1"/>
  <c r="F14" i="10"/>
  <c r="J72" i="10"/>
  <c r="D73" i="11" s="1"/>
  <c r="K85" i="12" s="1"/>
  <c r="J71" i="10"/>
  <c r="D72" i="11" s="1"/>
  <c r="K84" i="12" s="1"/>
  <c r="J70" i="10"/>
  <c r="D71" i="11" s="1"/>
  <c r="K83" i="12" s="1"/>
  <c r="J69" i="10"/>
  <c r="D70" i="11" s="1"/>
  <c r="K82" i="12" s="1"/>
  <c r="J68" i="10"/>
  <c r="D69" i="11" s="1"/>
  <c r="K81" i="12" s="1"/>
  <c r="J67" i="10"/>
  <c r="D68" i="11" s="1"/>
  <c r="K80" i="12" s="1"/>
  <c r="J28" i="10"/>
  <c r="D29" i="11" s="1"/>
  <c r="K33" i="12" s="1"/>
  <c r="J27" i="10"/>
  <c r="D28" i="11" s="1"/>
  <c r="K32" i="12" s="1"/>
  <c r="F26" i="10"/>
  <c r="F25" i="10"/>
  <c r="AG66" i="6" l="1"/>
  <c r="Y66" i="9"/>
  <c r="AC66" i="9"/>
  <c r="Y66" i="19"/>
  <c r="Y72" i="19" s="1"/>
  <c r="AC66" i="19"/>
  <c r="AG66" i="18"/>
  <c r="AG72" i="18" s="1"/>
  <c r="AC72" i="18"/>
  <c r="U73" i="19"/>
  <c r="U73" i="9"/>
  <c r="M73" i="7"/>
  <c r="X73" i="6"/>
  <c r="AC73" i="6"/>
  <c r="X73" i="18"/>
  <c r="X79" i="18" s="1"/>
  <c r="X3" i="18" s="1"/>
  <c r="AC73" i="18"/>
  <c r="H77" i="4"/>
  <c r="F80" i="3" s="1"/>
  <c r="H76" i="4"/>
  <c r="F79" i="3" s="1"/>
  <c r="H79" i="4"/>
  <c r="F82" i="3" s="1"/>
  <c r="H78" i="4"/>
  <c r="F81" i="3" s="1"/>
  <c r="H75" i="4"/>
  <c r="F78" i="3" s="1"/>
  <c r="E78" i="3"/>
  <c r="H27" i="4"/>
  <c r="F30" i="3" s="1"/>
  <c r="E79" i="3"/>
  <c r="E82" i="3"/>
  <c r="E80" i="3"/>
  <c r="E81" i="3"/>
  <c r="N13" i="10"/>
  <c r="H14" i="6" s="1"/>
  <c r="W14" i="6" s="1"/>
  <c r="Z14" i="6" s="1"/>
  <c r="D14" i="11"/>
  <c r="K14" i="12" s="1"/>
  <c r="H16" i="10"/>
  <c r="K11" i="17"/>
  <c r="AG11" i="17" s="1"/>
  <c r="AY11" i="17" s="1"/>
  <c r="D26" i="11"/>
  <c r="K29" i="12" s="1"/>
  <c r="L21" i="17"/>
  <c r="J26" i="10"/>
  <c r="D27" i="11" s="1"/>
  <c r="K30" i="12" s="1"/>
  <c r="L22" i="17"/>
  <c r="J14" i="10"/>
  <c r="D15" i="11" s="1"/>
  <c r="K15" i="12" s="1"/>
  <c r="L10" i="17"/>
  <c r="E16" i="5"/>
  <c r="E31" i="5"/>
  <c r="N28" i="10"/>
  <c r="H33" i="6" s="1"/>
  <c r="E30" i="5"/>
  <c r="N27" i="10"/>
  <c r="H32" i="6" s="1"/>
  <c r="E77" i="3"/>
  <c r="H74" i="4"/>
  <c r="E71" i="5"/>
  <c r="N68" i="10"/>
  <c r="H81" i="6" s="1"/>
  <c r="E28" i="5"/>
  <c r="H29" i="6"/>
  <c r="E73" i="5"/>
  <c r="N70" i="10"/>
  <c r="H83" i="6" s="1"/>
  <c r="E83" i="5"/>
  <c r="N80" i="10"/>
  <c r="H95" i="6" s="1"/>
  <c r="E70" i="5"/>
  <c r="N67" i="10"/>
  <c r="H80" i="6" s="1"/>
  <c r="E72" i="5"/>
  <c r="N69" i="10"/>
  <c r="H82" i="6" s="1"/>
  <c r="E74" i="5"/>
  <c r="N71" i="10"/>
  <c r="H84" i="6" s="1"/>
  <c r="N18" i="2"/>
  <c r="Q84" i="1"/>
  <c r="E75" i="5"/>
  <c r="N72" i="10"/>
  <c r="H85" i="6" s="1"/>
  <c r="H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U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N14" i="12" l="1"/>
  <c r="N86" i="12"/>
  <c r="N95" i="12"/>
  <c r="BD35" i="12" s="1"/>
  <c r="AG73" i="6"/>
  <c r="U44" i="12"/>
  <c r="AN44" i="12"/>
  <c r="H94" i="12"/>
  <c r="U94" i="12" s="1"/>
  <c r="Y18" i="2"/>
  <c r="D18" i="2" s="1"/>
  <c r="AG73" i="18"/>
  <c r="AG79" i="18" s="1"/>
  <c r="AG3" i="18" s="1"/>
  <c r="AR4" i="18" s="1"/>
  <c r="AC79" i="18"/>
  <c r="AC3" i="18" s="1"/>
  <c r="U22" i="12"/>
  <c r="AN22" i="12"/>
  <c r="U58" i="12"/>
  <c r="AN58" i="12"/>
  <c r="N31" i="12"/>
  <c r="AC72" i="19"/>
  <c r="AK66" i="19"/>
  <c r="AK72" i="19" s="1"/>
  <c r="AN65" i="12"/>
  <c r="U65" i="12"/>
  <c r="U14" i="18"/>
  <c r="G14" i="12"/>
  <c r="U14" i="6"/>
  <c r="AN93" i="12"/>
  <c r="U93" i="12"/>
  <c r="U86" i="12"/>
  <c r="AN86" i="12"/>
  <c r="U25" i="12"/>
  <c r="AN25" i="12"/>
  <c r="AN72" i="12"/>
  <c r="U72" i="12"/>
  <c r="Y73" i="9"/>
  <c r="AC73" i="9"/>
  <c r="AK66" i="9"/>
  <c r="AN31" i="12"/>
  <c r="U31" i="12"/>
  <c r="U51" i="12"/>
  <c r="AN51" i="12"/>
  <c r="AN28" i="12"/>
  <c r="U28" i="12"/>
  <c r="AN79" i="12"/>
  <c r="U79" i="12"/>
  <c r="U14" i="12"/>
  <c r="AN14" i="12"/>
  <c r="Y73" i="19"/>
  <c r="Y79" i="19" s="1"/>
  <c r="Y3" i="19" s="1"/>
  <c r="AC73" i="19"/>
  <c r="N26" i="10"/>
  <c r="H30" i="6" s="1"/>
  <c r="AE74" i="4"/>
  <c r="E29" i="5"/>
  <c r="K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AN37" i="12"/>
  <c r="U37" i="12"/>
  <c r="U34" i="12"/>
  <c r="N34" i="12"/>
  <c r="AN34" i="12"/>
  <c r="G35" i="12"/>
  <c r="U35" i="6"/>
  <c r="V35" i="19" s="1"/>
  <c r="G32" i="12"/>
  <c r="U32" i="6"/>
  <c r="V32" i="19" s="1"/>
  <c r="E17" i="5"/>
  <c r="N21" i="17"/>
  <c r="AH21" i="17"/>
  <c r="AZ21" i="17" s="1"/>
  <c r="N10" i="17"/>
  <c r="AH10" i="17"/>
  <c r="AZ10" i="17" s="1"/>
  <c r="N22" i="17"/>
  <c r="AH22" i="17"/>
  <c r="AZ22" i="17" s="1"/>
  <c r="H17" i="10"/>
  <c r="K12" i="17"/>
  <c r="AG12" i="17" s="1"/>
  <c r="AY12" i="17" s="1"/>
  <c r="N14" i="10"/>
  <c r="H15" i="6" s="1"/>
  <c r="I14" i="9"/>
  <c r="X14" i="9" s="1"/>
  <c r="I82" i="9"/>
  <c r="X82" i="9" s="1"/>
  <c r="W82" i="6"/>
  <c r="I29" i="9"/>
  <c r="X29" i="9" s="1"/>
  <c r="W29" i="6"/>
  <c r="I33" i="9"/>
  <c r="X33" i="9" s="1"/>
  <c r="W33" i="6"/>
  <c r="I81" i="9"/>
  <c r="X81" i="9" s="1"/>
  <c r="W81" i="6"/>
  <c r="F29" i="3"/>
  <c r="H84" i="4"/>
  <c r="I85" i="9"/>
  <c r="X85" i="9" s="1"/>
  <c r="W85" i="6"/>
  <c r="I95" i="9"/>
  <c r="X95" i="9" s="1"/>
  <c r="W95" i="6"/>
  <c r="W83" i="6"/>
  <c r="I83" i="9"/>
  <c r="X83" i="9" s="1"/>
  <c r="I32" i="9"/>
  <c r="X32" i="9" s="1"/>
  <c r="W32" i="6"/>
  <c r="I30" i="9"/>
  <c r="X30" i="9" s="1"/>
  <c r="W30" i="6"/>
  <c r="I80" i="9"/>
  <c r="X80" i="9" s="1"/>
  <c r="W80" i="6"/>
  <c r="I84" i="9"/>
  <c r="X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I15" i="9" l="1"/>
  <c r="X15" i="9" s="1"/>
  <c r="W15" i="6"/>
  <c r="M14" i="12"/>
  <c r="BB43" i="12" s="1"/>
  <c r="AA95" i="12"/>
  <c r="AD95" i="12"/>
  <c r="V14" i="12"/>
  <c r="BE14" i="12" s="1"/>
  <c r="X94" i="12"/>
  <c r="AD94" i="12"/>
  <c r="AA94" i="12"/>
  <c r="M34" i="12"/>
  <c r="BB53" i="12" s="1"/>
  <c r="M95" i="12"/>
  <c r="X95" i="12"/>
  <c r="M86" i="12"/>
  <c r="BB61" i="12" s="1"/>
  <c r="M31" i="12"/>
  <c r="BB52" i="12" s="1"/>
  <c r="BD23" i="12"/>
  <c r="V31" i="12"/>
  <c r="V34" i="12"/>
  <c r="V95" i="12"/>
  <c r="BE35" i="12" s="1"/>
  <c r="AN19" i="12"/>
  <c r="U19" i="12"/>
  <c r="BD32" i="12"/>
  <c r="V86" i="12"/>
  <c r="U18" i="12"/>
  <c r="AN18" i="12"/>
  <c r="AK73" i="9"/>
  <c r="AN17" i="12"/>
  <c r="U17" i="12"/>
  <c r="AK73" i="19"/>
  <c r="AK79" i="19" s="1"/>
  <c r="AK3" i="19" s="1"/>
  <c r="AV4" i="19" s="1"/>
  <c r="AC79" i="19"/>
  <c r="AC3" i="19" s="1"/>
  <c r="V14" i="19"/>
  <c r="V14" i="9"/>
  <c r="N14" i="7"/>
  <c r="AN16" i="12"/>
  <c r="U16" i="12"/>
  <c r="L84" i="1"/>
  <c r="H15" i="12"/>
  <c r="U15" i="18"/>
  <c r="G15" i="12"/>
  <c r="U15" i="6"/>
  <c r="F87" i="3"/>
  <c r="BD36" i="12"/>
  <c r="O74" i="4"/>
  <c r="S73" i="10" s="1"/>
  <c r="O78" i="4"/>
  <c r="S77" i="10" s="1"/>
  <c r="O77" i="4"/>
  <c r="S76" i="10" s="1"/>
  <c r="O75" i="4"/>
  <c r="S74" i="10" s="1"/>
  <c r="O76" i="4"/>
  <c r="S75" i="10" s="1"/>
  <c r="O79" i="4"/>
  <c r="S78" i="10" s="1"/>
  <c r="G17" i="3"/>
  <c r="AO96" i="12"/>
  <c r="BK36" i="12" s="1"/>
  <c r="V96" i="12"/>
  <c r="BE36" i="12" s="1"/>
  <c r="BD14" i="12"/>
  <c r="BD24" i="12"/>
  <c r="V59" i="9"/>
  <c r="N59" i="7"/>
  <c r="V73" i="9"/>
  <c r="N73" i="7"/>
  <c r="V95" i="9"/>
  <c r="N95" i="7"/>
  <c r="V87" i="9"/>
  <c r="N87" i="7"/>
  <c r="V94" i="9"/>
  <c r="N94" i="7"/>
  <c r="V52" i="9"/>
  <c r="N52" i="7"/>
  <c r="V23" i="9"/>
  <c r="N23" i="7"/>
  <c r="V66" i="9"/>
  <c r="N66" i="7"/>
  <c r="V80" i="9"/>
  <c r="N80" i="7"/>
  <c r="V38" i="9"/>
  <c r="N38" i="7"/>
  <c r="V45" i="9"/>
  <c r="N45" i="7"/>
  <c r="V26" i="9"/>
  <c r="N26" i="7"/>
  <c r="V29" i="9"/>
  <c r="N29" i="7"/>
  <c r="V35" i="9"/>
  <c r="N35" i="7"/>
  <c r="V32" i="9"/>
  <c r="N32" i="7"/>
  <c r="Z15" i="6"/>
  <c r="H18" i="10"/>
  <c r="K14" i="17" s="1"/>
  <c r="AG14" i="17" s="1"/>
  <c r="AY14" i="17" s="1"/>
  <c r="K13" i="17"/>
  <c r="AG13" i="17" s="1"/>
  <c r="AY13" i="17" s="1"/>
  <c r="F95" i="6"/>
  <c r="AM95" i="6" s="1"/>
  <c r="F94" i="6"/>
  <c r="F96" i="6"/>
  <c r="AM96" i="6" s="1"/>
  <c r="AM77" i="17"/>
  <c r="BA77" i="17" s="1"/>
  <c r="AM76" i="17"/>
  <c r="BA76" i="17" s="1"/>
  <c r="AM75" i="17"/>
  <c r="BA75" i="17" s="1"/>
  <c r="W34" i="6"/>
  <c r="Z34" i="6" s="1"/>
  <c r="K28" i="4" s="1"/>
  <c r="X86" i="9"/>
  <c r="X34" i="9"/>
  <c r="W86" i="6"/>
  <c r="Z86" i="6" s="1"/>
  <c r="K68" i="4" s="1"/>
  <c r="E9" i="12"/>
  <c r="E9" i="11"/>
  <c r="F9" i="11" s="1"/>
  <c r="L8" i="10"/>
  <c r="F8" i="9"/>
  <c r="AG7" i="9" s="1"/>
  <c r="E8" i="7"/>
  <c r="D11" i="5"/>
  <c r="D10" i="5"/>
  <c r="F10" i="5" s="1"/>
  <c r="D9" i="4"/>
  <c r="F8" i="4"/>
  <c r="F12" i="3"/>
  <c r="G12" i="3" s="1"/>
  <c r="F11" i="3"/>
  <c r="G11" i="3" s="1"/>
  <c r="T9" i="12"/>
  <c r="F8" i="11"/>
  <c r="Z87" i="12" l="1"/>
  <c r="R70" i="23"/>
  <c r="Z92" i="12"/>
  <c r="R75" i="23"/>
  <c r="Z89" i="12"/>
  <c r="R72" i="23"/>
  <c r="Z88" i="12"/>
  <c r="AA93" i="12" s="1"/>
  <c r="R71" i="23"/>
  <c r="Z90" i="12"/>
  <c r="R73" i="23"/>
  <c r="Z91" i="12"/>
  <c r="R74" i="23"/>
  <c r="AN95" i="12"/>
  <c r="BB64" i="12"/>
  <c r="AE95" i="12"/>
  <c r="AB95" i="12"/>
  <c r="M15" i="12"/>
  <c r="BB44" i="12" s="1"/>
  <c r="V15" i="19"/>
  <c r="V15" i="9"/>
  <c r="N15" i="7"/>
  <c r="AN15" i="12"/>
  <c r="U15" i="12"/>
  <c r="N15" i="12"/>
  <c r="H97" i="12"/>
  <c r="G71" i="3"/>
  <c r="G31" i="3"/>
  <c r="K15" i="4"/>
  <c r="F8" i="6"/>
  <c r="R9" i="6"/>
  <c r="S9" i="6" s="1"/>
  <c r="T9" i="6" s="1"/>
  <c r="U9" i="6" s="1"/>
  <c r="L82" i="11"/>
  <c r="L80" i="11"/>
  <c r="L81" i="11"/>
  <c r="J8" i="12"/>
  <c r="L9" i="7"/>
  <c r="M9" i="7" s="1"/>
  <c r="N9" i="7" s="1"/>
  <c r="G8" i="9"/>
  <c r="G7" i="12"/>
  <c r="M8" i="12"/>
  <c r="O8" i="12" s="1"/>
  <c r="Q8" i="12"/>
  <c r="V15" i="12" l="1"/>
  <c r="BE15" i="12" s="1"/>
  <c r="BD15" i="12"/>
  <c r="G18" i="3"/>
  <c r="AK8" i="12"/>
  <c r="AJ8" i="12"/>
  <c r="T8" i="12"/>
  <c r="W8" i="12" s="1"/>
  <c r="S8" i="12"/>
  <c r="R8" i="12"/>
  <c r="I17" i="1"/>
  <c r="X8" i="12" l="1"/>
  <c r="Y8" i="12" s="1"/>
  <c r="Z8" i="12"/>
  <c r="U16" i="18"/>
  <c r="G16" i="12"/>
  <c r="U16" i="6"/>
  <c r="AL8" i="12"/>
  <c r="AM8" i="12"/>
  <c r="P10" i="4"/>
  <c r="AN8" i="12" l="1"/>
  <c r="AO8" i="12" s="1"/>
  <c r="AP8" i="12"/>
  <c r="AQ8" i="12" s="1"/>
  <c r="AR8" i="12" s="1"/>
  <c r="AA8" i="12"/>
  <c r="AB8" i="12" s="1"/>
  <c r="AC8" i="12"/>
  <c r="AD8" i="12" s="1"/>
  <c r="AE8" i="12" s="1"/>
  <c r="V16" i="19"/>
  <c r="V16" i="9"/>
  <c r="N16" i="7"/>
  <c r="T4" i="10"/>
  <c r="T5" i="17" s="1"/>
  <c r="AY5" i="9"/>
  <c r="AN10" i="7"/>
  <c r="AS93" i="9"/>
  <c r="AR93" i="9"/>
  <c r="AS79" i="9"/>
  <c r="AR79" i="9"/>
  <c r="AS72" i="9"/>
  <c r="AR72" i="9"/>
  <c r="AS65" i="9"/>
  <c r="AR65" i="9"/>
  <c r="AS58" i="9"/>
  <c r="AR58" i="9"/>
  <c r="AS51" i="9"/>
  <c r="AR51" i="9"/>
  <c r="AS44" i="9"/>
  <c r="AR44" i="9"/>
  <c r="AS37" i="9"/>
  <c r="AR37" i="9"/>
  <c r="AS31" i="9"/>
  <c r="AR31" i="9"/>
  <c r="AS28" i="9"/>
  <c r="AR28" i="9"/>
  <c r="AS22" i="9"/>
  <c r="AS3" i="9" s="1"/>
  <c r="AR22" i="9"/>
  <c r="AR3" i="9" s="1"/>
  <c r="T75" i="17" l="1"/>
  <c r="AI75" i="17" s="1"/>
  <c r="V79" i="10"/>
  <c r="T77" i="17"/>
  <c r="AI77" i="17" s="1"/>
  <c r="V81" i="10"/>
  <c r="T76" i="17"/>
  <c r="AI76" i="17" s="1"/>
  <c r="V80" i="10"/>
  <c r="V87" i="3"/>
  <c r="F80" i="11" l="1"/>
  <c r="F94" i="9"/>
  <c r="F82" i="11"/>
  <c r="F96" i="9"/>
  <c r="AF96" i="9" s="1"/>
  <c r="F81" i="11"/>
  <c r="F95" i="9"/>
  <c r="AF95" i="9" s="1"/>
  <c r="AD93" i="7"/>
  <c r="AC93" i="7"/>
  <c r="AD79" i="7"/>
  <c r="AC79" i="7"/>
  <c r="AD72" i="7"/>
  <c r="AC72" i="7"/>
  <c r="AD65" i="7"/>
  <c r="AC65" i="7"/>
  <c r="AD58" i="7"/>
  <c r="AC58" i="7"/>
  <c r="AD51" i="7"/>
  <c r="AC51" i="7"/>
  <c r="AD44" i="7"/>
  <c r="AC44" i="7"/>
  <c r="AD37" i="7"/>
  <c r="AC37" i="7"/>
  <c r="AD31" i="7"/>
  <c r="AC31" i="7"/>
  <c r="AD28" i="7"/>
  <c r="AC28" i="7"/>
  <c r="AD22" i="7"/>
  <c r="AC22" i="7"/>
  <c r="U13" i="3" l="1"/>
  <c r="X87" i="3" s="1"/>
  <c r="R10" i="12" l="1"/>
  <c r="S10" i="12" s="1"/>
  <c r="R9" i="12"/>
  <c r="S9" i="12" s="1"/>
  <c r="P87" i="6"/>
  <c r="O87" i="6"/>
  <c r="M87" i="6"/>
  <c r="N87" i="19" s="1"/>
  <c r="P87" i="9" l="1"/>
  <c r="P87" i="19"/>
  <c r="Z87" i="19" s="1"/>
  <c r="Z93" i="19" s="1"/>
  <c r="Q87" i="9"/>
  <c r="Q87" i="19"/>
  <c r="N87" i="9"/>
  <c r="Z87" i="9" s="1"/>
  <c r="Y87" i="6"/>
  <c r="AT8" i="12"/>
  <c r="AU8" i="12" s="1"/>
  <c r="AT10" i="12"/>
  <c r="AU10" i="12" s="1"/>
  <c r="AK10" i="12"/>
  <c r="AL10" i="12" s="1"/>
  <c r="AK9" i="12"/>
  <c r="AL9" i="12" s="1"/>
  <c r="V12" i="3"/>
  <c r="B68" i="11" l="1"/>
  <c r="AH93" i="9"/>
  <c r="AG93" i="9"/>
  <c r="Z93" i="9" l="1"/>
  <c r="B87" i="7"/>
  <c r="Y93" i="9"/>
  <c r="J78" i="10"/>
  <c r="D79" i="11" s="1"/>
  <c r="K92" i="12" s="1"/>
  <c r="J77" i="10"/>
  <c r="D78" i="11" s="1"/>
  <c r="K91" i="12" s="1"/>
  <c r="J76" i="10"/>
  <c r="D77" i="11" s="1"/>
  <c r="K90" i="12" s="1"/>
  <c r="J75" i="10"/>
  <c r="D76" i="11" s="1"/>
  <c r="K89" i="12" s="1"/>
  <c r="J74" i="10"/>
  <c r="D75" i="11" s="1"/>
  <c r="K88" i="12" s="1"/>
  <c r="J73" i="10"/>
  <c r="D74" i="11" s="1"/>
  <c r="K87" i="12" s="1"/>
  <c r="N93" i="12" l="1"/>
  <c r="M93" i="12"/>
  <c r="BB62" i="12" s="1"/>
  <c r="E81" i="5"/>
  <c r="N78" i="10"/>
  <c r="H92" i="6" s="1"/>
  <c r="E78" i="5"/>
  <c r="N75" i="10"/>
  <c r="H89" i="6" s="1"/>
  <c r="E76" i="5"/>
  <c r="N73" i="10"/>
  <c r="H87" i="6" s="1"/>
  <c r="E77" i="5"/>
  <c r="N74" i="10"/>
  <c r="H88" i="6" s="1"/>
  <c r="E79" i="5"/>
  <c r="N76" i="10"/>
  <c r="H90" i="6" s="1"/>
  <c r="E80" i="5"/>
  <c r="N77" i="10"/>
  <c r="H91" i="6" s="1"/>
  <c r="N87" i="6"/>
  <c r="O87" i="19" s="1"/>
  <c r="AD87" i="19" s="1"/>
  <c r="AK93" i="9"/>
  <c r="AL87" i="19" l="1"/>
  <c r="AL93" i="19" s="1"/>
  <c r="AD93" i="19"/>
  <c r="AB93" i="12"/>
  <c r="V93" i="12"/>
  <c r="BD33" i="12"/>
  <c r="I88" i="9"/>
  <c r="X88" i="9" s="1"/>
  <c r="W88" i="6"/>
  <c r="I87" i="9"/>
  <c r="X87" i="9" s="1"/>
  <c r="W87" i="6"/>
  <c r="I89" i="9"/>
  <c r="X89" i="9" s="1"/>
  <c r="W89" i="6"/>
  <c r="I91" i="9"/>
  <c r="X91" i="9" s="1"/>
  <c r="W91" i="6"/>
  <c r="I90" i="9"/>
  <c r="X90" i="9" s="1"/>
  <c r="W90" i="6"/>
  <c r="I92" i="9"/>
  <c r="X92" i="9" s="1"/>
  <c r="W92" i="6"/>
  <c r="O87" i="9"/>
  <c r="AD87" i="6"/>
  <c r="AH87" i="6" s="1"/>
  <c r="W93" i="6" l="1"/>
  <c r="AD87" i="9"/>
  <c r="AL87" i="9" s="1"/>
  <c r="AL93" i="9" s="1"/>
  <c r="X93" i="9"/>
  <c r="I21" i="1"/>
  <c r="U20" i="18" s="1"/>
  <c r="I20" i="1"/>
  <c r="U19" i="18" l="1"/>
  <c r="G19" i="12"/>
  <c r="U19" i="6"/>
  <c r="G20" i="12"/>
  <c r="U20" i="6"/>
  <c r="V20" i="19" s="1"/>
  <c r="AD93" i="9"/>
  <c r="U10" i="12"/>
  <c r="V10" i="12" s="1"/>
  <c r="U9" i="12"/>
  <c r="V9" i="12" s="1"/>
  <c r="U8" i="12"/>
  <c r="V8" i="12" s="1"/>
  <c r="V19" i="19" l="1"/>
  <c r="V19" i="9"/>
  <c r="N19" i="7"/>
  <c r="V20" i="9"/>
  <c r="N20" i="7"/>
  <c r="AI7" i="17"/>
  <c r="AH7" i="17"/>
  <c r="AG7" i="17"/>
  <c r="E12" i="3" l="1"/>
  <c r="E13" i="3"/>
  <c r="Q13" i="3" l="1"/>
  <c r="R93" i="7" l="1"/>
  <c r="Q93" i="7"/>
  <c r="R79" i="7"/>
  <c r="Q79" i="7"/>
  <c r="R72" i="7"/>
  <c r="Q72" i="7"/>
  <c r="R65" i="7"/>
  <c r="Q65" i="7"/>
  <c r="R58" i="7"/>
  <c r="Q58" i="7"/>
  <c r="R51" i="7"/>
  <c r="Q51" i="7"/>
  <c r="R44" i="7"/>
  <c r="Q44" i="7"/>
  <c r="R37" i="7"/>
  <c r="Q37" i="7"/>
  <c r="R31" i="7"/>
  <c r="Q31" i="7"/>
  <c r="R28" i="7"/>
  <c r="Q28" i="7"/>
  <c r="R22" i="7"/>
  <c r="Q22" i="7"/>
  <c r="V93" i="7"/>
  <c r="U93" i="7"/>
  <c r="V79" i="7"/>
  <c r="U79" i="7"/>
  <c r="V72" i="7"/>
  <c r="U72" i="7"/>
  <c r="V65" i="7"/>
  <c r="U65" i="7"/>
  <c r="V58" i="7"/>
  <c r="U58" i="7"/>
  <c r="V51" i="7"/>
  <c r="U51" i="7"/>
  <c r="V44" i="7"/>
  <c r="U44" i="7"/>
  <c r="V37" i="7"/>
  <c r="U37" i="7"/>
  <c r="V31" i="7"/>
  <c r="U31" i="7"/>
  <c r="V28" i="7"/>
  <c r="U28" i="7"/>
  <c r="V22" i="7"/>
  <c r="U22" i="7"/>
  <c r="Z93" i="7"/>
  <c r="Y93" i="7"/>
  <c r="Z79" i="7"/>
  <c r="Y79" i="7"/>
  <c r="Z72" i="7"/>
  <c r="Y72" i="7"/>
  <c r="Z65" i="7"/>
  <c r="Y65" i="7"/>
  <c r="Z58" i="7"/>
  <c r="Y58" i="7"/>
  <c r="Z51" i="7"/>
  <c r="Y51" i="7"/>
  <c r="Z44" i="7"/>
  <c r="Y44" i="7"/>
  <c r="Z37" i="7"/>
  <c r="Y37" i="7"/>
  <c r="Z31" i="7"/>
  <c r="Y31" i="7"/>
  <c r="Z28" i="7"/>
  <c r="Y28" i="7"/>
  <c r="Z22" i="7"/>
  <c r="Y22" i="7"/>
  <c r="B82" i="4" l="1"/>
  <c r="B81" i="4"/>
  <c r="B80" i="4"/>
  <c r="B62" i="4"/>
  <c r="B56" i="4"/>
  <c r="B50" i="4"/>
  <c r="B44" i="4"/>
  <c r="B38" i="4"/>
  <c r="B24" i="4"/>
  <c r="B20" i="4"/>
  <c r="Q9" i="4"/>
  <c r="G8" i="4"/>
  <c r="K8" i="4"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F7" i="4"/>
  <c r="G7" i="4" s="1"/>
  <c r="A3" i="4"/>
  <c r="A2" i="4"/>
  <c r="A1" i="4"/>
  <c r="R12" i="3"/>
  <c r="N11" i="5"/>
  <c r="M12" i="5"/>
  <c r="H8" i="4" l="1"/>
  <c r="I8" i="4" s="1"/>
  <c r="J8" i="4" s="1"/>
  <c r="B82" i="11"/>
  <c r="B81" i="11"/>
  <c r="B80" i="11"/>
  <c r="B62" i="11"/>
  <c r="B56" i="11"/>
  <c r="B50" i="11"/>
  <c r="B44" i="11"/>
  <c r="B38" i="11"/>
  <c r="B32" i="11"/>
  <c r="B30" i="11"/>
  <c r="AH79" i="9"/>
  <c r="AG79" i="9"/>
  <c r="AH72" i="9"/>
  <c r="AG72" i="9"/>
  <c r="AH65" i="9"/>
  <c r="AG65" i="9"/>
  <c r="AH58" i="9"/>
  <c r="AG58" i="9"/>
  <c r="AH51" i="9"/>
  <c r="AG51" i="9"/>
  <c r="AH44" i="9"/>
  <c r="AG44" i="9"/>
  <c r="AH37" i="9"/>
  <c r="AG37" i="9"/>
  <c r="AH31" i="9"/>
  <c r="AG31" i="9"/>
  <c r="AH28" i="9"/>
  <c r="AG28" i="9"/>
  <c r="AH22" i="9"/>
  <c r="AH3" i="9" s="1"/>
  <c r="AG22" i="9"/>
  <c r="R7"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H93" i="7"/>
  <c r="AH79" i="7"/>
  <c r="AH72" i="7"/>
  <c r="AH65" i="7"/>
  <c r="AH58" i="7"/>
  <c r="AH51" i="7"/>
  <c r="AH44" i="7"/>
  <c r="AH37" i="7"/>
  <c r="AH31" i="7"/>
  <c r="AH28" i="7"/>
  <c r="AH22" i="7"/>
  <c r="AG51" i="7"/>
  <c r="AG28" i="7"/>
  <c r="A9" i="7"/>
  <c r="A3" i="7"/>
  <c r="A2" i="7"/>
  <c r="A1" i="7"/>
  <c r="AG3" i="9" l="1"/>
  <c r="AC7" i="9"/>
  <c r="S9" i="9"/>
  <c r="T9" i="9" s="1"/>
  <c r="U9" i="9" s="1"/>
  <c r="V9" i="9" s="1"/>
  <c r="AC58" i="9"/>
  <c r="AC16" i="9"/>
  <c r="AK16" i="9" s="1"/>
  <c r="AC28" i="9"/>
  <c r="AC22" i="9"/>
  <c r="Y79" i="9"/>
  <c r="P9" i="9"/>
  <c r="Y58" i="9"/>
  <c r="Y31" i="9"/>
  <c r="Y37" i="9"/>
  <c r="Y44" i="9"/>
  <c r="Y65" i="9"/>
  <c r="Z22" i="9"/>
  <c r="AD16" i="9"/>
  <c r="AL16" i="9" s="1"/>
  <c r="Z37" i="9"/>
  <c r="Z31" i="9"/>
  <c r="Y28" i="9"/>
  <c r="Z28" i="9"/>
  <c r="Y51" i="9"/>
  <c r="AG58" i="7"/>
  <c r="AG44" i="7"/>
  <c r="AG65" i="7"/>
  <c r="AG93" i="7"/>
  <c r="AG22" i="7"/>
  <c r="AG31" i="7"/>
  <c r="AG72" i="7"/>
  <c r="AG79" i="7"/>
  <c r="AG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M65" i="3" l="1"/>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K22" i="9"/>
  <c r="AK51" i="9"/>
  <c r="R17" i="3"/>
  <c r="AK28" i="9"/>
  <c r="AK72" i="9"/>
  <c r="AD31" i="9"/>
  <c r="AL31" i="9"/>
  <c r="AD22" i="9"/>
  <c r="AL22" i="9"/>
  <c r="AC37" i="9"/>
  <c r="AK37" i="9"/>
  <c r="AK44" i="9"/>
  <c r="AC79" i="9"/>
  <c r="AK79" i="9"/>
  <c r="AC31" i="9"/>
  <c r="AK31" i="9"/>
  <c r="AD28" i="9"/>
  <c r="AL28" i="9"/>
  <c r="AC72" i="9"/>
  <c r="AL37" i="9"/>
  <c r="AC65" i="9"/>
  <c r="AK65" i="9"/>
  <c r="AC51" i="9"/>
  <c r="AK58" i="9"/>
  <c r="M17" i="3"/>
  <c r="AC44" i="9"/>
  <c r="Y72" i="9"/>
  <c r="Y3" i="9" s="1"/>
  <c r="AD37" i="9"/>
  <c r="M87" i="3" l="1"/>
  <c r="O87" i="3" s="1"/>
  <c r="O39" i="3" s="1"/>
  <c r="AC3" i="9"/>
  <c r="AK3" i="9"/>
  <c r="AV4" i="9" s="1"/>
  <c r="J87" i="3"/>
  <c r="K87" i="3" s="1"/>
  <c r="R87" i="3"/>
  <c r="T87" i="3" s="1"/>
  <c r="AN12" i="7"/>
  <c r="AK12" i="7" s="1"/>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O32" i="3"/>
  <c r="P32" i="3" s="1"/>
  <c r="O41" i="3"/>
  <c r="P41" i="3" s="1"/>
  <c r="O53" i="3"/>
  <c r="O46" i="3"/>
  <c r="O78" i="3"/>
  <c r="O72" i="3"/>
  <c r="O54" i="3"/>
  <c r="O25" i="3"/>
  <c r="O38" i="3"/>
  <c r="P38" i="3" s="1"/>
  <c r="O64" i="3"/>
  <c r="N64" i="3" s="1"/>
  <c r="O21" i="3"/>
  <c r="P21" i="3" s="1"/>
  <c r="O85" i="3"/>
  <c r="P85" i="3" s="1"/>
  <c r="O36" i="3"/>
  <c r="O68" i="3"/>
  <c r="O49" i="3"/>
  <c r="O26" i="3"/>
  <c r="O58" i="3"/>
  <c r="O19" i="3"/>
  <c r="P19" i="3" s="1"/>
  <c r="O51" i="3"/>
  <c r="P51" i="3" s="1"/>
  <c r="O83" i="3"/>
  <c r="O63" i="3"/>
  <c r="O71" i="3"/>
  <c r="N62"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P81" i="3"/>
  <c r="N81" i="3"/>
  <c r="N47" i="3"/>
  <c r="P47" i="3"/>
  <c r="N24" i="3"/>
  <c r="P24" i="3"/>
  <c r="N56" i="3"/>
  <c r="P25" i="3"/>
  <c r="N25" i="3"/>
  <c r="N17" i="3"/>
  <c r="P17" i="3"/>
  <c r="P77" i="3"/>
  <c r="N77" i="3"/>
  <c r="N38" i="3"/>
  <c r="N55" i="3"/>
  <c r="P55" i="3"/>
  <c r="P34" i="3"/>
  <c r="N34" i="3"/>
  <c r="P33" i="3"/>
  <c r="N33" i="3"/>
  <c r="P18" i="3"/>
  <c r="N18" i="3"/>
  <c r="P50" i="3"/>
  <c r="P82" i="3"/>
  <c r="N82" i="3"/>
  <c r="N63" i="3"/>
  <c r="P63" i="3"/>
  <c r="N31" i="3"/>
  <c r="P31" i="3"/>
  <c r="N59"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26" i="3"/>
  <c r="N26" i="3"/>
  <c r="P58" i="3"/>
  <c r="N58" i="3"/>
  <c r="W17" i="3"/>
  <c r="N21" i="3" l="1"/>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P14" i="7" s="1"/>
  <c r="E55" i="7"/>
  <c r="E76" i="7"/>
  <c r="E89" i="7"/>
  <c r="E29" i="7"/>
  <c r="E68" i="7"/>
  <c r="E74" i="7"/>
  <c r="E32" i="7"/>
  <c r="P32" i="7" s="1"/>
  <c r="E59" i="7"/>
  <c r="E35" i="7"/>
  <c r="E83" i="7"/>
  <c r="P83" i="7" s="1"/>
  <c r="E30" i="7"/>
  <c r="E50" i="7"/>
  <c r="E33" i="7"/>
  <c r="P33" i="7" s="1"/>
  <c r="E60" i="7"/>
  <c r="E61" i="7"/>
  <c r="E96" i="7"/>
  <c r="P96" i="7" s="1"/>
  <c r="E77" i="7"/>
  <c r="E62" i="7"/>
  <c r="E94" i="7"/>
  <c r="E42" i="7"/>
  <c r="E36" i="7"/>
  <c r="E78" i="7"/>
  <c r="E43" i="7"/>
  <c r="E85" i="7"/>
  <c r="P85" i="7" s="1"/>
  <c r="E21" i="7"/>
  <c r="E56" i="7"/>
  <c r="E40" i="7"/>
  <c r="E15" i="7"/>
  <c r="P15" i="7" s="1"/>
  <c r="E38" i="7"/>
  <c r="E75" i="7"/>
  <c r="E70" i="7"/>
  <c r="E49" i="7"/>
  <c r="E81" i="7"/>
  <c r="P81" i="7" s="1"/>
  <c r="E41" i="7"/>
  <c r="E20" i="7"/>
  <c r="E92" i="7"/>
  <c r="E95" i="7"/>
  <c r="P95" i="7" s="1"/>
  <c r="E24" i="7"/>
  <c r="P24" i="7" s="1"/>
  <c r="E64" i="7"/>
  <c r="E16" i="7"/>
  <c r="P16" i="7" s="1"/>
  <c r="E39" i="7"/>
  <c r="S87" i="3"/>
  <c r="E88" i="7"/>
  <c r="E27" i="7"/>
  <c r="E87" i="7"/>
  <c r="E23" i="7"/>
  <c r="P23" i="7" s="1"/>
  <c r="P25" i="7" s="1"/>
  <c r="E67" i="7"/>
  <c r="E19" i="7"/>
  <c r="E53" i="7"/>
  <c r="E47" i="7"/>
  <c r="E90" i="7"/>
  <c r="E66" i="7"/>
  <c r="E91" i="7"/>
  <c r="E17" i="7"/>
  <c r="E63" i="7"/>
  <c r="E46" i="7"/>
  <c r="E26" i="7"/>
  <c r="E48" i="7"/>
  <c r="E80" i="7"/>
  <c r="P80" i="7" s="1"/>
  <c r="E45" i="7"/>
  <c r="E84" i="7"/>
  <c r="P84" i="7" s="1"/>
  <c r="E57" i="7"/>
  <c r="E54" i="7"/>
  <c r="E82" i="7"/>
  <c r="P82" i="7" s="1"/>
  <c r="E52" i="7"/>
  <c r="E71" i="7"/>
  <c r="E73" i="7"/>
  <c r="E18" i="7"/>
  <c r="E69" i="7"/>
  <c r="W87" i="3"/>
  <c r="R10" i="1"/>
  <c r="G10" i="5"/>
  <c r="K10" i="5" s="1"/>
  <c r="G9" i="5"/>
  <c r="P86" i="7" l="1"/>
  <c r="P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D38" i="9" s="1"/>
  <c r="AD38" i="6"/>
  <c r="O73" i="9"/>
  <c r="N52" i="9"/>
  <c r="Y52" i="6"/>
  <c r="O94" i="9"/>
  <c r="AD94" i="9" s="1"/>
  <c r="AD94" i="6"/>
  <c r="N45" i="9"/>
  <c r="Y45" i="6"/>
  <c r="N59" i="9"/>
  <c r="Y59" i="6"/>
  <c r="A3" i="6"/>
  <c r="A3" i="10"/>
  <c r="A4" i="5"/>
  <c r="K9" i="6"/>
  <c r="AH8" i="10"/>
  <c r="AF8" i="10"/>
  <c r="AD8" i="10"/>
  <c r="W7" i="10"/>
  <c r="AT9" i="12"/>
  <c r="AU9" i="12" s="1"/>
  <c r="AD44" i="19" l="1"/>
  <c r="AL38" i="19"/>
  <c r="AL44" i="19" s="1"/>
  <c r="Z94" i="9"/>
  <c r="AL94" i="19"/>
  <c r="Z3" i="19"/>
  <c r="AL94" i="9"/>
  <c r="Z73" i="9"/>
  <c r="Z79" i="9" s="1"/>
  <c r="Z52" i="9"/>
  <c r="Z58" i="9" s="1"/>
  <c r="Z59" i="9"/>
  <c r="Z65" i="9" s="1"/>
  <c r="Z38" i="9"/>
  <c r="Z44" i="9" s="1"/>
  <c r="Z45" i="9"/>
  <c r="Z51" i="9" s="1"/>
  <c r="Z66" i="9"/>
  <c r="Z72" i="9" s="1"/>
  <c r="AH94" i="6"/>
  <c r="AH38" i="6"/>
  <c r="AD44" i="9"/>
  <c r="K80" i="4"/>
  <c r="A3" i="11"/>
  <c r="AL38" i="9" l="1"/>
  <c r="AL44" i="9" s="1"/>
  <c r="Z3" i="9"/>
  <c r="G83" i="3"/>
  <c r="AA16" i="2" l="1"/>
  <c r="V16" i="2"/>
  <c r="Z16" i="2"/>
  <c r="W16" i="2"/>
  <c r="X16" i="2"/>
  <c r="T16" i="2"/>
  <c r="Y16" i="2"/>
  <c r="U16" i="2"/>
  <c r="G16" i="2"/>
  <c r="O16" i="2"/>
  <c r="Q16" i="2"/>
  <c r="R16" i="2"/>
  <c r="S16" i="2"/>
  <c r="L16" i="2"/>
  <c r="N16" i="2"/>
  <c r="H16" i="2"/>
  <c r="P16" i="2"/>
  <c r="J16" i="2"/>
  <c r="K16" i="2"/>
  <c r="F16" i="2"/>
  <c r="I16" i="2"/>
  <c r="M16" i="2"/>
  <c r="J79" i="10" l="1"/>
  <c r="D80" i="11" s="1"/>
  <c r="K94" i="12" s="1"/>
  <c r="B61" i="10"/>
  <c r="B55" i="10"/>
  <c r="J54" i="10"/>
  <c r="D55" i="11" s="1"/>
  <c r="K64" i="12" s="1"/>
  <c r="J53" i="10"/>
  <c r="D54" i="11" s="1"/>
  <c r="K63" i="12" s="1"/>
  <c r="J52" i="10"/>
  <c r="D53" i="11" s="1"/>
  <c r="K62" i="12" s="1"/>
  <c r="J51" i="10"/>
  <c r="D52" i="11" s="1"/>
  <c r="K61" i="12" s="1"/>
  <c r="J50" i="10"/>
  <c r="D51" i="11" s="1"/>
  <c r="K60" i="12" s="1"/>
  <c r="AG49" i="10"/>
  <c r="J49" i="10"/>
  <c r="D50" i="11" s="1"/>
  <c r="K59" i="12" s="1"/>
  <c r="B49" i="10"/>
  <c r="J48" i="10"/>
  <c r="D49" i="11" s="1"/>
  <c r="K57" i="12" s="1"/>
  <c r="J47" i="10"/>
  <c r="D48" i="11" s="1"/>
  <c r="K56" i="12" s="1"/>
  <c r="J46" i="10"/>
  <c r="D47" i="11" s="1"/>
  <c r="K55" i="12" s="1"/>
  <c r="J45" i="10"/>
  <c r="D46" i="11" s="1"/>
  <c r="K54" i="12" s="1"/>
  <c r="J44" i="10"/>
  <c r="D45" i="11" s="1"/>
  <c r="K53" i="12" s="1"/>
  <c r="AG43" i="10"/>
  <c r="J43" i="10"/>
  <c r="D44" i="11" s="1"/>
  <c r="K52" i="12" s="1"/>
  <c r="B43" i="10"/>
  <c r="AI37" i="10"/>
  <c r="AG37" i="10"/>
  <c r="B37" i="10"/>
  <c r="B31" i="10"/>
  <c r="J30" i="10"/>
  <c r="D31" i="11" s="1"/>
  <c r="K36" i="12" s="1"/>
  <c r="J29" i="10"/>
  <c r="D30" i="11" s="1"/>
  <c r="K35" i="12" s="1"/>
  <c r="F66" i="10"/>
  <c r="L62" i="17"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N37" i="12" l="1"/>
  <c r="M37" i="12"/>
  <c r="BB54" i="12" s="1"/>
  <c r="N94" i="12"/>
  <c r="M94" i="12"/>
  <c r="BB63" i="12" s="1"/>
  <c r="N58" i="12"/>
  <c r="M58" i="12"/>
  <c r="BB57" i="12" s="1"/>
  <c r="N65" i="12"/>
  <c r="M65" i="12"/>
  <c r="BB58" i="12" s="1"/>
  <c r="N62" i="17"/>
  <c r="AH62" i="17"/>
  <c r="AZ62" i="17" s="1"/>
  <c r="E53" i="5"/>
  <c r="N50" i="10"/>
  <c r="H60" i="6" s="1"/>
  <c r="E46" i="5"/>
  <c r="N43" i="10"/>
  <c r="H52" i="6" s="1"/>
  <c r="E32" i="5"/>
  <c r="N29" i="10"/>
  <c r="H35" i="6" s="1"/>
  <c r="E82" i="5"/>
  <c r="N79" i="10"/>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I8" i="10"/>
  <c r="P8" i="10"/>
  <c r="T8" i="10" s="1"/>
  <c r="P66" i="6"/>
  <c r="Q66" i="19" s="1"/>
  <c r="AD66" i="19" s="1"/>
  <c r="N45" i="6"/>
  <c r="O45" i="19" s="1"/>
  <c r="P45" i="6"/>
  <c r="P73" i="6"/>
  <c r="Q73" i="19" s="1"/>
  <c r="AD73" i="19" s="1"/>
  <c r="N59" i="6"/>
  <c r="O59" i="19" s="1"/>
  <c r="AD59" i="19" s="1"/>
  <c r="N52" i="6"/>
  <c r="O52" i="19" s="1"/>
  <c r="AD52" i="19" s="1"/>
  <c r="J66" i="10"/>
  <c r="D67" i="11" s="1"/>
  <c r="K78" i="12" s="1"/>
  <c r="Q8" i="10"/>
  <c r="F36" i="10"/>
  <c r="L32" i="17" s="1"/>
  <c r="F23" i="10"/>
  <c r="L19" i="17" s="1"/>
  <c r="F16" i="10"/>
  <c r="L12" i="17" s="1"/>
  <c r="F42" i="10"/>
  <c r="L38" i="17" s="1"/>
  <c r="F31" i="10"/>
  <c r="L27" i="17" s="1"/>
  <c r="AE8" i="10"/>
  <c r="F17" i="10"/>
  <c r="L13" i="17" s="1"/>
  <c r="F24" i="10"/>
  <c r="L20" i="17" s="1"/>
  <c r="F34" i="10"/>
  <c r="L30" i="17" s="1"/>
  <c r="F38" i="10"/>
  <c r="L34" i="17" s="1"/>
  <c r="F65" i="10"/>
  <c r="L61" i="17" s="1"/>
  <c r="F35" i="10"/>
  <c r="L31" i="17" s="1"/>
  <c r="F18" i="10"/>
  <c r="L14" i="17" s="1"/>
  <c r="F39" i="10"/>
  <c r="L35" i="17" s="1"/>
  <c r="F15" i="10"/>
  <c r="L11" i="17" s="1"/>
  <c r="F19" i="10"/>
  <c r="L15" i="17" s="1"/>
  <c r="F20" i="10"/>
  <c r="L16" i="17" s="1"/>
  <c r="F37" i="10"/>
  <c r="L33" i="17" s="1"/>
  <c r="F33" i="10"/>
  <c r="L29" i="17" s="1"/>
  <c r="F64" i="10"/>
  <c r="L60" i="17" s="1"/>
  <c r="AG8" i="10"/>
  <c r="F32" i="10"/>
  <c r="L28" i="17" s="1"/>
  <c r="F63" i="10"/>
  <c r="L59" i="17" s="1"/>
  <c r="F60" i="10"/>
  <c r="L56" i="17" s="1"/>
  <c r="F61" i="10"/>
  <c r="L57" i="17" s="1"/>
  <c r="F62" i="10"/>
  <c r="L58" i="17" s="1"/>
  <c r="S8" i="10"/>
  <c r="F41" i="10"/>
  <c r="L37" i="17" s="1"/>
  <c r="F59" i="10"/>
  <c r="L55" i="17" s="1"/>
  <c r="F40" i="10"/>
  <c r="L36" i="17" s="1"/>
  <c r="F58" i="10"/>
  <c r="L54" i="17" s="1"/>
  <c r="F57" i="10"/>
  <c r="L53" i="17" s="1"/>
  <c r="F55" i="10"/>
  <c r="L51" i="17" s="1"/>
  <c r="F56" i="10"/>
  <c r="L52" i="17"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AL73" i="19" l="1"/>
  <c r="AL79" i="19" s="1"/>
  <c r="AD79" i="19"/>
  <c r="AD58" i="19"/>
  <c r="AL52" i="19"/>
  <c r="AL58" i="19" s="1"/>
  <c r="AD65" i="19"/>
  <c r="AL59" i="19"/>
  <c r="AL65" i="19" s="1"/>
  <c r="Q45" i="9"/>
  <c r="Q45" i="19"/>
  <c r="AD45" i="19" s="1"/>
  <c r="AD72" i="19"/>
  <c r="AL66" i="19"/>
  <c r="AL72" i="19" s="1"/>
  <c r="AN94" i="12"/>
  <c r="AE94" i="12"/>
  <c r="AB94" i="12"/>
  <c r="AQ37" i="19"/>
  <c r="AQ28" i="19"/>
  <c r="AQ44" i="19"/>
  <c r="AQ65" i="19"/>
  <c r="AQ51" i="19"/>
  <c r="AQ79" i="19"/>
  <c r="AQ58" i="19"/>
  <c r="AQ72" i="19"/>
  <c r="AQ94" i="19"/>
  <c r="AF94" i="19"/>
  <c r="BD29" i="12"/>
  <c r="V65" i="12"/>
  <c r="BD28" i="12"/>
  <c r="V58" i="12"/>
  <c r="V94" i="12"/>
  <c r="BD34" i="12"/>
  <c r="V37" i="12"/>
  <c r="BD25" i="12"/>
  <c r="S74" i="9"/>
  <c r="AQ74" i="9" s="1"/>
  <c r="K74" i="7"/>
  <c r="S47" i="9"/>
  <c r="AQ47" i="9" s="1"/>
  <c r="K47" i="7"/>
  <c r="S56" i="9"/>
  <c r="K56" i="7"/>
  <c r="S66" i="9"/>
  <c r="AQ66" i="9" s="1"/>
  <c r="K66" i="7"/>
  <c r="S75" i="9"/>
  <c r="K75" i="7"/>
  <c r="S38" i="9"/>
  <c r="AQ38" i="9" s="1"/>
  <c r="K38" i="7"/>
  <c r="S39" i="9"/>
  <c r="AQ39" i="9" s="1"/>
  <c r="K39" i="7"/>
  <c r="S48" i="9"/>
  <c r="AQ48" i="9" s="1"/>
  <c r="K48" i="7"/>
  <c r="S57" i="9"/>
  <c r="K57" i="7"/>
  <c r="S67" i="9"/>
  <c r="AQ67" i="9" s="1"/>
  <c r="K67" i="7"/>
  <c r="S76" i="9"/>
  <c r="K76" i="7"/>
  <c r="S64" i="9"/>
  <c r="K64" i="7"/>
  <c r="S49" i="9"/>
  <c r="K49" i="7"/>
  <c r="S59" i="9"/>
  <c r="AQ59" i="9" s="1"/>
  <c r="K59" i="7"/>
  <c r="S68" i="9"/>
  <c r="AQ68" i="9" s="1"/>
  <c r="K68" i="7"/>
  <c r="S77" i="9"/>
  <c r="K77" i="7"/>
  <c r="S55" i="9"/>
  <c r="AQ55" i="9" s="1"/>
  <c r="K55" i="7"/>
  <c r="S40" i="9"/>
  <c r="AQ40" i="9" s="1"/>
  <c r="K40" i="7"/>
  <c r="S41" i="9"/>
  <c r="AQ41" i="9" s="1"/>
  <c r="K41" i="7"/>
  <c r="S50" i="9"/>
  <c r="K50" i="7"/>
  <c r="S60" i="9"/>
  <c r="AQ60" i="9" s="1"/>
  <c r="K60" i="7"/>
  <c r="S69" i="9"/>
  <c r="AQ69" i="9" s="1"/>
  <c r="K69" i="7"/>
  <c r="S78" i="9"/>
  <c r="K78" i="7"/>
  <c r="S46" i="9"/>
  <c r="AQ46" i="9" s="1"/>
  <c r="K46" i="7"/>
  <c r="S26" i="9"/>
  <c r="K26" i="7"/>
  <c r="S42" i="9"/>
  <c r="K42" i="7"/>
  <c r="S52" i="9"/>
  <c r="AQ52" i="9" s="1"/>
  <c r="K52" i="7"/>
  <c r="S61" i="9"/>
  <c r="AQ61" i="9" s="1"/>
  <c r="K61" i="7"/>
  <c r="S70" i="9"/>
  <c r="K70" i="7"/>
  <c r="S94" i="9"/>
  <c r="K94" i="7"/>
  <c r="AM94" i="6"/>
  <c r="S27" i="9"/>
  <c r="K27" i="7"/>
  <c r="S43" i="9"/>
  <c r="K43" i="7"/>
  <c r="S53" i="9"/>
  <c r="AQ53" i="9" s="1"/>
  <c r="K53" i="7"/>
  <c r="S62" i="9"/>
  <c r="AQ62" i="9" s="1"/>
  <c r="K62" i="7"/>
  <c r="S71" i="9"/>
  <c r="K71" i="7"/>
  <c r="S45" i="9"/>
  <c r="AQ45" i="9" s="1"/>
  <c r="K45" i="7"/>
  <c r="S54" i="9"/>
  <c r="AQ54" i="9" s="1"/>
  <c r="K54" i="7"/>
  <c r="S63" i="9"/>
  <c r="AQ63" i="9" s="1"/>
  <c r="K63" i="7"/>
  <c r="S73" i="9"/>
  <c r="AQ73" i="9" s="1"/>
  <c r="K73" i="7"/>
  <c r="S36" i="9"/>
  <c r="AQ36" i="9" s="1"/>
  <c r="K36" i="7"/>
  <c r="S35" i="9"/>
  <c r="AQ35" i="9" s="1"/>
  <c r="K35" i="7"/>
  <c r="N29" i="17"/>
  <c r="AH29" i="17"/>
  <c r="AZ29" i="17" s="1"/>
  <c r="N61" i="17"/>
  <c r="AH61" i="17"/>
  <c r="AZ61" i="17" s="1"/>
  <c r="N12" i="17"/>
  <c r="AH12" i="17"/>
  <c r="AZ12" i="17" s="1"/>
  <c r="N38" i="17"/>
  <c r="AH38" i="17"/>
  <c r="AZ38" i="17" s="1"/>
  <c r="N52" i="17"/>
  <c r="AH52" i="17"/>
  <c r="AZ52" i="17" s="1"/>
  <c r="N58" i="17"/>
  <c r="AH58" i="17"/>
  <c r="AZ58" i="17" s="1"/>
  <c r="N33" i="17"/>
  <c r="AH33" i="17"/>
  <c r="AZ33" i="17" s="1"/>
  <c r="N34" i="17"/>
  <c r="AH34" i="17"/>
  <c r="AZ34" i="17" s="1"/>
  <c r="N19" i="17"/>
  <c r="AH19" i="17"/>
  <c r="AZ19" i="17" s="1"/>
  <c r="N60" i="17"/>
  <c r="AH60" i="17"/>
  <c r="AZ60" i="17" s="1"/>
  <c r="N51" i="17"/>
  <c r="AH51" i="17"/>
  <c r="AZ51" i="17" s="1"/>
  <c r="N57" i="17"/>
  <c r="AH57" i="17"/>
  <c r="AZ57" i="17" s="1"/>
  <c r="N16" i="17"/>
  <c r="AH16" i="17"/>
  <c r="AZ16" i="17" s="1"/>
  <c r="N30" i="17"/>
  <c r="AH30" i="17"/>
  <c r="AZ30" i="17" s="1"/>
  <c r="N32" i="17"/>
  <c r="AH32" i="17"/>
  <c r="AZ32" i="17" s="1"/>
  <c r="N31" i="17"/>
  <c r="AH31" i="17"/>
  <c r="AZ31" i="17" s="1"/>
  <c r="N53" i="17"/>
  <c r="AH53" i="17"/>
  <c r="AZ53" i="17" s="1"/>
  <c r="N56" i="17"/>
  <c r="AH56" i="17"/>
  <c r="AZ56" i="17" s="1"/>
  <c r="N15" i="17"/>
  <c r="AH15" i="17"/>
  <c r="AZ15" i="17" s="1"/>
  <c r="N20" i="17"/>
  <c r="AH20" i="17"/>
  <c r="AZ20" i="17" s="1"/>
  <c r="N54" i="17"/>
  <c r="AH54" i="17"/>
  <c r="AZ54" i="17" s="1"/>
  <c r="N59" i="17"/>
  <c r="AH59" i="17"/>
  <c r="AZ59" i="17" s="1"/>
  <c r="N11" i="17"/>
  <c r="AH11" i="17"/>
  <c r="AZ11" i="17" s="1"/>
  <c r="N13" i="17"/>
  <c r="AH13" i="17"/>
  <c r="AZ13" i="17" s="1"/>
  <c r="N37" i="17"/>
  <c r="AH37" i="17"/>
  <c r="AZ37" i="17" s="1"/>
  <c r="N36" i="17"/>
  <c r="AH36" i="17"/>
  <c r="AZ36" i="17" s="1"/>
  <c r="N28" i="17"/>
  <c r="AH28" i="17"/>
  <c r="AZ28" i="17" s="1"/>
  <c r="N35" i="17"/>
  <c r="AH35" i="17"/>
  <c r="AZ35" i="17" s="1"/>
  <c r="N55" i="17"/>
  <c r="AH55" i="17"/>
  <c r="AZ55" i="17" s="1"/>
  <c r="N14" i="17"/>
  <c r="AH14" i="17"/>
  <c r="AZ14" i="17" s="1"/>
  <c r="N27" i="17"/>
  <c r="AH27" i="17"/>
  <c r="AZ27" i="17" s="1"/>
  <c r="E69" i="5"/>
  <c r="N66" i="10"/>
  <c r="H78" i="6" s="1"/>
  <c r="I57" i="9"/>
  <c r="W57" i="6"/>
  <c r="I56" i="9"/>
  <c r="W56" i="6"/>
  <c r="H94" i="6"/>
  <c r="I35" i="9"/>
  <c r="W35" i="6"/>
  <c r="I62" i="9"/>
  <c r="W62" i="6"/>
  <c r="I54" i="9"/>
  <c r="W54" i="6"/>
  <c r="I36" i="9"/>
  <c r="W36" i="6"/>
  <c r="I55" i="9"/>
  <c r="W55" i="6"/>
  <c r="I52" i="9"/>
  <c r="W52" i="6"/>
  <c r="I61" i="9"/>
  <c r="W61" i="6"/>
  <c r="I64" i="9"/>
  <c r="X64" i="9" s="1"/>
  <c r="W64" i="6"/>
  <c r="I63" i="9"/>
  <c r="W63" i="6"/>
  <c r="I53" i="9"/>
  <c r="W53" i="6"/>
  <c r="I60" i="9"/>
  <c r="W60" i="6"/>
  <c r="I59" i="9"/>
  <c r="W59" i="6"/>
  <c r="O52" i="9"/>
  <c r="AD52" i="9" s="1"/>
  <c r="AL52" i="9" s="1"/>
  <c r="AD52" i="6"/>
  <c r="AH52" i="6" s="1"/>
  <c r="O45" i="9"/>
  <c r="AD45" i="6"/>
  <c r="AH45" i="6" s="1"/>
  <c r="Q66" i="9"/>
  <c r="AD66" i="9" s="1"/>
  <c r="AL66" i="9" s="1"/>
  <c r="AD66" i="6"/>
  <c r="AH66" i="6" s="1"/>
  <c r="Q73" i="9"/>
  <c r="AD73" i="9" s="1"/>
  <c r="AL73" i="9" s="1"/>
  <c r="AD73" i="6"/>
  <c r="AH73" i="6" s="1"/>
  <c r="O59" i="9"/>
  <c r="AD59" i="9" s="1"/>
  <c r="AL59" i="9" s="1"/>
  <c r="AD59" i="6"/>
  <c r="AH59" i="6" s="1"/>
  <c r="F22" i="10"/>
  <c r="L18" i="17" s="1"/>
  <c r="F21" i="10"/>
  <c r="L17" i="17" s="1"/>
  <c r="AC37" i="6"/>
  <c r="AC44" i="6"/>
  <c r="AC31" i="6"/>
  <c r="AC79" i="6"/>
  <c r="AC22" i="6"/>
  <c r="AC65" i="6"/>
  <c r="AC28" i="6"/>
  <c r="AC51" i="6"/>
  <c r="AC72" i="6"/>
  <c r="U8" i="10"/>
  <c r="J40" i="10"/>
  <c r="D41" i="11" s="1"/>
  <c r="K48" i="12" s="1"/>
  <c r="J64" i="10"/>
  <c r="D65" i="11" s="1"/>
  <c r="J59" i="10"/>
  <c r="D60" i="11" s="1"/>
  <c r="K70" i="12" s="1"/>
  <c r="J33" i="10"/>
  <c r="D34" i="11" s="1"/>
  <c r="K40" i="12" s="1"/>
  <c r="J39" i="10"/>
  <c r="D40" i="11" s="1"/>
  <c r="K47" i="12" s="1"/>
  <c r="J41" i="10"/>
  <c r="D42" i="11" s="1"/>
  <c r="K49" i="12" s="1"/>
  <c r="J18" i="10"/>
  <c r="D19" i="11" s="1"/>
  <c r="K19" i="12" s="1"/>
  <c r="J56" i="10"/>
  <c r="D57" i="11" s="1"/>
  <c r="K67" i="12" s="1"/>
  <c r="J35" i="10"/>
  <c r="D36" i="11" s="1"/>
  <c r="K42" i="12" s="1"/>
  <c r="J42" i="10"/>
  <c r="D43" i="11" s="1"/>
  <c r="J17" i="10"/>
  <c r="D18" i="11" s="1"/>
  <c r="K18" i="12" s="1"/>
  <c r="J55" i="10"/>
  <c r="D56" i="11" s="1"/>
  <c r="K66" i="12" s="1"/>
  <c r="J62" i="10"/>
  <c r="D63" i="11" s="1"/>
  <c r="K74" i="12" s="1"/>
  <c r="J32" i="10"/>
  <c r="D33" i="11" s="1"/>
  <c r="K39" i="12" s="1"/>
  <c r="J65" i="10"/>
  <c r="D66" i="11" s="1"/>
  <c r="J16" i="10"/>
  <c r="D17" i="11" s="1"/>
  <c r="K17" i="12" s="1"/>
  <c r="J15" i="10"/>
  <c r="D16" i="11" s="1"/>
  <c r="K16" i="12" s="1"/>
  <c r="J57" i="10"/>
  <c r="D58" i="11" s="1"/>
  <c r="K68" i="12" s="1"/>
  <c r="J61" i="10"/>
  <c r="D62" i="11" s="1"/>
  <c r="K73" i="12" s="1"/>
  <c r="J37" i="10"/>
  <c r="D38" i="11" s="1"/>
  <c r="K45" i="12" s="1"/>
  <c r="J38" i="10"/>
  <c r="D39" i="11" s="1"/>
  <c r="K46" i="12" s="1"/>
  <c r="J23" i="10"/>
  <c r="D24" i="11" s="1"/>
  <c r="K26" i="12" s="1"/>
  <c r="J31" i="10"/>
  <c r="D32" i="11" s="1"/>
  <c r="K38" i="12" s="1"/>
  <c r="J58" i="10"/>
  <c r="D59" i="11" s="1"/>
  <c r="K69" i="12" s="1"/>
  <c r="J60" i="10"/>
  <c r="D61" i="11" s="1"/>
  <c r="K71" i="12" s="1"/>
  <c r="J20" i="10"/>
  <c r="D21" i="11" s="1"/>
  <c r="K21" i="12" s="1"/>
  <c r="J34" i="10"/>
  <c r="D35" i="11" s="1"/>
  <c r="K41" i="12" s="1"/>
  <c r="J36" i="10"/>
  <c r="D37" i="11" s="1"/>
  <c r="K43" i="12" s="1"/>
  <c r="J63" i="10"/>
  <c r="D64" i="11" s="1"/>
  <c r="K75" i="12" s="1"/>
  <c r="J19" i="10"/>
  <c r="D20" i="11" s="1"/>
  <c r="K20" i="12" s="1"/>
  <c r="J24" i="10"/>
  <c r="D25" i="11" s="1"/>
  <c r="K27" i="12" s="1"/>
  <c r="X22" i="6"/>
  <c r="D49" i="2"/>
  <c r="X28" i="6"/>
  <c r="X72" i="6"/>
  <c r="X37" i="6"/>
  <c r="X79" i="6"/>
  <c r="Y51" i="6"/>
  <c r="Y65" i="6"/>
  <c r="AD44" i="6"/>
  <c r="X51" i="6"/>
  <c r="X65" i="6"/>
  <c r="X58" i="6"/>
  <c r="AC93" i="6"/>
  <c r="AL45" i="19" l="1"/>
  <c r="AL51" i="19" s="1"/>
  <c r="AL3" i="19" s="1"/>
  <c r="AV5" i="19" s="1"/>
  <c r="AD51" i="19"/>
  <c r="AD3" i="19" s="1"/>
  <c r="X59" i="9"/>
  <c r="X62" i="9"/>
  <c r="X63" i="9"/>
  <c r="X56" i="9"/>
  <c r="X60" i="9"/>
  <c r="AQ3" i="19"/>
  <c r="AS5" i="19" s="1"/>
  <c r="AV9" i="19" s="1"/>
  <c r="X57" i="9"/>
  <c r="X36" i="9"/>
  <c r="X37" i="9" s="1"/>
  <c r="P94" i="7"/>
  <c r="AB94" i="7"/>
  <c r="X54" i="9"/>
  <c r="X35" i="9"/>
  <c r="X61" i="9"/>
  <c r="M16" i="12"/>
  <c r="BB45" i="12" s="1"/>
  <c r="N16" i="12"/>
  <c r="N17" i="12"/>
  <c r="N44" i="12"/>
  <c r="M44" i="12"/>
  <c r="BB55" i="12" s="1"/>
  <c r="N19" i="12"/>
  <c r="M19" i="12"/>
  <c r="BB48" i="12" s="1"/>
  <c r="N28" i="12"/>
  <c r="M28" i="12"/>
  <c r="BB51" i="12" s="1"/>
  <c r="N22" i="12"/>
  <c r="M22" i="12"/>
  <c r="BB49" i="12" s="1"/>
  <c r="N51" i="12"/>
  <c r="M51" i="12"/>
  <c r="BB56" i="12" s="1"/>
  <c r="N79" i="12"/>
  <c r="M79" i="12"/>
  <c r="BB60" i="12" s="1"/>
  <c r="AQ94" i="9"/>
  <c r="AF94" i="9"/>
  <c r="AQ50" i="9"/>
  <c r="AQ49" i="9"/>
  <c r="AQ76" i="9"/>
  <c r="AQ43" i="9"/>
  <c r="AQ42" i="9"/>
  <c r="AQ78" i="9"/>
  <c r="AQ77" i="9"/>
  <c r="AQ56" i="9"/>
  <c r="AQ71" i="9"/>
  <c r="AQ70" i="9"/>
  <c r="X53" i="9"/>
  <c r="X52" i="9"/>
  <c r="AQ64" i="9"/>
  <c r="AQ57" i="9"/>
  <c r="AQ27" i="9"/>
  <c r="AQ26" i="9"/>
  <c r="AQ75" i="9"/>
  <c r="X55" i="9"/>
  <c r="K77" i="12"/>
  <c r="K76" i="12"/>
  <c r="M72" i="12"/>
  <c r="BB59" i="12" s="1"/>
  <c r="N72" i="12"/>
  <c r="K50" i="12"/>
  <c r="N18" i="12"/>
  <c r="N17" i="17"/>
  <c r="AH17" i="17"/>
  <c r="AZ17" i="17" s="1"/>
  <c r="N18" i="17"/>
  <c r="AH18" i="17"/>
  <c r="AZ18" i="17" s="1"/>
  <c r="AA7" i="10"/>
  <c r="AB7" i="10" s="1"/>
  <c r="AD45" i="9"/>
  <c r="AL45" i="9" s="1"/>
  <c r="AL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X78" i="9" s="1"/>
  <c r="W78" i="6"/>
  <c r="E42" i="5"/>
  <c r="N39" i="10"/>
  <c r="H47" i="6" s="1"/>
  <c r="E27" i="5"/>
  <c r="N24" i="10"/>
  <c r="H27" i="6" s="1"/>
  <c r="E68" i="5"/>
  <c r="N65" i="10"/>
  <c r="H77" i="6" s="1"/>
  <c r="E22" i="5"/>
  <c r="N19" i="10"/>
  <c r="H20" i="6" s="1"/>
  <c r="E26" i="5"/>
  <c r="N23" i="10"/>
  <c r="H26" i="6" s="1"/>
  <c r="E35" i="5"/>
  <c r="N32" i="10"/>
  <c r="H39" i="6" s="1"/>
  <c r="E21" i="5"/>
  <c r="N18" i="10"/>
  <c r="H19" i="6" s="1"/>
  <c r="I94" i="9"/>
  <c r="X94" i="9" s="1"/>
  <c r="W94" i="6"/>
  <c r="AL65" i="9"/>
  <c r="AD65" i="9"/>
  <c r="AL79" i="9"/>
  <c r="AD79" i="9"/>
  <c r="AL58" i="9"/>
  <c r="AD58" i="9"/>
  <c r="AL72" i="9"/>
  <c r="AD72" i="9"/>
  <c r="J21" i="10"/>
  <c r="D22" i="11" s="1"/>
  <c r="K23" i="12" s="1"/>
  <c r="J22" i="10"/>
  <c r="D23" i="11" s="1"/>
  <c r="K24" i="12"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Z93" i="6" l="1"/>
  <c r="K74" i="4" s="1"/>
  <c r="G77" i="3" s="1"/>
  <c r="X65" i="9"/>
  <c r="AD36" i="14"/>
  <c r="AE37" i="21"/>
  <c r="Y3" i="6"/>
  <c r="X3" i="6"/>
  <c r="X58" i="9"/>
  <c r="AD51" i="9"/>
  <c r="AD3" i="9" s="1"/>
  <c r="BD31" i="12"/>
  <c r="V79" i="12"/>
  <c r="V19" i="12"/>
  <c r="BD19" i="12"/>
  <c r="BD27" i="12"/>
  <c r="V51" i="12"/>
  <c r="BD26" i="12"/>
  <c r="V44" i="12"/>
  <c r="V22" i="12"/>
  <c r="BD20" i="12"/>
  <c r="BD17" i="12"/>
  <c r="V17" i="12"/>
  <c r="N25" i="12"/>
  <c r="M25" i="12"/>
  <c r="BB50" i="12" s="1"/>
  <c r="V16" i="12"/>
  <c r="BD16" i="12"/>
  <c r="BD22" i="12"/>
  <c r="V28" i="12"/>
  <c r="V72" i="12"/>
  <c r="BD30" i="12"/>
  <c r="V18" i="12"/>
  <c r="BD18" i="12"/>
  <c r="BC36" i="12"/>
  <c r="BG36" i="12"/>
  <c r="AL3" i="9"/>
  <c r="AV5" i="9" s="1"/>
  <c r="BE24" i="12"/>
  <c r="AG3" i="6"/>
  <c r="AR4" i="6" s="1"/>
  <c r="I48" i="9"/>
  <c r="X48" i="9" s="1"/>
  <c r="W48" i="6"/>
  <c r="H16" i="6"/>
  <c r="I68" i="9"/>
  <c r="X68" i="9" s="1"/>
  <c r="W68" i="6"/>
  <c r="I49" i="9"/>
  <c r="X49" i="9" s="1"/>
  <c r="W49" i="6"/>
  <c r="W67" i="6"/>
  <c r="I67" i="9"/>
  <c r="X67" i="9" s="1"/>
  <c r="I18" i="9"/>
  <c r="X18" i="9" s="1"/>
  <c r="W18" i="6"/>
  <c r="Z18" i="6" s="1"/>
  <c r="K18" i="4" s="1"/>
  <c r="I38" i="9"/>
  <c r="X38" i="9" s="1"/>
  <c r="W38" i="6"/>
  <c r="I26" i="9"/>
  <c r="X26" i="9" s="1"/>
  <c r="W26" i="6"/>
  <c r="I47" i="9"/>
  <c r="X47" i="9" s="1"/>
  <c r="W47" i="6"/>
  <c r="I42" i="9"/>
  <c r="X42" i="9" s="1"/>
  <c r="W42" i="6"/>
  <c r="E24" i="5"/>
  <c r="N21" i="10"/>
  <c r="H23" i="6" s="1"/>
  <c r="I74" i="9"/>
  <c r="X74" i="9" s="1"/>
  <c r="W74" i="6"/>
  <c r="I76" i="9"/>
  <c r="X76" i="9" s="1"/>
  <c r="W76" i="6"/>
  <c r="I43" i="9"/>
  <c r="X43" i="9" s="1"/>
  <c r="W43" i="6"/>
  <c r="I41" i="9"/>
  <c r="X41" i="9" s="1"/>
  <c r="W41" i="6"/>
  <c r="W46" i="6"/>
  <c r="I46" i="9"/>
  <c r="X46" i="9" s="1"/>
  <c r="I73" i="9"/>
  <c r="X73" i="9" s="1"/>
  <c r="W73" i="6"/>
  <c r="I27" i="9"/>
  <c r="X27" i="9" s="1"/>
  <c r="W27" i="6"/>
  <c r="I21" i="9"/>
  <c r="X21" i="9" s="1"/>
  <c r="W21" i="6"/>
  <c r="I20" i="9"/>
  <c r="X20" i="9" s="1"/>
  <c r="W20" i="6"/>
  <c r="I17" i="9"/>
  <c r="X17" i="9" s="1"/>
  <c r="W17" i="6"/>
  <c r="Z17" i="6" s="1"/>
  <c r="K17" i="4" s="1"/>
  <c r="I39" i="9"/>
  <c r="X39" i="9" s="1"/>
  <c r="W39" i="6"/>
  <c r="I71" i="9"/>
  <c r="X71" i="9" s="1"/>
  <c r="W71" i="6"/>
  <c r="I50" i="9"/>
  <c r="X50" i="9" s="1"/>
  <c r="W50" i="6"/>
  <c r="I70" i="9"/>
  <c r="X70" i="9" s="1"/>
  <c r="W70" i="6"/>
  <c r="I45" i="9"/>
  <c r="X45" i="9" s="1"/>
  <c r="W45" i="6"/>
  <c r="I75" i="9"/>
  <c r="X75" i="9" s="1"/>
  <c r="W75" i="6"/>
  <c r="I66" i="9"/>
  <c r="X66" i="9" s="1"/>
  <c r="W66" i="6"/>
  <c r="E25" i="5"/>
  <c r="N22" i="10"/>
  <c r="H24" i="6" s="1"/>
  <c r="I19" i="9"/>
  <c r="X19" i="9" s="1"/>
  <c r="W19" i="6"/>
  <c r="Z19" i="6" s="1"/>
  <c r="K19" i="4" s="1"/>
  <c r="I77" i="9"/>
  <c r="X77" i="9" s="1"/>
  <c r="W77" i="6"/>
  <c r="I40" i="9"/>
  <c r="X40" i="9" s="1"/>
  <c r="W40" i="6"/>
  <c r="I69" i="9"/>
  <c r="X69" i="9" s="1"/>
  <c r="W69" i="6"/>
  <c r="G20" i="3" l="1"/>
  <c r="G22" i="3"/>
  <c r="G21" i="3"/>
  <c r="V25" i="12"/>
  <c r="BD21" i="12"/>
  <c r="X22" i="9"/>
  <c r="I23" i="9"/>
  <c r="X23" i="9" s="1"/>
  <c r="W23" i="6"/>
  <c r="I16" i="9"/>
  <c r="X16" i="9" s="1"/>
  <c r="W16" i="6"/>
  <c r="Z16" i="6" s="1"/>
  <c r="I24" i="9"/>
  <c r="X24" i="9" s="1"/>
  <c r="W24" i="6"/>
  <c r="X31" i="9"/>
  <c r="X72" i="9"/>
  <c r="B22" i="5"/>
  <c r="B26" i="5"/>
  <c r="B32" i="5"/>
  <c r="B34" i="5"/>
  <c r="B40" i="5"/>
  <c r="B46" i="5"/>
  <c r="B52" i="5"/>
  <c r="B58" i="5"/>
  <c r="B64" i="5"/>
  <c r="B82" i="5"/>
  <c r="B83" i="5"/>
  <c r="B84" i="5"/>
  <c r="B80" i="7"/>
  <c r="K16" i="4" l="1"/>
  <c r="W25" i="6"/>
  <c r="Z25" i="6" s="1"/>
  <c r="K22" i="4" s="1"/>
  <c r="X25" i="9"/>
  <c r="X28" i="9"/>
  <c r="B94" i="7"/>
  <c r="X79" i="9"/>
  <c r="X51" i="9"/>
  <c r="X44" i="9"/>
  <c r="G25" i="3" l="1"/>
  <c r="G19" i="3"/>
  <c r="X3" i="9"/>
  <c r="BE21" i="12"/>
  <c r="AD58" i="6" l="1"/>
  <c r="AH58" i="6"/>
  <c r="AD93" i="6"/>
  <c r="AH93" i="6"/>
  <c r="AD65" i="6"/>
  <c r="AH65" i="6"/>
  <c r="AH79" i="6"/>
  <c r="AD79" i="6"/>
  <c r="AH72" i="6"/>
  <c r="AD72" i="6"/>
  <c r="F80" i="4" l="1"/>
  <c r="F82" i="5"/>
  <c r="E94" i="6"/>
  <c r="I94" i="6" s="1"/>
  <c r="AB94" i="6" s="1"/>
  <c r="O75" i="17"/>
  <c r="AE75" i="17" s="1"/>
  <c r="H80" i="11"/>
  <c r="Q94" i="12" s="1"/>
  <c r="O79" i="10"/>
  <c r="R79" i="10" s="1"/>
  <c r="W79" i="10" s="1"/>
  <c r="F81" i="4"/>
  <c r="G81" i="4" s="1"/>
  <c r="F83" i="5"/>
  <c r="G83" i="5" s="1"/>
  <c r="H83" i="5" s="1"/>
  <c r="K83" i="5" s="1"/>
  <c r="E95" i="6"/>
  <c r="I95" i="6" s="1"/>
  <c r="AB95" i="6" s="1"/>
  <c r="O80" i="10"/>
  <c r="R80" i="10" s="1"/>
  <c r="W80" i="10" s="1"/>
  <c r="O76" i="17"/>
  <c r="H81" i="11"/>
  <c r="Q95" i="12" s="1"/>
  <c r="F82" i="4"/>
  <c r="G82" i="4" s="1"/>
  <c r="E96" i="6"/>
  <c r="I96" i="6" s="1"/>
  <c r="AB96" i="6" s="1"/>
  <c r="O77" i="17"/>
  <c r="F84" i="5"/>
  <c r="G84" i="5" s="1"/>
  <c r="H84" i="5" s="1"/>
  <c r="K84" i="5" s="1"/>
  <c r="O81" i="10"/>
  <c r="R81" i="10" s="1"/>
  <c r="W81" i="10" s="1"/>
  <c r="H82" i="11"/>
  <c r="Q96" i="12" s="1"/>
  <c r="AH51" i="6"/>
  <c r="AH3" i="6" s="1"/>
  <c r="AD51" i="6"/>
  <c r="AD3" i="6" s="1"/>
  <c r="AP94" i="12" l="1"/>
  <c r="AQ94" i="12" s="1"/>
  <c r="AP95" i="12"/>
  <c r="AQ95" i="12" s="1"/>
  <c r="AP96" i="12"/>
  <c r="AQ96" i="12" s="1"/>
  <c r="E94" i="9"/>
  <c r="H94" i="18"/>
  <c r="Y79" i="10"/>
  <c r="E96" i="9"/>
  <c r="J96" i="9" s="1"/>
  <c r="AB96" i="9" s="1"/>
  <c r="AJ96" i="9" s="1"/>
  <c r="H96" i="18"/>
  <c r="Y81" i="10"/>
  <c r="R76" i="17"/>
  <c r="V76" i="17" s="1"/>
  <c r="AE76" i="17"/>
  <c r="R75" i="17"/>
  <c r="V75" i="17" s="1"/>
  <c r="H95" i="18"/>
  <c r="E95" i="9"/>
  <c r="J95" i="9" s="1"/>
  <c r="AB95" i="9" s="1"/>
  <c r="AJ95" i="9" s="1"/>
  <c r="Y80" i="10"/>
  <c r="R77" i="17"/>
  <c r="V77" i="17" s="1"/>
  <c r="AE77" i="17"/>
  <c r="AO95" i="6"/>
  <c r="AF95" i="6"/>
  <c r="R94" i="12"/>
  <c r="S94" i="12" s="1"/>
  <c r="L37" i="20" s="1"/>
  <c r="J80" i="11"/>
  <c r="AF94" i="6"/>
  <c r="AO94" i="6"/>
  <c r="AO96" i="6"/>
  <c r="AF96" i="6"/>
  <c r="R95" i="12"/>
  <c r="J81" i="11"/>
  <c r="R96" i="12"/>
  <c r="BB36" i="12" s="1"/>
  <c r="J82" i="11"/>
  <c r="AR5" i="6"/>
  <c r="W65" i="6"/>
  <c r="Z65" i="6" s="1"/>
  <c r="K50" i="4" s="1"/>
  <c r="H37" i="21" l="1"/>
  <c r="I37" i="21" s="1"/>
  <c r="G37" i="20"/>
  <c r="F38" i="20"/>
  <c r="F38" i="21"/>
  <c r="H38" i="21"/>
  <c r="I38" i="21" s="1"/>
  <c r="G38" i="20"/>
  <c r="F37" i="21"/>
  <c r="F37" i="20"/>
  <c r="R78" i="22"/>
  <c r="S78" i="22" s="1"/>
  <c r="U78" i="23"/>
  <c r="W78" i="23" s="1"/>
  <c r="F39" i="20"/>
  <c r="F39" i="21"/>
  <c r="G39" i="20"/>
  <c r="H39" i="21"/>
  <c r="I39" i="21" s="1"/>
  <c r="R77" i="22"/>
  <c r="S77" i="22" s="1"/>
  <c r="U77" i="23"/>
  <c r="W77" i="23" s="1"/>
  <c r="R76" i="22"/>
  <c r="S76" i="22" s="1"/>
  <c r="U76" i="23"/>
  <c r="W76" i="23" s="1"/>
  <c r="E94" i="19"/>
  <c r="E94" i="18"/>
  <c r="I94" i="18" s="1"/>
  <c r="AB94" i="18" s="1"/>
  <c r="AL75" i="17"/>
  <c r="AN75" i="17" s="1"/>
  <c r="K80" i="11"/>
  <c r="N80" i="11" s="1"/>
  <c r="P80" i="11" s="1"/>
  <c r="AA79" i="10"/>
  <c r="AB79" i="10" s="1"/>
  <c r="E95" i="19"/>
  <c r="E95" i="18"/>
  <c r="I95" i="18" s="1"/>
  <c r="AB95" i="18" s="1"/>
  <c r="AL76" i="17"/>
  <c r="AN76" i="17" s="1"/>
  <c r="K81" i="11"/>
  <c r="N81" i="11" s="1"/>
  <c r="P81" i="11" s="1"/>
  <c r="AA80" i="10"/>
  <c r="AB80" i="10" s="1"/>
  <c r="E96" i="19"/>
  <c r="E96" i="18"/>
  <c r="I96" i="18" s="1"/>
  <c r="AB96" i="18" s="1"/>
  <c r="AL77" i="17"/>
  <c r="AN77" i="17" s="1"/>
  <c r="K82" i="11"/>
  <c r="N82" i="11" s="1"/>
  <c r="P82" i="11" s="1"/>
  <c r="AA81" i="10"/>
  <c r="AB81" i="10" s="1"/>
  <c r="I94" i="19"/>
  <c r="W94" i="18"/>
  <c r="I96" i="19"/>
  <c r="W96" i="18"/>
  <c r="I95" i="19"/>
  <c r="W95" i="18"/>
  <c r="H36" i="14"/>
  <c r="I36" i="14" s="1"/>
  <c r="G37" i="13"/>
  <c r="F37" i="14"/>
  <c r="F38" i="13"/>
  <c r="F36" i="14"/>
  <c r="F37" i="13"/>
  <c r="F38" i="14"/>
  <c r="F39" i="13"/>
  <c r="H37" i="14"/>
  <c r="I37" i="14" s="1"/>
  <c r="G38" i="13"/>
  <c r="H38" i="14"/>
  <c r="I38" i="14" s="1"/>
  <c r="G39" i="13"/>
  <c r="G53" i="3"/>
  <c r="AJ76" i="17"/>
  <c r="L96" i="12"/>
  <c r="AF96" i="12"/>
  <c r="BF36" i="12" s="1"/>
  <c r="L95" i="12"/>
  <c r="AJ77" i="17"/>
  <c r="S95" i="12"/>
  <c r="L38" i="20" s="1"/>
  <c r="BB35" i="12"/>
  <c r="AF95" i="12"/>
  <c r="AG95" i="12" s="1"/>
  <c r="L94" i="12"/>
  <c r="AJ75" i="17"/>
  <c r="K37" i="20" l="1"/>
  <c r="J37" i="20"/>
  <c r="H37" i="20"/>
  <c r="Q37" i="20" s="1"/>
  <c r="I37" i="20"/>
  <c r="R37" i="20" s="1"/>
  <c r="G37" i="21"/>
  <c r="N37" i="21"/>
  <c r="N39" i="21"/>
  <c r="G39" i="21"/>
  <c r="G38" i="21"/>
  <c r="N38" i="21"/>
  <c r="J39" i="20"/>
  <c r="K39" i="20"/>
  <c r="I39" i="20"/>
  <c r="R39" i="20" s="1"/>
  <c r="H39" i="20"/>
  <c r="Q39" i="20" s="1"/>
  <c r="J38" i="20"/>
  <c r="K38" i="20"/>
  <c r="I38" i="20"/>
  <c r="R38" i="20" s="1"/>
  <c r="H38" i="20"/>
  <c r="Q38" i="20" s="1"/>
  <c r="AW75" i="17"/>
  <c r="BB75" i="17" s="1"/>
  <c r="N38" i="14"/>
  <c r="O38" i="14" s="1"/>
  <c r="AI95" i="12"/>
  <c r="BC64" i="12"/>
  <c r="AJ96" i="12"/>
  <c r="Y95" i="12"/>
  <c r="AJ95" i="12"/>
  <c r="AK95" i="12" s="1"/>
  <c r="Y94" i="12"/>
  <c r="AJ94" i="12"/>
  <c r="AK94" i="12" s="1"/>
  <c r="G38" i="14"/>
  <c r="G37" i="14"/>
  <c r="N37" i="14"/>
  <c r="O37" i="14" s="1"/>
  <c r="G36" i="14"/>
  <c r="N36" i="14"/>
  <c r="O36" i="14" s="1"/>
  <c r="J39" i="13"/>
  <c r="H39" i="13"/>
  <c r="N39" i="13" s="1"/>
  <c r="AA39" i="21" s="1"/>
  <c r="H37" i="13"/>
  <c r="N37" i="13" s="1"/>
  <c r="AA37" i="21" s="1"/>
  <c r="J37" i="13"/>
  <c r="J38" i="13"/>
  <c r="H38" i="13"/>
  <c r="N38" i="13" s="1"/>
  <c r="AA38" i="21" s="1"/>
  <c r="AW77" i="17"/>
  <c r="BB77" i="17" s="1"/>
  <c r="AW76" i="17"/>
  <c r="BB76" i="17" s="1"/>
  <c r="AF96" i="18"/>
  <c r="AO96" i="18"/>
  <c r="X95" i="19"/>
  <c r="J95" i="19"/>
  <c r="AB95" i="19" s="1"/>
  <c r="AF94" i="18"/>
  <c r="AO94" i="18"/>
  <c r="X94" i="19"/>
  <c r="J94" i="19"/>
  <c r="AB94" i="19" s="1"/>
  <c r="X96" i="19"/>
  <c r="J96" i="19"/>
  <c r="AB96" i="19" s="1"/>
  <c r="AF95" i="18"/>
  <c r="AO95" i="18"/>
  <c r="K37" i="13"/>
  <c r="I37" i="13"/>
  <c r="O37" i="13" s="1"/>
  <c r="AB37" i="21" s="1"/>
  <c r="AF37" i="21" s="1"/>
  <c r="K39" i="13"/>
  <c r="I39" i="13"/>
  <c r="O39" i="13" s="1"/>
  <c r="AB39" i="21" s="1"/>
  <c r="AF39" i="21" s="1"/>
  <c r="K38" i="13"/>
  <c r="I38" i="13"/>
  <c r="O38" i="13" s="1"/>
  <c r="AB38" i="21" s="1"/>
  <c r="AF38" i="21" s="1"/>
  <c r="P95" i="12"/>
  <c r="O95" i="12"/>
  <c r="P96" i="12"/>
  <c r="AB96" i="12" s="1"/>
  <c r="O96" i="12"/>
  <c r="BH65" i="12" s="1"/>
  <c r="AS95" i="12"/>
  <c r="AT95" i="12" s="1"/>
  <c r="BI64" i="12" s="1"/>
  <c r="AS96" i="12"/>
  <c r="AT96" i="12" s="1"/>
  <c r="BI65" i="12" s="1"/>
  <c r="L38" i="13"/>
  <c r="BC35" i="12"/>
  <c r="O94" i="12"/>
  <c r="P94" i="12"/>
  <c r="AS94" i="12"/>
  <c r="AT94" i="12" s="1"/>
  <c r="BI63" i="12" s="1"/>
  <c r="AH95" i="12"/>
  <c r="V38" i="21" s="1"/>
  <c r="BF35" i="12"/>
  <c r="W28" i="6"/>
  <c r="Z28" i="6" s="1"/>
  <c r="K24" i="4" s="1"/>
  <c r="W58" i="6"/>
  <c r="Z58" i="6" s="1"/>
  <c r="K44" i="4" s="1"/>
  <c r="I18" i="1"/>
  <c r="I19" i="1"/>
  <c r="O39" i="21" l="1"/>
  <c r="R39" i="21"/>
  <c r="T39" i="21" s="1"/>
  <c r="AC38" i="21"/>
  <c r="S38" i="20"/>
  <c r="V38" i="20" s="1"/>
  <c r="O37" i="21"/>
  <c r="R37" i="21"/>
  <c r="T37" i="21" s="1"/>
  <c r="S39" i="20"/>
  <c r="U39" i="20" s="1"/>
  <c r="AC39" i="21"/>
  <c r="R38" i="21"/>
  <c r="T38" i="21" s="1"/>
  <c r="O38" i="21"/>
  <c r="S37" i="20"/>
  <c r="W37" i="20" s="1"/>
  <c r="AC37" i="21"/>
  <c r="BM65" i="12"/>
  <c r="BL65" i="12"/>
  <c r="BF64" i="12"/>
  <c r="BG64" i="12"/>
  <c r="AR94" i="12"/>
  <c r="BH63" i="12"/>
  <c r="BM63" i="12" s="1"/>
  <c r="AR95" i="12"/>
  <c r="BH64" i="12"/>
  <c r="BM64" i="12" s="1"/>
  <c r="AV96" i="12"/>
  <c r="AV95" i="12"/>
  <c r="AV94" i="12"/>
  <c r="BJ36" i="12"/>
  <c r="U17" i="18"/>
  <c r="G17" i="12"/>
  <c r="U17" i="6"/>
  <c r="U18" i="18"/>
  <c r="G18" i="12"/>
  <c r="U18" i="6"/>
  <c r="AJ95" i="19"/>
  <c r="AJ94" i="19"/>
  <c r="AB36" i="14"/>
  <c r="P37" i="13"/>
  <c r="AB37" i="14"/>
  <c r="P38" i="13"/>
  <c r="AJ96" i="19"/>
  <c r="AB38" i="14"/>
  <c r="P39" i="13"/>
  <c r="G27" i="3"/>
  <c r="G47" i="3"/>
  <c r="BH36" i="12"/>
  <c r="AU96" i="12"/>
  <c r="BM36" i="12" s="1"/>
  <c r="AL96" i="12"/>
  <c r="X39" i="20" s="1"/>
  <c r="AO94" i="12"/>
  <c r="BK34" i="12" s="1"/>
  <c r="BJ34" i="12"/>
  <c r="BL34" i="12"/>
  <c r="AU94" i="12"/>
  <c r="BM34" i="12" s="1"/>
  <c r="BJ35" i="12"/>
  <c r="AO95" i="12"/>
  <c r="BK35" i="12" s="1"/>
  <c r="AL94" i="12"/>
  <c r="X37" i="20" s="1"/>
  <c r="BH34" i="12"/>
  <c r="BL36" i="12"/>
  <c r="X37" i="14"/>
  <c r="BG35" i="12"/>
  <c r="AU95" i="12"/>
  <c r="BM35" i="12" s="1"/>
  <c r="BL35" i="12"/>
  <c r="AL95" i="12"/>
  <c r="X38" i="20" s="1"/>
  <c r="BH35" i="12"/>
  <c r="I84" i="1"/>
  <c r="T39" i="20" l="1"/>
  <c r="U38" i="20"/>
  <c r="W38" i="20"/>
  <c r="T38" i="20"/>
  <c r="AI38" i="21"/>
  <c r="AI39" i="21"/>
  <c r="AI37" i="21"/>
  <c r="AD37" i="21"/>
  <c r="T37" i="20"/>
  <c r="V37" i="20"/>
  <c r="AD38" i="21"/>
  <c r="AD39" i="21"/>
  <c r="U37" i="20"/>
  <c r="W39" i="20"/>
  <c r="V39" i="20"/>
  <c r="AP37" i="14"/>
  <c r="AM38" i="21"/>
  <c r="AP38" i="14"/>
  <c r="AM39" i="21"/>
  <c r="AP36" i="14"/>
  <c r="AM37" i="21"/>
  <c r="BL64" i="12"/>
  <c r="BL63" i="12"/>
  <c r="M18" i="12"/>
  <c r="BB47" i="12" s="1"/>
  <c r="M17" i="12"/>
  <c r="BB46" i="12" s="1"/>
  <c r="V18" i="19"/>
  <c r="V18" i="9"/>
  <c r="N18" i="7"/>
  <c r="V17" i="19"/>
  <c r="V17" i="9"/>
  <c r="N17" i="7"/>
  <c r="AH38" i="14"/>
  <c r="AH37" i="14"/>
  <c r="AH36" i="14"/>
  <c r="BI34" i="12"/>
  <c r="U37" i="13"/>
  <c r="BI36" i="12"/>
  <c r="U39" i="13"/>
  <c r="BI35" i="12"/>
  <c r="U38" i="13"/>
  <c r="D9" i="11"/>
  <c r="AK38" i="21" l="1"/>
  <c r="AK39" i="21"/>
  <c r="AK37"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9" i="12"/>
  <c r="A10" i="12" s="1"/>
  <c r="A11" i="12" s="1"/>
  <c r="A12" i="12" s="1"/>
  <c r="A13" i="12" s="1"/>
  <c r="A14" i="12" s="1"/>
  <c r="A15" i="12" s="1"/>
  <c r="A16" i="12" s="1"/>
  <c r="A17"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J86" i="5" l="1"/>
  <c r="BB34" i="12" l="1"/>
  <c r="L37" i="13"/>
  <c r="BC34" i="12" l="1"/>
  <c r="W37" i="6"/>
  <c r="Z37" i="6" s="1"/>
  <c r="K30" i="4" s="1"/>
  <c r="G33" i="3" l="1"/>
  <c r="W72" i="6"/>
  <c r="Z72" i="6" s="1"/>
  <c r="K56" i="4" s="1"/>
  <c r="W79" i="6"/>
  <c r="Z79" i="6" s="1"/>
  <c r="K62" i="4" s="1"/>
  <c r="W22" i="6"/>
  <c r="Z22" i="6" s="1"/>
  <c r="W44" i="6"/>
  <c r="Z44" i="6" s="1"/>
  <c r="K32" i="4" s="1"/>
  <c r="W31" i="6"/>
  <c r="Z31" i="6" s="1"/>
  <c r="K26" i="4" s="1"/>
  <c r="W51" i="6"/>
  <c r="Z51" i="6" s="1"/>
  <c r="K38" i="4" s="1"/>
  <c r="G41" i="3" l="1"/>
  <c r="G35" i="3"/>
  <c r="G29" i="3"/>
  <c r="K20" i="4"/>
  <c r="Z3" i="6"/>
  <c r="W3" i="6"/>
  <c r="G23" i="3" l="1"/>
  <c r="Z5" i="6"/>
  <c r="G97" i="12" l="1"/>
  <c r="AN31" i="6" l="1"/>
  <c r="AN28" i="6"/>
  <c r="AN37" i="6"/>
  <c r="AN65" i="6"/>
  <c r="AN22" i="6"/>
  <c r="AN58" i="6"/>
  <c r="A2" i="10"/>
  <c r="A2" i="6"/>
  <c r="A2" i="11"/>
  <c r="A2" i="5"/>
  <c r="AN44" i="6" l="1"/>
  <c r="AN72" i="6"/>
  <c r="AN51" i="6"/>
  <c r="AN79" i="6"/>
  <c r="V84" i="4" l="1"/>
  <c r="S84" i="4"/>
  <c r="T62" i="4" s="1"/>
  <c r="P84" i="4"/>
  <c r="Q14" i="4" s="1"/>
  <c r="AI14" i="4" s="1"/>
  <c r="G65" i="3"/>
  <c r="M84" i="4"/>
  <c r="K84" i="4"/>
  <c r="G59" i="3"/>
  <c r="G87" i="3" l="1"/>
  <c r="R14" i="4"/>
  <c r="T13" i="10" s="1"/>
  <c r="W56" i="4"/>
  <c r="AP56" i="4" s="1"/>
  <c r="W82" i="4"/>
  <c r="W80" i="4"/>
  <c r="N81" i="4"/>
  <c r="N82" i="4"/>
  <c r="N80" i="4"/>
  <c r="N14" i="4"/>
  <c r="N68" i="4"/>
  <c r="N28" i="4"/>
  <c r="N15" i="4"/>
  <c r="N74" i="4"/>
  <c r="AD74" i="4" s="1"/>
  <c r="N17" i="4"/>
  <c r="N19" i="4"/>
  <c r="N18" i="4"/>
  <c r="N22" i="4"/>
  <c r="N16" i="4"/>
  <c r="N50" i="4"/>
  <c r="N24" i="4"/>
  <c r="N44" i="4"/>
  <c r="N30" i="4"/>
  <c r="N56" i="4"/>
  <c r="N38" i="4"/>
  <c r="N62" i="4"/>
  <c r="N32" i="4"/>
  <c r="N26" i="4"/>
  <c r="N20" i="4"/>
  <c r="AH14" i="4"/>
  <c r="AL62" i="4"/>
  <c r="AM62" i="4"/>
  <c r="W62" i="4"/>
  <c r="T14" i="4"/>
  <c r="T18" i="4"/>
  <c r="T28" i="4"/>
  <c r="T24" i="4"/>
  <c r="T22" i="4"/>
  <c r="T82" i="4"/>
  <c r="T38" i="4"/>
  <c r="T50" i="4"/>
  <c r="T44" i="4"/>
  <c r="T15" i="4"/>
  <c r="T17" i="4"/>
  <c r="T20" i="4"/>
  <c r="AM20" i="4" s="1"/>
  <c r="T30" i="4"/>
  <c r="T16" i="4"/>
  <c r="T32" i="4"/>
  <c r="T19" i="4"/>
  <c r="T81" i="4"/>
  <c r="T68" i="4"/>
  <c r="T26" i="4"/>
  <c r="T74" i="4"/>
  <c r="T80" i="4"/>
  <c r="W14" i="4"/>
  <c r="W22" i="4"/>
  <c r="W28" i="4"/>
  <c r="W50" i="4"/>
  <c r="W38" i="4"/>
  <c r="W68" i="4"/>
  <c r="W24" i="4"/>
  <c r="W17" i="4"/>
  <c r="W16" i="4"/>
  <c r="W32" i="4"/>
  <c r="W30" i="4"/>
  <c r="W19" i="4"/>
  <c r="W15" i="4"/>
  <c r="W18" i="4"/>
  <c r="W44" i="4"/>
  <c r="W81" i="4"/>
  <c r="W20" i="4"/>
  <c r="AQ20" i="4" s="1"/>
  <c r="W26" i="4"/>
  <c r="W74" i="4"/>
  <c r="T56" i="4"/>
  <c r="Q74" i="4"/>
  <c r="AI74" i="4" s="1"/>
  <c r="Q81" i="4"/>
  <c r="G95" i="7" s="1"/>
  <c r="X95" i="7" s="1"/>
  <c r="Q82" i="4"/>
  <c r="Q16" i="4"/>
  <c r="Q15" i="4"/>
  <c r="Q80" i="4"/>
  <c r="G94" i="7" s="1"/>
  <c r="X94" i="7" s="1"/>
  <c r="Q30" i="4"/>
  <c r="Q68" i="4"/>
  <c r="Q22" i="4"/>
  <c r="AI22" i="4" s="1"/>
  <c r="Z5" i="9"/>
  <c r="L36" i="14" l="1"/>
  <c r="P36" i="14" s="1"/>
  <c r="Q36" i="14" s="1"/>
  <c r="L37" i="21"/>
  <c r="L37" i="14"/>
  <c r="P37" i="14" s="1"/>
  <c r="Q37" i="14" s="1"/>
  <c r="L38" i="21"/>
  <c r="AC14" i="12"/>
  <c r="AD14" i="12" s="1"/>
  <c r="AE14" i="12" s="1"/>
  <c r="S10" i="23"/>
  <c r="AQ56" i="4"/>
  <c r="X59" i="4" s="1"/>
  <c r="X21" i="4"/>
  <c r="X20" i="4"/>
  <c r="U67" i="4"/>
  <c r="P66" i="10" s="1"/>
  <c r="U62" i="4"/>
  <c r="P61" i="10" s="1"/>
  <c r="U64" i="4"/>
  <c r="P63" i="10" s="1"/>
  <c r="U63" i="4"/>
  <c r="P62" i="10" s="1"/>
  <c r="U65" i="4"/>
  <c r="P64" i="10" s="1"/>
  <c r="U66" i="4"/>
  <c r="P65" i="10" s="1"/>
  <c r="R23" i="4"/>
  <c r="T22" i="10" s="1"/>
  <c r="R22" i="4"/>
  <c r="T21" i="10" s="1"/>
  <c r="R74" i="4"/>
  <c r="T73" i="10" s="1"/>
  <c r="R75" i="4"/>
  <c r="T74" i="10" s="1"/>
  <c r="R76" i="4"/>
  <c r="T75" i="10" s="1"/>
  <c r="R77" i="4"/>
  <c r="T76" i="10" s="1"/>
  <c r="R79" i="4"/>
  <c r="T78" i="10" s="1"/>
  <c r="R78" i="4"/>
  <c r="T77" i="10" s="1"/>
  <c r="U21" i="4"/>
  <c r="P20" i="10" s="1"/>
  <c r="U20" i="4"/>
  <c r="P19" i="10" s="1"/>
  <c r="AE44" i="4"/>
  <c r="AD44" i="4"/>
  <c r="AE20" i="4"/>
  <c r="AD20" i="4"/>
  <c r="AD24" i="4" s="1"/>
  <c r="AD15" i="4"/>
  <c r="AE15" i="4"/>
  <c r="O15" i="4" s="1"/>
  <c r="S14" i="10" s="1"/>
  <c r="AD50" i="4"/>
  <c r="AE50" i="4"/>
  <c r="AE32" i="4"/>
  <c r="AD32" i="4"/>
  <c r="AE16" i="4"/>
  <c r="O16" i="4" s="1"/>
  <c r="S15" i="10" s="1"/>
  <c r="AD16" i="4"/>
  <c r="AD28" i="4"/>
  <c r="AE28" i="4"/>
  <c r="AD62" i="4"/>
  <c r="AE62" i="4"/>
  <c r="AE22" i="4"/>
  <c r="AD22" i="4"/>
  <c r="AE14" i="4"/>
  <c r="O14" i="4" s="1"/>
  <c r="S13" i="10" s="1"/>
  <c r="R10" i="23" s="1"/>
  <c r="AD14" i="4"/>
  <c r="AE38" i="4"/>
  <c r="AD38" i="4"/>
  <c r="AD18" i="4"/>
  <c r="AE18" i="4"/>
  <c r="O18" i="4" s="1"/>
  <c r="S17" i="10" s="1"/>
  <c r="AD56" i="4"/>
  <c r="AE56" i="4"/>
  <c r="AD19" i="4"/>
  <c r="AE19" i="4"/>
  <c r="O19" i="4" s="1"/>
  <c r="S18" i="10" s="1"/>
  <c r="AD17" i="4"/>
  <c r="AE17" i="4"/>
  <c r="O17" i="4" s="1"/>
  <c r="S16" i="10" s="1"/>
  <c r="AQ74" i="4"/>
  <c r="AP74" i="4"/>
  <c r="AQ19" i="4"/>
  <c r="X19" i="4" s="1"/>
  <c r="AP19" i="4"/>
  <c r="AQ50" i="4"/>
  <c r="AP50" i="4"/>
  <c r="AM44" i="4"/>
  <c r="AL44" i="4"/>
  <c r="AM14" i="4"/>
  <c r="AL14" i="4"/>
  <c r="AQ28" i="4"/>
  <c r="AP28" i="4"/>
  <c r="AM19" i="4"/>
  <c r="U19" i="4" s="1"/>
  <c r="P18" i="10" s="1"/>
  <c r="AL19" i="4"/>
  <c r="AM50" i="4"/>
  <c r="AL50" i="4"/>
  <c r="AP62" i="4"/>
  <c r="AQ62" i="4"/>
  <c r="AP20" i="4"/>
  <c r="AP32" i="4"/>
  <c r="AQ32" i="4"/>
  <c r="AP22" i="4"/>
  <c r="AQ22" i="4"/>
  <c r="AL32" i="4"/>
  <c r="AM32" i="4"/>
  <c r="AM38" i="4"/>
  <c r="AL38" i="4"/>
  <c r="AQ16" i="4"/>
  <c r="X16" i="4" s="1"/>
  <c r="AP16" i="4"/>
  <c r="AP14" i="4"/>
  <c r="AQ14" i="4"/>
  <c r="X14" i="4" s="1"/>
  <c r="AM16" i="4"/>
  <c r="U16" i="4" s="1"/>
  <c r="P15" i="10" s="1"/>
  <c r="AL16" i="4"/>
  <c r="AQ44" i="4"/>
  <c r="AP44" i="4"/>
  <c r="AQ17" i="4"/>
  <c r="X17" i="4" s="1"/>
  <c r="AP17" i="4"/>
  <c r="AM22" i="4"/>
  <c r="AL22" i="4"/>
  <c r="AQ18" i="4"/>
  <c r="X18" i="4" s="1"/>
  <c r="AP18" i="4"/>
  <c r="AM74" i="4"/>
  <c r="U79" i="4" s="1"/>
  <c r="AL74" i="4"/>
  <c r="AL20" i="4"/>
  <c r="AM56" i="4"/>
  <c r="AL56" i="4"/>
  <c r="AQ15" i="4"/>
  <c r="AP15" i="4"/>
  <c r="AL17" i="4"/>
  <c r="AM17" i="4"/>
  <c r="U17" i="4" s="1"/>
  <c r="P16" i="10" s="1"/>
  <c r="AM28" i="4"/>
  <c r="AL28" i="4"/>
  <c r="AQ38" i="4"/>
  <c r="AP38" i="4"/>
  <c r="AM15" i="4"/>
  <c r="AL15" i="4"/>
  <c r="AM18" i="4"/>
  <c r="U18" i="4" s="1"/>
  <c r="P17" i="10" s="1"/>
  <c r="AL18" i="4"/>
  <c r="AH74" i="4"/>
  <c r="AH22" i="4"/>
  <c r="AI16" i="4"/>
  <c r="R16" i="4" s="1"/>
  <c r="T15" i="10" s="1"/>
  <c r="AH16" i="4"/>
  <c r="AI15" i="4"/>
  <c r="AH15" i="4"/>
  <c r="M36" i="14"/>
  <c r="M37" i="14"/>
  <c r="T84" i="4"/>
  <c r="N84" i="4"/>
  <c r="G96" i="7"/>
  <c r="U36" i="14" l="1"/>
  <c r="M38" i="21"/>
  <c r="P38" i="21"/>
  <c r="AG38" i="21"/>
  <c r="U37" i="14"/>
  <c r="M37" i="21"/>
  <c r="P37" i="21"/>
  <c r="AG37" i="21"/>
  <c r="W16" i="12"/>
  <c r="X16" i="12" s="1"/>
  <c r="Y16" i="12" s="1"/>
  <c r="P12" i="23"/>
  <c r="P12" i="22"/>
  <c r="Z17" i="12"/>
  <c r="AA17" i="12" s="1"/>
  <c r="AB17" i="12" s="1"/>
  <c r="R13" i="23"/>
  <c r="Z15" i="12"/>
  <c r="AA15" i="12" s="1"/>
  <c r="AB15" i="12" s="1"/>
  <c r="R11" i="23"/>
  <c r="AC91" i="12"/>
  <c r="S74" i="23"/>
  <c r="W77" i="12"/>
  <c r="P62" i="22"/>
  <c r="P62" i="23"/>
  <c r="W18" i="12"/>
  <c r="X18" i="12" s="1"/>
  <c r="Y18" i="12" s="1"/>
  <c r="P14" i="23"/>
  <c r="P14" i="22"/>
  <c r="AC92" i="12"/>
  <c r="S75" i="23"/>
  <c r="W76" i="12"/>
  <c r="P61" i="22"/>
  <c r="P61" i="23"/>
  <c r="W21" i="12"/>
  <c r="P17" i="22"/>
  <c r="P17" i="23"/>
  <c r="Z19" i="12"/>
  <c r="AA19" i="12" s="1"/>
  <c r="AB19" i="12" s="1"/>
  <c r="R15" i="23"/>
  <c r="AC90" i="12"/>
  <c r="S73" i="23"/>
  <c r="W74" i="12"/>
  <c r="P59" i="23"/>
  <c r="P59" i="22"/>
  <c r="AC16" i="12"/>
  <c r="AD16" i="12" s="1"/>
  <c r="AE16" i="12" s="1"/>
  <c r="S12" i="23"/>
  <c r="W19" i="12"/>
  <c r="X19" i="12" s="1"/>
  <c r="Y19" i="12" s="1"/>
  <c r="P15" i="22"/>
  <c r="P15" i="23"/>
  <c r="Z16" i="12"/>
  <c r="AA16" i="12" s="1"/>
  <c r="AB16" i="12" s="1"/>
  <c r="R12" i="23"/>
  <c r="AC89" i="12"/>
  <c r="S72" i="23"/>
  <c r="W75" i="12"/>
  <c r="P60" i="22"/>
  <c r="P60" i="23"/>
  <c r="AC24" i="12"/>
  <c r="S19" i="23"/>
  <c r="AC88" i="12"/>
  <c r="S71" i="23"/>
  <c r="W73" i="12"/>
  <c r="P58" i="23"/>
  <c r="P58" i="22"/>
  <c r="W17" i="12"/>
  <c r="X17" i="12" s="1"/>
  <c r="Y17" i="12" s="1"/>
  <c r="P13" i="22"/>
  <c r="P13" i="23"/>
  <c r="AC87" i="12"/>
  <c r="S70" i="23"/>
  <c r="W78" i="12"/>
  <c r="P63" i="22"/>
  <c r="P63" i="23"/>
  <c r="Z18" i="12"/>
  <c r="AA18" i="12" s="1"/>
  <c r="AB18" i="12" s="1"/>
  <c r="R14" i="23"/>
  <c r="W20" i="12"/>
  <c r="X22" i="12" s="1"/>
  <c r="Y22" i="12" s="1"/>
  <c r="P16" i="22"/>
  <c r="P16" i="23"/>
  <c r="AC23" i="12"/>
  <c r="S18" i="23"/>
  <c r="Z14" i="12"/>
  <c r="AA14" i="12" s="1"/>
  <c r="AB14" i="12" s="1"/>
  <c r="V13" i="10"/>
  <c r="X60" i="4"/>
  <c r="H70" i="7" s="1"/>
  <c r="AB70" i="7" s="1"/>
  <c r="X61" i="4"/>
  <c r="Z60" i="10" s="1"/>
  <c r="X58" i="4"/>
  <c r="H68" i="7" s="1"/>
  <c r="AB68" i="7" s="1"/>
  <c r="X57" i="4"/>
  <c r="Z56" i="10" s="1"/>
  <c r="X56" i="4"/>
  <c r="Z55" i="10" s="1"/>
  <c r="U14" i="4"/>
  <c r="P13" i="10" s="1"/>
  <c r="O29" i="4"/>
  <c r="S28" i="10" s="1"/>
  <c r="O28" i="4"/>
  <c r="S27" i="10" s="1"/>
  <c r="P12" i="17"/>
  <c r="U75" i="4"/>
  <c r="P74" i="10" s="1"/>
  <c r="U76" i="4"/>
  <c r="P75" i="10" s="1"/>
  <c r="U77" i="4"/>
  <c r="P76" i="10" s="1"/>
  <c r="U78" i="4"/>
  <c r="P77" i="10" s="1"/>
  <c r="P78" i="10"/>
  <c r="U74" i="4"/>
  <c r="P73" i="10" s="1"/>
  <c r="X46" i="4"/>
  <c r="X47" i="4"/>
  <c r="X48" i="4"/>
  <c r="X49" i="4"/>
  <c r="X44" i="4"/>
  <c r="X45" i="4"/>
  <c r="U43" i="4"/>
  <c r="P42" i="10" s="1"/>
  <c r="U38" i="4"/>
  <c r="P37" i="10" s="1"/>
  <c r="U39" i="4"/>
  <c r="P38" i="10" s="1"/>
  <c r="U40" i="4"/>
  <c r="P39" i="10" s="1"/>
  <c r="U41" i="4"/>
  <c r="P40" i="10" s="1"/>
  <c r="U42" i="4"/>
  <c r="P41" i="10" s="1"/>
  <c r="X66" i="4"/>
  <c r="X67" i="4"/>
  <c r="X62" i="4"/>
  <c r="X63" i="4"/>
  <c r="X64" i="4"/>
  <c r="X65" i="4"/>
  <c r="O62" i="4"/>
  <c r="S61" i="10" s="1"/>
  <c r="O63" i="4"/>
  <c r="S62" i="10" s="1"/>
  <c r="O64" i="4"/>
  <c r="S63" i="10" s="1"/>
  <c r="O65" i="4"/>
  <c r="S64" i="10" s="1"/>
  <c r="O66" i="4"/>
  <c r="S65" i="10" s="1"/>
  <c r="O67" i="4"/>
  <c r="S66" i="10" s="1"/>
  <c r="O53" i="4"/>
  <c r="S52" i="10" s="1"/>
  <c r="O54" i="4"/>
  <c r="S53" i="10" s="1"/>
  <c r="O55" i="4"/>
  <c r="S54" i="10" s="1"/>
  <c r="O50" i="4"/>
  <c r="S49" i="10" s="1"/>
  <c r="O52" i="4"/>
  <c r="S51" i="10" s="1"/>
  <c r="O51" i="4"/>
  <c r="S50" i="10" s="1"/>
  <c r="P15" i="17"/>
  <c r="P13" i="17"/>
  <c r="U33" i="4"/>
  <c r="P32" i="10" s="1"/>
  <c r="U34" i="4"/>
  <c r="P33" i="10" s="1"/>
  <c r="U36" i="4"/>
  <c r="P35" i="10" s="1"/>
  <c r="U35" i="4"/>
  <c r="P34" i="10" s="1"/>
  <c r="U37" i="4"/>
  <c r="P36" i="10" s="1"/>
  <c r="U32" i="4"/>
  <c r="P31" i="10" s="1"/>
  <c r="X75" i="4"/>
  <c r="X76" i="4"/>
  <c r="X77" i="4"/>
  <c r="X78" i="4"/>
  <c r="X79" i="4"/>
  <c r="X74" i="4"/>
  <c r="P16" i="17"/>
  <c r="H69" i="7"/>
  <c r="AB69" i="7" s="1"/>
  <c r="Z58" i="10"/>
  <c r="R15" i="4"/>
  <c r="T14" i="10" s="1"/>
  <c r="S11" i="23" s="1"/>
  <c r="U15" i="4"/>
  <c r="P14" i="10" s="1"/>
  <c r="X15" i="4"/>
  <c r="H14" i="7"/>
  <c r="AB14" i="7" s="1"/>
  <c r="Z13" i="10"/>
  <c r="X23" i="4"/>
  <c r="X22" i="4"/>
  <c r="U51" i="4"/>
  <c r="P50" i="10" s="1"/>
  <c r="U52" i="4"/>
  <c r="P51" i="10" s="1"/>
  <c r="U53" i="4"/>
  <c r="P52" i="10" s="1"/>
  <c r="U50" i="4"/>
  <c r="P49" i="10" s="1"/>
  <c r="U54" i="4"/>
  <c r="P53" i="10" s="1"/>
  <c r="U55" i="4"/>
  <c r="P54" i="10" s="1"/>
  <c r="U47" i="4"/>
  <c r="P46" i="10" s="1"/>
  <c r="U48" i="4"/>
  <c r="P47" i="10" s="1"/>
  <c r="U49" i="4"/>
  <c r="P48" i="10" s="1"/>
  <c r="U44" i="4"/>
  <c r="P43" i="10" s="1"/>
  <c r="U45" i="4"/>
  <c r="P44" i="10" s="1"/>
  <c r="U46" i="4"/>
  <c r="P45" i="10" s="1"/>
  <c r="O39" i="4"/>
  <c r="S38" i="10" s="1"/>
  <c r="O40" i="4"/>
  <c r="S39" i="10" s="1"/>
  <c r="O42" i="4"/>
  <c r="S41" i="10" s="1"/>
  <c r="O41" i="4"/>
  <c r="S40" i="10" s="1"/>
  <c r="O43" i="4"/>
  <c r="S42" i="10" s="1"/>
  <c r="O38" i="4"/>
  <c r="S37" i="10" s="1"/>
  <c r="P60" i="17"/>
  <c r="P11" i="17"/>
  <c r="P61" i="17"/>
  <c r="U23" i="4"/>
  <c r="P22" i="10" s="1"/>
  <c r="U22" i="4"/>
  <c r="P21" i="10" s="1"/>
  <c r="P58" i="17"/>
  <c r="X42" i="4"/>
  <c r="X43" i="4"/>
  <c r="X38" i="4"/>
  <c r="X39" i="4"/>
  <c r="X40" i="4"/>
  <c r="X41" i="4"/>
  <c r="U57" i="4"/>
  <c r="P56" i="10" s="1"/>
  <c r="U58" i="4"/>
  <c r="P57" i="10" s="1"/>
  <c r="U59" i="4"/>
  <c r="P58" i="10" s="1"/>
  <c r="U60" i="4"/>
  <c r="P59" i="10" s="1"/>
  <c r="U61" i="4"/>
  <c r="P60" i="10" s="1"/>
  <c r="U56" i="4"/>
  <c r="P55" i="10" s="1"/>
  <c r="X32" i="4"/>
  <c r="X33" i="4"/>
  <c r="X34" i="4"/>
  <c r="X35" i="4"/>
  <c r="X36" i="4"/>
  <c r="X37" i="4"/>
  <c r="P14" i="17"/>
  <c r="X51" i="4"/>
  <c r="X52" i="4"/>
  <c r="X53" i="4"/>
  <c r="X54" i="4"/>
  <c r="X55" i="4"/>
  <c r="X50" i="4"/>
  <c r="O21" i="4"/>
  <c r="S20" i="10" s="1"/>
  <c r="O20" i="4"/>
  <c r="S19" i="10" s="1"/>
  <c r="P59" i="17"/>
  <c r="H18" i="7"/>
  <c r="AB18" i="7" s="1"/>
  <c r="Z17" i="10"/>
  <c r="H17" i="7"/>
  <c r="AB17" i="7" s="1"/>
  <c r="Z16" i="10"/>
  <c r="H16" i="7"/>
  <c r="AB16" i="7" s="1"/>
  <c r="Z15" i="10"/>
  <c r="O57" i="4"/>
  <c r="S56" i="10" s="1"/>
  <c r="O58" i="4"/>
  <c r="S57" i="10" s="1"/>
  <c r="O56" i="4"/>
  <c r="S55" i="10" s="1"/>
  <c r="O59" i="4"/>
  <c r="S58" i="10" s="1"/>
  <c r="O60" i="4"/>
  <c r="S59" i="10" s="1"/>
  <c r="O61" i="4"/>
  <c r="S60" i="10" s="1"/>
  <c r="P57" i="17"/>
  <c r="Z19" i="10"/>
  <c r="H20" i="7"/>
  <c r="AB20" i="7" s="1"/>
  <c r="U29" i="4"/>
  <c r="P28" i="10" s="1"/>
  <c r="U28" i="4"/>
  <c r="P27" i="10" s="1"/>
  <c r="X29" i="4"/>
  <c r="X28" i="4"/>
  <c r="H19" i="7"/>
  <c r="AB19" i="7" s="1"/>
  <c r="Z18" i="10"/>
  <c r="O23" i="4"/>
  <c r="S22" i="10" s="1"/>
  <c r="O22" i="4"/>
  <c r="S21" i="10" s="1"/>
  <c r="O33" i="4"/>
  <c r="S32" i="10" s="1"/>
  <c r="O34" i="4"/>
  <c r="S33" i="10" s="1"/>
  <c r="O35" i="4"/>
  <c r="S34" i="10" s="1"/>
  <c r="O36" i="4"/>
  <c r="S35" i="10" s="1"/>
  <c r="O37" i="4"/>
  <c r="S36" i="10" s="1"/>
  <c r="O32" i="4"/>
  <c r="S31" i="10" s="1"/>
  <c r="O49" i="4"/>
  <c r="S48" i="10" s="1"/>
  <c r="O44" i="4"/>
  <c r="S43" i="10" s="1"/>
  <c r="O46" i="4"/>
  <c r="S45" i="10" s="1"/>
  <c r="O48" i="4"/>
  <c r="S47" i="10" s="1"/>
  <c r="O45" i="4"/>
  <c r="S44" i="10" s="1"/>
  <c r="O47" i="4"/>
  <c r="S46" i="10" s="1"/>
  <c r="P62" i="17"/>
  <c r="Z20" i="10"/>
  <c r="H21" i="7"/>
  <c r="AB21" i="7" s="1"/>
  <c r="F15" i="7"/>
  <c r="AE24" i="4"/>
  <c r="AD30" i="4"/>
  <c r="AD68" i="4"/>
  <c r="AD26" i="4"/>
  <c r="AE30" i="4"/>
  <c r="AE68" i="4"/>
  <c r="AE26" i="4"/>
  <c r="AL26" i="4"/>
  <c r="AM26" i="4" s="1"/>
  <c r="AL24" i="4"/>
  <c r="AM24" i="4" s="1"/>
  <c r="AL30" i="4"/>
  <c r="AM30" i="4" s="1"/>
  <c r="AL68" i="4"/>
  <c r="AM68" i="4" s="1"/>
  <c r="AP68" i="4"/>
  <c r="AQ68" i="4" s="1"/>
  <c r="AP30" i="4"/>
  <c r="AQ30" i="4" s="1"/>
  <c r="AP26" i="4"/>
  <c r="AQ26" i="4" s="1"/>
  <c r="AP24" i="4"/>
  <c r="AQ24" i="4" s="1"/>
  <c r="AH30" i="4"/>
  <c r="AI30" i="4" s="1"/>
  <c r="AH26" i="4"/>
  <c r="AI26" i="4" s="1"/>
  <c r="AH68" i="4"/>
  <c r="AI68" i="4" s="1"/>
  <c r="AH24" i="4"/>
  <c r="AI24" i="4" s="1"/>
  <c r="W37" i="14"/>
  <c r="T37" i="14"/>
  <c r="V37" i="14" s="1"/>
  <c r="T36" i="14"/>
  <c r="V36" i="14" s="1"/>
  <c r="W36" i="14"/>
  <c r="W84" i="4"/>
  <c r="X96" i="7"/>
  <c r="G80" i="4"/>
  <c r="AD25" i="12" l="1"/>
  <c r="AE25" i="12" s="1"/>
  <c r="X79" i="12"/>
  <c r="Y79" i="12" s="1"/>
  <c r="AH37" i="21"/>
  <c r="AJ37" i="21"/>
  <c r="AL37" i="21" s="1"/>
  <c r="Q37" i="21"/>
  <c r="S37" i="21"/>
  <c r="U37" i="21" s="1"/>
  <c r="AD93" i="12"/>
  <c r="AE93" i="12" s="1"/>
  <c r="AH38" i="21"/>
  <c r="AJ38" i="21"/>
  <c r="AL38" i="21" s="1"/>
  <c r="L38" i="14"/>
  <c r="P38" i="14" s="1"/>
  <c r="Q38" i="14" s="1"/>
  <c r="L39" i="21"/>
  <c r="S38" i="21"/>
  <c r="U38" i="21" s="1"/>
  <c r="Q38" i="21"/>
  <c r="Z67" i="12"/>
  <c r="R53" i="23"/>
  <c r="W15" i="12"/>
  <c r="X15" i="12" s="1"/>
  <c r="Y15" i="12" s="1"/>
  <c r="P11" i="23"/>
  <c r="P11" i="22"/>
  <c r="Z56" i="12"/>
  <c r="R44" i="23"/>
  <c r="W32" i="12"/>
  <c r="P24" i="22"/>
  <c r="P24" i="23"/>
  <c r="Z66" i="12"/>
  <c r="R52" i="23"/>
  <c r="AD16" i="14"/>
  <c r="AE17" i="21"/>
  <c r="Z64" i="12"/>
  <c r="R51" i="23"/>
  <c r="W88" i="12"/>
  <c r="P71" i="22"/>
  <c r="P71" i="23"/>
  <c r="Z54" i="12"/>
  <c r="R42" i="23"/>
  <c r="Z39" i="12"/>
  <c r="R29" i="23"/>
  <c r="W33" i="12"/>
  <c r="P25" i="22"/>
  <c r="P25" i="23"/>
  <c r="Z68" i="12"/>
  <c r="R54" i="23"/>
  <c r="W66" i="12"/>
  <c r="P52" i="23"/>
  <c r="P52" i="22"/>
  <c r="W54" i="12"/>
  <c r="P42" i="23"/>
  <c r="P42" i="22"/>
  <c r="W59" i="12"/>
  <c r="P46" i="22"/>
  <c r="P46" i="23"/>
  <c r="W40" i="12"/>
  <c r="P30" i="23"/>
  <c r="P30" i="22"/>
  <c r="Z63" i="12"/>
  <c r="R50" i="23"/>
  <c r="W47" i="12"/>
  <c r="P36" i="22"/>
  <c r="P36" i="23"/>
  <c r="Z20" i="12"/>
  <c r="R16" i="23"/>
  <c r="W62" i="12"/>
  <c r="P49" i="22"/>
  <c r="P49" i="23"/>
  <c r="Z32" i="12"/>
  <c r="R24" i="23"/>
  <c r="F20" i="19"/>
  <c r="AF20" i="19" s="1"/>
  <c r="V16" i="23"/>
  <c r="Z33" i="12"/>
  <c r="R25" i="23"/>
  <c r="Z52" i="12"/>
  <c r="R40" i="23"/>
  <c r="Z62" i="12"/>
  <c r="R49" i="23"/>
  <c r="Z21" i="12"/>
  <c r="R17" i="23"/>
  <c r="F21" i="19"/>
  <c r="AF21" i="19" s="1"/>
  <c r="V17" i="23"/>
  <c r="F19" i="19"/>
  <c r="AF19" i="19" s="1"/>
  <c r="V15" i="23"/>
  <c r="AD18" i="14"/>
  <c r="AE19" i="21"/>
  <c r="W69" i="12"/>
  <c r="P55" i="23"/>
  <c r="P55" i="22"/>
  <c r="Z50" i="12"/>
  <c r="R39" i="23"/>
  <c r="W57" i="12"/>
  <c r="P45" i="22"/>
  <c r="P45" i="23"/>
  <c r="W60" i="12"/>
  <c r="P47" i="22"/>
  <c r="P47" i="23"/>
  <c r="F69" i="19"/>
  <c r="AF69" i="19" s="1"/>
  <c r="V55" i="23"/>
  <c r="Z77" i="12"/>
  <c r="R62" i="23"/>
  <c r="W50" i="12"/>
  <c r="P39" i="22"/>
  <c r="P39" i="23"/>
  <c r="W92" i="12"/>
  <c r="P75" i="23"/>
  <c r="P75" i="22"/>
  <c r="W14" i="12"/>
  <c r="X14" i="12" s="1"/>
  <c r="Y14" i="12" s="1"/>
  <c r="P10" i="23"/>
  <c r="P10" i="22"/>
  <c r="Z23" i="12"/>
  <c r="R18" i="23"/>
  <c r="W39" i="12"/>
  <c r="P29" i="22"/>
  <c r="P29" i="23"/>
  <c r="W70" i="12"/>
  <c r="P56" i="22"/>
  <c r="P56" i="23"/>
  <c r="W61" i="12"/>
  <c r="P48" i="23"/>
  <c r="P48" i="22"/>
  <c r="W45" i="12"/>
  <c r="P34" i="23"/>
  <c r="P34" i="22"/>
  <c r="Z38" i="12"/>
  <c r="R28" i="23"/>
  <c r="Z43" i="12"/>
  <c r="R33" i="23"/>
  <c r="AD21" i="14"/>
  <c r="AE22" i="21"/>
  <c r="Z71" i="12"/>
  <c r="R57" i="23"/>
  <c r="F17" i="19"/>
  <c r="AF17" i="19" s="1"/>
  <c r="V13" i="23"/>
  <c r="W68" i="12"/>
  <c r="P54" i="23"/>
  <c r="P54" i="22"/>
  <c r="Z48" i="12"/>
  <c r="R37" i="23"/>
  <c r="W56" i="12"/>
  <c r="P44" i="23"/>
  <c r="P44" i="22"/>
  <c r="W38" i="12"/>
  <c r="P28" i="23"/>
  <c r="P28" i="22"/>
  <c r="Z60" i="12"/>
  <c r="R47" i="23"/>
  <c r="Z76" i="12"/>
  <c r="R61" i="23"/>
  <c r="W91" i="12"/>
  <c r="P74" i="23"/>
  <c r="P74" i="22"/>
  <c r="F66" i="19"/>
  <c r="AF66" i="19" s="1"/>
  <c r="V52" i="23"/>
  <c r="W53" i="12"/>
  <c r="P41" i="22"/>
  <c r="P41" i="23"/>
  <c r="W46" i="12"/>
  <c r="P35" i="23"/>
  <c r="P35" i="22"/>
  <c r="Z57" i="12"/>
  <c r="R45" i="23"/>
  <c r="F16" i="19"/>
  <c r="AF16" i="19" s="1"/>
  <c r="V12" i="23"/>
  <c r="Z45" i="12"/>
  <c r="R34" i="23"/>
  <c r="W87" i="12"/>
  <c r="P70" i="22"/>
  <c r="P70" i="23"/>
  <c r="Z55" i="12"/>
  <c r="R43" i="23"/>
  <c r="Z42" i="12"/>
  <c r="R32" i="23"/>
  <c r="Z70" i="12"/>
  <c r="R56" i="23"/>
  <c r="AD19" i="14"/>
  <c r="AE20" i="21"/>
  <c r="W67" i="12"/>
  <c r="P53" i="22"/>
  <c r="P53" i="23"/>
  <c r="W23" i="12"/>
  <c r="P18" i="23"/>
  <c r="P18" i="22"/>
  <c r="Z49" i="12"/>
  <c r="R38" i="23"/>
  <c r="W55" i="12"/>
  <c r="P43" i="22"/>
  <c r="P43" i="23"/>
  <c r="W43" i="12"/>
  <c r="P33" i="22"/>
  <c r="P33" i="23"/>
  <c r="Z61" i="12"/>
  <c r="R48" i="23"/>
  <c r="Z75" i="12"/>
  <c r="R60" i="23"/>
  <c r="W90" i="12"/>
  <c r="P73" i="22"/>
  <c r="P73" i="23"/>
  <c r="F67" i="19"/>
  <c r="AF67" i="19" s="1"/>
  <c r="V53" i="23"/>
  <c r="Z24" i="12"/>
  <c r="R19" i="23"/>
  <c r="W52" i="12"/>
  <c r="P40" i="22"/>
  <c r="P40" i="23"/>
  <c r="Z78" i="12"/>
  <c r="R63" i="23"/>
  <c r="Z53" i="12"/>
  <c r="R41" i="23"/>
  <c r="Z41" i="12"/>
  <c r="R31" i="23"/>
  <c r="Z69" i="12"/>
  <c r="R55" i="23"/>
  <c r="F18" i="19"/>
  <c r="AF18" i="19" s="1"/>
  <c r="V14" i="23"/>
  <c r="W24" i="12"/>
  <c r="P19" i="23"/>
  <c r="P19" i="22"/>
  <c r="Z47" i="12"/>
  <c r="R36" i="23"/>
  <c r="W64" i="12"/>
  <c r="P51" i="23"/>
  <c r="P51" i="22"/>
  <c r="F14" i="19"/>
  <c r="AF14" i="19" s="1"/>
  <c r="V10" i="23"/>
  <c r="W41" i="12"/>
  <c r="P31" i="23"/>
  <c r="P31" i="22"/>
  <c r="Z59" i="12"/>
  <c r="R46" i="23"/>
  <c r="Z74" i="12"/>
  <c r="R59" i="23"/>
  <c r="W49" i="12"/>
  <c r="P38" i="23"/>
  <c r="P38" i="22"/>
  <c r="W89" i="12"/>
  <c r="P72" i="23"/>
  <c r="P72" i="22"/>
  <c r="W71" i="12"/>
  <c r="P57" i="22"/>
  <c r="P57" i="23"/>
  <c r="Z40" i="12"/>
  <c r="R30" i="23"/>
  <c r="AD20" i="14"/>
  <c r="AE21" i="21"/>
  <c r="Z46" i="12"/>
  <c r="R35" i="23"/>
  <c r="W63" i="12"/>
  <c r="P50" i="23"/>
  <c r="P50" i="22"/>
  <c r="W42" i="12"/>
  <c r="P32" i="22"/>
  <c r="P32" i="23"/>
  <c r="Z73" i="12"/>
  <c r="R58" i="23"/>
  <c r="W48" i="12"/>
  <c r="P37" i="22"/>
  <c r="P37" i="23"/>
  <c r="F71" i="19"/>
  <c r="AF71" i="19" s="1"/>
  <c r="V57" i="23"/>
  <c r="H66" i="7"/>
  <c r="AB66" i="7" s="1"/>
  <c r="Z57" i="10"/>
  <c r="H71" i="7"/>
  <c r="AB71" i="7" s="1"/>
  <c r="H67" i="7"/>
  <c r="AB67" i="7" s="1"/>
  <c r="V14" i="10"/>
  <c r="F15" i="9" s="1"/>
  <c r="AF15" i="9" s="1"/>
  <c r="AC15" i="12"/>
  <c r="AD15" i="12" s="1"/>
  <c r="AE15" i="12" s="1"/>
  <c r="Z59" i="10"/>
  <c r="F15" i="6"/>
  <c r="AM15" i="6" s="1"/>
  <c r="P52" i="17"/>
  <c r="H75" i="7"/>
  <c r="AB75" i="7" s="1"/>
  <c r="Z63" i="10"/>
  <c r="X31" i="4"/>
  <c r="X30" i="4"/>
  <c r="O31" i="4"/>
  <c r="S30" i="10" s="1"/>
  <c r="O30" i="4"/>
  <c r="S29" i="10" s="1"/>
  <c r="P24" i="17"/>
  <c r="Z52" i="10"/>
  <c r="H62" i="7"/>
  <c r="AB62" i="7" s="1"/>
  <c r="Z35" i="10"/>
  <c r="H42" i="7"/>
  <c r="AB42" i="7" s="1"/>
  <c r="P54" i="17"/>
  <c r="H49" i="7"/>
  <c r="AB49" i="7" s="1"/>
  <c r="Z41" i="10"/>
  <c r="P17" i="17"/>
  <c r="P39" i="17"/>
  <c r="P47" i="17"/>
  <c r="P10" i="17"/>
  <c r="Z75" i="10"/>
  <c r="H89" i="7"/>
  <c r="AB89" i="7" s="1"/>
  <c r="P29" i="17"/>
  <c r="P36" i="17"/>
  <c r="Z47" i="10"/>
  <c r="H56" i="7"/>
  <c r="AB56" i="7" s="1"/>
  <c r="P70" i="17"/>
  <c r="Z50" i="10"/>
  <c r="H60" i="7"/>
  <c r="AB60" i="7" s="1"/>
  <c r="Z21" i="10"/>
  <c r="H23" i="7"/>
  <c r="AB23" i="7" s="1"/>
  <c r="G15" i="7"/>
  <c r="X15" i="7" s="1"/>
  <c r="X70" i="4"/>
  <c r="X71" i="4"/>
  <c r="X72" i="4"/>
  <c r="X73" i="4"/>
  <c r="X68" i="4"/>
  <c r="X69" i="4"/>
  <c r="Z51" i="10"/>
  <c r="H61" i="7"/>
  <c r="AB61" i="7" s="1"/>
  <c r="H41" i="7"/>
  <c r="AB41" i="7" s="1"/>
  <c r="Z34" i="10"/>
  <c r="P53" i="17"/>
  <c r="P18" i="17"/>
  <c r="P44" i="17"/>
  <c r="P46" i="17"/>
  <c r="H88" i="7"/>
  <c r="AB88" i="7" s="1"/>
  <c r="Z74" i="10"/>
  <c r="P28" i="17"/>
  <c r="H76" i="7"/>
  <c r="AB76" i="7" s="1"/>
  <c r="Z64" i="10"/>
  <c r="P35" i="17"/>
  <c r="Z46" i="10"/>
  <c r="H55" i="7"/>
  <c r="AB55" i="7" s="1"/>
  <c r="H40" i="7"/>
  <c r="AB40" i="7" s="1"/>
  <c r="Z33" i="10"/>
  <c r="P34" i="17"/>
  <c r="R69" i="4"/>
  <c r="T68" i="10" s="1"/>
  <c r="R70" i="4"/>
  <c r="T69" i="10" s="1"/>
  <c r="R71" i="4"/>
  <c r="T70" i="10" s="1"/>
  <c r="R72" i="4"/>
  <c r="T71" i="10" s="1"/>
  <c r="R73" i="4"/>
  <c r="T72" i="10" s="1"/>
  <c r="R68" i="4"/>
  <c r="T67" i="10" s="1"/>
  <c r="U31" i="4"/>
  <c r="P30" i="10" s="1"/>
  <c r="U30" i="4"/>
  <c r="P29" i="10" s="1"/>
  <c r="Z32" i="10"/>
  <c r="H39" i="7"/>
  <c r="AB39" i="7" s="1"/>
  <c r="H48" i="7"/>
  <c r="AB48" i="7" s="1"/>
  <c r="Z40" i="10"/>
  <c r="P42" i="17"/>
  <c r="Z22" i="10"/>
  <c r="H24" i="7"/>
  <c r="AB24" i="7" s="1"/>
  <c r="T10" i="17"/>
  <c r="H74" i="7"/>
  <c r="AB74" i="7" s="1"/>
  <c r="Z62" i="10"/>
  <c r="P33" i="17"/>
  <c r="P69" i="17"/>
  <c r="P43" i="17"/>
  <c r="R27" i="4"/>
  <c r="T26" i="10" s="1"/>
  <c r="R26" i="4"/>
  <c r="T25" i="10" s="1"/>
  <c r="U25" i="4"/>
  <c r="P24" i="10" s="1"/>
  <c r="U24" i="4"/>
  <c r="P23" i="10" s="1"/>
  <c r="O25" i="4"/>
  <c r="S24" i="10" s="1"/>
  <c r="O24" i="4"/>
  <c r="S23" i="10" s="1"/>
  <c r="Z31" i="10"/>
  <c r="H38" i="7"/>
  <c r="AB38" i="7" s="1"/>
  <c r="H47" i="7"/>
  <c r="AB47" i="7" s="1"/>
  <c r="Z39" i="10"/>
  <c r="P50" i="17"/>
  <c r="H87" i="7"/>
  <c r="AB87" i="7" s="1"/>
  <c r="Z73" i="10"/>
  <c r="P27" i="17"/>
  <c r="Z61" i="10"/>
  <c r="H73" i="7"/>
  <c r="AB73" i="7" s="1"/>
  <c r="P38" i="17"/>
  <c r="P74" i="17"/>
  <c r="R24" i="4"/>
  <c r="T23" i="10" s="1"/>
  <c r="R25" i="4"/>
  <c r="T24" i="10" s="1"/>
  <c r="R31" i="4"/>
  <c r="T30" i="10" s="1"/>
  <c r="R30" i="4"/>
  <c r="T29" i="10" s="1"/>
  <c r="U26" i="4"/>
  <c r="P25" i="10" s="1"/>
  <c r="U27" i="4"/>
  <c r="P26" i="10" s="1"/>
  <c r="T15" i="7"/>
  <c r="Z27" i="10"/>
  <c r="H32" i="7"/>
  <c r="AB32" i="7" s="1"/>
  <c r="H59" i="7"/>
  <c r="AB59" i="7" s="1"/>
  <c r="Z49" i="10"/>
  <c r="P51" i="17"/>
  <c r="H46" i="7"/>
  <c r="AB46" i="7" s="1"/>
  <c r="Z38" i="10"/>
  <c r="P49" i="17"/>
  <c r="H92" i="7"/>
  <c r="AB92" i="7" s="1"/>
  <c r="Z78" i="10"/>
  <c r="P32" i="17"/>
  <c r="Z66" i="10"/>
  <c r="H78" i="7"/>
  <c r="AB78" i="7" s="1"/>
  <c r="Z44" i="10"/>
  <c r="H53" i="7"/>
  <c r="AB53" i="7" s="1"/>
  <c r="P73" i="17"/>
  <c r="Z45" i="10"/>
  <c r="H54" i="7"/>
  <c r="AB54" i="7" s="1"/>
  <c r="X24" i="4"/>
  <c r="X25" i="4"/>
  <c r="O27" i="4"/>
  <c r="S26" i="10" s="1"/>
  <c r="O26" i="4"/>
  <c r="S25" i="10" s="1"/>
  <c r="Z28" i="10"/>
  <c r="H33" i="7"/>
  <c r="AB33" i="7" s="1"/>
  <c r="H64" i="7"/>
  <c r="AB64" i="7" s="1"/>
  <c r="Z54" i="10"/>
  <c r="P56" i="17"/>
  <c r="Z37" i="10"/>
  <c r="H45" i="7"/>
  <c r="AB45" i="7" s="1"/>
  <c r="P41" i="17"/>
  <c r="P45" i="17"/>
  <c r="Z14" i="10"/>
  <c r="H15" i="7"/>
  <c r="AB15" i="7" s="1"/>
  <c r="H91" i="7"/>
  <c r="AB91" i="7" s="1"/>
  <c r="Z77" i="10"/>
  <c r="P30" i="17"/>
  <c r="H77" i="7"/>
  <c r="AB77" i="7" s="1"/>
  <c r="Z65" i="10"/>
  <c r="Z43" i="10"/>
  <c r="H52" i="7"/>
  <c r="AB52" i="7" s="1"/>
  <c r="P72" i="17"/>
  <c r="U71" i="4"/>
  <c r="P70" i="10" s="1"/>
  <c r="U72" i="4"/>
  <c r="P71" i="10" s="1"/>
  <c r="U73" i="4"/>
  <c r="P72" i="10" s="1"/>
  <c r="U68" i="4"/>
  <c r="P67" i="10" s="1"/>
  <c r="U69" i="4"/>
  <c r="P68" i="10" s="1"/>
  <c r="U70" i="4"/>
  <c r="P69" i="10" s="1"/>
  <c r="X26" i="4"/>
  <c r="X27" i="4"/>
  <c r="O73" i="4"/>
  <c r="S72" i="10" s="1"/>
  <c r="O68" i="4"/>
  <c r="S67" i="10" s="1"/>
  <c r="O70" i="4"/>
  <c r="S69" i="10" s="1"/>
  <c r="O69" i="4"/>
  <c r="S68" i="10" s="1"/>
  <c r="O71" i="4"/>
  <c r="S70" i="10" s="1"/>
  <c r="O72" i="4"/>
  <c r="S71" i="10" s="1"/>
  <c r="P23" i="17"/>
  <c r="H63" i="7"/>
  <c r="AB63" i="7" s="1"/>
  <c r="Z53" i="10"/>
  <c r="Z36" i="10"/>
  <c r="H43" i="7"/>
  <c r="AB43" i="7" s="1"/>
  <c r="P55" i="17"/>
  <c r="H50" i="7"/>
  <c r="AB50" i="7" s="1"/>
  <c r="Z42" i="10"/>
  <c r="P40" i="17"/>
  <c r="P48" i="17"/>
  <c r="Z76" i="10"/>
  <c r="H90" i="7"/>
  <c r="AB90" i="7" s="1"/>
  <c r="P31" i="17"/>
  <c r="P37" i="17"/>
  <c r="Z48" i="10"/>
  <c r="H57" i="7"/>
  <c r="AB57" i="7" s="1"/>
  <c r="P71" i="17"/>
  <c r="F19" i="7"/>
  <c r="S14" i="17"/>
  <c r="F17" i="7"/>
  <c r="S10" i="17"/>
  <c r="S12" i="17"/>
  <c r="AM14" i="17"/>
  <c r="BA14" i="17" s="1"/>
  <c r="F19" i="6"/>
  <c r="AM19" i="6" s="1"/>
  <c r="AM12" i="17"/>
  <c r="BA12" i="17" s="1"/>
  <c r="F17" i="6"/>
  <c r="AM17" i="6" s="1"/>
  <c r="N87" i="3"/>
  <c r="Q28" i="4"/>
  <c r="AI28" i="4" s="1"/>
  <c r="Q19" i="4"/>
  <c r="Q18" i="4"/>
  <c r="Q50" i="4"/>
  <c r="AI50" i="4" s="1"/>
  <c r="Q32" i="4"/>
  <c r="AI32" i="4" s="1"/>
  <c r="Q17" i="4"/>
  <c r="Q56" i="4"/>
  <c r="AI56" i="4" s="1"/>
  <c r="Q20" i="4"/>
  <c r="AI20" i="4" s="1"/>
  <c r="Q38" i="4"/>
  <c r="AI38" i="4" s="1"/>
  <c r="Q24" i="4"/>
  <c r="Q26" i="4"/>
  <c r="Q62" i="4"/>
  <c r="AI62" i="4" s="1"/>
  <c r="Q44" i="4"/>
  <c r="AI44" i="4" s="1"/>
  <c r="AA72" i="12" l="1"/>
  <c r="AB72" i="12" s="1"/>
  <c r="AA51" i="12"/>
  <c r="AB51" i="12" s="1"/>
  <c r="X25" i="12"/>
  <c r="Y25" i="12" s="1"/>
  <c r="AF22" i="19"/>
  <c r="AA34" i="12"/>
  <c r="AB34" i="12" s="1"/>
  <c r="X72" i="12"/>
  <c r="Y72" i="12" s="1"/>
  <c r="AA65" i="12"/>
  <c r="AB65" i="12" s="1"/>
  <c r="X65" i="12"/>
  <c r="Y65" i="12" s="1"/>
  <c r="M38" i="14"/>
  <c r="U38" i="14"/>
  <c r="W38" i="14" s="1"/>
  <c r="AA25" i="12"/>
  <c r="AB25" i="12" s="1"/>
  <c r="AA22" i="12"/>
  <c r="AB22" i="12" s="1"/>
  <c r="M39" i="21"/>
  <c r="P39" i="21"/>
  <c r="AG39" i="21"/>
  <c r="X44" i="12"/>
  <c r="Y44" i="12" s="1"/>
  <c r="AA58" i="12"/>
  <c r="AB58" i="12" s="1"/>
  <c r="AA44" i="12"/>
  <c r="AB44" i="12" s="1"/>
  <c r="X51" i="12"/>
  <c r="Y51" i="12" s="1"/>
  <c r="X58" i="12"/>
  <c r="Y58" i="12" s="1"/>
  <c r="X34" i="12"/>
  <c r="Y34" i="12" s="1"/>
  <c r="AA79" i="12"/>
  <c r="AB79" i="12" s="1"/>
  <c r="X93" i="12"/>
  <c r="Y93" i="12" s="1"/>
  <c r="F90" i="19"/>
  <c r="AF90" i="19" s="1"/>
  <c r="V73" i="23"/>
  <c r="AD17" i="14"/>
  <c r="AE18" i="21"/>
  <c r="F54" i="19"/>
  <c r="AF54" i="19" s="1"/>
  <c r="V42" i="23"/>
  <c r="F32" i="19"/>
  <c r="AF32" i="19" s="1"/>
  <c r="V24" i="23"/>
  <c r="F47" i="19"/>
  <c r="AF47" i="19" s="1"/>
  <c r="V36" i="23"/>
  <c r="AC29" i="12"/>
  <c r="AD31" i="12" s="1"/>
  <c r="AE31" i="12" s="1"/>
  <c r="S22" i="23"/>
  <c r="W36" i="12"/>
  <c r="P27" i="23"/>
  <c r="P27" i="22"/>
  <c r="F40" i="19"/>
  <c r="AF40" i="19" s="1"/>
  <c r="V30" i="23"/>
  <c r="F88" i="19"/>
  <c r="AF88" i="19" s="1"/>
  <c r="V71" i="23"/>
  <c r="L17" i="14"/>
  <c r="M17" i="14" s="1"/>
  <c r="L18" i="21"/>
  <c r="M18" i="21" s="1"/>
  <c r="F49" i="19"/>
  <c r="AF49" i="19" s="1"/>
  <c r="V38" i="23"/>
  <c r="Z35" i="12"/>
  <c r="AA37" i="12" s="1"/>
  <c r="AB37" i="12" s="1"/>
  <c r="R26" i="23"/>
  <c r="F64" i="19"/>
  <c r="AF64" i="19" s="1"/>
  <c r="V51" i="23"/>
  <c r="F15" i="19"/>
  <c r="AF15" i="19" s="1"/>
  <c r="V11" i="23"/>
  <c r="J17" i="14"/>
  <c r="K17" i="14" s="1"/>
  <c r="J18" i="21"/>
  <c r="K18" i="21" s="1"/>
  <c r="AC30" i="12"/>
  <c r="S23" i="23"/>
  <c r="F24" i="19"/>
  <c r="AF24" i="19" s="1"/>
  <c r="V19" i="23"/>
  <c r="AC80" i="12"/>
  <c r="AD86" i="12" s="1"/>
  <c r="AE86" i="12" s="1"/>
  <c r="S64" i="23"/>
  <c r="F61" i="19"/>
  <c r="AF61" i="19" s="1"/>
  <c r="V48" i="23"/>
  <c r="Z36" i="12"/>
  <c r="R27" i="23"/>
  <c r="F70" i="19"/>
  <c r="AF70" i="19" s="1"/>
  <c r="V56" i="23"/>
  <c r="W82" i="12"/>
  <c r="P66" i="22"/>
  <c r="P66" i="23"/>
  <c r="W30" i="12"/>
  <c r="P23" i="22"/>
  <c r="P23" i="23"/>
  <c r="AC85" i="12"/>
  <c r="S69" i="23"/>
  <c r="F23" i="19"/>
  <c r="AF23" i="19" s="1"/>
  <c r="V18" i="23"/>
  <c r="F63" i="19"/>
  <c r="AF63" i="19" s="1"/>
  <c r="V50" i="23"/>
  <c r="AC26" i="12"/>
  <c r="AD28" i="12" s="1"/>
  <c r="AE28" i="12" s="1"/>
  <c r="S20" i="23"/>
  <c r="F50" i="19"/>
  <c r="AF50" i="19" s="1"/>
  <c r="V39" i="23"/>
  <c r="F33" i="19"/>
  <c r="AF33" i="19" s="1"/>
  <c r="V25" i="23"/>
  <c r="Z83" i="12"/>
  <c r="R67" i="23"/>
  <c r="W81" i="12"/>
  <c r="P65" i="22"/>
  <c r="P65" i="23"/>
  <c r="F77" i="19"/>
  <c r="AF77" i="19" s="1"/>
  <c r="V62" i="23"/>
  <c r="Z29" i="12"/>
  <c r="AA31" i="12" s="1"/>
  <c r="AB31" i="12" s="1"/>
  <c r="V25" i="10"/>
  <c r="R22" i="23"/>
  <c r="F53" i="19"/>
  <c r="AF53" i="19" s="1"/>
  <c r="V41" i="23"/>
  <c r="W29" i="12"/>
  <c r="X31" i="12" s="1"/>
  <c r="Y31" i="12" s="1"/>
  <c r="P22" i="23"/>
  <c r="P22" i="22"/>
  <c r="F73" i="19"/>
  <c r="AF73" i="19" s="1"/>
  <c r="V58" i="23"/>
  <c r="F38" i="19"/>
  <c r="AF38" i="19" s="1"/>
  <c r="V28" i="23"/>
  <c r="F48" i="19"/>
  <c r="AF48" i="19" s="1"/>
  <c r="V37" i="23"/>
  <c r="AC84" i="12"/>
  <c r="S68" i="23"/>
  <c r="F55" i="19"/>
  <c r="AF55" i="19" s="1"/>
  <c r="V43" i="23"/>
  <c r="F89" i="19"/>
  <c r="AF89" i="19" s="1"/>
  <c r="V72" i="23"/>
  <c r="W83" i="12"/>
  <c r="P67" i="22"/>
  <c r="P67" i="23"/>
  <c r="W35" i="12"/>
  <c r="X37" i="12" s="1"/>
  <c r="Y37" i="12" s="1"/>
  <c r="P26" i="23"/>
  <c r="P26" i="22"/>
  <c r="Z84" i="12"/>
  <c r="R68" i="23"/>
  <c r="F52" i="19"/>
  <c r="AF52" i="19" s="1"/>
  <c r="V40" i="23"/>
  <c r="F46" i="19"/>
  <c r="AF46" i="19" s="1"/>
  <c r="V35" i="23"/>
  <c r="F57" i="19"/>
  <c r="AF57" i="19" s="1"/>
  <c r="V45" i="23"/>
  <c r="Z81" i="12"/>
  <c r="R65" i="23"/>
  <c r="W80" i="12"/>
  <c r="X86" i="12" s="1"/>
  <c r="Y86" i="12" s="1"/>
  <c r="P64" i="22"/>
  <c r="P64" i="23"/>
  <c r="Z30" i="12"/>
  <c r="R23" i="23"/>
  <c r="AC35" i="12"/>
  <c r="AD37" i="12" s="1"/>
  <c r="AE37" i="12" s="1"/>
  <c r="S26" i="23"/>
  <c r="Z26" i="12"/>
  <c r="AA28" i="12" s="1"/>
  <c r="AB28" i="12" s="1"/>
  <c r="R20" i="23"/>
  <c r="AC83" i="12"/>
  <c r="S67" i="23"/>
  <c r="F60" i="19"/>
  <c r="AF60" i="19" s="1"/>
  <c r="V47" i="23"/>
  <c r="F42" i="19"/>
  <c r="AF42" i="19" s="1"/>
  <c r="V32" i="23"/>
  <c r="F75" i="19"/>
  <c r="AF75" i="19" s="1"/>
  <c r="V60" i="23"/>
  <c r="W27" i="12"/>
  <c r="P21" i="22"/>
  <c r="P21" i="23"/>
  <c r="F56" i="19"/>
  <c r="AF56" i="19" s="1"/>
  <c r="V44" i="23"/>
  <c r="Z82" i="12"/>
  <c r="R66" i="23"/>
  <c r="W85" i="12"/>
  <c r="P69" i="22"/>
  <c r="P69" i="23"/>
  <c r="F45" i="19"/>
  <c r="AF45" i="19" s="1"/>
  <c r="V34" i="23"/>
  <c r="F78" i="19"/>
  <c r="AF78" i="19" s="1"/>
  <c r="V63" i="23"/>
  <c r="F59" i="19"/>
  <c r="AF59" i="19" s="1"/>
  <c r="V46" i="23"/>
  <c r="AC36" i="12"/>
  <c r="S27" i="23"/>
  <c r="F87" i="19"/>
  <c r="AF87" i="19" s="1"/>
  <c r="V70" i="23"/>
  <c r="Z27" i="12"/>
  <c r="R21" i="23"/>
  <c r="F74" i="19"/>
  <c r="AF74" i="19" s="1"/>
  <c r="V59" i="23"/>
  <c r="AC82" i="12"/>
  <c r="S66" i="23"/>
  <c r="F76" i="19"/>
  <c r="AF76" i="19" s="1"/>
  <c r="V61" i="23"/>
  <c r="Z85" i="12"/>
  <c r="R69" i="23"/>
  <c r="F92" i="19"/>
  <c r="AF92" i="19" s="1"/>
  <c r="V75" i="23"/>
  <c r="F43" i="19"/>
  <c r="AF43" i="19" s="1"/>
  <c r="V33" i="23"/>
  <c r="Z80" i="12"/>
  <c r="AA86" i="12" s="1"/>
  <c r="AB86" i="12" s="1"/>
  <c r="R64" i="23"/>
  <c r="W84" i="12"/>
  <c r="P68" i="23"/>
  <c r="P68" i="22"/>
  <c r="F91" i="19"/>
  <c r="AF91" i="19" s="1"/>
  <c r="V74" i="23"/>
  <c r="AC27" i="12"/>
  <c r="S21" i="23"/>
  <c r="W26" i="12"/>
  <c r="X28" i="12" s="1"/>
  <c r="Y28" i="12" s="1"/>
  <c r="P20" i="23"/>
  <c r="P20" i="22"/>
  <c r="F39" i="19"/>
  <c r="AF39" i="19" s="1"/>
  <c r="V29" i="23"/>
  <c r="AC81" i="12"/>
  <c r="S65" i="23"/>
  <c r="F41" i="19"/>
  <c r="AF41" i="19" s="1"/>
  <c r="V31" i="23"/>
  <c r="F62" i="19"/>
  <c r="AF62" i="19" s="1"/>
  <c r="V49" i="23"/>
  <c r="F68" i="19"/>
  <c r="AF68" i="19" s="1"/>
  <c r="V54" i="23"/>
  <c r="F15" i="11"/>
  <c r="AI10" i="17"/>
  <c r="R20" i="4"/>
  <c r="T19" i="10" s="1"/>
  <c r="R21" i="4"/>
  <c r="T20" i="10" s="1"/>
  <c r="P19" i="17"/>
  <c r="P68" i="17"/>
  <c r="H27" i="7"/>
  <c r="AB27" i="7" s="1"/>
  <c r="Z24" i="10"/>
  <c r="Z71" i="10"/>
  <c r="H84" i="7"/>
  <c r="AB84" i="7" s="1"/>
  <c r="Z30" i="10"/>
  <c r="H36" i="7"/>
  <c r="AB36" i="7" s="1"/>
  <c r="H29" i="7"/>
  <c r="AB29" i="7" s="1"/>
  <c r="Z25" i="10"/>
  <c r="R60" i="4"/>
  <c r="T59" i="10" s="1"/>
  <c r="R61" i="4"/>
  <c r="T60" i="10" s="1"/>
  <c r="R56" i="4"/>
  <c r="T55" i="10" s="1"/>
  <c r="R57" i="4"/>
  <c r="T56" i="10" s="1"/>
  <c r="R58" i="4"/>
  <c r="T57" i="10" s="1"/>
  <c r="R59" i="4"/>
  <c r="T58" i="10" s="1"/>
  <c r="R40" i="4"/>
  <c r="T39" i="10" s="1"/>
  <c r="R41" i="4"/>
  <c r="T40" i="10" s="1"/>
  <c r="R42" i="4"/>
  <c r="T41" i="10" s="1"/>
  <c r="R43" i="4"/>
  <c r="T42" i="10" s="1"/>
  <c r="R38" i="4"/>
  <c r="T37" i="10" s="1"/>
  <c r="R39" i="4"/>
  <c r="T38" i="10" s="1"/>
  <c r="R29" i="4"/>
  <c r="T28" i="10" s="1"/>
  <c r="R28" i="4"/>
  <c r="T27" i="10" s="1"/>
  <c r="H30" i="7"/>
  <c r="AB30" i="7" s="1"/>
  <c r="Z26" i="10"/>
  <c r="P67" i="17"/>
  <c r="AM10" i="17"/>
  <c r="BA10" i="17" s="1"/>
  <c r="L15" i="11"/>
  <c r="Z23" i="10"/>
  <c r="H26" i="7"/>
  <c r="AB26" i="7" s="1"/>
  <c r="P25" i="17"/>
  <c r="Z70" i="10"/>
  <c r="H83" i="7"/>
  <c r="AB83" i="7" s="1"/>
  <c r="P66" i="17"/>
  <c r="P20" i="17"/>
  <c r="R36" i="4"/>
  <c r="T35" i="10" s="1"/>
  <c r="R32" i="4"/>
  <c r="T31" i="10" s="1"/>
  <c r="R34" i="4"/>
  <c r="T33" i="10" s="1"/>
  <c r="R33" i="4"/>
  <c r="T32" i="10" s="1"/>
  <c r="R35" i="4"/>
  <c r="T34" i="10" s="1"/>
  <c r="R37" i="4"/>
  <c r="T36" i="10" s="1"/>
  <c r="T17" i="7"/>
  <c r="P65" i="17"/>
  <c r="P22" i="17"/>
  <c r="Z68" i="10"/>
  <c r="H81" i="7"/>
  <c r="AB81" i="7" s="1"/>
  <c r="R45" i="4"/>
  <c r="T44" i="10" s="1"/>
  <c r="R46" i="4"/>
  <c r="T45" i="10" s="1"/>
  <c r="R47" i="4"/>
  <c r="T46" i="10" s="1"/>
  <c r="R48" i="4"/>
  <c r="T47" i="10" s="1"/>
  <c r="R49" i="4"/>
  <c r="T48" i="10" s="1"/>
  <c r="R44" i="4"/>
  <c r="T43" i="10" s="1"/>
  <c r="R64" i="4"/>
  <c r="T63" i="10" s="1"/>
  <c r="R65" i="4"/>
  <c r="T64" i="10" s="1"/>
  <c r="R66" i="4"/>
  <c r="T65" i="10" s="1"/>
  <c r="R67" i="4"/>
  <c r="T66" i="10" s="1"/>
  <c r="R62" i="4"/>
  <c r="T61" i="10" s="1"/>
  <c r="R63" i="4"/>
  <c r="T62" i="10" s="1"/>
  <c r="R50" i="4"/>
  <c r="T49" i="10" s="1"/>
  <c r="R51" i="4"/>
  <c r="T50" i="10" s="1"/>
  <c r="R52" i="4"/>
  <c r="T51" i="10" s="1"/>
  <c r="R55" i="4"/>
  <c r="T54" i="10" s="1"/>
  <c r="R54" i="4"/>
  <c r="T53" i="10" s="1"/>
  <c r="R53" i="4"/>
  <c r="T52" i="10" s="1"/>
  <c r="P64" i="17"/>
  <c r="P21" i="17"/>
  <c r="Z67" i="10"/>
  <c r="H80" i="7"/>
  <c r="AB80" i="7" s="1"/>
  <c r="P26" i="17"/>
  <c r="Z69" i="10"/>
  <c r="H82" i="7"/>
  <c r="AB82" i="7" s="1"/>
  <c r="T19" i="7"/>
  <c r="P63" i="17"/>
  <c r="Z72" i="10"/>
  <c r="H85" i="7"/>
  <c r="AB85" i="7" s="1"/>
  <c r="Z29" i="10"/>
  <c r="H35" i="7"/>
  <c r="AB35" i="7" s="1"/>
  <c r="AI19" i="4"/>
  <c r="R19" i="4" s="1"/>
  <c r="T18" i="10" s="1"/>
  <c r="AH19" i="4"/>
  <c r="AH18" i="4"/>
  <c r="AI18" i="4"/>
  <c r="R18" i="4" s="1"/>
  <c r="T17" i="10" s="1"/>
  <c r="AH20" i="4"/>
  <c r="AH56" i="4"/>
  <c r="AH38" i="4"/>
  <c r="AI17" i="4"/>
  <c r="R17" i="4" s="1"/>
  <c r="T16" i="10" s="1"/>
  <c r="AH17" i="4"/>
  <c r="AH44" i="4"/>
  <c r="AH32" i="4"/>
  <c r="AH28" i="4"/>
  <c r="AH62" i="4"/>
  <c r="AH50" i="4"/>
  <c r="T38" i="14"/>
  <c r="V38" i="14" s="1"/>
  <c r="L17" i="11"/>
  <c r="L19" i="11"/>
  <c r="Q84" i="4"/>
  <c r="AN93" i="6"/>
  <c r="AN3" i="6" s="1"/>
  <c r="P87" i="3"/>
  <c r="AF25" i="19" l="1"/>
  <c r="AF51" i="19"/>
  <c r="AF65" i="19"/>
  <c r="AF34" i="19"/>
  <c r="AF79" i="19"/>
  <c r="AH39" i="21"/>
  <c r="AJ39" i="21"/>
  <c r="AL39" i="21" s="1"/>
  <c r="Q39" i="21"/>
  <c r="S39" i="21"/>
  <c r="U39" i="21" s="1"/>
  <c r="AF44" i="19"/>
  <c r="AF93" i="19"/>
  <c r="AF58" i="19"/>
  <c r="AC47" i="12"/>
  <c r="S36" i="23"/>
  <c r="AF72" i="19"/>
  <c r="J21" i="14"/>
  <c r="K21" i="14" s="1"/>
  <c r="J22" i="21"/>
  <c r="K22" i="21" s="1"/>
  <c r="AC63" i="12"/>
  <c r="S50" i="23"/>
  <c r="AC77" i="12"/>
  <c r="S62" i="23"/>
  <c r="AC53" i="12"/>
  <c r="S41" i="23"/>
  <c r="AC39" i="12"/>
  <c r="S29" i="23"/>
  <c r="AC32" i="12"/>
  <c r="S24" i="23"/>
  <c r="AC69" i="12"/>
  <c r="S55" i="23"/>
  <c r="AC21" i="12"/>
  <c r="S17" i="23"/>
  <c r="AC55" i="12"/>
  <c r="S43" i="23"/>
  <c r="F82" i="19"/>
  <c r="AF82" i="19" s="1"/>
  <c r="V66" i="23"/>
  <c r="AC40" i="12"/>
  <c r="S30" i="23"/>
  <c r="AC33" i="12"/>
  <c r="S25" i="23"/>
  <c r="AC68" i="12"/>
  <c r="S54" i="23"/>
  <c r="F36" i="19"/>
  <c r="AF36" i="19" s="1"/>
  <c r="V27" i="23"/>
  <c r="AC20" i="12"/>
  <c r="S16" i="23"/>
  <c r="F30" i="19"/>
  <c r="AF30" i="19" s="1"/>
  <c r="V23" i="23"/>
  <c r="AC62" i="12"/>
  <c r="S49" i="23"/>
  <c r="F83" i="19"/>
  <c r="AF83" i="19" s="1"/>
  <c r="V67" i="23"/>
  <c r="AC76" i="12"/>
  <c r="S61" i="23"/>
  <c r="AC61" i="12"/>
  <c r="S48" i="23"/>
  <c r="AC75" i="12"/>
  <c r="S60" i="23"/>
  <c r="F81" i="19"/>
  <c r="AF81" i="19" s="1"/>
  <c r="V65" i="23"/>
  <c r="AC38" i="12"/>
  <c r="S28" i="23"/>
  <c r="F26" i="19"/>
  <c r="AF26" i="19" s="1"/>
  <c r="V20" i="23"/>
  <c r="AC46" i="12"/>
  <c r="S35" i="23"/>
  <c r="AC67" i="12"/>
  <c r="S53" i="23"/>
  <c r="AC43" i="12"/>
  <c r="S33" i="23"/>
  <c r="AC41" i="12"/>
  <c r="S31" i="23"/>
  <c r="AC19" i="12"/>
  <c r="AD19" i="12" s="1"/>
  <c r="AE19" i="12" s="1"/>
  <c r="S15" i="23"/>
  <c r="F35" i="19"/>
  <c r="AF35" i="19" s="1"/>
  <c r="V26" i="23"/>
  <c r="AC60" i="12"/>
  <c r="S47" i="23"/>
  <c r="AC42" i="12"/>
  <c r="S32" i="23"/>
  <c r="AC45" i="12"/>
  <c r="S34" i="23"/>
  <c r="AC66" i="12"/>
  <c r="S52" i="23"/>
  <c r="F84" i="19"/>
  <c r="AF84" i="19" s="1"/>
  <c r="V68" i="23"/>
  <c r="AC18" i="12"/>
  <c r="AD18" i="12" s="1"/>
  <c r="AE18" i="12" s="1"/>
  <c r="S14" i="23"/>
  <c r="AC48" i="12"/>
  <c r="S37" i="23"/>
  <c r="AC54" i="12"/>
  <c r="S42" i="23"/>
  <c r="AC64" i="12"/>
  <c r="S51" i="23"/>
  <c r="AC17" i="12"/>
  <c r="AD17" i="12" s="1"/>
  <c r="AE17" i="12" s="1"/>
  <c r="S13" i="23"/>
  <c r="AC52" i="12"/>
  <c r="S40" i="23"/>
  <c r="F80" i="19"/>
  <c r="AF80" i="19" s="1"/>
  <c r="V64" i="23"/>
  <c r="AC59" i="12"/>
  <c r="S46" i="23"/>
  <c r="AC57" i="12"/>
  <c r="S45" i="23"/>
  <c r="AC50" i="12"/>
  <c r="S39" i="23"/>
  <c r="AC71" i="12"/>
  <c r="S57" i="23"/>
  <c r="F27" i="19"/>
  <c r="AF27" i="19" s="1"/>
  <c r="V21" i="23"/>
  <c r="AC73" i="12"/>
  <c r="S58" i="23"/>
  <c r="F29" i="19"/>
  <c r="AF29" i="19" s="1"/>
  <c r="AF31" i="19" s="1"/>
  <c r="V22" i="23"/>
  <c r="AC78" i="12"/>
  <c r="S63" i="23"/>
  <c r="F85" i="19"/>
  <c r="AF85" i="19" s="1"/>
  <c r="V69" i="23"/>
  <c r="AC74" i="12"/>
  <c r="S59" i="23"/>
  <c r="AC56" i="12"/>
  <c r="S44" i="23"/>
  <c r="J19" i="14"/>
  <c r="K19" i="14" s="1"/>
  <c r="J20" i="21"/>
  <c r="K20" i="21" s="1"/>
  <c r="AC49" i="12"/>
  <c r="S38" i="23"/>
  <c r="AC70" i="12"/>
  <c r="S56" i="23"/>
  <c r="F26" i="7"/>
  <c r="T26" i="7" s="1"/>
  <c r="F53" i="7"/>
  <c r="T53" i="7" s="1"/>
  <c r="F91" i="7"/>
  <c r="T91" i="7" s="1"/>
  <c r="F54" i="7"/>
  <c r="T54" i="7" s="1"/>
  <c r="F77" i="7"/>
  <c r="T77" i="7" s="1"/>
  <c r="F42" i="7"/>
  <c r="T42" i="7" s="1"/>
  <c r="F21" i="7"/>
  <c r="T21" i="7" s="1"/>
  <c r="F60" i="7"/>
  <c r="T60" i="7" s="1"/>
  <c r="F90" i="7"/>
  <c r="T90" i="7" s="1"/>
  <c r="F83" i="7"/>
  <c r="T83" i="7" s="1"/>
  <c r="F80" i="7"/>
  <c r="T80" i="7" s="1"/>
  <c r="F62" i="7"/>
  <c r="T62" i="7" s="1"/>
  <c r="F57" i="7"/>
  <c r="T57" i="7" s="1"/>
  <c r="F70" i="7"/>
  <c r="T70" i="7" s="1"/>
  <c r="F47" i="7"/>
  <c r="T47" i="7" s="1"/>
  <c r="F24" i="7"/>
  <c r="T24" i="7" s="1"/>
  <c r="F76" i="7"/>
  <c r="T76" i="7" s="1"/>
  <c r="F69" i="7"/>
  <c r="T69" i="7" s="1"/>
  <c r="F92" i="7"/>
  <c r="T92" i="7" s="1"/>
  <c r="F18" i="7"/>
  <c r="F73" i="7"/>
  <c r="T73" i="7" s="1"/>
  <c r="F55" i="7"/>
  <c r="T55" i="7" s="1"/>
  <c r="F52" i="7"/>
  <c r="T52" i="7" s="1"/>
  <c r="F30" i="7"/>
  <c r="T30" i="7" s="1"/>
  <c r="F27" i="7"/>
  <c r="T27" i="7" s="1"/>
  <c r="F84" i="7"/>
  <c r="T84" i="7" s="1"/>
  <c r="F78" i="7"/>
  <c r="T78" i="7" s="1"/>
  <c r="F88" i="7"/>
  <c r="T88" i="7" s="1"/>
  <c r="F23" i="7"/>
  <c r="F48" i="7"/>
  <c r="T48" i="7" s="1"/>
  <c r="F75" i="7"/>
  <c r="T75" i="7" s="1"/>
  <c r="F56" i="7"/>
  <c r="T56" i="7" s="1"/>
  <c r="F45" i="7"/>
  <c r="T45" i="7" s="1"/>
  <c r="F49" i="7"/>
  <c r="T49" i="7" s="1"/>
  <c r="F66" i="7"/>
  <c r="T66" i="7" s="1"/>
  <c r="F40" i="7"/>
  <c r="T40" i="7" s="1"/>
  <c r="F16" i="7"/>
  <c r="F20" i="7"/>
  <c r="T20" i="7" s="1"/>
  <c r="F29" i="7"/>
  <c r="T29" i="7" s="1"/>
  <c r="F63" i="7"/>
  <c r="T63" i="7" s="1"/>
  <c r="F43" i="7"/>
  <c r="T43" i="7" s="1"/>
  <c r="F61" i="7"/>
  <c r="T61" i="7" s="1"/>
  <c r="F59" i="7"/>
  <c r="T59" i="7" s="1"/>
  <c r="F50" i="7"/>
  <c r="T50" i="7" s="1"/>
  <c r="F89" i="7"/>
  <c r="T89" i="7" s="1"/>
  <c r="F81" i="7"/>
  <c r="T81" i="7" s="1"/>
  <c r="F85" i="7"/>
  <c r="T85" i="7" s="1"/>
  <c r="F82" i="7"/>
  <c r="T82" i="7" s="1"/>
  <c r="F41" i="7"/>
  <c r="T41" i="7" s="1"/>
  <c r="F38" i="7"/>
  <c r="T38" i="7" s="1"/>
  <c r="F68" i="7"/>
  <c r="T68" i="7" s="1"/>
  <c r="F46" i="7"/>
  <c r="T46" i="7" s="1"/>
  <c r="F64" i="7"/>
  <c r="T64" i="7" s="1"/>
  <c r="F67" i="7"/>
  <c r="T67" i="7" s="1"/>
  <c r="F74" i="7"/>
  <c r="T74" i="7" s="1"/>
  <c r="F39" i="7"/>
  <c r="T39" i="7" s="1"/>
  <c r="F71" i="7"/>
  <c r="T71" i="7" s="1"/>
  <c r="F87" i="7"/>
  <c r="T87" i="7" s="1"/>
  <c r="S19" i="17"/>
  <c r="S66" i="17"/>
  <c r="S63" i="17"/>
  <c r="S22" i="17"/>
  <c r="S20" i="17"/>
  <c r="S67" i="17"/>
  <c r="S21" i="17"/>
  <c r="S64" i="17"/>
  <c r="S68" i="17"/>
  <c r="S65" i="17"/>
  <c r="G17" i="7"/>
  <c r="X17" i="7" s="1"/>
  <c r="F45" i="6"/>
  <c r="AM45" i="6" s="1"/>
  <c r="AM33" i="17"/>
  <c r="BA33" i="17" s="1"/>
  <c r="AM51" i="17"/>
  <c r="BA51" i="17" s="1"/>
  <c r="F66" i="6"/>
  <c r="AM66" i="6" s="1"/>
  <c r="F40" i="6"/>
  <c r="AM40" i="6" s="1"/>
  <c r="AM29" i="17"/>
  <c r="BA29" i="17" s="1"/>
  <c r="AM11" i="17"/>
  <c r="BA11" i="17" s="1"/>
  <c r="F16" i="6"/>
  <c r="AM16" i="6" s="1"/>
  <c r="F20" i="6"/>
  <c r="AM20" i="6" s="1"/>
  <c r="AM15" i="17"/>
  <c r="BA15" i="17" s="1"/>
  <c r="F30" i="6"/>
  <c r="AM30" i="6" s="1"/>
  <c r="T22" i="17"/>
  <c r="T43" i="17"/>
  <c r="F56" i="6"/>
  <c r="AM56" i="6" s="1"/>
  <c r="T38" i="17"/>
  <c r="F50" i="6"/>
  <c r="AM50" i="6" s="1"/>
  <c r="T50" i="17"/>
  <c r="F64" i="6"/>
  <c r="AM64" i="6" s="1"/>
  <c r="F67" i="6"/>
  <c r="AM67" i="6" s="1"/>
  <c r="AM52" i="17"/>
  <c r="BA52" i="17" s="1"/>
  <c r="F39" i="6"/>
  <c r="AM39" i="6" s="1"/>
  <c r="AM28" i="17"/>
  <c r="BA28" i="17" s="1"/>
  <c r="F71" i="6"/>
  <c r="AM71" i="6" s="1"/>
  <c r="AM69" i="17"/>
  <c r="BA69" i="17" s="1"/>
  <c r="F87" i="6"/>
  <c r="AM87" i="6" s="1"/>
  <c r="F82" i="6"/>
  <c r="AM82" i="6" s="1"/>
  <c r="AM17" i="17"/>
  <c r="BA17" i="17" s="1"/>
  <c r="F23" i="6"/>
  <c r="AM23" i="6" s="1"/>
  <c r="AM34" i="17"/>
  <c r="BA34" i="17" s="1"/>
  <c r="F46" i="6"/>
  <c r="AM46" i="6" s="1"/>
  <c r="AM71" i="17"/>
  <c r="BA71" i="17" s="1"/>
  <c r="F89" i="6"/>
  <c r="AM89" i="6" s="1"/>
  <c r="AM58" i="17"/>
  <c r="BA58" i="17" s="1"/>
  <c r="F74" i="6"/>
  <c r="AM74" i="6" s="1"/>
  <c r="AM40" i="17"/>
  <c r="BA40" i="17" s="1"/>
  <c r="F53" i="6"/>
  <c r="AM53" i="6" s="1"/>
  <c r="F62" i="6"/>
  <c r="AM62" i="6" s="1"/>
  <c r="AM48" i="17"/>
  <c r="BA48" i="17" s="1"/>
  <c r="AM30" i="17"/>
  <c r="BA30" i="17" s="1"/>
  <c r="F41" i="6"/>
  <c r="AM41" i="6" s="1"/>
  <c r="AM13" i="17"/>
  <c r="BA13" i="17" s="1"/>
  <c r="F18" i="6"/>
  <c r="AM18" i="6" s="1"/>
  <c r="F63" i="6"/>
  <c r="AM63" i="6" s="1"/>
  <c r="F91" i="6"/>
  <c r="AM91" i="6" s="1"/>
  <c r="AM73" i="17"/>
  <c r="BA73" i="17" s="1"/>
  <c r="F85" i="6"/>
  <c r="AM85" i="6" s="1"/>
  <c r="V41" i="10"/>
  <c r="F49" i="6"/>
  <c r="AM49" i="6" s="1"/>
  <c r="F27" i="6"/>
  <c r="AM27" i="6" s="1"/>
  <c r="F26" i="6"/>
  <c r="AM26" i="6" s="1"/>
  <c r="T62" i="17"/>
  <c r="F78" i="6"/>
  <c r="AM78" i="6" s="1"/>
  <c r="AM27" i="17"/>
  <c r="BA27" i="17" s="1"/>
  <c r="F38" i="6"/>
  <c r="AM38" i="6" s="1"/>
  <c r="AM41" i="17"/>
  <c r="BA41" i="17" s="1"/>
  <c r="F54" i="6"/>
  <c r="AM54" i="6" s="1"/>
  <c r="F43" i="6"/>
  <c r="AM43" i="6" s="1"/>
  <c r="F57" i="6"/>
  <c r="AM57" i="6" s="1"/>
  <c r="AM57" i="17"/>
  <c r="BA57" i="17" s="1"/>
  <c r="F73" i="6"/>
  <c r="AM73" i="6" s="1"/>
  <c r="AM70" i="17"/>
  <c r="BA70" i="17" s="1"/>
  <c r="F88" i="6"/>
  <c r="AM88" i="6" s="1"/>
  <c r="F83" i="6"/>
  <c r="AM83" i="6" s="1"/>
  <c r="F29" i="6"/>
  <c r="AM29" i="6" s="1"/>
  <c r="AM47" i="17"/>
  <c r="BA47" i="17" s="1"/>
  <c r="F61" i="6"/>
  <c r="AM61" i="6" s="1"/>
  <c r="T61" i="17"/>
  <c r="F77" i="6"/>
  <c r="AM77" i="6" s="1"/>
  <c r="V35" i="10"/>
  <c r="F42" i="6"/>
  <c r="AM42" i="6" s="1"/>
  <c r="F21" i="6"/>
  <c r="AM21" i="6" s="1"/>
  <c r="AM16" i="17"/>
  <c r="BA16" i="17" s="1"/>
  <c r="AM46" i="17"/>
  <c r="BA46" i="17" s="1"/>
  <c r="F60" i="6"/>
  <c r="AM60" i="6" s="1"/>
  <c r="F90" i="6"/>
  <c r="AM90" i="6" s="1"/>
  <c r="AM72" i="17"/>
  <c r="BA72" i="17" s="1"/>
  <c r="G81" i="7"/>
  <c r="X81" i="7" s="1"/>
  <c r="F81" i="6"/>
  <c r="AM81" i="6" s="1"/>
  <c r="AM45" i="17"/>
  <c r="BA45" i="17" s="1"/>
  <c r="F59" i="6"/>
  <c r="AM59" i="6" s="1"/>
  <c r="F70" i="6"/>
  <c r="AM70" i="6" s="1"/>
  <c r="AM35" i="17"/>
  <c r="BA35" i="17" s="1"/>
  <c r="F47" i="6"/>
  <c r="AM47" i="6" s="1"/>
  <c r="AM18" i="17"/>
  <c r="BA18" i="17" s="1"/>
  <c r="F24" i="6"/>
  <c r="AM24" i="6" s="1"/>
  <c r="F76" i="6"/>
  <c r="AM76" i="6" s="1"/>
  <c r="AM54" i="17"/>
  <c r="BA54" i="17" s="1"/>
  <c r="F69" i="6"/>
  <c r="AM69" i="6" s="1"/>
  <c r="T74" i="17"/>
  <c r="F92" i="6"/>
  <c r="AM92" i="6" s="1"/>
  <c r="G80" i="7"/>
  <c r="X80" i="7" s="1"/>
  <c r="F80" i="6"/>
  <c r="AM80" i="6" s="1"/>
  <c r="F68" i="6"/>
  <c r="AM68" i="6" s="1"/>
  <c r="AM53" i="17"/>
  <c r="BA53" i="17" s="1"/>
  <c r="AM36" i="17"/>
  <c r="BA36" i="17" s="1"/>
  <c r="F48" i="6"/>
  <c r="AM48" i="6" s="1"/>
  <c r="AM42" i="17"/>
  <c r="BA42" i="17" s="1"/>
  <c r="F55" i="6"/>
  <c r="AM55" i="6" s="1"/>
  <c r="T59" i="17"/>
  <c r="F75" i="6"/>
  <c r="AM75" i="6" s="1"/>
  <c r="F52" i="6"/>
  <c r="AM52" i="6" s="1"/>
  <c r="AM39" i="17"/>
  <c r="BA39" i="17" s="1"/>
  <c r="F84" i="6"/>
  <c r="AM84" i="6" s="1"/>
  <c r="T12" i="17"/>
  <c r="V16" i="10"/>
  <c r="F17" i="11" s="1"/>
  <c r="T14" i="17"/>
  <c r="V18" i="10"/>
  <c r="F19" i="11" s="1"/>
  <c r="AM49" i="17"/>
  <c r="BA49" i="17" s="1"/>
  <c r="G19" i="7"/>
  <c r="X19" i="7" s="1"/>
  <c r="P17" i="7"/>
  <c r="J94" i="9"/>
  <c r="AB94" i="9" s="1"/>
  <c r="AJ94" i="9" s="1"/>
  <c r="P19" i="7"/>
  <c r="AF28" i="19" l="1"/>
  <c r="AD22" i="12"/>
  <c r="AE22" i="12" s="1"/>
  <c r="AD65" i="12"/>
  <c r="AE65" i="12" s="1"/>
  <c r="AD44" i="12"/>
  <c r="AE44" i="12" s="1"/>
  <c r="AF37" i="19"/>
  <c r="AF86" i="19"/>
  <c r="AD34" i="12"/>
  <c r="AE34" i="12" s="1"/>
  <c r="AD79" i="12"/>
  <c r="AE79" i="12" s="1"/>
  <c r="AD72" i="12"/>
  <c r="AE72" i="12" s="1"/>
  <c r="AD58" i="12"/>
  <c r="AE58" i="12" s="1"/>
  <c r="AD51" i="12"/>
  <c r="AE51" i="12" s="1"/>
  <c r="L21" i="14"/>
  <c r="M21" i="14" s="1"/>
  <c r="L22" i="21"/>
  <c r="M22" i="21" s="1"/>
  <c r="L19" i="14"/>
  <c r="M19" i="14" s="1"/>
  <c r="L20" i="21"/>
  <c r="M20" i="21" s="1"/>
  <c r="AI22" i="17"/>
  <c r="AI14" i="17"/>
  <c r="AI12" i="17"/>
  <c r="T16" i="7"/>
  <c r="T23" i="7"/>
  <c r="T25" i="7" s="1"/>
  <c r="T18" i="7"/>
  <c r="V36" i="10"/>
  <c r="F37" i="11" s="1"/>
  <c r="T86" i="7"/>
  <c r="V64" i="10"/>
  <c r="F76" i="9" s="1"/>
  <c r="AF76" i="9" s="1"/>
  <c r="V48" i="10"/>
  <c r="F57" i="9" s="1"/>
  <c r="AF57" i="9" s="1"/>
  <c r="S69" i="17"/>
  <c r="S27" i="17"/>
  <c r="S29" i="17"/>
  <c r="S43" i="17"/>
  <c r="AI43" i="17" s="1"/>
  <c r="S70" i="17"/>
  <c r="S55" i="17"/>
  <c r="S61" i="17"/>
  <c r="F36" i="7"/>
  <c r="T36" i="7" s="1"/>
  <c r="S38" i="17"/>
  <c r="AI38" i="17" s="1"/>
  <c r="S49" i="17"/>
  <c r="S62" i="17"/>
  <c r="S42" i="17"/>
  <c r="S54" i="17"/>
  <c r="S72" i="17"/>
  <c r="S56" i="17"/>
  <c r="S30" i="17"/>
  <c r="S51" i="17"/>
  <c r="S41" i="17"/>
  <c r="F35" i="7"/>
  <c r="T35" i="7" s="1"/>
  <c r="S28" i="17"/>
  <c r="S34" i="17"/>
  <c r="S45" i="17"/>
  <c r="S15" i="17"/>
  <c r="S60" i="17"/>
  <c r="S44" i="17"/>
  <c r="S46" i="17"/>
  <c r="F33" i="7"/>
  <c r="T33" i="7" s="1"/>
  <c r="S37" i="17"/>
  <c r="S36" i="17"/>
  <c r="S18" i="17"/>
  <c r="S50" i="17"/>
  <c r="AI50" i="17" s="1"/>
  <c r="S59" i="17"/>
  <c r="AI59" i="17" s="1"/>
  <c r="S57" i="17"/>
  <c r="S53" i="17"/>
  <c r="S47" i="17"/>
  <c r="S11" i="17"/>
  <c r="S13" i="17"/>
  <c r="S48" i="17"/>
  <c r="S16" i="17"/>
  <c r="S73" i="17"/>
  <c r="F32" i="7"/>
  <c r="T32" i="7" s="1"/>
  <c r="S58" i="17"/>
  <c r="S32" i="17"/>
  <c r="S33" i="17"/>
  <c r="S17" i="17"/>
  <c r="V66" i="10"/>
  <c r="F67" i="11" s="1"/>
  <c r="S52" i="17"/>
  <c r="S71" i="17"/>
  <c r="S39" i="17"/>
  <c r="S74" i="17"/>
  <c r="AI74" i="17" s="1"/>
  <c r="S35" i="17"/>
  <c r="S31" i="17"/>
  <c r="S40" i="17"/>
  <c r="G42" i="7"/>
  <c r="X42" i="7" s="1"/>
  <c r="T32" i="17"/>
  <c r="G49" i="7"/>
  <c r="X49" i="7" s="1"/>
  <c r="G64" i="7"/>
  <c r="X64" i="7" s="1"/>
  <c r="V54" i="10"/>
  <c r="G43" i="7"/>
  <c r="X43" i="7" s="1"/>
  <c r="V47" i="10"/>
  <c r="F56" i="9" s="1"/>
  <c r="AF56" i="9" s="1"/>
  <c r="T31" i="17"/>
  <c r="G92" i="7"/>
  <c r="X92" i="7" s="1"/>
  <c r="V78" i="10"/>
  <c r="F92" i="9" s="1"/>
  <c r="AF92" i="9" s="1"/>
  <c r="G56" i="7"/>
  <c r="X56" i="7" s="1"/>
  <c r="F17" i="9"/>
  <c r="AF17" i="9" s="1"/>
  <c r="G78" i="7"/>
  <c r="X78" i="7" s="1"/>
  <c r="F19" i="9"/>
  <c r="AF19" i="9" s="1"/>
  <c r="G82" i="7"/>
  <c r="X82" i="7" s="1"/>
  <c r="V67" i="10"/>
  <c r="G76" i="7"/>
  <c r="X76" i="7" s="1"/>
  <c r="G70" i="7"/>
  <c r="X70" i="7" s="1"/>
  <c r="T37" i="17"/>
  <c r="G26" i="7"/>
  <c r="X26" i="7" s="1"/>
  <c r="G57" i="7"/>
  <c r="X57" i="7" s="1"/>
  <c r="V26" i="10"/>
  <c r="F27" i="11" s="1"/>
  <c r="AM31" i="6"/>
  <c r="T60" i="17"/>
  <c r="T64" i="17"/>
  <c r="AI64" i="17" s="1"/>
  <c r="V42" i="10"/>
  <c r="G50" i="7"/>
  <c r="X50" i="7" s="1"/>
  <c r="G71" i="7"/>
  <c r="X71" i="7" s="1"/>
  <c r="G84" i="7"/>
  <c r="X84" i="7" s="1"/>
  <c r="G85" i="7"/>
  <c r="X85" i="7" s="1"/>
  <c r="T44" i="17"/>
  <c r="G77" i="7"/>
  <c r="X77" i="7" s="1"/>
  <c r="G83" i="7"/>
  <c r="X83" i="7" s="1"/>
  <c r="V65" i="10"/>
  <c r="F66" i="11" s="1"/>
  <c r="V63" i="10"/>
  <c r="G75" i="7"/>
  <c r="X75" i="7" s="1"/>
  <c r="T20" i="17"/>
  <c r="AI20" i="17" s="1"/>
  <c r="V24" i="10"/>
  <c r="F27" i="9" s="1"/>
  <c r="AF27" i="9" s="1"/>
  <c r="F26" i="11"/>
  <c r="T21" i="17"/>
  <c r="T19" i="17"/>
  <c r="V23" i="10"/>
  <c r="AM55" i="17"/>
  <c r="BA55" i="17" s="1"/>
  <c r="L60" i="11"/>
  <c r="AM68" i="17"/>
  <c r="BA68" i="17" s="1"/>
  <c r="L73" i="11"/>
  <c r="AM22" i="17"/>
  <c r="BA22" i="17" s="1"/>
  <c r="L27" i="11"/>
  <c r="F33" i="6"/>
  <c r="AM33" i="6" s="1"/>
  <c r="AM31" i="17"/>
  <c r="BA31" i="17" s="1"/>
  <c r="L36" i="11"/>
  <c r="AM38" i="17"/>
  <c r="BA38" i="17" s="1"/>
  <c r="L43" i="11"/>
  <c r="AM26" i="17"/>
  <c r="BA26" i="17" s="1"/>
  <c r="F36" i="6"/>
  <c r="AM36" i="6" s="1"/>
  <c r="AM74" i="17"/>
  <c r="BA74" i="17" s="1"/>
  <c r="L79" i="11"/>
  <c r="AM32" i="17"/>
  <c r="BA32" i="17" s="1"/>
  <c r="L37" i="11"/>
  <c r="AM65" i="17"/>
  <c r="BA65" i="17" s="1"/>
  <c r="L70" i="11"/>
  <c r="F32" i="6"/>
  <c r="AM32" i="6" s="1"/>
  <c r="AM21" i="17"/>
  <c r="BA21" i="17" s="1"/>
  <c r="L26" i="11"/>
  <c r="AM62" i="17"/>
  <c r="BA62" i="17" s="1"/>
  <c r="L67" i="11"/>
  <c r="AM20" i="17"/>
  <c r="BA20" i="17" s="1"/>
  <c r="L25" i="11"/>
  <c r="AM25" i="17"/>
  <c r="BA25" i="17" s="1"/>
  <c r="F35" i="6"/>
  <c r="AM35" i="6" s="1"/>
  <c r="AM59" i="17"/>
  <c r="BA59" i="17" s="1"/>
  <c r="L64" i="11"/>
  <c r="AM61" i="17"/>
  <c r="BA61" i="17" s="1"/>
  <c r="L66" i="11"/>
  <c r="AM43" i="17"/>
  <c r="BA43" i="17" s="1"/>
  <c r="L48" i="11"/>
  <c r="AM64" i="17"/>
  <c r="BA64" i="17" s="1"/>
  <c r="L69" i="11"/>
  <c r="AM67" i="17"/>
  <c r="BA67" i="17" s="1"/>
  <c r="L72" i="11"/>
  <c r="AM63" i="17"/>
  <c r="BA63" i="17" s="1"/>
  <c r="L68" i="11"/>
  <c r="AM66" i="17"/>
  <c r="BA66" i="17" s="1"/>
  <c r="L71" i="11"/>
  <c r="AM44" i="17"/>
  <c r="BA44" i="17" s="1"/>
  <c r="L49" i="11"/>
  <c r="AM28" i="6"/>
  <c r="AM37" i="17"/>
  <c r="BA37" i="17" s="1"/>
  <c r="L42" i="11"/>
  <c r="AM50" i="17"/>
  <c r="BA50" i="17" s="1"/>
  <c r="L55" i="11"/>
  <c r="AM86" i="6"/>
  <c r="AM60" i="17"/>
  <c r="BA60" i="17" s="1"/>
  <c r="L65" i="11"/>
  <c r="AM19" i="17"/>
  <c r="BA19" i="17" s="1"/>
  <c r="L24" i="11"/>
  <c r="AM56" i="17"/>
  <c r="BA56" i="17" s="1"/>
  <c r="L61" i="11"/>
  <c r="F36" i="11"/>
  <c r="F42" i="9"/>
  <c r="AF42" i="9" s="1"/>
  <c r="F42" i="11"/>
  <c r="F49" i="9"/>
  <c r="AF49" i="9" s="1"/>
  <c r="T68" i="17"/>
  <c r="AI68" i="17" s="1"/>
  <c r="V72" i="10"/>
  <c r="T55" i="17"/>
  <c r="V59" i="10"/>
  <c r="V69" i="10"/>
  <c r="T65" i="17"/>
  <c r="AI65" i="17" s="1"/>
  <c r="T56" i="17"/>
  <c r="V60" i="10"/>
  <c r="T67" i="17"/>
  <c r="AI67" i="17" s="1"/>
  <c r="V71" i="10"/>
  <c r="T66" i="17"/>
  <c r="AI66" i="17" s="1"/>
  <c r="V70" i="10"/>
  <c r="G74" i="7"/>
  <c r="X74" i="7" s="1"/>
  <c r="G67" i="7"/>
  <c r="X67" i="7" s="1"/>
  <c r="G38" i="7"/>
  <c r="X38" i="7" s="1"/>
  <c r="G54" i="7"/>
  <c r="X54" i="7" s="1"/>
  <c r="L44" i="11"/>
  <c r="L56" i="11"/>
  <c r="L21" i="11"/>
  <c r="L52" i="11"/>
  <c r="L78" i="11"/>
  <c r="L58" i="11"/>
  <c r="L39" i="11"/>
  <c r="L57" i="11"/>
  <c r="L32" i="11"/>
  <c r="L51" i="11"/>
  <c r="L16" i="11"/>
  <c r="L63" i="11"/>
  <c r="L23" i="11"/>
  <c r="L53" i="11"/>
  <c r="L50" i="11"/>
  <c r="L59" i="11"/>
  <c r="L38" i="11"/>
  <c r="L35" i="11"/>
  <c r="L54" i="11"/>
  <c r="L62" i="11"/>
  <c r="L22" i="11"/>
  <c r="L77" i="11"/>
  <c r="L75" i="11"/>
  <c r="L18" i="11"/>
  <c r="G20" i="7"/>
  <c r="X20" i="7" s="1"/>
  <c r="L34" i="11"/>
  <c r="L41" i="11"/>
  <c r="L40" i="11"/>
  <c r="L20" i="11"/>
  <c r="L74" i="11"/>
  <c r="L33" i="11"/>
  <c r="L47" i="11"/>
  <c r="L76" i="11"/>
  <c r="L45" i="11"/>
  <c r="L46" i="11"/>
  <c r="G53" i="7"/>
  <c r="X53" i="7" s="1"/>
  <c r="G88" i="7"/>
  <c r="X88" i="7" s="1"/>
  <c r="G90" i="7"/>
  <c r="X90" i="7" s="1"/>
  <c r="G55" i="7"/>
  <c r="X55" i="7" s="1"/>
  <c r="G89" i="7"/>
  <c r="X89" i="7" s="1"/>
  <c r="AM25" i="6"/>
  <c r="G21" i="7"/>
  <c r="X21" i="7" s="1"/>
  <c r="G18" i="7"/>
  <c r="X18" i="7" s="1"/>
  <c r="AM51" i="6"/>
  <c r="G39" i="7"/>
  <c r="X39" i="7" s="1"/>
  <c r="G66" i="7"/>
  <c r="X66" i="7" s="1"/>
  <c r="T16" i="17"/>
  <c r="V20" i="10"/>
  <c r="G61" i="7"/>
  <c r="X61" i="7" s="1"/>
  <c r="G91" i="7"/>
  <c r="X91" i="7" s="1"/>
  <c r="T54" i="17"/>
  <c r="V58" i="10"/>
  <c r="G68" i="7"/>
  <c r="X68" i="7" s="1"/>
  <c r="G46" i="7"/>
  <c r="X46" i="7" s="1"/>
  <c r="T52" i="17"/>
  <c r="V56" i="10"/>
  <c r="T27" i="17"/>
  <c r="V31" i="10"/>
  <c r="T39" i="17"/>
  <c r="V43" i="10"/>
  <c r="G16" i="7"/>
  <c r="X16" i="7" s="1"/>
  <c r="T58" i="17"/>
  <c r="V62" i="10"/>
  <c r="G24" i="7"/>
  <c r="X24" i="7" s="1"/>
  <c r="G62" i="7"/>
  <c r="X62" i="7" s="1"/>
  <c r="G59" i="7"/>
  <c r="X59" i="7" s="1"/>
  <c r="T46" i="17"/>
  <c r="V50" i="10"/>
  <c r="G69" i="7"/>
  <c r="X69" i="7" s="1"/>
  <c r="G52" i="7"/>
  <c r="X52" i="7" s="1"/>
  <c r="G45" i="7"/>
  <c r="X45" i="7" s="1"/>
  <c r="G41" i="7"/>
  <c r="X41" i="7" s="1"/>
  <c r="G63" i="7"/>
  <c r="X63" i="7" s="1"/>
  <c r="G73" i="7"/>
  <c r="X73" i="7" s="1"/>
  <c r="T28" i="17"/>
  <c r="V32" i="10"/>
  <c r="G23" i="7"/>
  <c r="X23" i="7" s="1"/>
  <c r="T72" i="17"/>
  <c r="AI72" i="17" s="1"/>
  <c r="V76" i="10"/>
  <c r="T70" i="17"/>
  <c r="AI70" i="17" s="1"/>
  <c r="V74" i="10"/>
  <c r="T13" i="17"/>
  <c r="V17" i="10"/>
  <c r="G60" i="7"/>
  <c r="X60" i="7" s="1"/>
  <c r="G40" i="7"/>
  <c r="X40" i="7" s="1"/>
  <c r="G48" i="7"/>
  <c r="X48" i="7" s="1"/>
  <c r="G47" i="7"/>
  <c r="X47" i="7" s="1"/>
  <c r="T15" i="17"/>
  <c r="V19" i="10"/>
  <c r="T69" i="17"/>
  <c r="AI69" i="17" s="1"/>
  <c r="V73" i="10"/>
  <c r="G87" i="7"/>
  <c r="X87" i="7" s="1"/>
  <c r="T42" i="17"/>
  <c r="V46" i="10"/>
  <c r="T71" i="17"/>
  <c r="V75" i="10"/>
  <c r="T40" i="17"/>
  <c r="V44" i="10"/>
  <c r="T41" i="17"/>
  <c r="V45" i="10"/>
  <c r="AM58" i="6"/>
  <c r="AM22" i="6"/>
  <c r="AM93" i="6"/>
  <c r="AM72" i="6"/>
  <c r="AM44" i="6"/>
  <c r="AM65" i="6"/>
  <c r="AM79" i="6"/>
  <c r="G27" i="7"/>
  <c r="X27" i="7" s="1"/>
  <c r="G29" i="7"/>
  <c r="X29" i="7" s="1"/>
  <c r="G30" i="7"/>
  <c r="X30" i="7" s="1"/>
  <c r="P21" i="7"/>
  <c r="P63" i="7"/>
  <c r="P59" i="7"/>
  <c r="P18" i="7"/>
  <c r="P73" i="7"/>
  <c r="P29" i="7"/>
  <c r="P87" i="7"/>
  <c r="P42" i="7"/>
  <c r="P38" i="7"/>
  <c r="P68" i="7"/>
  <c r="P43" i="7"/>
  <c r="P48" i="7"/>
  <c r="P41" i="7"/>
  <c r="P50" i="7"/>
  <c r="P20" i="7"/>
  <c r="P78" i="7"/>
  <c r="P77" i="7"/>
  <c r="P70" i="7"/>
  <c r="P57" i="7"/>
  <c r="P36" i="7"/>
  <c r="P64" i="7"/>
  <c r="P26" i="7"/>
  <c r="P56" i="7"/>
  <c r="P71" i="7"/>
  <c r="P35" i="7"/>
  <c r="P62" i="7"/>
  <c r="P45" i="7"/>
  <c r="P46" i="7"/>
  <c r="P74" i="7"/>
  <c r="P60" i="7"/>
  <c r="P40" i="7"/>
  <c r="P55" i="7"/>
  <c r="P61" i="7"/>
  <c r="P69" i="7"/>
  <c r="P52" i="7"/>
  <c r="P53" i="7"/>
  <c r="P75" i="7"/>
  <c r="P30" i="7"/>
  <c r="P76" i="7"/>
  <c r="P54" i="7"/>
  <c r="P39" i="7"/>
  <c r="P27" i="7"/>
  <c r="T93" i="7"/>
  <c r="P89" i="7"/>
  <c r="P90" i="7"/>
  <c r="P92" i="7"/>
  <c r="P47" i="7"/>
  <c r="P67" i="7"/>
  <c r="P66" i="7"/>
  <c r="P49" i="7"/>
  <c r="AF3" i="19" l="1"/>
  <c r="AH5" i="19" s="1"/>
  <c r="AI71" i="17"/>
  <c r="J35" i="14"/>
  <c r="K35" i="14" s="1"/>
  <c r="J36" i="21"/>
  <c r="K36" i="21" s="1"/>
  <c r="J20" i="14"/>
  <c r="K20" i="14" s="1"/>
  <c r="J21" i="21"/>
  <c r="K21" i="21" s="1"/>
  <c r="J23" i="14"/>
  <c r="K23" i="14" s="1"/>
  <c r="J24" i="21"/>
  <c r="K24" i="21" s="1"/>
  <c r="L18" i="14"/>
  <c r="M18" i="14" s="1"/>
  <c r="L19" i="21"/>
  <c r="M19" i="21" s="1"/>
  <c r="J18" i="14"/>
  <c r="K18" i="14" s="1"/>
  <c r="J19" i="21"/>
  <c r="K19" i="21" s="1"/>
  <c r="J34" i="14"/>
  <c r="K34" i="14" s="1"/>
  <c r="J35" i="21"/>
  <c r="K35" i="21" s="1"/>
  <c r="L20" i="14"/>
  <c r="M20" i="14" s="1"/>
  <c r="L21" i="21"/>
  <c r="M21" i="21" s="1"/>
  <c r="F43" i="9"/>
  <c r="AF43" i="9" s="1"/>
  <c r="AI32" i="17"/>
  <c r="AI55" i="17"/>
  <c r="AI27" i="17"/>
  <c r="AI31" i="17"/>
  <c r="AI16" i="17"/>
  <c r="AI41" i="17"/>
  <c r="AI19" i="17"/>
  <c r="AI21" i="17"/>
  <c r="AI52" i="17"/>
  <c r="AI46" i="17"/>
  <c r="AI58" i="17"/>
  <c r="AI54" i="17"/>
  <c r="AI44" i="17"/>
  <c r="AI13" i="17"/>
  <c r="AI28" i="17"/>
  <c r="AI42" i="17"/>
  <c r="AI61" i="17"/>
  <c r="AI39" i="17"/>
  <c r="AI60" i="17"/>
  <c r="AI40" i="17"/>
  <c r="AI37" i="17"/>
  <c r="AI15" i="17"/>
  <c r="AI56" i="17"/>
  <c r="AI62" i="17"/>
  <c r="F65" i="11"/>
  <c r="F49" i="11"/>
  <c r="F78" i="9"/>
  <c r="AF78" i="9" s="1"/>
  <c r="F30" i="9"/>
  <c r="AF30" i="9" s="1"/>
  <c r="S26" i="17"/>
  <c r="S24" i="17"/>
  <c r="T63" i="17"/>
  <c r="S25" i="17"/>
  <c r="S23" i="17"/>
  <c r="T34" i="7"/>
  <c r="F64" i="9"/>
  <c r="AF64" i="9" s="1"/>
  <c r="F55" i="11"/>
  <c r="F79" i="11"/>
  <c r="V68" i="10"/>
  <c r="F69" i="11" s="1"/>
  <c r="F48" i="11"/>
  <c r="F64" i="11"/>
  <c r="F75" i="9"/>
  <c r="AF75" i="9" s="1"/>
  <c r="F50" i="9"/>
  <c r="AF50" i="9" s="1"/>
  <c r="F26" i="9"/>
  <c r="AF26" i="9" s="1"/>
  <c r="F24" i="11"/>
  <c r="F43" i="11"/>
  <c r="F77" i="9"/>
  <c r="AF77" i="9" s="1"/>
  <c r="X86" i="7"/>
  <c r="F25" i="11"/>
  <c r="F29" i="9"/>
  <c r="AF29" i="9" s="1"/>
  <c r="F71" i="11"/>
  <c r="F83" i="9"/>
  <c r="AF83" i="9" s="1"/>
  <c r="F80" i="9"/>
  <c r="AF80" i="9" s="1"/>
  <c r="F68" i="11"/>
  <c r="F60" i="11"/>
  <c r="F70" i="9"/>
  <c r="AF70" i="9" s="1"/>
  <c r="F73" i="11"/>
  <c r="F85" i="9"/>
  <c r="AF85" i="9" s="1"/>
  <c r="F61" i="11"/>
  <c r="F71" i="9"/>
  <c r="AF71" i="9" s="1"/>
  <c r="F72" i="11"/>
  <c r="F84" i="9"/>
  <c r="AF84" i="9" s="1"/>
  <c r="F70" i="11"/>
  <c r="F82" i="9"/>
  <c r="AF82" i="9" s="1"/>
  <c r="G32" i="7"/>
  <c r="X32" i="7" s="1"/>
  <c r="AM23" i="17"/>
  <c r="BA23" i="17" s="1"/>
  <c r="L28" i="11"/>
  <c r="G33" i="7"/>
  <c r="X33" i="7" s="1"/>
  <c r="AM24" i="17"/>
  <c r="BA24" i="17" s="1"/>
  <c r="L29" i="11"/>
  <c r="AM34" i="6"/>
  <c r="L30" i="11"/>
  <c r="L31" i="11"/>
  <c r="X25" i="7"/>
  <c r="AM37" i="6"/>
  <c r="F47" i="11"/>
  <c r="F55" i="9"/>
  <c r="AF55" i="9" s="1"/>
  <c r="F18" i="11"/>
  <c r="F18" i="9"/>
  <c r="AF18" i="9" s="1"/>
  <c r="F33" i="11"/>
  <c r="F39" i="9"/>
  <c r="AF39" i="9" s="1"/>
  <c r="T33" i="17"/>
  <c r="V37" i="10"/>
  <c r="T45" i="17"/>
  <c r="V49" i="10"/>
  <c r="T11" i="17"/>
  <c r="AI11" i="17" s="1"/>
  <c r="V15" i="10"/>
  <c r="T34" i="17"/>
  <c r="AI34" i="17" s="1"/>
  <c r="V38" i="10"/>
  <c r="T47" i="17"/>
  <c r="AI47" i="17" s="1"/>
  <c r="V51" i="10"/>
  <c r="T35" i="17"/>
  <c r="V39" i="10"/>
  <c r="G36" i="7"/>
  <c r="X36" i="7" s="1"/>
  <c r="T36" i="17"/>
  <c r="V40" i="10"/>
  <c r="F46" i="11"/>
  <c r="F54" i="9"/>
  <c r="AF54" i="9" s="1"/>
  <c r="F75" i="11"/>
  <c r="F88" i="9"/>
  <c r="AF88" i="9" s="1"/>
  <c r="T57" i="17"/>
  <c r="AI57" i="17" s="1"/>
  <c r="V61" i="10"/>
  <c r="T48" i="17"/>
  <c r="V52" i="10"/>
  <c r="F44" i="11"/>
  <c r="F52" i="9"/>
  <c r="AF52" i="9" s="1"/>
  <c r="T53" i="17"/>
  <c r="AI53" i="17" s="1"/>
  <c r="V57" i="10"/>
  <c r="F21" i="11"/>
  <c r="F21" i="9"/>
  <c r="AF21" i="9" s="1"/>
  <c r="F74" i="11"/>
  <c r="F87" i="9"/>
  <c r="AF87" i="9" s="1"/>
  <c r="T29" i="17"/>
  <c r="V33" i="10"/>
  <c r="F45" i="11"/>
  <c r="F53" i="9"/>
  <c r="AF53" i="9" s="1"/>
  <c r="F77" i="11"/>
  <c r="F90" i="9"/>
  <c r="AF90" i="9" s="1"/>
  <c r="T49" i="17"/>
  <c r="V53" i="10"/>
  <c r="F51" i="11"/>
  <c r="F60" i="9"/>
  <c r="AF60" i="9" s="1"/>
  <c r="T18" i="17"/>
  <c r="V22" i="10"/>
  <c r="F32" i="11"/>
  <c r="F38" i="9"/>
  <c r="AF38" i="9" s="1"/>
  <c r="F59" i="11"/>
  <c r="F69" i="9"/>
  <c r="AF69" i="9" s="1"/>
  <c r="T51" i="17"/>
  <c r="V55" i="10"/>
  <c r="F20" i="11"/>
  <c r="F20" i="9"/>
  <c r="AF20" i="9" s="1"/>
  <c r="G35" i="7"/>
  <c r="X35" i="7" s="1"/>
  <c r="F76" i="11"/>
  <c r="F89" i="9"/>
  <c r="AF89" i="9" s="1"/>
  <c r="T17" i="17"/>
  <c r="AI17" i="17" s="1"/>
  <c r="V21" i="10"/>
  <c r="T30" i="17"/>
  <c r="AI30" i="17" s="1"/>
  <c r="V34" i="10"/>
  <c r="F63" i="11"/>
  <c r="F74" i="9"/>
  <c r="AF74" i="9" s="1"/>
  <c r="F57" i="11"/>
  <c r="F67" i="9"/>
  <c r="AF67" i="9" s="1"/>
  <c r="T73" i="17"/>
  <c r="V77" i="10"/>
  <c r="P22" i="7"/>
  <c r="G82" i="5"/>
  <c r="T31" i="7"/>
  <c r="T22" i="7"/>
  <c r="T79" i="7"/>
  <c r="T65" i="7"/>
  <c r="J32" i="21" s="1"/>
  <c r="K32" i="21" s="1"/>
  <c r="T28" i="7"/>
  <c r="J25" i="21" s="1"/>
  <c r="K25" i="21" s="1"/>
  <c r="T37" i="7"/>
  <c r="J28" i="21" s="1"/>
  <c r="K28" i="21" s="1"/>
  <c r="T58" i="7"/>
  <c r="J31" i="21" s="1"/>
  <c r="K31" i="21" s="1"/>
  <c r="T72" i="7"/>
  <c r="T44" i="7"/>
  <c r="T51" i="7"/>
  <c r="P88" i="7"/>
  <c r="X93" i="7"/>
  <c r="P91" i="7"/>
  <c r="X22" i="7"/>
  <c r="P31" i="7"/>
  <c r="X28" i="7"/>
  <c r="P44" i="7"/>
  <c r="X79" i="7"/>
  <c r="P28" i="7"/>
  <c r="X72" i="7"/>
  <c r="P79" i="7"/>
  <c r="X51" i="7"/>
  <c r="P72" i="7"/>
  <c r="X44" i="7"/>
  <c r="P51" i="7"/>
  <c r="P58" i="7"/>
  <c r="P37" i="7"/>
  <c r="X31" i="7"/>
  <c r="X58" i="7"/>
  <c r="P65" i="7"/>
  <c r="X65" i="7"/>
  <c r="L30" i="14" l="1"/>
  <c r="M30" i="14" s="1"/>
  <c r="L31" i="21"/>
  <c r="M31" i="21" s="1"/>
  <c r="L25" i="14"/>
  <c r="L26" i="21"/>
  <c r="M26" i="21" s="1"/>
  <c r="L32" i="14"/>
  <c r="M32" i="14" s="1"/>
  <c r="L33" i="21"/>
  <c r="M33" i="21" s="1"/>
  <c r="L35" i="14"/>
  <c r="M35" i="14" s="1"/>
  <c r="L36" i="21"/>
  <c r="M36" i="21" s="1"/>
  <c r="L34" i="14"/>
  <c r="M34" i="14" s="1"/>
  <c r="L35" i="21"/>
  <c r="M35" i="21" s="1"/>
  <c r="J33" i="14"/>
  <c r="K33" i="14" s="1"/>
  <c r="J34" i="21"/>
  <c r="K34" i="21" s="1"/>
  <c r="L33" i="14"/>
  <c r="M33" i="14" s="1"/>
  <c r="L34" i="21"/>
  <c r="M34" i="21" s="1"/>
  <c r="J28" i="14"/>
  <c r="K28" i="14" s="1"/>
  <c r="J29" i="21"/>
  <c r="K29" i="21" s="1"/>
  <c r="J25" i="14"/>
  <c r="K25" i="14" s="1"/>
  <c r="J26" i="21"/>
  <c r="K26" i="21" s="1"/>
  <c r="J29" i="14"/>
  <c r="K29" i="14" s="1"/>
  <c r="J30" i="21"/>
  <c r="K30" i="21" s="1"/>
  <c r="J22" i="14"/>
  <c r="K22" i="14" s="1"/>
  <c r="J23" i="21"/>
  <c r="K23" i="21" s="1"/>
  <c r="L28" i="14"/>
  <c r="M28" i="14" s="1"/>
  <c r="L29" i="21"/>
  <c r="M29" i="21" s="1"/>
  <c r="L24" i="14"/>
  <c r="M24" i="14" s="1"/>
  <c r="L25" i="21"/>
  <c r="M25" i="21" s="1"/>
  <c r="J32" i="14"/>
  <c r="K32" i="14" s="1"/>
  <c r="J33" i="21"/>
  <c r="K33" i="21" s="1"/>
  <c r="L31" i="14"/>
  <c r="M31" i="14" s="1"/>
  <c r="L32" i="21"/>
  <c r="M32" i="21" s="1"/>
  <c r="L23" i="14"/>
  <c r="M23" i="14" s="1"/>
  <c r="L24" i="21"/>
  <c r="M24" i="21" s="1"/>
  <c r="L29" i="14"/>
  <c r="M29" i="14" s="1"/>
  <c r="L30" i="21"/>
  <c r="M30" i="21" s="1"/>
  <c r="L22" i="14"/>
  <c r="M22" i="14" s="1"/>
  <c r="L23" i="21"/>
  <c r="M23" i="21" s="1"/>
  <c r="J26" i="14"/>
  <c r="K26" i="14" s="1"/>
  <c r="J27" i="21"/>
  <c r="K27" i="21" s="1"/>
  <c r="AI35" i="17"/>
  <c r="AI45" i="17"/>
  <c r="AI51" i="17"/>
  <c r="AI36" i="17"/>
  <c r="AI18" i="17"/>
  <c r="AI33" i="17"/>
  <c r="AI73" i="17"/>
  <c r="AI63" i="17"/>
  <c r="AI29" i="17"/>
  <c r="AI48" i="17"/>
  <c r="AI49" i="17"/>
  <c r="F81" i="9"/>
  <c r="AF81" i="9" s="1"/>
  <c r="AF86" i="9" s="1"/>
  <c r="J24" i="14"/>
  <c r="K24" i="14" s="1"/>
  <c r="J31" i="14"/>
  <c r="K31" i="14" s="1"/>
  <c r="J30" i="14"/>
  <c r="K30" i="14" s="1"/>
  <c r="X34" i="7"/>
  <c r="T24" i="17"/>
  <c r="AI24" i="17" s="1"/>
  <c r="V28" i="10"/>
  <c r="T23" i="17"/>
  <c r="AI23" i="17" s="1"/>
  <c r="V27" i="10"/>
  <c r="J27" i="14"/>
  <c r="X37" i="7"/>
  <c r="M25" i="14"/>
  <c r="F58" i="11"/>
  <c r="F68" i="9"/>
  <c r="AF68" i="9" s="1"/>
  <c r="F41" i="11"/>
  <c r="F48" i="9"/>
  <c r="AF48" i="9" s="1"/>
  <c r="F16" i="11"/>
  <c r="F16" i="9"/>
  <c r="F54" i="11"/>
  <c r="F63" i="9"/>
  <c r="AF63" i="9" s="1"/>
  <c r="F40" i="11"/>
  <c r="F47" i="9"/>
  <c r="AF47" i="9" s="1"/>
  <c r="F50" i="11"/>
  <c r="F59" i="9"/>
  <c r="AF59" i="9" s="1"/>
  <c r="F78" i="11"/>
  <c r="F91" i="9"/>
  <c r="AF91" i="9" s="1"/>
  <c r="F35" i="11"/>
  <c r="F41" i="9"/>
  <c r="AF41" i="9" s="1"/>
  <c r="F62" i="11"/>
  <c r="F73" i="9"/>
  <c r="AF73" i="9" s="1"/>
  <c r="F56" i="11"/>
  <c r="F66" i="9"/>
  <c r="AF66" i="9" s="1"/>
  <c r="F23" i="11"/>
  <c r="F24" i="9"/>
  <c r="AF24" i="9" s="1"/>
  <c r="F52" i="11"/>
  <c r="F61" i="9"/>
  <c r="AF61" i="9" s="1"/>
  <c r="F38" i="11"/>
  <c r="F45" i="9"/>
  <c r="AF45" i="9" s="1"/>
  <c r="F22" i="11"/>
  <c r="F23" i="9"/>
  <c r="AF23" i="9" s="1"/>
  <c r="T25" i="17"/>
  <c r="V29" i="10"/>
  <c r="F34" i="11"/>
  <c r="F40" i="9"/>
  <c r="AF40" i="9" s="1"/>
  <c r="F53" i="11"/>
  <c r="F62" i="9"/>
  <c r="AF62" i="9" s="1"/>
  <c r="T26" i="17"/>
  <c r="V30" i="10"/>
  <c r="F39" i="11"/>
  <c r="F46" i="9"/>
  <c r="AF46" i="9" s="1"/>
  <c r="H82" i="5"/>
  <c r="K82" i="5" s="1"/>
  <c r="P93" i="7"/>
  <c r="L26" i="14" l="1"/>
  <c r="M26" i="14" s="1"/>
  <c r="L27" i="21"/>
  <c r="M27" i="21" s="1"/>
  <c r="L27" i="14"/>
  <c r="M27" i="14" s="1"/>
  <c r="L28" i="21"/>
  <c r="M28" i="21" s="1"/>
  <c r="AI26" i="17"/>
  <c r="AI25" i="17"/>
  <c r="F32" i="9"/>
  <c r="AF32" i="9" s="1"/>
  <c r="F28" i="11"/>
  <c r="F29" i="11"/>
  <c r="F33" i="9"/>
  <c r="AF33" i="9" s="1"/>
  <c r="K27" i="14"/>
  <c r="AF25" i="9"/>
  <c r="F31" i="11"/>
  <c r="F36" i="9"/>
  <c r="AF36" i="9" s="1"/>
  <c r="F30" i="11"/>
  <c r="F35" i="9"/>
  <c r="AF35" i="9" s="1"/>
  <c r="P3" i="7"/>
  <c r="R5" i="7" s="1"/>
  <c r="AF34" i="9" l="1"/>
  <c r="AF16" i="9" l="1"/>
  <c r="AQ37" i="9" l="1"/>
  <c r="AF93" i="9"/>
  <c r="AF65" i="9"/>
  <c r="AF28" i="9"/>
  <c r="AF58" i="9"/>
  <c r="AF37" i="9"/>
  <c r="AF22" i="9"/>
  <c r="AF79" i="9"/>
  <c r="AF31" i="9"/>
  <c r="AF44" i="9"/>
  <c r="AF51" i="9"/>
  <c r="AF72" i="9"/>
  <c r="AQ31" i="9" l="1"/>
  <c r="AQ79" i="9"/>
  <c r="AQ72" i="9"/>
  <c r="AQ22" i="9"/>
  <c r="AQ44" i="9"/>
  <c r="AQ58" i="9"/>
  <c r="AQ28" i="9"/>
  <c r="AQ65" i="9"/>
  <c r="AQ51" i="9"/>
  <c r="AQ3" i="9" l="1"/>
  <c r="AS5" i="9" s="1"/>
  <c r="AV9" i="9" s="1"/>
  <c r="BE34" i="12" l="1"/>
  <c r="BE28" i="12" l="1"/>
  <c r="BE33" i="12"/>
  <c r="BE22" i="12"/>
  <c r="BE25" i="12"/>
  <c r="BE32" i="12"/>
  <c r="BE29" i="12" l="1"/>
  <c r="BE18" i="12" l="1"/>
  <c r="BE19" i="12"/>
  <c r="BE16" i="12"/>
  <c r="BE17" i="12"/>
  <c r="BE26" i="12" l="1"/>
  <c r="BE23" i="12"/>
  <c r="BE31" i="12"/>
  <c r="BE27" i="12"/>
  <c r="BE20" i="12"/>
  <c r="BE30" i="12"/>
  <c r="S40" i="14" l="1"/>
  <c r="P9" i="17"/>
  <c r="F14" i="7" l="1"/>
  <c r="T14" i="7" s="1"/>
  <c r="J17" i="21" s="1"/>
  <c r="G14" i="7"/>
  <c r="X14" i="7" s="1"/>
  <c r="L17" i="21" s="1"/>
  <c r="AM9" i="17"/>
  <c r="BA9" i="17" s="1"/>
  <c r="F14" i="6"/>
  <c r="AM14" i="6" s="1"/>
  <c r="J41" i="21" l="1"/>
  <c r="K41" i="21" s="1"/>
  <c r="K17" i="21"/>
  <c r="L41" i="21"/>
  <c r="M41" i="21" s="1"/>
  <c r="M17" i="21"/>
  <c r="T3" i="7"/>
  <c r="V5" i="7" s="1"/>
  <c r="AK4" i="7" s="1"/>
  <c r="AF14" i="7"/>
  <c r="S9" i="17"/>
  <c r="T9" i="17"/>
  <c r="AM3" i="6"/>
  <c r="L14" i="11"/>
  <c r="AI9" i="17" l="1"/>
  <c r="J16" i="14"/>
  <c r="J40" i="14" s="1"/>
  <c r="K40" i="14" s="1"/>
  <c r="X3" i="7"/>
  <c r="Z5" i="7" s="1"/>
  <c r="AK5" i="7" s="1"/>
  <c r="AK6" i="7" s="1"/>
  <c r="L16" i="14"/>
  <c r="L40" i="14" s="1"/>
  <c r="M40" i="14" s="1"/>
  <c r="K16" i="14" l="1"/>
  <c r="F14" i="11"/>
  <c r="F14" i="9"/>
  <c r="M16" i="14"/>
  <c r="AF14" i="9" l="1"/>
  <c r="AF3" i="9" s="1"/>
  <c r="AH5" i="9" s="1"/>
  <c r="AF94" i="7" l="1"/>
  <c r="AF16" i="7"/>
  <c r="AF15" i="7"/>
  <c r="AF18" i="7"/>
  <c r="AF96" i="7"/>
  <c r="AF19" i="7"/>
  <c r="AF95" i="7"/>
  <c r="AF17" i="7"/>
  <c r="AF38" i="7" l="1"/>
  <c r="AF91" i="7"/>
  <c r="AF23" i="7"/>
  <c r="AF43" i="7"/>
  <c r="AF47" i="7"/>
  <c r="AF76" i="7"/>
  <c r="AF70" i="7"/>
  <c r="AF90" i="7"/>
  <c r="AF21" i="7"/>
  <c r="AF24" i="7"/>
  <c r="AF45" i="7"/>
  <c r="AF84" i="7"/>
  <c r="AF59" i="7"/>
  <c r="AF39" i="7"/>
  <c r="AF48" i="7"/>
  <c r="AF75" i="7"/>
  <c r="AF66" i="7"/>
  <c r="AF81" i="7"/>
  <c r="AF56" i="7"/>
  <c r="AF71" i="7"/>
  <c r="AF40" i="7"/>
  <c r="AF64" i="7"/>
  <c r="AF30" i="7"/>
  <c r="AF74" i="7"/>
  <c r="AF88" i="7"/>
  <c r="AF32" i="7"/>
  <c r="AF82" i="7"/>
  <c r="AF53" i="7"/>
  <c r="AF50" i="7"/>
  <c r="AF67" i="7"/>
  <c r="AF52" i="7"/>
  <c r="AF61" i="7"/>
  <c r="AF29" i="7"/>
  <c r="AF73" i="7"/>
  <c r="AF89" i="7"/>
  <c r="AF33" i="7"/>
  <c r="AF83" i="7"/>
  <c r="AF57" i="7"/>
  <c r="AF20" i="7"/>
  <c r="AB22" i="7"/>
  <c r="AF60" i="7"/>
  <c r="AF62" i="7"/>
  <c r="AF42" i="7"/>
  <c r="AF46" i="7"/>
  <c r="AF68" i="7"/>
  <c r="AF92" i="7"/>
  <c r="AF26" i="7"/>
  <c r="AF36" i="7"/>
  <c r="AF85" i="7"/>
  <c r="AF55" i="7"/>
  <c r="AF77" i="7"/>
  <c r="AF78" i="7"/>
  <c r="AF63" i="7"/>
  <c r="AF41" i="7"/>
  <c r="AF49" i="7"/>
  <c r="AF69" i="7"/>
  <c r="AF87" i="7"/>
  <c r="AF27" i="7"/>
  <c r="AF35" i="7"/>
  <c r="AF80" i="7"/>
  <c r="AF54" i="7"/>
  <c r="AD22" i="14" l="1"/>
  <c r="AE23" i="21"/>
  <c r="AF34" i="7"/>
  <c r="AB25" i="7"/>
  <c r="AB86" i="7"/>
  <c r="AF22" i="7"/>
  <c r="AF37" i="7"/>
  <c r="AF25" i="7"/>
  <c r="AF31" i="7"/>
  <c r="AB28" i="7"/>
  <c r="AF86" i="7"/>
  <c r="AF28" i="7"/>
  <c r="AB58" i="7"/>
  <c r="AB34" i="7"/>
  <c r="AF58" i="7"/>
  <c r="AF79" i="7"/>
  <c r="AF51" i="7"/>
  <c r="AF72" i="7"/>
  <c r="AB37" i="7"/>
  <c r="AB79" i="7"/>
  <c r="AB51" i="7"/>
  <c r="AB31" i="7"/>
  <c r="AB72" i="7"/>
  <c r="AB93" i="7"/>
  <c r="AF65" i="7"/>
  <c r="AB44" i="7"/>
  <c r="AF93" i="7"/>
  <c r="AB65" i="7"/>
  <c r="AF44" i="7"/>
  <c r="AD29" i="14" l="1"/>
  <c r="AE30" i="21"/>
  <c r="AD25" i="14"/>
  <c r="AE26" i="21"/>
  <c r="AD33" i="14"/>
  <c r="AE34" i="21"/>
  <c r="AD23" i="14"/>
  <c r="AE24" i="21"/>
  <c r="AD32" i="14"/>
  <c r="AE33" i="21"/>
  <c r="AD26" i="14"/>
  <c r="AE27" i="21"/>
  <c r="AD31" i="14"/>
  <c r="AE32" i="21"/>
  <c r="AD27" i="14"/>
  <c r="AE28" i="21"/>
  <c r="AD34" i="14"/>
  <c r="AE35" i="21"/>
  <c r="AD24" i="14"/>
  <c r="AE25" i="21"/>
  <c r="AD35" i="14"/>
  <c r="AE36" i="21"/>
  <c r="AD30" i="14"/>
  <c r="AE31" i="21"/>
  <c r="AD28" i="14"/>
  <c r="AE29" i="21"/>
  <c r="AB3" i="7"/>
  <c r="AD5" i="7" s="1"/>
  <c r="AK8" i="7" s="1"/>
  <c r="AK9" i="7" s="1"/>
  <c r="AF3" i="7"/>
  <c r="AH5" i="7" s="1"/>
  <c r="AD40" i="14" l="1"/>
  <c r="AE41" i="21"/>
  <c r="AK10" i="7"/>
  <c r="AK13" i="7" s="1"/>
  <c r="Z38" i="14" l="1"/>
  <c r="S39" i="13"/>
  <c r="Q39" i="13"/>
  <c r="AG38" i="14" l="1"/>
  <c r="AE38" i="14"/>
  <c r="AC38" i="14"/>
  <c r="AI38" i="14"/>
  <c r="AL38" i="14"/>
  <c r="AN38" i="14" s="1"/>
  <c r="AA38" i="14"/>
  <c r="AM38" i="14" s="1"/>
  <c r="AO38" i="14" s="1"/>
  <c r="T39" i="13"/>
  <c r="R39" i="13"/>
  <c r="Z37" i="14" l="1"/>
  <c r="Q38" i="13"/>
  <c r="S38" i="13"/>
  <c r="Z36" i="14"/>
  <c r="S37" i="13"/>
  <c r="Q37" i="13"/>
  <c r="AA37" i="14" l="1"/>
  <c r="AM37" i="14" s="1"/>
  <c r="AO37" i="14" s="1"/>
  <c r="R38" i="13"/>
  <c r="T38" i="13"/>
  <c r="AE37" i="14"/>
  <c r="AG37" i="14"/>
  <c r="AC37" i="14"/>
  <c r="AI37" i="14"/>
  <c r="AL37" i="14"/>
  <c r="AN37" i="14" s="1"/>
  <c r="AE36" i="14"/>
  <c r="AG36" i="14"/>
  <c r="AC36" i="14"/>
  <c r="AI36" i="14"/>
  <c r="AL36" i="14"/>
  <c r="AN36" i="14" s="1"/>
  <c r="AA36" i="14" l="1"/>
  <c r="AM36" i="14" s="1"/>
  <c r="AO36" i="14" s="1"/>
  <c r="T37" i="13"/>
  <c r="R37" i="13"/>
  <c r="AR12" i="6" l="1"/>
  <c r="D23" i="2"/>
  <c r="L4" i="10" l="1"/>
  <c r="O5" i="17" s="1"/>
  <c r="S42" i="2"/>
  <c r="U42" i="2"/>
  <c r="X42" i="2"/>
  <c r="I42" i="2"/>
  <c r="E42" i="2"/>
  <c r="F42" i="2"/>
  <c r="G42" i="2"/>
  <c r="K42" i="2"/>
  <c r="N42" i="2"/>
  <c r="L42" i="2"/>
  <c r="D25" i="2"/>
  <c r="W42" i="2"/>
  <c r="Z42" i="2"/>
  <c r="Z63" i="2" s="1"/>
  <c r="R42" i="2"/>
  <c r="Y42" i="2"/>
  <c r="Y63" i="2" s="1"/>
  <c r="J42" i="2"/>
  <c r="M42" i="2"/>
  <c r="H42" i="2"/>
  <c r="P42" i="2"/>
  <c r="AY3" i="9"/>
  <c r="T42" i="2"/>
  <c r="V42" i="2"/>
  <c r="Q42" i="2"/>
  <c r="O42" i="2"/>
  <c r="V76" i="2" l="1"/>
  <c r="V63" i="2"/>
  <c r="R63" i="2"/>
  <c r="R76" i="2"/>
  <c r="F76" i="2"/>
  <c r="L14" i="10" s="1"/>
  <c r="F63" i="2"/>
  <c r="T63" i="2"/>
  <c r="T76" i="2"/>
  <c r="W63" i="2"/>
  <c r="I76" i="2"/>
  <c r="L17" i="10" s="1"/>
  <c r="I63" i="2"/>
  <c r="AY12" i="9"/>
  <c r="AV12" i="9" s="1"/>
  <c r="AY13" i="9"/>
  <c r="H76" i="2"/>
  <c r="L16" i="10" s="1"/>
  <c r="H63" i="2"/>
  <c r="L63" i="2"/>
  <c r="L76" i="2"/>
  <c r="X63" i="2"/>
  <c r="X76" i="2"/>
  <c r="Q76" i="2"/>
  <c r="Q63" i="2"/>
  <c r="P63" i="2"/>
  <c r="N63" i="2"/>
  <c r="U63" i="2"/>
  <c r="U76" i="2"/>
  <c r="E63" i="2"/>
  <c r="E76" i="2"/>
  <c r="L13" i="10" s="1"/>
  <c r="D42" i="2"/>
  <c r="D76" i="2" s="1"/>
  <c r="M63" i="2"/>
  <c r="O63" i="2"/>
  <c r="O76" i="2"/>
  <c r="J63" i="2"/>
  <c r="J76" i="2"/>
  <c r="L18" i="10" s="1"/>
  <c r="K63" i="2"/>
  <c r="K76" i="2"/>
  <c r="S63" i="2"/>
  <c r="S76" i="2"/>
  <c r="G63" i="2"/>
  <c r="G76" i="2"/>
  <c r="L15" i="10" s="1"/>
  <c r="O13" i="23" l="1"/>
  <c r="Q13" i="23" s="1"/>
  <c r="T13" i="23" s="1"/>
  <c r="O13" i="22"/>
  <c r="Q13" i="22" s="1"/>
  <c r="O15" i="23"/>
  <c r="Q15" i="23" s="1"/>
  <c r="T15" i="23" s="1"/>
  <c r="O15" i="22"/>
  <c r="Q15" i="22" s="1"/>
  <c r="O11" i="23"/>
  <c r="Q11" i="23" s="1"/>
  <c r="T11" i="23" s="1"/>
  <c r="O11" i="22"/>
  <c r="Q11" i="22" s="1"/>
  <c r="O10" i="23"/>
  <c r="Q10" i="23" s="1"/>
  <c r="T10" i="23" s="1"/>
  <c r="O10" i="22"/>
  <c r="Q10" i="22" s="1"/>
  <c r="O14" i="23"/>
  <c r="Q14" i="23" s="1"/>
  <c r="T14" i="23" s="1"/>
  <c r="O14" i="22"/>
  <c r="Q14" i="22" s="1"/>
  <c r="O12" i="23"/>
  <c r="Q12" i="23" s="1"/>
  <c r="T12" i="23" s="1"/>
  <c r="O12" i="22"/>
  <c r="Q12" i="22" s="1"/>
  <c r="O11" i="17"/>
  <c r="E16" i="11"/>
  <c r="H16" i="11" s="1"/>
  <c r="O15" i="10"/>
  <c r="R15" i="10" s="1"/>
  <c r="F18" i="5"/>
  <c r="G18" i="5" s="1"/>
  <c r="H18" i="5" s="1"/>
  <c r="K18" i="5" s="1"/>
  <c r="F16" i="4"/>
  <c r="G16" i="4" s="1"/>
  <c r="E16" i="6"/>
  <c r="I16" i="6" s="1"/>
  <c r="AB16" i="6" s="1"/>
  <c r="O13" i="10"/>
  <c r="R13" i="10" s="1"/>
  <c r="F16" i="5"/>
  <c r="G16" i="5" s="1"/>
  <c r="H16" i="5" s="1"/>
  <c r="O9" i="17"/>
  <c r="E14" i="11"/>
  <c r="H14" i="11" s="1"/>
  <c r="E14" i="6"/>
  <c r="I14" i="6" s="1"/>
  <c r="AB14" i="6" s="1"/>
  <c r="F14" i="4"/>
  <c r="G14" i="4" s="1"/>
  <c r="L53" i="10"/>
  <c r="L52" i="10"/>
  <c r="L50" i="10"/>
  <c r="L54" i="10"/>
  <c r="L51" i="10"/>
  <c r="L49" i="10"/>
  <c r="O18" i="10"/>
  <c r="R18" i="10" s="1"/>
  <c r="E19" i="6"/>
  <c r="I19" i="6" s="1"/>
  <c r="AB19" i="6" s="1"/>
  <c r="E19" i="11"/>
  <c r="H19" i="11" s="1"/>
  <c r="O14" i="17"/>
  <c r="F19" i="4"/>
  <c r="G19" i="4" s="1"/>
  <c r="F21" i="5"/>
  <c r="G21" i="5" s="1"/>
  <c r="H21" i="5" s="1"/>
  <c r="K21" i="5" s="1"/>
  <c r="F15" i="4"/>
  <c r="G15" i="4" s="1"/>
  <c r="O14" i="10"/>
  <c r="R14" i="10" s="1"/>
  <c r="E15" i="6"/>
  <c r="I15" i="6" s="1"/>
  <c r="AB15" i="6" s="1"/>
  <c r="O10" i="17"/>
  <c r="E15" i="11"/>
  <c r="H15" i="11" s="1"/>
  <c r="F17" i="5"/>
  <c r="G17" i="5" s="1"/>
  <c r="H17" i="5" s="1"/>
  <c r="K17" i="5" s="1"/>
  <c r="L75" i="10"/>
  <c r="L73" i="10"/>
  <c r="L76" i="10"/>
  <c r="L74" i="10"/>
  <c r="L77" i="10"/>
  <c r="L78" i="10"/>
  <c r="L28" i="10"/>
  <c r="L27" i="10"/>
  <c r="L22" i="10"/>
  <c r="L21" i="10"/>
  <c r="L39" i="10"/>
  <c r="L40" i="10"/>
  <c r="L41" i="10"/>
  <c r="L42" i="10"/>
  <c r="L38" i="10"/>
  <c r="L37" i="10"/>
  <c r="L33" i="10"/>
  <c r="L31" i="10"/>
  <c r="L34" i="10"/>
  <c r="L36" i="10"/>
  <c r="L32" i="10"/>
  <c r="L35" i="10"/>
  <c r="L58" i="10"/>
  <c r="L55" i="10"/>
  <c r="L60" i="10"/>
  <c r="L57" i="10"/>
  <c r="L59" i="10"/>
  <c r="L56" i="10"/>
  <c r="L44" i="10"/>
  <c r="L47" i="10"/>
  <c r="L46" i="10"/>
  <c r="L48" i="10"/>
  <c r="L45" i="10"/>
  <c r="L43" i="10"/>
  <c r="F20" i="5"/>
  <c r="G20" i="5" s="1"/>
  <c r="H20" i="5" s="1"/>
  <c r="K20" i="5" s="1"/>
  <c r="O17" i="10"/>
  <c r="R17" i="10" s="1"/>
  <c r="E18" i="11"/>
  <c r="H18" i="11" s="1"/>
  <c r="E18" i="6"/>
  <c r="I18" i="6" s="1"/>
  <c r="AB18" i="6" s="1"/>
  <c r="O13" i="17"/>
  <c r="F18" i="4"/>
  <c r="G18" i="4" s="1"/>
  <c r="D63" i="2"/>
  <c r="F65" i="2" s="1"/>
  <c r="L20" i="10"/>
  <c r="L19" i="10"/>
  <c r="F17" i="4"/>
  <c r="G17" i="4" s="1"/>
  <c r="E17" i="6"/>
  <c r="I17" i="6" s="1"/>
  <c r="AB17" i="6" s="1"/>
  <c r="F19" i="5"/>
  <c r="G19" i="5" s="1"/>
  <c r="H19" i="5" s="1"/>
  <c r="K19" i="5" s="1"/>
  <c r="O16" i="10"/>
  <c r="R16" i="10" s="1"/>
  <c r="O12" i="17"/>
  <c r="E17" i="11"/>
  <c r="H17" i="11" s="1"/>
  <c r="L61" i="10"/>
  <c r="L63" i="10"/>
  <c r="L62" i="10"/>
  <c r="L65" i="10"/>
  <c r="L64" i="10"/>
  <c r="L66" i="10"/>
  <c r="O51" i="22" l="1"/>
  <c r="Q51" i="22" s="1"/>
  <c r="O51" i="23"/>
  <c r="Q51" i="23" s="1"/>
  <c r="T51" i="23" s="1"/>
  <c r="O16" i="23"/>
  <c r="Q16" i="23" s="1"/>
  <c r="T16" i="23" s="1"/>
  <c r="O16" i="22"/>
  <c r="Q16" i="22" s="1"/>
  <c r="O40" i="23"/>
  <c r="Q40" i="23" s="1"/>
  <c r="T40" i="23" s="1"/>
  <c r="O40" i="22"/>
  <c r="Q40" i="22" s="1"/>
  <c r="O53" i="22"/>
  <c r="Q53" i="22" s="1"/>
  <c r="O53" i="23"/>
  <c r="Q53" i="23" s="1"/>
  <c r="T53" i="23" s="1"/>
  <c r="O33" i="23"/>
  <c r="Q33" i="23" s="1"/>
  <c r="T33" i="23" s="1"/>
  <c r="O33" i="22"/>
  <c r="Q33" i="22" s="1"/>
  <c r="O38" i="23"/>
  <c r="Q38" i="23" s="1"/>
  <c r="T38" i="23" s="1"/>
  <c r="O38" i="22"/>
  <c r="Q38" i="22" s="1"/>
  <c r="O25" i="23"/>
  <c r="Q25" i="23" s="1"/>
  <c r="T25" i="23" s="1"/>
  <c r="O25" i="22"/>
  <c r="Q25" i="22" s="1"/>
  <c r="O47" i="22"/>
  <c r="Q47" i="22" s="1"/>
  <c r="O47" i="23"/>
  <c r="Q47" i="23" s="1"/>
  <c r="T47" i="23" s="1"/>
  <c r="O29" i="23"/>
  <c r="Q29" i="23" s="1"/>
  <c r="T29" i="23" s="1"/>
  <c r="O29" i="22"/>
  <c r="Q29" i="22" s="1"/>
  <c r="O17" i="23"/>
  <c r="Q17" i="23" s="1"/>
  <c r="T17" i="23" s="1"/>
  <c r="O17" i="22"/>
  <c r="Q17" i="22" s="1"/>
  <c r="O56" i="23"/>
  <c r="Q56" i="23" s="1"/>
  <c r="T56" i="23" s="1"/>
  <c r="O56" i="22"/>
  <c r="Q56" i="22" s="1"/>
  <c r="O31" i="23"/>
  <c r="Q31" i="23" s="1"/>
  <c r="T31" i="23" s="1"/>
  <c r="O31" i="22"/>
  <c r="Q31" i="22" s="1"/>
  <c r="O37" i="23"/>
  <c r="Q37" i="23" s="1"/>
  <c r="T37" i="23" s="1"/>
  <c r="O37" i="22"/>
  <c r="Q37" i="22" s="1"/>
  <c r="O75" i="22"/>
  <c r="Q75" i="22" s="1"/>
  <c r="O75" i="23"/>
  <c r="Q75" i="23" s="1"/>
  <c r="T75" i="23" s="1"/>
  <c r="O49" i="23"/>
  <c r="Q49" i="23" s="1"/>
  <c r="T49" i="23" s="1"/>
  <c r="O49" i="22"/>
  <c r="Q49" i="22" s="1"/>
  <c r="O42" i="23"/>
  <c r="Q42" i="23" s="1"/>
  <c r="T42" i="23" s="1"/>
  <c r="O42" i="22"/>
  <c r="Q42" i="22" s="1"/>
  <c r="O45" i="22"/>
  <c r="Q45" i="22" s="1"/>
  <c r="O45" i="23"/>
  <c r="Q45" i="23" s="1"/>
  <c r="T45" i="23" s="1"/>
  <c r="O54" i="23"/>
  <c r="Q54" i="23" s="1"/>
  <c r="T54" i="23" s="1"/>
  <c r="O54" i="22"/>
  <c r="Q54" i="22" s="1"/>
  <c r="O28" i="23"/>
  <c r="Q28" i="23" s="1"/>
  <c r="T28" i="23" s="1"/>
  <c r="O28" i="22"/>
  <c r="Q28" i="22" s="1"/>
  <c r="O36" i="23"/>
  <c r="Q36" i="23" s="1"/>
  <c r="T36" i="23" s="1"/>
  <c r="O36" i="22"/>
  <c r="Q36" i="22" s="1"/>
  <c r="O74" i="23"/>
  <c r="Q74" i="23" s="1"/>
  <c r="T74" i="23" s="1"/>
  <c r="O74" i="22"/>
  <c r="Q74" i="22" s="1"/>
  <c r="O50" i="23"/>
  <c r="Q50" i="23" s="1"/>
  <c r="T50" i="23" s="1"/>
  <c r="O50" i="22"/>
  <c r="Q50" i="22" s="1"/>
  <c r="O61" i="23"/>
  <c r="Q61" i="23" s="1"/>
  <c r="T61" i="23" s="1"/>
  <c r="O61" i="22"/>
  <c r="Q61" i="22" s="1"/>
  <c r="O43" i="23"/>
  <c r="Q43" i="23" s="1"/>
  <c r="T43" i="23" s="1"/>
  <c r="O43" i="22"/>
  <c r="Q43" i="22" s="1"/>
  <c r="O57" i="22"/>
  <c r="Q57" i="22" s="1"/>
  <c r="O57" i="23"/>
  <c r="Q57" i="23" s="1"/>
  <c r="T57" i="23" s="1"/>
  <c r="O30" i="23"/>
  <c r="Q30" i="23" s="1"/>
  <c r="T30" i="23" s="1"/>
  <c r="O30" i="22"/>
  <c r="Q30" i="22" s="1"/>
  <c r="O71" i="22"/>
  <c r="Q71" i="22" s="1"/>
  <c r="O71" i="23"/>
  <c r="Q71" i="23" s="1"/>
  <c r="T71" i="23" s="1"/>
  <c r="O24" i="23"/>
  <c r="Q24" i="23" s="1"/>
  <c r="T24" i="23" s="1"/>
  <c r="O24" i="22"/>
  <c r="Q24" i="22" s="1"/>
  <c r="AE9" i="17"/>
  <c r="R9" i="17"/>
  <c r="V9" i="17" s="1"/>
  <c r="O63" i="22"/>
  <c r="Q63" i="22" s="1"/>
  <c r="O63" i="23"/>
  <c r="Q63" i="23" s="1"/>
  <c r="T63" i="23" s="1"/>
  <c r="O62" i="23"/>
  <c r="Q62" i="23" s="1"/>
  <c r="T62" i="23" s="1"/>
  <c r="O62" i="22"/>
  <c r="Q62" i="22" s="1"/>
  <c r="O44" i="23"/>
  <c r="Q44" i="23" s="1"/>
  <c r="T44" i="23" s="1"/>
  <c r="O44" i="22"/>
  <c r="Q44" i="22" s="1"/>
  <c r="O52" i="23"/>
  <c r="Q52" i="23" s="1"/>
  <c r="T52" i="23" s="1"/>
  <c r="O52" i="22"/>
  <c r="Q52" i="22" s="1"/>
  <c r="O18" i="23"/>
  <c r="Q18" i="23" s="1"/>
  <c r="T18" i="23" s="1"/>
  <c r="O18" i="22"/>
  <c r="Q18" i="22" s="1"/>
  <c r="O73" i="23"/>
  <c r="Q73" i="23" s="1"/>
  <c r="T73" i="23" s="1"/>
  <c r="O73" i="22"/>
  <c r="Q73" i="22" s="1"/>
  <c r="O59" i="22"/>
  <c r="Q59" i="22" s="1"/>
  <c r="O59" i="23"/>
  <c r="Q59" i="23" s="1"/>
  <c r="T59" i="23" s="1"/>
  <c r="O41" i="23"/>
  <c r="Q41" i="23" s="1"/>
  <c r="T41" i="23" s="1"/>
  <c r="O41" i="22"/>
  <c r="Q41" i="22" s="1"/>
  <c r="O55" i="23"/>
  <c r="Q55" i="23" s="1"/>
  <c r="T55" i="23" s="1"/>
  <c r="O55" i="22"/>
  <c r="Q55" i="22" s="1"/>
  <c r="O34" i="23"/>
  <c r="Q34" i="23" s="1"/>
  <c r="T34" i="23" s="1"/>
  <c r="O34" i="22"/>
  <c r="Q34" i="22" s="1"/>
  <c r="O19" i="23"/>
  <c r="Q19" i="23" s="1"/>
  <c r="T19" i="23" s="1"/>
  <c r="O19" i="22"/>
  <c r="Q19" i="22" s="1"/>
  <c r="O70" i="23"/>
  <c r="Q70" i="23" s="1"/>
  <c r="T70" i="23" s="1"/>
  <c r="O70" i="22"/>
  <c r="Q70" i="22" s="1"/>
  <c r="O46" i="23"/>
  <c r="Q46" i="23" s="1"/>
  <c r="T46" i="23" s="1"/>
  <c r="O46" i="22"/>
  <c r="Q46" i="22" s="1"/>
  <c r="O58" i="23"/>
  <c r="Q58" i="23" s="1"/>
  <c r="T58" i="23" s="1"/>
  <c r="O58" i="22"/>
  <c r="Q58" i="22" s="1"/>
  <c r="O39" i="23"/>
  <c r="Q39" i="23" s="1"/>
  <c r="T39" i="23" s="1"/>
  <c r="O39" i="22"/>
  <c r="Q39" i="22" s="1"/>
  <c r="O60" i="23"/>
  <c r="Q60" i="23" s="1"/>
  <c r="T60" i="23" s="1"/>
  <c r="O60" i="22"/>
  <c r="Q60" i="22" s="1"/>
  <c r="O32" i="23"/>
  <c r="Q32" i="23" s="1"/>
  <c r="T32" i="23" s="1"/>
  <c r="O32" i="22"/>
  <c r="Q32" i="22" s="1"/>
  <c r="O35" i="23"/>
  <c r="Q35" i="23" s="1"/>
  <c r="T35" i="23" s="1"/>
  <c r="O35" i="22"/>
  <c r="Q35" i="22" s="1"/>
  <c r="O72" i="23"/>
  <c r="Q72" i="23" s="1"/>
  <c r="T72" i="23" s="1"/>
  <c r="O72" i="22"/>
  <c r="Q72" i="22" s="1"/>
  <c r="O48" i="23"/>
  <c r="Q48" i="23" s="1"/>
  <c r="T48" i="23" s="1"/>
  <c r="O48" i="22"/>
  <c r="Q48" i="22" s="1"/>
  <c r="V65" i="2"/>
  <c r="R65" i="2"/>
  <c r="L65" i="2"/>
  <c r="L68" i="2" s="1"/>
  <c r="S65" i="2"/>
  <c r="S68" i="2" s="1"/>
  <c r="S74" i="2" s="1"/>
  <c r="T65" i="2"/>
  <c r="T68" i="2" s="1"/>
  <c r="T90" i="2" s="1"/>
  <c r="W65" i="2"/>
  <c r="W68" i="2" s="1"/>
  <c r="W90" i="2" s="1"/>
  <c r="P65" i="2"/>
  <c r="P68" i="2" s="1"/>
  <c r="P74" i="2" s="1"/>
  <c r="N65" i="2"/>
  <c r="N68" i="2" s="1"/>
  <c r="X65" i="2"/>
  <c r="X68" i="2" s="1"/>
  <c r="X90" i="2" s="1"/>
  <c r="U65" i="2"/>
  <c r="U68" i="2" s="1"/>
  <c r="U78" i="2" s="1"/>
  <c r="E65" i="2"/>
  <c r="E68" i="2" s="1"/>
  <c r="E90" i="2" s="1"/>
  <c r="S72" i="2"/>
  <c r="U75" i="2"/>
  <c r="X74" i="2"/>
  <c r="F68" i="2"/>
  <c r="Q18" i="12"/>
  <c r="R18" i="12" s="1"/>
  <c r="J18" i="11"/>
  <c r="O23" i="17"/>
  <c r="E32" i="6"/>
  <c r="I32" i="6" s="1"/>
  <c r="AB32" i="6" s="1"/>
  <c r="O27" i="10"/>
  <c r="R27" i="10" s="1"/>
  <c r="F30" i="5"/>
  <c r="G30" i="5" s="1"/>
  <c r="H30" i="5" s="1"/>
  <c r="F28" i="4"/>
  <c r="G28" i="4" s="1"/>
  <c r="E28" i="11"/>
  <c r="H28" i="11" s="1"/>
  <c r="AE12" i="17"/>
  <c r="R12" i="17"/>
  <c r="V12" i="17" s="1"/>
  <c r="F62" i="4"/>
  <c r="G62" i="4" s="1"/>
  <c r="F64" i="5"/>
  <c r="G64" i="5" s="1"/>
  <c r="H64" i="5" s="1"/>
  <c r="E62" i="11"/>
  <c r="H62" i="11" s="1"/>
  <c r="O61" i="10"/>
  <c r="R61" i="10" s="1"/>
  <c r="E73" i="6"/>
  <c r="I73" i="6" s="1"/>
  <c r="AB73" i="6" s="1"/>
  <c r="O57" i="17"/>
  <c r="AO17" i="6"/>
  <c r="AF17" i="6"/>
  <c r="AF18" i="6"/>
  <c r="AO18" i="6"/>
  <c r="O53" i="17"/>
  <c r="O57" i="10"/>
  <c r="R57" i="10" s="1"/>
  <c r="F60" i="5"/>
  <c r="G60" i="5" s="1"/>
  <c r="H60" i="5" s="1"/>
  <c r="E68" i="6"/>
  <c r="I68" i="6" s="1"/>
  <c r="AB68" i="6" s="1"/>
  <c r="F58" i="4"/>
  <c r="G58" i="4" s="1"/>
  <c r="E58" i="11"/>
  <c r="H58" i="11" s="1"/>
  <c r="E32" i="11"/>
  <c r="H32" i="11" s="1"/>
  <c r="O27" i="17"/>
  <c r="F32" i="4"/>
  <c r="G32" i="4" s="1"/>
  <c r="F34" i="5"/>
  <c r="G34" i="5" s="1"/>
  <c r="H34" i="5" s="1"/>
  <c r="O31" i="10"/>
  <c r="R31" i="10" s="1"/>
  <c r="E38" i="6"/>
  <c r="I38" i="6" s="1"/>
  <c r="AB38" i="6" s="1"/>
  <c r="E41" i="11"/>
  <c r="H41" i="11" s="1"/>
  <c r="O40" i="10"/>
  <c r="R40" i="10" s="1"/>
  <c r="O36" i="17"/>
  <c r="F41" i="4"/>
  <c r="G41" i="4" s="1"/>
  <c r="E48" i="6"/>
  <c r="I48" i="6" s="1"/>
  <c r="AB48" i="6" s="1"/>
  <c r="F43" i="5"/>
  <c r="G43" i="5" s="1"/>
  <c r="H43" i="5" s="1"/>
  <c r="O71" i="17"/>
  <c r="F76" i="4"/>
  <c r="G76" i="4" s="1"/>
  <c r="O75" i="10"/>
  <c r="R75" i="10" s="1"/>
  <c r="E89" i="6"/>
  <c r="I89" i="6" s="1"/>
  <c r="AB89" i="6" s="1"/>
  <c r="E76" i="11"/>
  <c r="H76" i="11" s="1"/>
  <c r="F78" i="5"/>
  <c r="G78" i="5" s="1"/>
  <c r="H78" i="5" s="1"/>
  <c r="Q19" i="12"/>
  <c r="R19" i="12" s="1"/>
  <c r="J19" i="11"/>
  <c r="E63" i="6"/>
  <c r="I63" i="6" s="1"/>
  <c r="AB63" i="6" s="1"/>
  <c r="E54" i="11"/>
  <c r="H54" i="11" s="1"/>
  <c r="O49" i="17"/>
  <c r="F54" i="4"/>
  <c r="G54" i="4" s="1"/>
  <c r="F56" i="5"/>
  <c r="G56" i="5" s="1"/>
  <c r="H56" i="5" s="1"/>
  <c r="O53" i="10"/>
  <c r="R53" i="10" s="1"/>
  <c r="K16" i="5"/>
  <c r="W15" i="10"/>
  <c r="H16" i="18"/>
  <c r="E16" i="9"/>
  <c r="J16" i="9" s="1"/>
  <c r="AB16" i="9" s="1"/>
  <c r="AJ16" i="9" s="1"/>
  <c r="H65" i="2"/>
  <c r="AA65" i="2"/>
  <c r="AA68" i="2" s="1"/>
  <c r="Y65" i="2"/>
  <c r="Z65" i="2"/>
  <c r="Z68" i="2" s="1"/>
  <c r="W17" i="10"/>
  <c r="H18" i="18"/>
  <c r="E18" i="9"/>
  <c r="J18" i="9" s="1"/>
  <c r="AB18" i="9" s="1"/>
  <c r="AJ18" i="9" s="1"/>
  <c r="E52" i="6"/>
  <c r="I52" i="6" s="1"/>
  <c r="AB52" i="6" s="1"/>
  <c r="E44" i="11"/>
  <c r="H44" i="11" s="1"/>
  <c r="F44" i="4"/>
  <c r="G44" i="4" s="1"/>
  <c r="F46" i="5"/>
  <c r="G46" i="5" s="1"/>
  <c r="H46" i="5" s="1"/>
  <c r="O43" i="10"/>
  <c r="R43" i="10" s="1"/>
  <c r="O39" i="17"/>
  <c r="O55" i="10"/>
  <c r="R55" i="10" s="1"/>
  <c r="F58" i="5"/>
  <c r="G58" i="5" s="1"/>
  <c r="H58" i="5" s="1"/>
  <c r="E66" i="6"/>
  <c r="I66" i="6" s="1"/>
  <c r="AB66" i="6" s="1"/>
  <c r="E56" i="11"/>
  <c r="H56" i="11" s="1"/>
  <c r="F56" i="4"/>
  <c r="G56" i="4" s="1"/>
  <c r="O51" i="17"/>
  <c r="I65" i="2"/>
  <c r="F29" i="4"/>
  <c r="G29" i="4" s="1"/>
  <c r="E33" i="6"/>
  <c r="I33" i="6" s="1"/>
  <c r="AB33" i="6" s="1"/>
  <c r="O24" i="17"/>
  <c r="E29" i="11"/>
  <c r="H29" i="11" s="1"/>
  <c r="O28" i="10"/>
  <c r="R28" i="10" s="1"/>
  <c r="F31" i="5"/>
  <c r="G31" i="5" s="1"/>
  <c r="H31" i="5" s="1"/>
  <c r="Q15" i="12"/>
  <c r="R15" i="12" s="1"/>
  <c r="J15" i="11"/>
  <c r="W18" i="10"/>
  <c r="E19" i="9"/>
  <c r="J19" i="9" s="1"/>
  <c r="AB19" i="9" s="1"/>
  <c r="AJ19" i="9" s="1"/>
  <c r="H19" i="18"/>
  <c r="Q65" i="2"/>
  <c r="AE11" i="17"/>
  <c r="R11" i="17"/>
  <c r="V11" i="17" s="1"/>
  <c r="F40" i="4"/>
  <c r="G40" i="4" s="1"/>
  <c r="F42" i="5"/>
  <c r="G42" i="5" s="1"/>
  <c r="H42" i="5" s="1"/>
  <c r="O35" i="17"/>
  <c r="E40" i="11"/>
  <c r="H40" i="11" s="1"/>
  <c r="O39" i="10"/>
  <c r="R39" i="10" s="1"/>
  <c r="E47" i="6"/>
  <c r="I47" i="6" s="1"/>
  <c r="AB47" i="6" s="1"/>
  <c r="AO19" i="6"/>
  <c r="AF19" i="6"/>
  <c r="W13" i="10"/>
  <c r="E14" i="9"/>
  <c r="J14" i="9" s="1"/>
  <c r="AB14" i="9" s="1"/>
  <c r="AJ14" i="9" s="1"/>
  <c r="H14" i="18"/>
  <c r="Q16" i="12"/>
  <c r="R16" i="12" s="1"/>
  <c r="J16" i="11"/>
  <c r="F67" i="4"/>
  <c r="G67" i="4" s="1"/>
  <c r="O62" i="17"/>
  <c r="O66" i="10"/>
  <c r="R66" i="10" s="1"/>
  <c r="F69" i="5"/>
  <c r="G69" i="5" s="1"/>
  <c r="H69" i="5" s="1"/>
  <c r="E67" i="11"/>
  <c r="H67" i="11" s="1"/>
  <c r="E78" i="6"/>
  <c r="I78" i="6" s="1"/>
  <c r="AB78" i="6" s="1"/>
  <c r="O41" i="17"/>
  <c r="F48" i="5"/>
  <c r="G48" i="5" s="1"/>
  <c r="H48" i="5" s="1"/>
  <c r="O45" i="10"/>
  <c r="R45" i="10" s="1"/>
  <c r="E46" i="11"/>
  <c r="H46" i="11" s="1"/>
  <c r="E54" i="6"/>
  <c r="I54" i="6" s="1"/>
  <c r="AB54" i="6" s="1"/>
  <c r="F46" i="4"/>
  <c r="G46" i="4" s="1"/>
  <c r="O58" i="10"/>
  <c r="R58" i="10" s="1"/>
  <c r="E69" i="6"/>
  <c r="I69" i="6" s="1"/>
  <c r="AB69" i="6" s="1"/>
  <c r="F59" i="4"/>
  <c r="G59" i="4" s="1"/>
  <c r="E59" i="11"/>
  <c r="H59" i="11" s="1"/>
  <c r="F61" i="5"/>
  <c r="G61" i="5" s="1"/>
  <c r="H61" i="5" s="1"/>
  <c r="O54" i="17"/>
  <c r="G65" i="2"/>
  <c r="O74" i="17"/>
  <c r="E92" i="6"/>
  <c r="I92" i="6" s="1"/>
  <c r="AB92" i="6" s="1"/>
  <c r="O78" i="10"/>
  <c r="R78" i="10" s="1"/>
  <c r="E79" i="11"/>
  <c r="H79" i="11" s="1"/>
  <c r="F81" i="5"/>
  <c r="G81" i="5" s="1"/>
  <c r="H81" i="5" s="1"/>
  <c r="F79" i="4"/>
  <c r="G79" i="4" s="1"/>
  <c r="AE10" i="17"/>
  <c r="R10" i="17"/>
  <c r="V10" i="17" s="1"/>
  <c r="J65" i="2"/>
  <c r="E50" i="11"/>
  <c r="H50" i="11" s="1"/>
  <c r="F52" i="5"/>
  <c r="G52" i="5" s="1"/>
  <c r="H52" i="5" s="1"/>
  <c r="F50" i="4"/>
  <c r="G50" i="4" s="1"/>
  <c r="O49" i="10"/>
  <c r="R49" i="10" s="1"/>
  <c r="O45" i="17"/>
  <c r="E59" i="6"/>
  <c r="I59" i="6" s="1"/>
  <c r="AB59" i="6" s="1"/>
  <c r="K65" i="2"/>
  <c r="F34" i="4"/>
  <c r="G34" i="4" s="1"/>
  <c r="O29" i="17"/>
  <c r="E40" i="6"/>
  <c r="I40" i="6" s="1"/>
  <c r="AB40" i="6" s="1"/>
  <c r="O33" i="10"/>
  <c r="R33" i="10" s="1"/>
  <c r="E34" i="11"/>
  <c r="H34" i="11" s="1"/>
  <c r="F36" i="5"/>
  <c r="G36" i="5" s="1"/>
  <c r="H36" i="5" s="1"/>
  <c r="F65" i="4"/>
  <c r="G65" i="4" s="1"/>
  <c r="E65" i="11"/>
  <c r="H65" i="11" s="1"/>
  <c r="O64" i="10"/>
  <c r="R64" i="10" s="1"/>
  <c r="E76" i="6"/>
  <c r="I76" i="6" s="1"/>
  <c r="AB76" i="6" s="1"/>
  <c r="O60" i="17"/>
  <c r="F67" i="5"/>
  <c r="G67" i="5" s="1"/>
  <c r="H67" i="5" s="1"/>
  <c r="Q17" i="12"/>
  <c r="R17" i="12" s="1"/>
  <c r="J17" i="11"/>
  <c r="R68" i="2"/>
  <c r="O48" i="10"/>
  <c r="R48" i="10" s="1"/>
  <c r="E57" i="6"/>
  <c r="I57" i="6" s="1"/>
  <c r="AB57" i="6" s="1"/>
  <c r="F51" i="5"/>
  <c r="G51" i="5" s="1"/>
  <c r="H51" i="5" s="1"/>
  <c r="O44" i="17"/>
  <c r="F49" i="4"/>
  <c r="G49" i="4" s="1"/>
  <c r="E49" i="11"/>
  <c r="H49" i="11" s="1"/>
  <c r="E42" i="6"/>
  <c r="I42" i="6" s="1"/>
  <c r="AB42" i="6" s="1"/>
  <c r="E36" i="11"/>
  <c r="H36" i="11" s="1"/>
  <c r="F36" i="4"/>
  <c r="G36" i="4" s="1"/>
  <c r="F38" i="5"/>
  <c r="G38" i="5" s="1"/>
  <c r="H38" i="5" s="1"/>
  <c r="O31" i="17"/>
  <c r="O35" i="10"/>
  <c r="R35" i="10" s="1"/>
  <c r="F40" i="5"/>
  <c r="G40" i="5" s="1"/>
  <c r="H40" i="5" s="1"/>
  <c r="E45" i="6"/>
  <c r="I45" i="6" s="1"/>
  <c r="AB45" i="6" s="1"/>
  <c r="F38" i="4"/>
  <c r="G38" i="4" s="1"/>
  <c r="E38" i="11"/>
  <c r="H38" i="11" s="1"/>
  <c r="O33" i="17"/>
  <c r="O37" i="10"/>
  <c r="R37" i="10" s="1"/>
  <c r="E23" i="6"/>
  <c r="I23" i="6" s="1"/>
  <c r="AB23" i="6" s="1"/>
  <c r="O17" i="17"/>
  <c r="E22" i="11"/>
  <c r="H22" i="11" s="1"/>
  <c r="O21" i="10"/>
  <c r="R21" i="10" s="1"/>
  <c r="F22" i="4"/>
  <c r="G22" i="4" s="1"/>
  <c r="F24" i="5"/>
  <c r="G24" i="5" s="1"/>
  <c r="H24" i="5" s="1"/>
  <c r="O77" i="10"/>
  <c r="R77" i="10" s="1"/>
  <c r="F80" i="5"/>
  <c r="G80" i="5" s="1"/>
  <c r="H80" i="5" s="1"/>
  <c r="E91" i="6"/>
  <c r="I91" i="6" s="1"/>
  <c r="AB91" i="6" s="1"/>
  <c r="F78" i="4"/>
  <c r="G78" i="4" s="1"/>
  <c r="E78" i="11"/>
  <c r="H78" i="11" s="1"/>
  <c r="O73" i="17"/>
  <c r="AO15" i="6"/>
  <c r="AF15" i="6"/>
  <c r="E52" i="11"/>
  <c r="H52" i="11" s="1"/>
  <c r="O51" i="10"/>
  <c r="R51" i="10" s="1"/>
  <c r="F52" i="4"/>
  <c r="G52" i="4" s="1"/>
  <c r="F54" i="5"/>
  <c r="G54" i="5" s="1"/>
  <c r="H54" i="5" s="1"/>
  <c r="E61" i="6"/>
  <c r="I61" i="6" s="1"/>
  <c r="AB61" i="6" s="1"/>
  <c r="O47" i="17"/>
  <c r="O56" i="17"/>
  <c r="O60" i="10"/>
  <c r="R60" i="10" s="1"/>
  <c r="F63" i="5"/>
  <c r="G63" i="5" s="1"/>
  <c r="H63" i="5" s="1"/>
  <c r="E71" i="6"/>
  <c r="I71" i="6" s="1"/>
  <c r="AB71" i="6" s="1"/>
  <c r="F61" i="4"/>
  <c r="G61" i="4" s="1"/>
  <c r="E61" i="11"/>
  <c r="H61" i="11" s="1"/>
  <c r="O15" i="17"/>
  <c r="F22" i="5"/>
  <c r="G22" i="5" s="1"/>
  <c r="H22" i="5" s="1"/>
  <c r="O19" i="10"/>
  <c r="R19" i="10" s="1"/>
  <c r="E20" i="11"/>
  <c r="H20" i="11" s="1"/>
  <c r="F20" i="4"/>
  <c r="G20" i="4" s="1"/>
  <c r="E20" i="6"/>
  <c r="I20" i="6" s="1"/>
  <c r="AB20" i="6" s="1"/>
  <c r="O42" i="17"/>
  <c r="O46" i="10"/>
  <c r="R46" i="10" s="1"/>
  <c r="E55" i="6"/>
  <c r="I55" i="6" s="1"/>
  <c r="AB55" i="6" s="1"/>
  <c r="E47" i="11"/>
  <c r="H47" i="11" s="1"/>
  <c r="F47" i="4"/>
  <c r="G47" i="4" s="1"/>
  <c r="F49" i="5"/>
  <c r="G49" i="5" s="1"/>
  <c r="H49" i="5" s="1"/>
  <c r="F33" i="4"/>
  <c r="G33" i="4" s="1"/>
  <c r="F35" i="5"/>
  <c r="G35" i="5" s="1"/>
  <c r="H35" i="5" s="1"/>
  <c r="O32" i="10"/>
  <c r="R32" i="10" s="1"/>
  <c r="E39" i="6"/>
  <c r="I39" i="6" s="1"/>
  <c r="AB39" i="6" s="1"/>
  <c r="E33" i="11"/>
  <c r="H33" i="11" s="1"/>
  <c r="O28" i="17"/>
  <c r="F41" i="5"/>
  <c r="G41" i="5" s="1"/>
  <c r="H41" i="5" s="1"/>
  <c r="O38" i="10"/>
  <c r="R38" i="10" s="1"/>
  <c r="E46" i="6"/>
  <c r="I46" i="6" s="1"/>
  <c r="AB46" i="6" s="1"/>
  <c r="E39" i="11"/>
  <c r="H39" i="11" s="1"/>
  <c r="F39" i="4"/>
  <c r="G39" i="4" s="1"/>
  <c r="O34" i="17"/>
  <c r="F23" i="4"/>
  <c r="G23" i="4" s="1"/>
  <c r="O18" i="17"/>
  <c r="E24" i="6"/>
  <c r="I24" i="6" s="1"/>
  <c r="AB24" i="6" s="1"/>
  <c r="O22" i="10"/>
  <c r="R22" i="10" s="1"/>
  <c r="F25" i="5"/>
  <c r="G25" i="5" s="1"/>
  <c r="H25" i="5" s="1"/>
  <c r="E23" i="11"/>
  <c r="H23" i="11" s="1"/>
  <c r="F75" i="4"/>
  <c r="G75" i="4" s="1"/>
  <c r="O70" i="17"/>
  <c r="F77" i="5"/>
  <c r="G77" i="5" s="1"/>
  <c r="H77" i="5" s="1"/>
  <c r="O74" i="10"/>
  <c r="R74" i="10" s="1"/>
  <c r="E88" i="6"/>
  <c r="I88" i="6" s="1"/>
  <c r="AB88" i="6" s="1"/>
  <c r="E75" i="11"/>
  <c r="H75" i="11" s="1"/>
  <c r="W14" i="10"/>
  <c r="H15" i="18"/>
  <c r="E15" i="9"/>
  <c r="J15" i="9" s="1"/>
  <c r="AB15" i="9" s="1"/>
  <c r="AJ15" i="9" s="1"/>
  <c r="E64" i="6"/>
  <c r="I64" i="6" s="1"/>
  <c r="AB64" i="6" s="1"/>
  <c r="E55" i="11"/>
  <c r="H55" i="11" s="1"/>
  <c r="F55" i="4"/>
  <c r="G55" i="4" s="1"/>
  <c r="O50" i="17"/>
  <c r="O54" i="10"/>
  <c r="R54" i="10" s="1"/>
  <c r="F57" i="5"/>
  <c r="G57" i="5" s="1"/>
  <c r="H57" i="5" s="1"/>
  <c r="AF14" i="6"/>
  <c r="AO14" i="6"/>
  <c r="AO16" i="6"/>
  <c r="AF16" i="6"/>
  <c r="W16" i="10"/>
  <c r="H17" i="18"/>
  <c r="E17" i="9"/>
  <c r="J17" i="9" s="1"/>
  <c r="AB17" i="9" s="1"/>
  <c r="AJ17" i="9" s="1"/>
  <c r="E56" i="6"/>
  <c r="I56" i="6" s="1"/>
  <c r="AB56" i="6" s="1"/>
  <c r="O43" i="17"/>
  <c r="E48" i="11"/>
  <c r="H48" i="11" s="1"/>
  <c r="O47" i="10"/>
  <c r="R47" i="10" s="1"/>
  <c r="F50" i="5"/>
  <c r="G50" i="5" s="1"/>
  <c r="H50" i="5" s="1"/>
  <c r="F48" i="4"/>
  <c r="G48" i="4" s="1"/>
  <c r="O56" i="10"/>
  <c r="R56" i="10" s="1"/>
  <c r="F57" i="4"/>
  <c r="G57" i="4" s="1"/>
  <c r="F59" i="5"/>
  <c r="G59" i="5" s="1"/>
  <c r="H59" i="5" s="1"/>
  <c r="E67" i="6"/>
  <c r="I67" i="6" s="1"/>
  <c r="AB67" i="6" s="1"/>
  <c r="O52" i="17"/>
  <c r="E57" i="11"/>
  <c r="H57" i="11" s="1"/>
  <c r="O32" i="17"/>
  <c r="F39" i="5"/>
  <c r="G39" i="5" s="1"/>
  <c r="H39" i="5" s="1"/>
  <c r="O36" i="10"/>
  <c r="R36" i="10" s="1"/>
  <c r="E43" i="6"/>
  <c r="I43" i="6" s="1"/>
  <c r="AB43" i="6" s="1"/>
  <c r="F37" i="4"/>
  <c r="G37" i="4" s="1"/>
  <c r="E37" i="11"/>
  <c r="H37" i="11" s="1"/>
  <c r="E50" i="6"/>
  <c r="I50" i="6" s="1"/>
  <c r="AB50" i="6" s="1"/>
  <c r="F43" i="4"/>
  <c r="G43" i="4" s="1"/>
  <c r="O42" i="10"/>
  <c r="R42" i="10" s="1"/>
  <c r="O38" i="17"/>
  <c r="F45" i="5"/>
  <c r="G45" i="5" s="1"/>
  <c r="H45" i="5" s="1"/>
  <c r="E43" i="11"/>
  <c r="H43" i="11" s="1"/>
  <c r="F79" i="5"/>
  <c r="G79" i="5" s="1"/>
  <c r="H79" i="5" s="1"/>
  <c r="E90" i="6"/>
  <c r="I90" i="6" s="1"/>
  <c r="AB90" i="6" s="1"/>
  <c r="O76" i="10"/>
  <c r="R76" i="10" s="1"/>
  <c r="O72" i="17"/>
  <c r="F77" i="4"/>
  <c r="G77" i="4" s="1"/>
  <c r="E77" i="11"/>
  <c r="H77" i="11" s="1"/>
  <c r="O50" i="10"/>
  <c r="R50" i="10" s="1"/>
  <c r="E51" i="11"/>
  <c r="H51" i="11" s="1"/>
  <c r="F53" i="5"/>
  <c r="G53" i="5" s="1"/>
  <c r="H53" i="5" s="1"/>
  <c r="O46" i="17"/>
  <c r="F51" i="4"/>
  <c r="G51" i="4" s="1"/>
  <c r="E60" i="6"/>
  <c r="I60" i="6" s="1"/>
  <c r="AB60" i="6" s="1"/>
  <c r="J14" i="11"/>
  <c r="Q14" i="12"/>
  <c r="R14" i="12" s="1"/>
  <c r="M65" i="2"/>
  <c r="O61" i="17"/>
  <c r="F68" i="5"/>
  <c r="G68" i="5" s="1"/>
  <c r="H68" i="5" s="1"/>
  <c r="O65" i="10"/>
  <c r="R65" i="10" s="1"/>
  <c r="F66" i="4"/>
  <c r="G66" i="4" s="1"/>
  <c r="E66" i="11"/>
  <c r="H66" i="11" s="1"/>
  <c r="E77" i="6"/>
  <c r="I77" i="6" s="1"/>
  <c r="AB77" i="6" s="1"/>
  <c r="T72" i="2"/>
  <c r="F65" i="5"/>
  <c r="G65" i="5" s="1"/>
  <c r="H65" i="5" s="1"/>
  <c r="E74" i="6"/>
  <c r="I74" i="6" s="1"/>
  <c r="AB74" i="6" s="1"/>
  <c r="O62" i="10"/>
  <c r="R62" i="10" s="1"/>
  <c r="F63" i="4"/>
  <c r="G63" i="4" s="1"/>
  <c r="O58" i="17"/>
  <c r="E63" i="11"/>
  <c r="H63" i="11" s="1"/>
  <c r="E21" i="6"/>
  <c r="I21" i="6" s="1"/>
  <c r="AB21" i="6" s="1"/>
  <c r="F23" i="5"/>
  <c r="G23" i="5" s="1"/>
  <c r="H23" i="5" s="1"/>
  <c r="O16" i="17"/>
  <c r="F21" i="4"/>
  <c r="G21" i="4" s="1"/>
  <c r="O20" i="10"/>
  <c r="R20" i="10" s="1"/>
  <c r="E21" i="11"/>
  <c r="H21" i="11" s="1"/>
  <c r="E64" i="11"/>
  <c r="H64" i="11" s="1"/>
  <c r="F66" i="5"/>
  <c r="G66" i="5" s="1"/>
  <c r="H66" i="5" s="1"/>
  <c r="O59" i="17"/>
  <c r="O63" i="10"/>
  <c r="R63" i="10" s="1"/>
  <c r="E75" i="6"/>
  <c r="I75" i="6" s="1"/>
  <c r="AB75" i="6" s="1"/>
  <c r="F64" i="4"/>
  <c r="G64" i="4" s="1"/>
  <c r="V68" i="2"/>
  <c r="R13" i="17"/>
  <c r="V13" i="17" s="1"/>
  <c r="AE13" i="17"/>
  <c r="F47" i="5"/>
  <c r="G47" i="5" s="1"/>
  <c r="H47" i="5" s="1"/>
  <c r="O44" i="10"/>
  <c r="R44" i="10" s="1"/>
  <c r="E53" i="6"/>
  <c r="I53" i="6" s="1"/>
  <c r="AB53" i="6" s="1"/>
  <c r="F45" i="4"/>
  <c r="G45" i="4" s="1"/>
  <c r="E45" i="11"/>
  <c r="H45" i="11" s="1"/>
  <c r="O40" i="17"/>
  <c r="E60" i="11"/>
  <c r="H60" i="11" s="1"/>
  <c r="E70" i="6"/>
  <c r="I70" i="6" s="1"/>
  <c r="AB70" i="6" s="1"/>
  <c r="O55" i="17"/>
  <c r="F60" i="4"/>
  <c r="G60" i="4" s="1"/>
  <c r="O59" i="10"/>
  <c r="R59" i="10" s="1"/>
  <c r="F62" i="5"/>
  <c r="G62" i="5" s="1"/>
  <c r="H62" i="5" s="1"/>
  <c r="F37" i="5"/>
  <c r="G37" i="5" s="1"/>
  <c r="H37" i="5" s="1"/>
  <c r="O30" i="17"/>
  <c r="O34" i="10"/>
  <c r="R34" i="10" s="1"/>
  <c r="F35" i="4"/>
  <c r="G35" i="4" s="1"/>
  <c r="E41" i="6"/>
  <c r="I41" i="6" s="1"/>
  <c r="AB41" i="6" s="1"/>
  <c r="E35" i="11"/>
  <c r="H35" i="11" s="1"/>
  <c r="F42" i="4"/>
  <c r="G42" i="4" s="1"/>
  <c r="O41" i="10"/>
  <c r="R41" i="10" s="1"/>
  <c r="E49" i="6"/>
  <c r="I49" i="6" s="1"/>
  <c r="AB49" i="6" s="1"/>
  <c r="E42" i="11"/>
  <c r="H42" i="11" s="1"/>
  <c r="F44" i="5"/>
  <c r="G44" i="5" s="1"/>
  <c r="H44" i="5" s="1"/>
  <c r="O37" i="17"/>
  <c r="O65" i="2"/>
  <c r="F76" i="5"/>
  <c r="G76" i="5" s="1"/>
  <c r="H76" i="5" s="1"/>
  <c r="O69" i="17"/>
  <c r="E74" i="11"/>
  <c r="H74" i="11" s="1"/>
  <c r="F74" i="4"/>
  <c r="G74" i="4" s="1"/>
  <c r="E87" i="6"/>
  <c r="I87" i="6" s="1"/>
  <c r="AB87" i="6" s="1"/>
  <c r="O73" i="10"/>
  <c r="R73" i="10" s="1"/>
  <c r="AE14" i="17"/>
  <c r="R14" i="17"/>
  <c r="V14" i="17" s="1"/>
  <c r="E62" i="6"/>
  <c r="I62" i="6" s="1"/>
  <c r="AB62" i="6" s="1"/>
  <c r="F55" i="5"/>
  <c r="G55" i="5" s="1"/>
  <c r="H55" i="5" s="1"/>
  <c r="O48" i="17"/>
  <c r="F53" i="4"/>
  <c r="G53" i="4" s="1"/>
  <c r="O52" i="10"/>
  <c r="R52" i="10" s="1"/>
  <c r="E53" i="11"/>
  <c r="H53" i="11" s="1"/>
  <c r="X72" i="2" l="1"/>
  <c r="L78" i="2"/>
  <c r="W74" i="2"/>
  <c r="W72" i="2"/>
  <c r="W75" i="2"/>
  <c r="AP15" i="12"/>
  <c r="AQ15" i="12" s="1"/>
  <c r="AP18" i="12"/>
  <c r="AQ18" i="12" s="1"/>
  <c r="T74" i="2"/>
  <c r="F18" i="21"/>
  <c r="F18" i="20"/>
  <c r="AP16" i="12"/>
  <c r="AQ16" i="12" s="1"/>
  <c r="G18" i="20"/>
  <c r="H18" i="21"/>
  <c r="I18" i="21" s="1"/>
  <c r="T78" i="2"/>
  <c r="T75" i="2"/>
  <c r="AP17" i="12"/>
  <c r="AQ17" i="12" s="1"/>
  <c r="H21" i="21"/>
  <c r="I21" i="21" s="1"/>
  <c r="G21" i="20"/>
  <c r="X78" i="2"/>
  <c r="F19" i="20"/>
  <c r="F19" i="21"/>
  <c r="F21" i="21"/>
  <c r="F21" i="20"/>
  <c r="AP19" i="12"/>
  <c r="AQ19" i="12" s="1"/>
  <c r="G19" i="20"/>
  <c r="H19" i="21"/>
  <c r="I19" i="21" s="1"/>
  <c r="AP14" i="12"/>
  <c r="AQ14" i="12" s="1"/>
  <c r="E72" i="2"/>
  <c r="U74" i="2"/>
  <c r="H20" i="21"/>
  <c r="I20" i="21" s="1"/>
  <c r="G20" i="20"/>
  <c r="G17" i="20"/>
  <c r="H17" i="21"/>
  <c r="F22" i="20"/>
  <c r="F22" i="21"/>
  <c r="X75" i="2"/>
  <c r="AJ9" i="17"/>
  <c r="F17" i="20"/>
  <c r="F17" i="21"/>
  <c r="H22" i="21"/>
  <c r="I22" i="21" s="1"/>
  <c r="G22" i="20"/>
  <c r="F20" i="21"/>
  <c r="F20" i="20"/>
  <c r="L72" i="2"/>
  <c r="E74" i="2"/>
  <c r="S78" i="2"/>
  <c r="E78" i="2"/>
  <c r="S75" i="2"/>
  <c r="P72" i="2"/>
  <c r="P73" i="2" s="1"/>
  <c r="L74" i="2"/>
  <c r="S90" i="2"/>
  <c r="E75" i="2"/>
  <c r="L75" i="2"/>
  <c r="L90" i="2"/>
  <c r="P90" i="2"/>
  <c r="P75" i="2"/>
  <c r="U90" i="2"/>
  <c r="D65" i="2"/>
  <c r="D68" i="2" s="1"/>
  <c r="U72" i="2"/>
  <c r="U73" i="2" s="1"/>
  <c r="Q70" i="12"/>
  <c r="J60" i="11"/>
  <c r="Q77" i="12"/>
  <c r="J66" i="11"/>
  <c r="AF88" i="6"/>
  <c r="AK88" i="6" s="1"/>
  <c r="AO88" i="6"/>
  <c r="AF42" i="6"/>
  <c r="AO42" i="6"/>
  <c r="W58" i="10"/>
  <c r="H69" i="18"/>
  <c r="E69" i="9"/>
  <c r="J69" i="9" s="1"/>
  <c r="AB69" i="9" s="1"/>
  <c r="AJ69" i="9" s="1"/>
  <c r="AO69" i="9" s="1"/>
  <c r="Q68" i="2"/>
  <c r="R57" i="17"/>
  <c r="V57" i="17" s="1"/>
  <c r="AE57" i="17"/>
  <c r="AR12" i="18"/>
  <c r="D29" i="2"/>
  <c r="AY3" i="19"/>
  <c r="AJ14" i="17"/>
  <c r="AE37" i="17"/>
  <c r="R37" i="17"/>
  <c r="V37" i="17" s="1"/>
  <c r="AO70" i="6"/>
  <c r="AF70" i="6"/>
  <c r="AK70" i="6" s="1"/>
  <c r="AK71" i="6" s="1"/>
  <c r="N74" i="2"/>
  <c r="N72" i="2"/>
  <c r="N75" i="2"/>
  <c r="N90" i="2"/>
  <c r="AF74" i="6"/>
  <c r="AK74" i="6" s="1"/>
  <c r="AO74" i="6"/>
  <c r="AF77" i="6"/>
  <c r="AK77" i="6" s="1"/>
  <c r="AK78" i="6" s="1"/>
  <c r="AO77" i="6"/>
  <c r="R46" i="17"/>
  <c r="V46" i="17" s="1"/>
  <c r="AE46" i="17"/>
  <c r="AO90" i="6"/>
  <c r="AF90" i="6"/>
  <c r="AK90" i="6" s="1"/>
  <c r="Q43" i="12"/>
  <c r="J37" i="11"/>
  <c r="AF67" i="6"/>
  <c r="AK67" i="6" s="1"/>
  <c r="AO67" i="6"/>
  <c r="AE43" i="17"/>
  <c r="R43" i="17"/>
  <c r="V43" i="17" s="1"/>
  <c r="Q88" i="12"/>
  <c r="J75" i="11"/>
  <c r="W22" i="10"/>
  <c r="E24" i="9"/>
  <c r="J24" i="9" s="1"/>
  <c r="AB24" i="9" s="1"/>
  <c r="AJ24" i="9" s="1"/>
  <c r="AO24" i="9" s="1"/>
  <c r="H24" i="18"/>
  <c r="W38" i="10"/>
  <c r="H46" i="18"/>
  <c r="E46" i="9"/>
  <c r="J46" i="9" s="1"/>
  <c r="AB46" i="9" s="1"/>
  <c r="AJ46" i="9" s="1"/>
  <c r="AO46" i="9" s="1"/>
  <c r="Q20" i="12"/>
  <c r="J20" i="11"/>
  <c r="W60" i="10"/>
  <c r="E71" i="9"/>
  <c r="J71" i="9" s="1"/>
  <c r="AB71" i="9" s="1"/>
  <c r="AJ71" i="9" s="1"/>
  <c r="H71" i="18"/>
  <c r="F17" i="14"/>
  <c r="F18" i="13"/>
  <c r="K24" i="5"/>
  <c r="Q45" i="12"/>
  <c r="J38" i="11"/>
  <c r="Q42" i="12"/>
  <c r="J36" i="11"/>
  <c r="AF57" i="6"/>
  <c r="AO57" i="6"/>
  <c r="R60" i="17"/>
  <c r="V60" i="17" s="1"/>
  <c r="AE60" i="17"/>
  <c r="AO40" i="6"/>
  <c r="AF40" i="6"/>
  <c r="AK40" i="6" s="1"/>
  <c r="K52" i="5"/>
  <c r="W78" i="10"/>
  <c r="H92" i="18"/>
  <c r="E92" i="9"/>
  <c r="J92" i="9" s="1"/>
  <c r="AB92" i="9" s="1"/>
  <c r="AJ92" i="9" s="1"/>
  <c r="AO92" i="9" s="1"/>
  <c r="AO69" i="6"/>
  <c r="AF69" i="6"/>
  <c r="AK69" i="6" s="1"/>
  <c r="AJ11" i="17"/>
  <c r="W28" i="10"/>
  <c r="H33" i="18"/>
  <c r="E33" i="9"/>
  <c r="J33" i="9" s="1"/>
  <c r="AB33" i="9" s="1"/>
  <c r="AJ33" i="9" s="1"/>
  <c r="AO33" i="9" s="1"/>
  <c r="Q66" i="12"/>
  <c r="J56" i="11"/>
  <c r="Q52" i="12"/>
  <c r="J44" i="11"/>
  <c r="AA75" i="2"/>
  <c r="AA72" i="2"/>
  <c r="AA90" i="2"/>
  <c r="AA74" i="2"/>
  <c r="S19" i="12"/>
  <c r="L22" i="20" s="1"/>
  <c r="BB19" i="12"/>
  <c r="AF48" i="6"/>
  <c r="AK48" i="6" s="1"/>
  <c r="AK49" i="6" s="1"/>
  <c r="AK50" i="6" s="1"/>
  <c r="AO48" i="6"/>
  <c r="AE53" i="17"/>
  <c r="R53" i="17"/>
  <c r="V53" i="17" s="1"/>
  <c r="H19" i="14"/>
  <c r="I19" i="14" s="1"/>
  <c r="G20" i="13"/>
  <c r="AJ12" i="17"/>
  <c r="S18" i="12"/>
  <c r="L21" i="20" s="1"/>
  <c r="BB18" i="12"/>
  <c r="Q64" i="12"/>
  <c r="J55" i="11"/>
  <c r="G18" i="13"/>
  <c r="H17" i="14"/>
  <c r="I17" i="14" s="1"/>
  <c r="Q59" i="12"/>
  <c r="J50" i="11"/>
  <c r="F22" i="13"/>
  <c r="F21" i="14"/>
  <c r="AK19" i="6"/>
  <c r="AJ19" i="6"/>
  <c r="AO66" i="6"/>
  <c r="AF66" i="6"/>
  <c r="AB72" i="6"/>
  <c r="H68" i="2"/>
  <c r="Q32" i="12"/>
  <c r="J28" i="11"/>
  <c r="F78" i="2"/>
  <c r="F75" i="2"/>
  <c r="F72" i="2"/>
  <c r="F90" i="2"/>
  <c r="F74" i="2"/>
  <c r="W52" i="10"/>
  <c r="H62" i="18"/>
  <c r="E62" i="9"/>
  <c r="J62" i="9" s="1"/>
  <c r="AB62" i="9" s="1"/>
  <c r="AJ62" i="9" s="1"/>
  <c r="AO62" i="9" s="1"/>
  <c r="AO87" i="6"/>
  <c r="AF87" i="6"/>
  <c r="AB93" i="6"/>
  <c r="Q49" i="12"/>
  <c r="J42" i="11"/>
  <c r="R30" i="17"/>
  <c r="V30" i="17" s="1"/>
  <c r="AE30" i="17"/>
  <c r="R40" i="17"/>
  <c r="V40" i="17" s="1"/>
  <c r="AE40" i="17"/>
  <c r="W63" i="10"/>
  <c r="H75" i="18"/>
  <c r="E75" i="9"/>
  <c r="J75" i="9" s="1"/>
  <c r="AB75" i="9" s="1"/>
  <c r="AJ75" i="9" s="1"/>
  <c r="AO75" i="9" s="1"/>
  <c r="T73" i="2"/>
  <c r="Q60" i="12"/>
  <c r="J51" i="11"/>
  <c r="Q50" i="12"/>
  <c r="J43" i="11"/>
  <c r="AF43" i="6"/>
  <c r="AO43" i="6"/>
  <c r="H18" i="14"/>
  <c r="I18" i="14" s="1"/>
  <c r="G19" i="13"/>
  <c r="AO64" i="6"/>
  <c r="AF64" i="6"/>
  <c r="AK64" i="6" s="1"/>
  <c r="W74" i="10"/>
  <c r="E88" i="9"/>
  <c r="J88" i="9" s="1"/>
  <c r="AB88" i="9" s="1"/>
  <c r="AJ88" i="9" s="1"/>
  <c r="AO88" i="9" s="1"/>
  <c r="H88" i="18"/>
  <c r="AE18" i="17"/>
  <c r="R18" i="17"/>
  <c r="V18" i="17" s="1"/>
  <c r="R28" i="17"/>
  <c r="V28" i="17" s="1"/>
  <c r="AE28" i="17"/>
  <c r="Q55" i="12"/>
  <c r="J47" i="11"/>
  <c r="K22" i="5"/>
  <c r="R47" i="17"/>
  <c r="V47" i="17" s="1"/>
  <c r="AE47" i="17"/>
  <c r="R73" i="17"/>
  <c r="V73" i="17" s="1"/>
  <c r="AE73" i="17"/>
  <c r="W21" i="10"/>
  <c r="H23" i="18"/>
  <c r="E23" i="9"/>
  <c r="J23" i="9" s="1"/>
  <c r="AB23" i="9" s="1"/>
  <c r="AB51" i="6"/>
  <c r="AO45" i="6"/>
  <c r="AF45" i="6"/>
  <c r="W64" i="10"/>
  <c r="E76" i="9"/>
  <c r="J76" i="9" s="1"/>
  <c r="AB76" i="9" s="1"/>
  <c r="AJ76" i="9" s="1"/>
  <c r="AO76" i="9" s="1"/>
  <c r="H76" i="18"/>
  <c r="J68" i="2"/>
  <c r="AE74" i="17"/>
  <c r="R74" i="17"/>
  <c r="V74" i="17" s="1"/>
  <c r="R62" i="17"/>
  <c r="V62" i="17" s="1"/>
  <c r="AE62" i="17"/>
  <c r="H21" i="14"/>
  <c r="I21" i="14" s="1"/>
  <c r="G22" i="13"/>
  <c r="W19" i="18"/>
  <c r="I19" i="19"/>
  <c r="X19" i="19" s="1"/>
  <c r="AE24" i="17"/>
  <c r="R24" i="17"/>
  <c r="V24" i="17" s="1"/>
  <c r="K58" i="5"/>
  <c r="AN18" i="9"/>
  <c r="AO18" i="9"/>
  <c r="Q89" i="12"/>
  <c r="J76" i="11"/>
  <c r="AE36" i="17"/>
  <c r="R36" i="17"/>
  <c r="V36" i="17" s="1"/>
  <c r="Q38" i="12"/>
  <c r="J32" i="11"/>
  <c r="AO73" i="6"/>
  <c r="AF73" i="6"/>
  <c r="AB79" i="6"/>
  <c r="X73" i="2"/>
  <c r="W73" i="10"/>
  <c r="E87" i="9"/>
  <c r="J87" i="9" s="1"/>
  <c r="AB87" i="9" s="1"/>
  <c r="H87" i="18"/>
  <c r="R16" i="17"/>
  <c r="V16" i="17" s="1"/>
  <c r="AE16" i="17"/>
  <c r="AO76" i="6"/>
  <c r="AF76" i="6"/>
  <c r="AK76" i="6" s="1"/>
  <c r="W66" i="10"/>
  <c r="H78" i="18"/>
  <c r="E78" i="9"/>
  <c r="J78" i="9" s="1"/>
  <c r="AB78" i="9" s="1"/>
  <c r="AJ78" i="9" s="1"/>
  <c r="AB58" i="6"/>
  <c r="AO52" i="6"/>
  <c r="AF52" i="6"/>
  <c r="AO49" i="6"/>
  <c r="AF49" i="6"/>
  <c r="Q53" i="12"/>
  <c r="J45" i="11"/>
  <c r="R59" i="17"/>
  <c r="V59" i="17" s="1"/>
  <c r="AE59" i="17"/>
  <c r="AF21" i="6"/>
  <c r="AK21" i="6" s="1"/>
  <c r="AO21" i="6"/>
  <c r="W65" i="10"/>
  <c r="E77" i="9"/>
  <c r="J77" i="9" s="1"/>
  <c r="AB77" i="9" s="1"/>
  <c r="AJ77" i="9" s="1"/>
  <c r="AO77" i="9" s="1"/>
  <c r="AO78" i="9" s="1"/>
  <c r="H77" i="18"/>
  <c r="M68" i="2"/>
  <c r="W50" i="10"/>
  <c r="H60" i="18"/>
  <c r="E60" i="9"/>
  <c r="J60" i="9" s="1"/>
  <c r="AB60" i="9" s="1"/>
  <c r="AJ60" i="9" s="1"/>
  <c r="AO60" i="9" s="1"/>
  <c r="W36" i="10"/>
  <c r="H43" i="18"/>
  <c r="E43" i="9"/>
  <c r="J43" i="9" s="1"/>
  <c r="AB43" i="9" s="1"/>
  <c r="AJ43" i="9" s="1"/>
  <c r="W56" i="10"/>
  <c r="E67" i="9"/>
  <c r="J67" i="9" s="1"/>
  <c r="AB67" i="9" s="1"/>
  <c r="AJ67" i="9" s="1"/>
  <c r="AO67" i="9" s="1"/>
  <c r="H67" i="18"/>
  <c r="G17" i="13"/>
  <c r="H16" i="14"/>
  <c r="Q39" i="12"/>
  <c r="J33" i="11"/>
  <c r="AF55" i="6"/>
  <c r="AK55" i="6" s="1"/>
  <c r="AO55" i="6"/>
  <c r="AE15" i="17"/>
  <c r="R15" i="17"/>
  <c r="V15" i="17" s="1"/>
  <c r="AO61" i="6"/>
  <c r="AF61" i="6"/>
  <c r="AK61" i="6" s="1"/>
  <c r="Q91" i="12"/>
  <c r="J78" i="11"/>
  <c r="Q23" i="12"/>
  <c r="J22" i="11"/>
  <c r="K40" i="5"/>
  <c r="Q76" i="12"/>
  <c r="J65" i="11"/>
  <c r="K68" i="2"/>
  <c r="G68" i="2"/>
  <c r="AO54" i="6"/>
  <c r="AF54" i="6"/>
  <c r="AK54" i="6" s="1"/>
  <c r="AO47" i="6"/>
  <c r="AF47" i="6"/>
  <c r="AK47" i="6" s="1"/>
  <c r="AN19" i="9"/>
  <c r="AO19" i="9"/>
  <c r="AO33" i="6"/>
  <c r="AF33" i="6"/>
  <c r="AK33" i="6" s="1"/>
  <c r="W55" i="10"/>
  <c r="E66" i="9"/>
  <c r="J66" i="9" s="1"/>
  <c r="AB66" i="9" s="1"/>
  <c r="H66" i="18"/>
  <c r="W18" i="18"/>
  <c r="I18" i="19"/>
  <c r="X18" i="19" s="1"/>
  <c r="AO89" i="6"/>
  <c r="AF89" i="6"/>
  <c r="AK89" i="6" s="1"/>
  <c r="W40" i="10"/>
  <c r="H48" i="18"/>
  <c r="E48" i="9"/>
  <c r="J48" i="9" s="1"/>
  <c r="AB48" i="9" s="1"/>
  <c r="AJ48" i="9" s="1"/>
  <c r="AO48" i="9" s="1"/>
  <c r="AO49" i="9" s="1"/>
  <c r="AO50" i="9" s="1"/>
  <c r="Q68" i="12"/>
  <c r="J58" i="11"/>
  <c r="H20" i="14"/>
  <c r="I20" i="14" s="1"/>
  <c r="G21" i="13"/>
  <c r="W61" i="10"/>
  <c r="H73" i="18"/>
  <c r="E73" i="9"/>
  <c r="J73" i="9" s="1"/>
  <c r="AB73" i="9" s="1"/>
  <c r="K30" i="5"/>
  <c r="E73" i="2"/>
  <c r="Q62" i="12"/>
  <c r="J53" i="11"/>
  <c r="AJ13" i="17"/>
  <c r="F18" i="14"/>
  <c r="F19" i="13"/>
  <c r="AK16" i="6"/>
  <c r="AJ16" i="6"/>
  <c r="W19" i="10"/>
  <c r="E20" i="9"/>
  <c r="J20" i="9" s="1"/>
  <c r="AB20" i="9" s="1"/>
  <c r="H20" i="18"/>
  <c r="AO92" i="6"/>
  <c r="AF92" i="6"/>
  <c r="AK92" i="6" s="1"/>
  <c r="Q33" i="12"/>
  <c r="J29" i="11"/>
  <c r="R48" i="17"/>
  <c r="V48" i="17" s="1"/>
  <c r="AE48" i="17"/>
  <c r="Q87" i="12"/>
  <c r="J74" i="11"/>
  <c r="W41" i="10"/>
  <c r="H49" i="18"/>
  <c r="E49" i="9"/>
  <c r="J49" i="9" s="1"/>
  <c r="AB49" i="9" s="1"/>
  <c r="AJ49" i="9" s="1"/>
  <c r="Q74" i="12"/>
  <c r="J63" i="11"/>
  <c r="S14" i="12"/>
  <c r="L17" i="20" s="1"/>
  <c r="BB14" i="12"/>
  <c r="Q90" i="12"/>
  <c r="J77" i="11"/>
  <c r="R38" i="17"/>
  <c r="V38" i="17" s="1"/>
  <c r="AE38" i="17"/>
  <c r="AN17" i="9"/>
  <c r="AO17" i="9"/>
  <c r="F16" i="14"/>
  <c r="F17" i="13"/>
  <c r="R70" i="17"/>
  <c r="V70" i="17" s="1"/>
  <c r="AE70" i="17"/>
  <c r="AE34" i="17"/>
  <c r="R34" i="17"/>
  <c r="V34" i="17" s="1"/>
  <c r="AO39" i="6"/>
  <c r="AF39" i="6"/>
  <c r="AK39" i="6" s="1"/>
  <c r="W46" i="10"/>
  <c r="E55" i="9"/>
  <c r="J55" i="9" s="1"/>
  <c r="AB55" i="9" s="1"/>
  <c r="AJ55" i="9" s="1"/>
  <c r="AO55" i="9" s="1"/>
  <c r="H55" i="18"/>
  <c r="Q71" i="12"/>
  <c r="J61" i="11"/>
  <c r="R17" i="17"/>
  <c r="V17" i="17" s="1"/>
  <c r="AE17" i="17"/>
  <c r="W35" i="10"/>
  <c r="H42" i="18"/>
  <c r="E42" i="9"/>
  <c r="J42" i="9" s="1"/>
  <c r="AB42" i="9" s="1"/>
  <c r="AJ42" i="9" s="1"/>
  <c r="Q57" i="12"/>
  <c r="J49" i="11"/>
  <c r="R75" i="2"/>
  <c r="R90" i="2"/>
  <c r="R72" i="2"/>
  <c r="R74" i="2"/>
  <c r="R78" i="2"/>
  <c r="AO59" i="6"/>
  <c r="AB65" i="6"/>
  <c r="AF59" i="6"/>
  <c r="AJ10" i="17"/>
  <c r="AE54" i="17"/>
  <c r="R54" i="17"/>
  <c r="V54" i="17" s="1"/>
  <c r="Q54" i="12"/>
  <c r="J46" i="11"/>
  <c r="AF16" i="12"/>
  <c r="AG16" i="12" s="1"/>
  <c r="BC45" i="12" s="1"/>
  <c r="L16" i="12"/>
  <c r="W39" i="10"/>
  <c r="H47" i="18"/>
  <c r="E47" i="9"/>
  <c r="J47" i="9" s="1"/>
  <c r="AB47" i="9" s="1"/>
  <c r="AJ47" i="9" s="1"/>
  <c r="AO47" i="9" s="1"/>
  <c r="W73" i="2"/>
  <c r="AE39" i="17"/>
  <c r="R39" i="17"/>
  <c r="V39" i="17" s="1"/>
  <c r="AO16" i="9"/>
  <c r="AN16" i="9"/>
  <c r="AE49" i="17"/>
  <c r="R49" i="17"/>
  <c r="V49" i="17" s="1"/>
  <c r="W75" i="10"/>
  <c r="E89" i="9"/>
  <c r="J89" i="9" s="1"/>
  <c r="AB89" i="9" s="1"/>
  <c r="AJ89" i="9" s="1"/>
  <c r="AO89" i="9" s="1"/>
  <c r="H89" i="18"/>
  <c r="Q48" i="12"/>
  <c r="J41" i="11"/>
  <c r="F20" i="14"/>
  <c r="AK18" i="6"/>
  <c r="AJ18" i="6"/>
  <c r="F21" i="13"/>
  <c r="Q73" i="12"/>
  <c r="J62" i="11"/>
  <c r="W27" i="10"/>
  <c r="E32" i="9"/>
  <c r="J32" i="9" s="1"/>
  <c r="AB32" i="9" s="1"/>
  <c r="H32" i="18"/>
  <c r="AF56" i="6"/>
  <c r="AK56" i="6" s="1"/>
  <c r="AK57" i="6" s="1"/>
  <c r="AO56" i="6"/>
  <c r="AE27" i="17"/>
  <c r="R27" i="17"/>
  <c r="V27" i="17" s="1"/>
  <c r="W59" i="10"/>
  <c r="H70" i="18"/>
  <c r="E70" i="9"/>
  <c r="J70" i="9" s="1"/>
  <c r="AB70" i="9" s="1"/>
  <c r="AJ70" i="9" s="1"/>
  <c r="AO70" i="9" s="1"/>
  <c r="AO71" i="9" s="1"/>
  <c r="AE58" i="17"/>
  <c r="R58" i="17"/>
  <c r="V58" i="17" s="1"/>
  <c r="I17" i="19"/>
  <c r="X17" i="19" s="1"/>
  <c r="W17" i="18"/>
  <c r="W32" i="10"/>
  <c r="H39" i="18"/>
  <c r="E39" i="9"/>
  <c r="J39" i="9" s="1"/>
  <c r="AB39" i="9" s="1"/>
  <c r="AJ39" i="9" s="1"/>
  <c r="AO39" i="9" s="1"/>
  <c r="R42" i="17"/>
  <c r="V42" i="17" s="1"/>
  <c r="AE42" i="17"/>
  <c r="AF91" i="6"/>
  <c r="AK91" i="6" s="1"/>
  <c r="AO91" i="6"/>
  <c r="AF23" i="6"/>
  <c r="AO23" i="6"/>
  <c r="AB25" i="6"/>
  <c r="AE31" i="17"/>
  <c r="R31" i="17"/>
  <c r="V31" i="17" s="1"/>
  <c r="L17" i="12"/>
  <c r="AF17" i="12"/>
  <c r="AG17" i="12" s="1"/>
  <c r="BC46" i="12" s="1"/>
  <c r="AE45" i="17"/>
  <c r="R45" i="17"/>
  <c r="V45" i="17" s="1"/>
  <c r="W45" i="10"/>
  <c r="H54" i="18"/>
  <c r="E54" i="9"/>
  <c r="J54" i="9" s="1"/>
  <c r="AB54" i="9" s="1"/>
  <c r="AJ54" i="9" s="1"/>
  <c r="AO54" i="9" s="1"/>
  <c r="BB16" i="12"/>
  <c r="S16" i="12"/>
  <c r="L19" i="20" s="1"/>
  <c r="Q47" i="12"/>
  <c r="J40" i="11"/>
  <c r="AF15" i="12"/>
  <c r="AG15" i="12" s="1"/>
  <c r="BC44" i="12" s="1"/>
  <c r="L15" i="12"/>
  <c r="I68" i="2"/>
  <c r="W43" i="10"/>
  <c r="H52" i="18"/>
  <c r="E52" i="9"/>
  <c r="J52" i="9" s="1"/>
  <c r="AB52" i="9" s="1"/>
  <c r="Z75" i="2"/>
  <c r="Z74" i="2"/>
  <c r="Z72" i="2"/>
  <c r="Z90" i="2"/>
  <c r="I16" i="19"/>
  <c r="X16" i="19" s="1"/>
  <c r="W16" i="18"/>
  <c r="Q63" i="12"/>
  <c r="J54" i="11"/>
  <c r="AF38" i="6"/>
  <c r="AO38" i="6"/>
  <c r="AB44" i="6"/>
  <c r="AF68" i="6"/>
  <c r="AK68" i="6" s="1"/>
  <c r="AO68" i="6"/>
  <c r="K64" i="5"/>
  <c r="AB34" i="6"/>
  <c r="AF32" i="6"/>
  <c r="AO32" i="6"/>
  <c r="L73" i="2"/>
  <c r="AO75" i="6"/>
  <c r="AF75" i="6"/>
  <c r="AK75" i="6" s="1"/>
  <c r="R29" i="17"/>
  <c r="V29" i="17" s="1"/>
  <c r="AE29" i="17"/>
  <c r="W53" i="10"/>
  <c r="E63" i="9"/>
  <c r="J63" i="9" s="1"/>
  <c r="AB63" i="9" s="1"/>
  <c r="AJ63" i="9" s="1"/>
  <c r="AO63" i="9" s="1"/>
  <c r="H63" i="18"/>
  <c r="R69" i="17"/>
  <c r="V69" i="17" s="1"/>
  <c r="AE69" i="17"/>
  <c r="Q75" i="12"/>
  <c r="J64" i="11"/>
  <c r="R61" i="17"/>
  <c r="V61" i="17" s="1"/>
  <c r="AE61" i="17"/>
  <c r="W42" i="10"/>
  <c r="H50" i="18"/>
  <c r="E50" i="9"/>
  <c r="J50" i="9" s="1"/>
  <c r="AB50" i="9" s="1"/>
  <c r="AJ50" i="9" s="1"/>
  <c r="AF62" i="6"/>
  <c r="AK62" i="6" s="1"/>
  <c r="AO62" i="6"/>
  <c r="Q41" i="12"/>
  <c r="J35" i="11"/>
  <c r="W44" i="10"/>
  <c r="H53" i="18"/>
  <c r="E53" i="9"/>
  <c r="J53" i="9" s="1"/>
  <c r="AB53" i="9" s="1"/>
  <c r="AJ53" i="9" s="1"/>
  <c r="AO53" i="9" s="1"/>
  <c r="Q21" i="12"/>
  <c r="J21" i="11"/>
  <c r="AF60" i="6"/>
  <c r="AK60" i="6" s="1"/>
  <c r="AO60" i="6"/>
  <c r="R72" i="17"/>
  <c r="V72" i="17" s="1"/>
  <c r="AE72" i="17"/>
  <c r="Q67" i="12"/>
  <c r="J57" i="11"/>
  <c r="W47" i="10"/>
  <c r="E56" i="9"/>
  <c r="J56" i="9" s="1"/>
  <c r="AB56" i="9" s="1"/>
  <c r="AJ56" i="9" s="1"/>
  <c r="AO56" i="9" s="1"/>
  <c r="AO57" i="9" s="1"/>
  <c r="H56" i="18"/>
  <c r="W54" i="10"/>
  <c r="E64" i="9"/>
  <c r="J64" i="9" s="1"/>
  <c r="AB64" i="9" s="1"/>
  <c r="AJ64" i="9" s="1"/>
  <c r="AO64" i="9" s="1"/>
  <c r="H64" i="18"/>
  <c r="W15" i="18"/>
  <c r="I15" i="19"/>
  <c r="X15" i="19" s="1"/>
  <c r="Q24" i="12"/>
  <c r="J23" i="11"/>
  <c r="Q46" i="12"/>
  <c r="J39" i="11"/>
  <c r="AF20" i="6"/>
  <c r="AO20" i="6"/>
  <c r="AB22" i="6"/>
  <c r="AF71" i="6"/>
  <c r="AO71" i="6"/>
  <c r="W51" i="10"/>
  <c r="E61" i="9"/>
  <c r="J61" i="9" s="1"/>
  <c r="AB61" i="9" s="1"/>
  <c r="AJ61" i="9" s="1"/>
  <c r="AO61" i="9" s="1"/>
  <c r="H61" i="18"/>
  <c r="W37" i="10"/>
  <c r="H45" i="18"/>
  <c r="E45" i="9"/>
  <c r="J45" i="9" s="1"/>
  <c r="AB45" i="9" s="1"/>
  <c r="AE44" i="17"/>
  <c r="R44" i="17"/>
  <c r="V44" i="17" s="1"/>
  <c r="BB17" i="12"/>
  <c r="S17" i="12"/>
  <c r="L20" i="20" s="1"/>
  <c r="Q40" i="12"/>
  <c r="J34" i="11"/>
  <c r="W49" i="10"/>
  <c r="H59" i="18"/>
  <c r="E59" i="9"/>
  <c r="J59" i="9" s="1"/>
  <c r="AB59" i="9" s="1"/>
  <c r="Q69" i="12"/>
  <c r="J59" i="11"/>
  <c r="AF78" i="6"/>
  <c r="AO78" i="6"/>
  <c r="W14" i="18"/>
  <c r="I14" i="19"/>
  <c r="X14" i="19" s="1"/>
  <c r="R35" i="17"/>
  <c r="V35" i="17" s="1"/>
  <c r="AE35" i="17"/>
  <c r="S15" i="12"/>
  <c r="L18" i="20" s="1"/>
  <c r="BB15" i="12"/>
  <c r="AE51" i="17"/>
  <c r="R51" i="17"/>
  <c r="V51" i="17" s="1"/>
  <c r="K46" i="5"/>
  <c r="Y68" i="2"/>
  <c r="AO63" i="6"/>
  <c r="AF63" i="6"/>
  <c r="AK63" i="6" s="1"/>
  <c r="AE71" i="17"/>
  <c r="R71" i="17"/>
  <c r="V71" i="17" s="1"/>
  <c r="W31" i="10"/>
  <c r="H38" i="18"/>
  <c r="E38" i="9"/>
  <c r="J38" i="9" s="1"/>
  <c r="AB38" i="9" s="1"/>
  <c r="R23" i="17"/>
  <c r="V23" i="17" s="1"/>
  <c r="AE23" i="17"/>
  <c r="W34" i="10"/>
  <c r="E41" i="9"/>
  <c r="J41" i="9" s="1"/>
  <c r="AB41" i="9" s="1"/>
  <c r="AJ41" i="9" s="1"/>
  <c r="AO41" i="9" s="1"/>
  <c r="AO42" i="9" s="1"/>
  <c r="AO43" i="9" s="1"/>
  <c r="H41" i="18"/>
  <c r="AF24" i="6"/>
  <c r="AK24" i="6" s="1"/>
  <c r="AO24" i="6"/>
  <c r="AE56" i="17"/>
  <c r="R56" i="17"/>
  <c r="V56" i="17" s="1"/>
  <c r="W48" i="10"/>
  <c r="E57" i="9"/>
  <c r="J57" i="9" s="1"/>
  <c r="AB57" i="9" s="1"/>
  <c r="AJ57" i="9" s="1"/>
  <c r="H57" i="18"/>
  <c r="AF53" i="6"/>
  <c r="AK53" i="6" s="1"/>
  <c r="AO53" i="6"/>
  <c r="V72" i="2"/>
  <c r="V75" i="2"/>
  <c r="V90" i="2"/>
  <c r="V78" i="2"/>
  <c r="V74" i="2"/>
  <c r="AF14" i="12"/>
  <c r="AG14" i="12" s="1"/>
  <c r="BC43" i="12" s="1"/>
  <c r="L14" i="12"/>
  <c r="O14" i="12" s="1"/>
  <c r="AE32" i="17"/>
  <c r="R32" i="17"/>
  <c r="V32" i="17" s="1"/>
  <c r="K76" i="5"/>
  <c r="O68" i="2"/>
  <c r="AO41" i="6"/>
  <c r="AF41" i="6"/>
  <c r="AK41" i="6" s="1"/>
  <c r="AK42" i="6" s="1"/>
  <c r="AK43" i="6" s="1"/>
  <c r="AE55" i="17"/>
  <c r="R55" i="17"/>
  <c r="V55" i="17" s="1"/>
  <c r="W20" i="10"/>
  <c r="H21" i="18"/>
  <c r="E21" i="9"/>
  <c r="J21" i="9" s="1"/>
  <c r="AB21" i="9" s="1"/>
  <c r="AJ21" i="9" s="1"/>
  <c r="AO21" i="9" s="1"/>
  <c r="W62" i="10"/>
  <c r="E74" i="9"/>
  <c r="J74" i="9" s="1"/>
  <c r="AB74" i="9" s="1"/>
  <c r="AJ74" i="9" s="1"/>
  <c r="AO74" i="9" s="1"/>
  <c r="H74" i="18"/>
  <c r="W76" i="10"/>
  <c r="H90" i="18"/>
  <c r="E90" i="9"/>
  <c r="J90" i="9" s="1"/>
  <c r="AB90" i="9" s="1"/>
  <c r="AJ90" i="9" s="1"/>
  <c r="AO90" i="9" s="1"/>
  <c r="AF50" i="6"/>
  <c r="AO50" i="6"/>
  <c r="AE52" i="17"/>
  <c r="R52" i="17"/>
  <c r="V52" i="17" s="1"/>
  <c r="Q56" i="12"/>
  <c r="J48" i="11"/>
  <c r="AE50" i="17"/>
  <c r="R50" i="17"/>
  <c r="V50" i="17" s="1"/>
  <c r="AO46" i="6"/>
  <c r="AF46" i="6"/>
  <c r="AK46" i="6" s="1"/>
  <c r="Q61" i="12"/>
  <c r="J52" i="11"/>
  <c r="W77" i="10"/>
  <c r="H91" i="18"/>
  <c r="E91" i="9"/>
  <c r="J91" i="9" s="1"/>
  <c r="AB91" i="9" s="1"/>
  <c r="AJ91" i="9" s="1"/>
  <c r="AO91" i="9" s="1"/>
  <c r="AE33" i="17"/>
  <c r="R33" i="17"/>
  <c r="V33" i="17" s="1"/>
  <c r="W33" i="10"/>
  <c r="H40" i="18"/>
  <c r="E40" i="9"/>
  <c r="J40" i="9" s="1"/>
  <c r="AB40" i="9" s="1"/>
  <c r="AJ40" i="9" s="1"/>
  <c r="AO40" i="9" s="1"/>
  <c r="Q92" i="12"/>
  <c r="J79" i="11"/>
  <c r="AE41" i="17"/>
  <c r="R41" i="17"/>
  <c r="V41" i="17" s="1"/>
  <c r="Q78" i="12"/>
  <c r="J67" i="11"/>
  <c r="AF19" i="12"/>
  <c r="AG19" i="12" s="1"/>
  <c r="BC48" i="12" s="1"/>
  <c r="L19" i="12"/>
  <c r="K34" i="5"/>
  <c r="W57" i="10"/>
  <c r="H68" i="18"/>
  <c r="E68" i="9"/>
  <c r="J68" i="9" s="1"/>
  <c r="AB68" i="9" s="1"/>
  <c r="AJ68" i="9" s="1"/>
  <c r="AO68" i="9" s="1"/>
  <c r="AJ17" i="6"/>
  <c r="F20" i="13"/>
  <c r="F19" i="14"/>
  <c r="AK17" i="6"/>
  <c r="L18" i="12"/>
  <c r="AF18" i="12"/>
  <c r="AG18" i="12" s="1"/>
  <c r="BC47" i="12" s="1"/>
  <c r="S73" i="2"/>
  <c r="Z14" i="18" l="1"/>
  <c r="AO22" i="6"/>
  <c r="H22" i="14" s="1"/>
  <c r="I22" i="14" s="1"/>
  <c r="AO34" i="6"/>
  <c r="AP24" i="12"/>
  <c r="G21" i="21"/>
  <c r="N21" i="21"/>
  <c r="P21" i="21"/>
  <c r="AP90" i="12"/>
  <c r="AP59" i="12"/>
  <c r="H23" i="21"/>
  <c r="I23" i="21" s="1"/>
  <c r="AP53" i="12"/>
  <c r="AP63" i="12"/>
  <c r="H27" i="21"/>
  <c r="I27" i="21" s="1"/>
  <c r="G27" i="20"/>
  <c r="AP54" i="12"/>
  <c r="AP39" i="12"/>
  <c r="AP42" i="12"/>
  <c r="AP23" i="12"/>
  <c r="AQ25" i="12" s="1"/>
  <c r="AP62" i="12"/>
  <c r="AP33" i="12"/>
  <c r="I17" i="20"/>
  <c r="R17" i="20" s="1"/>
  <c r="K17" i="20"/>
  <c r="H17" i="20"/>
  <c r="Q17" i="20" s="1"/>
  <c r="J17" i="20"/>
  <c r="G19" i="21"/>
  <c r="N19" i="21"/>
  <c r="P19" i="21"/>
  <c r="I18" i="20"/>
  <c r="R18" i="20" s="1"/>
  <c r="J18" i="20"/>
  <c r="H18" i="20"/>
  <c r="Q18" i="20" s="1"/>
  <c r="K18" i="20"/>
  <c r="AP70" i="12"/>
  <c r="AP71" i="12"/>
  <c r="G17" i="21"/>
  <c r="N17" i="21"/>
  <c r="AP91" i="12"/>
  <c r="AP38" i="12"/>
  <c r="AP45" i="12"/>
  <c r="AP89" i="12"/>
  <c r="AP66" i="12"/>
  <c r="AP60" i="12"/>
  <c r="H19" i="20"/>
  <c r="Q19" i="20" s="1"/>
  <c r="J19" i="20"/>
  <c r="I19" i="20"/>
  <c r="R19" i="20" s="1"/>
  <c r="K19" i="20"/>
  <c r="G18" i="21"/>
  <c r="N18" i="21"/>
  <c r="P18" i="21"/>
  <c r="N16" i="14"/>
  <c r="P16" i="14"/>
  <c r="AP77" i="12"/>
  <c r="AP64" i="12"/>
  <c r="AP48" i="12"/>
  <c r="AP76" i="12"/>
  <c r="AP50" i="12"/>
  <c r="AP47" i="12"/>
  <c r="AP73" i="12"/>
  <c r="AP67" i="12"/>
  <c r="J20" i="20"/>
  <c r="K20" i="20"/>
  <c r="I20" i="20"/>
  <c r="R20" i="20" s="1"/>
  <c r="H20" i="20"/>
  <c r="Q20" i="20" s="1"/>
  <c r="P17" i="21"/>
  <c r="I17" i="21"/>
  <c r="AP40" i="12"/>
  <c r="AP41" i="12"/>
  <c r="AP61" i="12"/>
  <c r="AP52" i="12"/>
  <c r="AP49" i="12"/>
  <c r="AP75" i="12"/>
  <c r="AP46" i="12"/>
  <c r="AP69" i="12"/>
  <c r="G20" i="21"/>
  <c r="N20" i="21"/>
  <c r="P20" i="21"/>
  <c r="AP20" i="12"/>
  <c r="AP74" i="12"/>
  <c r="AP57" i="12"/>
  <c r="AP56" i="12"/>
  <c r="AP87" i="12"/>
  <c r="G22" i="21"/>
  <c r="N22" i="21"/>
  <c r="P22" i="21"/>
  <c r="AP68" i="12"/>
  <c r="AP55" i="12"/>
  <c r="AP21" i="12"/>
  <c r="AQ22" i="12" s="1"/>
  <c r="AP32" i="12"/>
  <c r="AQ34" i="12" s="1"/>
  <c r="AP43" i="12"/>
  <c r="AP78" i="12"/>
  <c r="AP88" i="12"/>
  <c r="AP92" i="12"/>
  <c r="J22" i="20"/>
  <c r="I22" i="20"/>
  <c r="R22" i="20" s="1"/>
  <c r="K22" i="20"/>
  <c r="H22" i="20"/>
  <c r="Q22" i="20" s="1"/>
  <c r="K21" i="20"/>
  <c r="I21" i="20"/>
  <c r="R21" i="20" s="1"/>
  <c r="J21" i="20"/>
  <c r="H21" i="20"/>
  <c r="Q21" i="20" s="1"/>
  <c r="R79" i="12"/>
  <c r="BF48" i="12"/>
  <c r="BG48" i="12"/>
  <c r="BR44" i="12"/>
  <c r="BG43" i="12"/>
  <c r="BF43" i="12"/>
  <c r="BF44" i="12"/>
  <c r="BG44" i="12"/>
  <c r="BF46" i="12"/>
  <c r="BG46" i="12"/>
  <c r="BG47" i="12"/>
  <c r="BF47" i="12"/>
  <c r="BF45" i="12"/>
  <c r="BG45" i="12"/>
  <c r="AO25" i="6"/>
  <c r="H23" i="14" s="1"/>
  <c r="I23" i="14" s="1"/>
  <c r="AO51" i="6"/>
  <c r="AJ59" i="9"/>
  <c r="AB65" i="9"/>
  <c r="AF24" i="12"/>
  <c r="L24" i="12"/>
  <c r="AJ61" i="17"/>
  <c r="AF47" i="12"/>
  <c r="L47" i="12"/>
  <c r="I42" i="19"/>
  <c r="X42" i="19" s="1"/>
  <c r="W42" i="18"/>
  <c r="AK52" i="6"/>
  <c r="AF58" i="6"/>
  <c r="AF89" i="12"/>
  <c r="L89" i="12"/>
  <c r="J78" i="2"/>
  <c r="J75" i="2"/>
  <c r="J74" i="2"/>
  <c r="Z19" i="18" s="1"/>
  <c r="J90" i="2"/>
  <c r="J72" i="2"/>
  <c r="AA73" i="2"/>
  <c r="AA99" i="2"/>
  <c r="AA100" i="2" s="1"/>
  <c r="Q90" i="2"/>
  <c r="Q74" i="2"/>
  <c r="Q75" i="2"/>
  <c r="Q78" i="2"/>
  <c r="Q72" i="2"/>
  <c r="AI19" i="12"/>
  <c r="BF19" i="12"/>
  <c r="AH19" i="12"/>
  <c r="V22" i="21" s="1"/>
  <c r="AJ50" i="17"/>
  <c r="AJ56" i="17"/>
  <c r="AJ71" i="17"/>
  <c r="AJ51" i="17"/>
  <c r="G23" i="13"/>
  <c r="AI18" i="12"/>
  <c r="BF18" i="12"/>
  <c r="AH18" i="12"/>
  <c r="V21" i="21" s="1"/>
  <c r="W68" i="18"/>
  <c r="I68" i="19"/>
  <c r="X68" i="19" s="1"/>
  <c r="AF78" i="12"/>
  <c r="L78" i="12"/>
  <c r="I40" i="19"/>
  <c r="X40" i="19" s="1"/>
  <c r="W40" i="18"/>
  <c r="L61" i="12"/>
  <c r="AF61" i="12"/>
  <c r="Y90" i="2"/>
  <c r="Y74" i="2"/>
  <c r="Y72" i="2"/>
  <c r="Y75" i="2"/>
  <c r="AJ35" i="17"/>
  <c r="W63" i="18"/>
  <c r="I63" i="19"/>
  <c r="X63" i="19" s="1"/>
  <c r="AB58" i="9"/>
  <c r="AJ52" i="9"/>
  <c r="AI15" i="12"/>
  <c r="AH15" i="12"/>
  <c r="V18" i="21" s="1"/>
  <c r="BF15" i="12"/>
  <c r="I32" i="19"/>
  <c r="X32" i="19" s="1"/>
  <c r="W32" i="18"/>
  <c r="P20" i="14"/>
  <c r="N20" i="14"/>
  <c r="G20" i="14"/>
  <c r="AJ49" i="17"/>
  <c r="W55" i="18"/>
  <c r="I55" i="19"/>
  <c r="X55" i="19" s="1"/>
  <c r="H19" i="13"/>
  <c r="N19" i="13" s="1"/>
  <c r="AA19" i="21" s="1"/>
  <c r="K19" i="13"/>
  <c r="J19" i="13"/>
  <c r="I19" i="13"/>
  <c r="O19" i="13" s="1"/>
  <c r="AB19" i="21" s="1"/>
  <c r="AF19" i="21" s="1"/>
  <c r="K74" i="2"/>
  <c r="K90" i="2"/>
  <c r="K78" i="2"/>
  <c r="K75" i="2"/>
  <c r="K72" i="2"/>
  <c r="AF91" i="12"/>
  <c r="L91" i="12"/>
  <c r="L39" i="12"/>
  <c r="AF39" i="12"/>
  <c r="M75" i="2"/>
  <c r="M74" i="2"/>
  <c r="M90" i="2"/>
  <c r="M72" i="2"/>
  <c r="AJ36" i="17"/>
  <c r="AJ74" i="17"/>
  <c r="AF51" i="6"/>
  <c r="AK45" i="6"/>
  <c r="AJ30" i="17"/>
  <c r="F73" i="2"/>
  <c r="R65" i="12"/>
  <c r="AA102" i="2"/>
  <c r="AA101" i="2"/>
  <c r="K18" i="13"/>
  <c r="I18" i="13"/>
  <c r="O18" i="13" s="1"/>
  <c r="AB18" i="21" s="1"/>
  <c r="AF18" i="21" s="1"/>
  <c r="J18" i="13"/>
  <c r="H18" i="13"/>
  <c r="N18" i="13" s="1"/>
  <c r="AA18" i="21" s="1"/>
  <c r="AF88" i="12"/>
  <c r="L88" i="12"/>
  <c r="R73" i="2"/>
  <c r="G16" i="14"/>
  <c r="BC14" i="12"/>
  <c r="L17" i="13"/>
  <c r="R93" i="12"/>
  <c r="AJ73" i="9"/>
  <c r="AB79" i="9"/>
  <c r="I66" i="19"/>
  <c r="X66" i="19" s="1"/>
  <c r="W66" i="18"/>
  <c r="I16" i="14"/>
  <c r="W43" i="18"/>
  <c r="I43" i="19"/>
  <c r="X43" i="19" s="1"/>
  <c r="AO58" i="6"/>
  <c r="AJ16" i="17"/>
  <c r="L49" i="12"/>
  <c r="AF49" i="12"/>
  <c r="AO72" i="6"/>
  <c r="W33" i="18"/>
  <c r="I33" i="19"/>
  <c r="X33" i="19" s="1"/>
  <c r="W92" i="18"/>
  <c r="I92" i="19"/>
  <c r="X92" i="19" s="1"/>
  <c r="W46" i="18"/>
  <c r="I46" i="19"/>
  <c r="X46" i="19" s="1"/>
  <c r="AJ46" i="17"/>
  <c r="I41" i="19"/>
  <c r="X41" i="19" s="1"/>
  <c r="W41" i="18"/>
  <c r="W70" i="18"/>
  <c r="I70" i="19"/>
  <c r="X70" i="19" s="1"/>
  <c r="AJ54" i="17"/>
  <c r="P17" i="14"/>
  <c r="G17" i="14"/>
  <c r="N17" i="14"/>
  <c r="I59" i="19"/>
  <c r="X59" i="19" s="1"/>
  <c r="W59" i="18"/>
  <c r="W56" i="18"/>
  <c r="I56" i="19"/>
  <c r="X56" i="19" s="1"/>
  <c r="AJ45" i="17"/>
  <c r="AK23" i="6"/>
  <c r="AF25" i="6"/>
  <c r="G19" i="14"/>
  <c r="P19" i="14"/>
  <c r="N19" i="14"/>
  <c r="AJ41" i="17"/>
  <c r="AJ33" i="17"/>
  <c r="AB51" i="9"/>
  <c r="AJ45" i="9"/>
  <c r="AF21" i="12"/>
  <c r="L21" i="12"/>
  <c r="L75" i="12"/>
  <c r="AF75" i="12"/>
  <c r="AJ29" i="17"/>
  <c r="L19" i="13"/>
  <c r="BC16" i="12"/>
  <c r="L73" i="12"/>
  <c r="AF73" i="12"/>
  <c r="AJ17" i="17"/>
  <c r="AF74" i="12"/>
  <c r="L74" i="12"/>
  <c r="AJ48" i="17"/>
  <c r="I20" i="19"/>
  <c r="X20" i="19" s="1"/>
  <c r="W20" i="18"/>
  <c r="I73" i="19"/>
  <c r="X73" i="19" s="1"/>
  <c r="W73" i="18"/>
  <c r="I48" i="19"/>
  <c r="X48" i="19" s="1"/>
  <c r="W48" i="18"/>
  <c r="AJ66" i="9"/>
  <c r="AB72" i="9"/>
  <c r="AF76" i="12"/>
  <c r="L76" i="12"/>
  <c r="L53" i="12"/>
  <c r="AF53" i="12"/>
  <c r="AK73" i="6"/>
  <c r="AF79" i="6"/>
  <c r="W88" i="18"/>
  <c r="I88" i="19"/>
  <c r="X88" i="19" s="1"/>
  <c r="AF32" i="12"/>
  <c r="L32" i="12"/>
  <c r="L64" i="12"/>
  <c r="AF64" i="12"/>
  <c r="L42" i="12"/>
  <c r="AF42" i="12"/>
  <c r="W71" i="18"/>
  <c r="I71" i="19"/>
  <c r="X71" i="19" s="1"/>
  <c r="AJ43" i="17"/>
  <c r="N73" i="2"/>
  <c r="I57" i="19"/>
  <c r="X57" i="19" s="1"/>
  <c r="W57" i="18"/>
  <c r="AF87" i="12"/>
  <c r="L87" i="12"/>
  <c r="AJ47" i="17"/>
  <c r="AJ37" i="17"/>
  <c r="H20" i="13"/>
  <c r="N20" i="13" s="1"/>
  <c r="AA20" i="21" s="1"/>
  <c r="K20" i="13"/>
  <c r="J20" i="13"/>
  <c r="I20" i="13"/>
  <c r="O20" i="13" s="1"/>
  <c r="AB20" i="21" s="1"/>
  <c r="AF20" i="21" s="1"/>
  <c r="P19" i="12"/>
  <c r="O19" i="12"/>
  <c r="AF92" i="12"/>
  <c r="AF94" i="12"/>
  <c r="AG94" i="12" s="1"/>
  <c r="BC63" i="12" s="1"/>
  <c r="L92" i="12"/>
  <c r="AJ32" i="17"/>
  <c r="L40" i="12"/>
  <c r="AF40" i="12"/>
  <c r="W45" i="18"/>
  <c r="I45" i="19"/>
  <c r="X45" i="19" s="1"/>
  <c r="AO44" i="6"/>
  <c r="Z73" i="2"/>
  <c r="AI17" i="12"/>
  <c r="AH17" i="12"/>
  <c r="V20" i="21" s="1"/>
  <c r="BF17" i="12"/>
  <c r="AJ27" i="17"/>
  <c r="S79" i="12"/>
  <c r="L34" i="20" s="1"/>
  <c r="BB31" i="12"/>
  <c r="I89" i="19"/>
  <c r="X89" i="19" s="1"/>
  <c r="W89" i="18"/>
  <c r="AJ39" i="17"/>
  <c r="P16" i="12"/>
  <c r="O16" i="12"/>
  <c r="AK59" i="6"/>
  <c r="AF65" i="6"/>
  <c r="AJ20" i="9"/>
  <c r="AB22" i="9"/>
  <c r="L62" i="12"/>
  <c r="AF62" i="12"/>
  <c r="W77" i="18"/>
  <c r="I77" i="19"/>
  <c r="X77" i="19" s="1"/>
  <c r="AO79" i="6"/>
  <c r="AJ23" i="9"/>
  <c r="AB25" i="9"/>
  <c r="AF55" i="12"/>
  <c r="L55" i="12"/>
  <c r="AF50" i="12"/>
  <c r="L50" i="12"/>
  <c r="I75" i="19"/>
  <c r="X75" i="19" s="1"/>
  <c r="W75" i="18"/>
  <c r="R34" i="12"/>
  <c r="AF52" i="12"/>
  <c r="L52" i="12"/>
  <c r="AY12" i="19"/>
  <c r="AV12" i="19" s="1"/>
  <c r="AY13" i="19"/>
  <c r="AF77" i="12"/>
  <c r="L77" i="12"/>
  <c r="I47" i="19"/>
  <c r="X47" i="19" s="1"/>
  <c r="W47" i="18"/>
  <c r="I17" i="13"/>
  <c r="J17" i="13"/>
  <c r="K17" i="13"/>
  <c r="H17" i="13"/>
  <c r="P18" i="14"/>
  <c r="N18" i="14"/>
  <c r="G18" i="14"/>
  <c r="AJ59" i="17"/>
  <c r="AF72" i="6"/>
  <c r="AK66" i="6"/>
  <c r="AJ55" i="17"/>
  <c r="AF67" i="12"/>
  <c r="L67" i="12"/>
  <c r="AJ69" i="17"/>
  <c r="G27" i="13"/>
  <c r="H26" i="14"/>
  <c r="I26" i="14" s="1"/>
  <c r="AF44" i="6"/>
  <c r="AK38" i="6"/>
  <c r="I78" i="2"/>
  <c r="I72" i="2"/>
  <c r="I75" i="2"/>
  <c r="I90" i="2"/>
  <c r="I74" i="2"/>
  <c r="Z18" i="18" s="1"/>
  <c r="P17" i="12"/>
  <c r="O17" i="12"/>
  <c r="AJ42" i="17"/>
  <c r="K21" i="13"/>
  <c r="J21" i="13"/>
  <c r="H21" i="13"/>
  <c r="N21" i="13" s="1"/>
  <c r="AA21" i="21" s="1"/>
  <c r="I21" i="13"/>
  <c r="O21" i="13" s="1"/>
  <c r="AB21" i="21" s="1"/>
  <c r="AF21" i="21" s="1"/>
  <c r="AI16" i="12"/>
  <c r="BF16" i="12"/>
  <c r="AH16" i="12"/>
  <c r="V19" i="21" s="1"/>
  <c r="L57" i="12"/>
  <c r="AF57" i="12"/>
  <c r="L71" i="12"/>
  <c r="AF71" i="12"/>
  <c r="AJ38" i="17"/>
  <c r="AJ15" i="17"/>
  <c r="W67" i="18"/>
  <c r="I67" i="19"/>
  <c r="X67" i="19" s="1"/>
  <c r="I87" i="19"/>
  <c r="X87" i="19" s="1"/>
  <c r="W87" i="18"/>
  <c r="L38" i="12"/>
  <c r="AF38" i="12"/>
  <c r="AG44" i="12" s="1"/>
  <c r="BC55" i="12" s="1"/>
  <c r="AJ62" i="17"/>
  <c r="W76" i="18"/>
  <c r="I76" i="19"/>
  <c r="X76" i="19" s="1"/>
  <c r="I23" i="19"/>
  <c r="X23" i="19" s="1"/>
  <c r="W23" i="18"/>
  <c r="AK87" i="6"/>
  <c r="AF93" i="6"/>
  <c r="Z15" i="18"/>
  <c r="H90" i="2"/>
  <c r="H75" i="2"/>
  <c r="H72" i="2"/>
  <c r="H78" i="2"/>
  <c r="H74" i="2"/>
  <c r="Z17" i="18" s="1"/>
  <c r="P21" i="14"/>
  <c r="G21" i="14"/>
  <c r="N21" i="14"/>
  <c r="AJ53" i="17"/>
  <c r="R58" i="12"/>
  <c r="L45" i="12"/>
  <c r="AF45" i="12"/>
  <c r="W24" i="18"/>
  <c r="I24" i="19"/>
  <c r="X24" i="19" s="1"/>
  <c r="D31" i="2"/>
  <c r="P18" i="12"/>
  <c r="O18" i="12"/>
  <c r="AJ52" i="17"/>
  <c r="L41" i="12"/>
  <c r="AF41" i="12"/>
  <c r="AB34" i="9"/>
  <c r="AJ32" i="9"/>
  <c r="AJ18" i="17"/>
  <c r="I74" i="19"/>
  <c r="X74" i="19" s="1"/>
  <c r="W74" i="18"/>
  <c r="W38" i="18"/>
  <c r="I38" i="19"/>
  <c r="X38" i="19" s="1"/>
  <c r="V73" i="2"/>
  <c r="I91" i="19"/>
  <c r="X91" i="19" s="1"/>
  <c r="W91" i="18"/>
  <c r="I90" i="19"/>
  <c r="X90" i="19" s="1"/>
  <c r="W90" i="18"/>
  <c r="AJ23" i="17"/>
  <c r="AK20" i="6"/>
  <c r="AF22" i="6"/>
  <c r="I64" i="19"/>
  <c r="X64" i="19" s="1"/>
  <c r="W64" i="18"/>
  <c r="AK32" i="6"/>
  <c r="AF34" i="6"/>
  <c r="L63" i="12"/>
  <c r="AF63" i="12"/>
  <c r="AJ58" i="17"/>
  <c r="AF54" i="12"/>
  <c r="L54" i="12"/>
  <c r="AO65" i="6"/>
  <c r="AJ34" i="17"/>
  <c r="L33" i="12"/>
  <c r="AF33" i="12"/>
  <c r="L23" i="12"/>
  <c r="AF23" i="12"/>
  <c r="W60" i="18"/>
  <c r="I60" i="19"/>
  <c r="X60" i="19" s="1"/>
  <c r="I78" i="19"/>
  <c r="X78" i="19" s="1"/>
  <c r="W78" i="18"/>
  <c r="AB93" i="9"/>
  <c r="AJ87" i="9"/>
  <c r="R44" i="12"/>
  <c r="AJ28" i="17"/>
  <c r="L60" i="12"/>
  <c r="AF60" i="12"/>
  <c r="AJ40" i="17"/>
  <c r="AO93" i="6"/>
  <c r="J22" i="13"/>
  <c r="H22" i="13"/>
  <c r="N22" i="13" s="1"/>
  <c r="AA22" i="21" s="1"/>
  <c r="K22" i="13"/>
  <c r="I22" i="13"/>
  <c r="O22" i="13" s="1"/>
  <c r="AB22" i="21" s="1"/>
  <c r="AF22" i="21" s="1"/>
  <c r="AF66" i="12"/>
  <c r="L66" i="12"/>
  <c r="R51" i="12"/>
  <c r="L20" i="12"/>
  <c r="AF20" i="12"/>
  <c r="L43" i="12"/>
  <c r="AF43" i="12"/>
  <c r="W69" i="18"/>
  <c r="I69" i="19"/>
  <c r="X69" i="19" s="1"/>
  <c r="L70" i="12"/>
  <c r="AF70" i="12"/>
  <c r="AB44" i="9"/>
  <c r="AJ38" i="9"/>
  <c r="AJ44" i="17"/>
  <c r="I52" i="19"/>
  <c r="X52" i="19" s="1"/>
  <c r="W52" i="18"/>
  <c r="I39" i="19"/>
  <c r="X39" i="19" s="1"/>
  <c r="W39" i="18"/>
  <c r="L48" i="12"/>
  <c r="AF48" i="12"/>
  <c r="W62" i="18"/>
  <c r="I62" i="19"/>
  <c r="X62" i="19" s="1"/>
  <c r="L22" i="13"/>
  <c r="BC19" i="12"/>
  <c r="O75" i="2"/>
  <c r="O74" i="2"/>
  <c r="O90" i="2"/>
  <c r="O78" i="2"/>
  <c r="O72" i="2"/>
  <c r="AF56" i="12"/>
  <c r="L56" i="12"/>
  <c r="P14" i="12"/>
  <c r="AF69" i="12"/>
  <c r="L69" i="12"/>
  <c r="L20" i="13"/>
  <c r="BC17" i="12"/>
  <c r="D72" i="2"/>
  <c r="D90" i="2"/>
  <c r="N93" i="2" s="1"/>
  <c r="D78" i="2"/>
  <c r="D74" i="2"/>
  <c r="D75" i="2"/>
  <c r="D80" i="2" s="1"/>
  <c r="I21" i="19"/>
  <c r="X21" i="19" s="1"/>
  <c r="W21" i="18"/>
  <c r="AI14" i="12"/>
  <c r="BF14" i="12"/>
  <c r="AH14" i="12"/>
  <c r="V17" i="21" s="1"/>
  <c r="L18" i="13"/>
  <c r="BC15" i="12"/>
  <c r="W61" i="18"/>
  <c r="I61" i="19"/>
  <c r="X61" i="19" s="1"/>
  <c r="AF46" i="12"/>
  <c r="L46" i="12"/>
  <c r="AJ72" i="17"/>
  <c r="I53" i="19"/>
  <c r="X53" i="19" s="1"/>
  <c r="W53" i="18"/>
  <c r="I50" i="19"/>
  <c r="X50" i="19" s="1"/>
  <c r="W50" i="18"/>
  <c r="O15" i="12"/>
  <c r="P15" i="12"/>
  <c r="I54" i="19"/>
  <c r="X54" i="19" s="1"/>
  <c r="W54" i="18"/>
  <c r="AJ31" i="17"/>
  <c r="AJ70" i="17"/>
  <c r="L90" i="12"/>
  <c r="AF90" i="12"/>
  <c r="I49" i="19"/>
  <c r="X49" i="19" s="1"/>
  <c r="W49" i="18"/>
  <c r="L68" i="12"/>
  <c r="AF68" i="12"/>
  <c r="G78" i="2"/>
  <c r="G75" i="2"/>
  <c r="G72" i="2"/>
  <c r="G74" i="2"/>
  <c r="Z16" i="18" s="1"/>
  <c r="G90" i="2"/>
  <c r="R25" i="12"/>
  <c r="AJ24" i="17"/>
  <c r="AJ73" i="17"/>
  <c r="AF59" i="12"/>
  <c r="L59" i="12"/>
  <c r="L21" i="13"/>
  <c r="BC18" i="12"/>
  <c r="R72" i="12"/>
  <c r="AJ60" i="17"/>
  <c r="R22" i="12"/>
  <c r="AJ57" i="17"/>
  <c r="AQ51" i="12" l="1"/>
  <c r="G23" i="20"/>
  <c r="AQ65" i="12"/>
  <c r="AQ93" i="12"/>
  <c r="AQ72" i="12"/>
  <c r="AQ44" i="12"/>
  <c r="AQ58" i="12"/>
  <c r="AQ79" i="12"/>
  <c r="F27" i="21"/>
  <c r="F27" i="20"/>
  <c r="H34" i="21"/>
  <c r="I34" i="21" s="1"/>
  <c r="G34" i="20"/>
  <c r="F30" i="20"/>
  <c r="F30" i="21"/>
  <c r="R17" i="21"/>
  <c r="T17" i="21" s="1"/>
  <c r="O17" i="21"/>
  <c r="F29" i="21"/>
  <c r="F29" i="20"/>
  <c r="G31" i="20"/>
  <c r="H31" i="21"/>
  <c r="I31" i="21" s="1"/>
  <c r="F31" i="21"/>
  <c r="F31" i="20"/>
  <c r="H36" i="21"/>
  <c r="I36" i="21" s="1"/>
  <c r="G36" i="20"/>
  <c r="F36" i="20"/>
  <c r="F36" i="21"/>
  <c r="F32" i="21"/>
  <c r="F32" i="20"/>
  <c r="F34" i="21"/>
  <c r="F34" i="20"/>
  <c r="Q21" i="21"/>
  <c r="S21" i="21"/>
  <c r="U21" i="21" s="1"/>
  <c r="F33" i="20"/>
  <c r="F33" i="21"/>
  <c r="R22" i="21"/>
  <c r="T22" i="21" s="1"/>
  <c r="O22" i="21"/>
  <c r="O18" i="21"/>
  <c r="R18" i="21"/>
  <c r="T18" i="21" s="1"/>
  <c r="H29" i="21"/>
  <c r="I29" i="21" s="1"/>
  <c r="G29" i="20"/>
  <c r="H32" i="21"/>
  <c r="I32" i="21" s="1"/>
  <c r="G32" i="20"/>
  <c r="G30" i="13"/>
  <c r="H30" i="21"/>
  <c r="I30" i="21" s="1"/>
  <c r="G30" i="20"/>
  <c r="S20" i="21"/>
  <c r="U20" i="21" s="1"/>
  <c r="Q20" i="21"/>
  <c r="S19" i="21"/>
  <c r="U19" i="21" s="1"/>
  <c r="Q19" i="21"/>
  <c r="O21" i="21"/>
  <c r="R21" i="21"/>
  <c r="T21" i="21" s="1"/>
  <c r="S17" i="21"/>
  <c r="U17" i="21" s="1"/>
  <c r="Q17" i="21"/>
  <c r="H33" i="21"/>
  <c r="I33" i="21" s="1"/>
  <c r="G33" i="20"/>
  <c r="R20" i="21"/>
  <c r="T20" i="21" s="1"/>
  <c r="O20" i="21"/>
  <c r="R19" i="21"/>
  <c r="T19" i="21" s="1"/>
  <c r="O19" i="21"/>
  <c r="G24" i="13"/>
  <c r="G24" i="20"/>
  <c r="H24" i="21"/>
  <c r="I24" i="21" s="1"/>
  <c r="F23" i="21"/>
  <c r="F23" i="20"/>
  <c r="AG25" i="12"/>
  <c r="BC50" i="12" s="1"/>
  <c r="BF50" i="12" s="1"/>
  <c r="F24" i="21"/>
  <c r="F24" i="20"/>
  <c r="S22" i="21"/>
  <c r="U22" i="21" s="1"/>
  <c r="Q22" i="21"/>
  <c r="Q18" i="21"/>
  <c r="S18" i="21"/>
  <c r="U18" i="21" s="1"/>
  <c r="H29" i="14"/>
  <c r="I29" i="14" s="1"/>
  <c r="AG22" i="12"/>
  <c r="BC49" i="12" s="1"/>
  <c r="BG49" i="12" s="1"/>
  <c r="AG79" i="12"/>
  <c r="BC60" i="12" s="1"/>
  <c r="BG60" i="12" s="1"/>
  <c r="K93" i="2"/>
  <c r="K101" i="2" s="1"/>
  <c r="BG55" i="12"/>
  <c r="BF55" i="12"/>
  <c r="AR16" i="12"/>
  <c r="BH45" i="12"/>
  <c r="AR15" i="12"/>
  <c r="BH44" i="12"/>
  <c r="AR18" i="12"/>
  <c r="BH47" i="12"/>
  <c r="AR17" i="12"/>
  <c r="BH46" i="12"/>
  <c r="BG63" i="12"/>
  <c r="BF63" i="12"/>
  <c r="AR14" i="12"/>
  <c r="BH43" i="12"/>
  <c r="AR19" i="12"/>
  <c r="BH48" i="12"/>
  <c r="T93" i="2"/>
  <c r="T103" i="2" s="1"/>
  <c r="AG72" i="12"/>
  <c r="BC59" i="12" s="1"/>
  <c r="W93" i="18"/>
  <c r="Z93" i="18" s="1"/>
  <c r="W44" i="18"/>
  <c r="Z44" i="18" s="1"/>
  <c r="AG58" i="12"/>
  <c r="BC57" i="12" s="1"/>
  <c r="W22" i="18"/>
  <c r="Z22" i="18" s="1"/>
  <c r="N102" i="2"/>
  <c r="N99" i="2"/>
  <c r="N100" i="2" s="1"/>
  <c r="N101" i="2"/>
  <c r="J73" i="2"/>
  <c r="W76" i="2"/>
  <c r="P76" i="2"/>
  <c r="M76" i="2"/>
  <c r="N76" i="2"/>
  <c r="W78" i="2"/>
  <c r="P78" i="2"/>
  <c r="N78" i="2"/>
  <c r="G36" i="13"/>
  <c r="H35" i="14"/>
  <c r="I35" i="14" s="1"/>
  <c r="S22" i="12"/>
  <c r="L23" i="20" s="1"/>
  <c r="BB20" i="12"/>
  <c r="S25" i="12"/>
  <c r="L24" i="20" s="1"/>
  <c r="BB21" i="12"/>
  <c r="X58" i="19"/>
  <c r="BB27" i="12"/>
  <c r="S51" i="12"/>
  <c r="L30" i="20" s="1"/>
  <c r="X44" i="19"/>
  <c r="AJ34" i="9"/>
  <c r="AO32" i="9"/>
  <c r="I93" i="2"/>
  <c r="I99" i="2" s="1"/>
  <c r="I100" i="2" s="1"/>
  <c r="F93" i="2"/>
  <c r="H73" i="2"/>
  <c r="O44" i="12"/>
  <c r="P44" i="12"/>
  <c r="AJ72" i="6"/>
  <c r="F32" i="14"/>
  <c r="AK72" i="6"/>
  <c r="F33" i="13"/>
  <c r="BB24" i="12"/>
  <c r="S34" i="12"/>
  <c r="L27" i="20" s="1"/>
  <c r="X79" i="19"/>
  <c r="AJ51" i="9"/>
  <c r="AO45" i="9"/>
  <c r="Q17" i="14"/>
  <c r="U17" i="14"/>
  <c r="BB29" i="12"/>
  <c r="S65" i="12"/>
  <c r="L32" i="20" s="1"/>
  <c r="AA18" i="14"/>
  <c r="AO52" i="9"/>
  <c r="AJ58" i="9"/>
  <c r="X20" i="14"/>
  <c r="BG18" i="12"/>
  <c r="AH25" i="12"/>
  <c r="V24" i="21" s="1"/>
  <c r="AJ34" i="6"/>
  <c r="AK34" i="6"/>
  <c r="F27" i="13"/>
  <c r="F26" i="14"/>
  <c r="Q93" i="2"/>
  <c r="U93" i="2"/>
  <c r="M93" i="2"/>
  <c r="O21" i="14"/>
  <c r="T21" i="14"/>
  <c r="V21" i="14" s="1"/>
  <c r="X93" i="19"/>
  <c r="X18" i="14"/>
  <c r="BG16" i="12"/>
  <c r="I73" i="2"/>
  <c r="O17" i="13"/>
  <c r="AB17" i="21" s="1"/>
  <c r="AF17" i="21" s="1"/>
  <c r="AO23" i="9"/>
  <c r="AJ25" i="9"/>
  <c r="W51" i="18"/>
  <c r="Z51" i="18" s="1"/>
  <c r="AI94" i="12"/>
  <c r="AH94" i="12"/>
  <c r="V37" i="21" s="1"/>
  <c r="BF34" i="12"/>
  <c r="Z19" i="14"/>
  <c r="AG93" i="12"/>
  <c r="BC62" i="12" s="1"/>
  <c r="F33" i="14"/>
  <c r="F34" i="13"/>
  <c r="AJ79" i="6"/>
  <c r="AK79" i="6"/>
  <c r="X22" i="19"/>
  <c r="W72" i="18"/>
  <c r="Z72" i="18" s="1"/>
  <c r="Z17" i="14"/>
  <c r="Q20" i="14"/>
  <c r="U20" i="14"/>
  <c r="Y73" i="2"/>
  <c r="AJ58" i="6"/>
  <c r="F30" i="14"/>
  <c r="F31" i="13"/>
  <c r="AK58" i="6"/>
  <c r="BJ16" i="12"/>
  <c r="AO16" i="12"/>
  <c r="BK16" i="12" s="1"/>
  <c r="AJ44" i="9"/>
  <c r="AO38" i="9"/>
  <c r="AJ93" i="9"/>
  <c r="AO87" i="9"/>
  <c r="P25" i="12"/>
  <c r="O25" i="12"/>
  <c r="E93" i="2"/>
  <c r="H33" i="14"/>
  <c r="I33" i="14" s="1"/>
  <c r="G34" i="13"/>
  <c r="X19" i="14"/>
  <c r="BG17" i="12"/>
  <c r="O19" i="14"/>
  <c r="T19" i="14"/>
  <c r="V19" i="14" s="1"/>
  <c r="X72" i="19"/>
  <c r="T16" i="14"/>
  <c r="O16" i="14"/>
  <c r="M78" i="2"/>
  <c r="Z18" i="14"/>
  <c r="W34" i="18"/>
  <c r="Z34" i="18" s="1"/>
  <c r="BJ18" i="12"/>
  <c r="AO18" i="12"/>
  <c r="BK18" i="12" s="1"/>
  <c r="O93" i="2"/>
  <c r="O101" i="2" s="1"/>
  <c r="V93" i="2"/>
  <c r="X93" i="2"/>
  <c r="S93" i="2"/>
  <c r="G93" i="2"/>
  <c r="G101" i="2" s="1"/>
  <c r="AG51" i="12"/>
  <c r="BC56" i="12" s="1"/>
  <c r="Q21" i="14"/>
  <c r="U21" i="14"/>
  <c r="W21" i="14" s="1"/>
  <c r="AK93" i="6"/>
  <c r="AJ93" i="6"/>
  <c r="F36" i="13"/>
  <c r="F35" i="14"/>
  <c r="T18" i="14"/>
  <c r="V18" i="14" s="1"/>
  <c r="O18" i="14"/>
  <c r="AO20" i="9"/>
  <c r="AJ22" i="9"/>
  <c r="P34" i="12"/>
  <c r="O34" i="12"/>
  <c r="AO66" i="9"/>
  <c r="AJ72" i="9"/>
  <c r="Q19" i="14"/>
  <c r="U19" i="14"/>
  <c r="W19" i="14" s="1"/>
  <c r="W65" i="18"/>
  <c r="Z65" i="18" s="1"/>
  <c r="U16" i="14"/>
  <c r="Q16" i="14"/>
  <c r="AA17" i="14"/>
  <c r="M73" i="2"/>
  <c r="X34" i="19"/>
  <c r="H31" i="14"/>
  <c r="I31" i="14" s="1"/>
  <c r="G32" i="13"/>
  <c r="O20" i="14"/>
  <c r="T20" i="14"/>
  <c r="AG65" i="12"/>
  <c r="BC58" i="12" s="1"/>
  <c r="O72" i="12"/>
  <c r="P72" i="12"/>
  <c r="O73" i="2"/>
  <c r="O99" i="2"/>
  <c r="O100" i="2" s="1"/>
  <c r="BB30" i="12"/>
  <c r="S72" i="12"/>
  <c r="L33" i="20" s="1"/>
  <c r="X16" i="14"/>
  <c r="BG14" i="12"/>
  <c r="AA21" i="14"/>
  <c r="R93" i="2"/>
  <c r="H93" i="2"/>
  <c r="P51" i="12"/>
  <c r="O51" i="12"/>
  <c r="AA20" i="14"/>
  <c r="BJ17" i="12"/>
  <c r="AO17" i="12"/>
  <c r="BK17" i="12" s="1"/>
  <c r="F29" i="13"/>
  <c r="AK44" i="6"/>
  <c r="AJ44" i="6"/>
  <c r="F28" i="14"/>
  <c r="Q18" i="14"/>
  <c r="U18" i="14"/>
  <c r="W18" i="14" s="1"/>
  <c r="P58" i="12"/>
  <c r="O58" i="12"/>
  <c r="AK65" i="6"/>
  <c r="F32" i="13"/>
  <c r="AJ65" i="6"/>
  <c r="F31" i="14"/>
  <c r="AG34" i="12"/>
  <c r="BC53" i="12" s="1"/>
  <c r="O79" i="12"/>
  <c r="P79" i="12"/>
  <c r="X65" i="19"/>
  <c r="H30" i="14"/>
  <c r="I30" i="14" s="1"/>
  <c r="G31" i="13"/>
  <c r="AO73" i="9"/>
  <c r="AJ79" i="9"/>
  <c r="Q101" i="2"/>
  <c r="P93" i="12"/>
  <c r="O93" i="12"/>
  <c r="Q73" i="2"/>
  <c r="Q99" i="2"/>
  <c r="Q100" i="2" s="1"/>
  <c r="S44" i="12"/>
  <c r="L29" i="20" s="1"/>
  <c r="BB26" i="12"/>
  <c r="BJ15" i="12"/>
  <c r="AO15" i="12"/>
  <c r="BK15" i="12" s="1"/>
  <c r="F23" i="13"/>
  <c r="AK22" i="6"/>
  <c r="AJ22" i="6"/>
  <c r="F22" i="14"/>
  <c r="L93" i="2"/>
  <c r="S58" i="12"/>
  <c r="L31" i="20" s="1"/>
  <c r="BB28" i="12"/>
  <c r="W25" i="18"/>
  <c r="Z25" i="18" s="1"/>
  <c r="Z20" i="14"/>
  <c r="AO19" i="12"/>
  <c r="BK19" i="12" s="1"/>
  <c r="BJ19" i="12"/>
  <c r="AJ25" i="6"/>
  <c r="AK25" i="6"/>
  <c r="F23" i="14"/>
  <c r="F24" i="13"/>
  <c r="O17" i="14"/>
  <c r="T17" i="14"/>
  <c r="V17" i="14" s="1"/>
  <c r="S93" i="12"/>
  <c r="L36" i="20" s="1"/>
  <c r="BB33" i="12"/>
  <c r="AK51" i="6"/>
  <c r="F29" i="14"/>
  <c r="AJ51" i="6"/>
  <c r="F30" i="13"/>
  <c r="X17" i="14"/>
  <c r="BG15" i="12"/>
  <c r="X21" i="14"/>
  <c r="BG19" i="12"/>
  <c r="P65" i="12"/>
  <c r="O65" i="12"/>
  <c r="X51" i="19"/>
  <c r="G73" i="2"/>
  <c r="W93" i="2"/>
  <c r="Z93" i="2"/>
  <c r="D73" i="2"/>
  <c r="AO14" i="12"/>
  <c r="BK14" i="12" s="1"/>
  <c r="BJ14" i="12"/>
  <c r="W58" i="18"/>
  <c r="Z58" i="18" s="1"/>
  <c r="P22" i="12"/>
  <c r="O22" i="12"/>
  <c r="Z21" i="14"/>
  <c r="Y93" i="2"/>
  <c r="Y102" i="2" s="1"/>
  <c r="P93" i="2"/>
  <c r="J93" i="2"/>
  <c r="X25" i="19"/>
  <c r="AI44" i="12"/>
  <c r="AH44" i="12"/>
  <c r="V29" i="21" s="1"/>
  <c r="BF26" i="12"/>
  <c r="N17" i="13"/>
  <c r="AA17" i="21" s="1"/>
  <c r="L34" i="13"/>
  <c r="BC31" i="12"/>
  <c r="H28" i="14"/>
  <c r="I28" i="14" s="1"/>
  <c r="G29" i="13"/>
  <c r="AA19" i="14"/>
  <c r="W79" i="18"/>
  <c r="Z79" i="18" s="1"/>
  <c r="G33" i="13"/>
  <c r="H32" i="14"/>
  <c r="I32" i="14" s="1"/>
  <c r="K73" i="2"/>
  <c r="AO59" i="9"/>
  <c r="AJ65" i="9"/>
  <c r="AI25" i="12" l="1"/>
  <c r="BR46" i="12"/>
  <c r="AI22" i="12"/>
  <c r="BF21" i="12"/>
  <c r="BG50" i="12"/>
  <c r="G99" i="2"/>
  <c r="G100" i="2" s="1"/>
  <c r="J23" i="20"/>
  <c r="H23" i="20"/>
  <c r="Q23" i="20" s="1"/>
  <c r="I23" i="20"/>
  <c r="R23" i="20" s="1"/>
  <c r="K23" i="20"/>
  <c r="I34" i="20"/>
  <c r="R34" i="20" s="1"/>
  <c r="K34" i="20"/>
  <c r="J34" i="20"/>
  <c r="H34" i="20"/>
  <c r="Q34" i="20" s="1"/>
  <c r="I31" i="20"/>
  <c r="R31" i="20" s="1"/>
  <c r="H31" i="20"/>
  <c r="Q31" i="20" s="1"/>
  <c r="J31" i="20"/>
  <c r="K31" i="20"/>
  <c r="G30" i="21"/>
  <c r="N30" i="21"/>
  <c r="P30" i="21"/>
  <c r="K103" i="2"/>
  <c r="Y19" i="10" s="1"/>
  <c r="G34" i="21"/>
  <c r="P34" i="21"/>
  <c r="N34" i="21"/>
  <c r="G31" i="21"/>
  <c r="N31" i="21"/>
  <c r="P31" i="21"/>
  <c r="J30" i="20"/>
  <c r="H30" i="20"/>
  <c r="Q30" i="20" s="1"/>
  <c r="I30" i="20"/>
  <c r="R30" i="20" s="1"/>
  <c r="K30" i="20"/>
  <c r="K102" i="2"/>
  <c r="K32" i="20"/>
  <c r="J32" i="20"/>
  <c r="H32" i="20"/>
  <c r="Q32" i="20" s="1"/>
  <c r="I32" i="20"/>
  <c r="R32" i="20" s="1"/>
  <c r="J24" i="20"/>
  <c r="K24" i="20"/>
  <c r="I24" i="20"/>
  <c r="R24" i="20" s="1"/>
  <c r="H24" i="20"/>
  <c r="Q24" i="20" s="1"/>
  <c r="G32" i="21"/>
  <c r="N32" i="21"/>
  <c r="P32" i="21"/>
  <c r="G23" i="21"/>
  <c r="N23" i="21"/>
  <c r="P23" i="21"/>
  <c r="G24" i="21"/>
  <c r="N24" i="21"/>
  <c r="P24" i="21"/>
  <c r="G33" i="21"/>
  <c r="N33" i="21"/>
  <c r="P33" i="21"/>
  <c r="G36" i="21"/>
  <c r="N36" i="21"/>
  <c r="P36" i="21"/>
  <c r="H29" i="20"/>
  <c r="Q29" i="20" s="1"/>
  <c r="K29" i="20"/>
  <c r="J29" i="20"/>
  <c r="I29" i="20"/>
  <c r="R29" i="20" s="1"/>
  <c r="J27" i="20"/>
  <c r="H27" i="20"/>
  <c r="Q27" i="20" s="1"/>
  <c r="K27" i="20"/>
  <c r="I27" i="20"/>
  <c r="R27" i="20" s="1"/>
  <c r="K99" i="2"/>
  <c r="K100" i="2" s="1"/>
  <c r="I33" i="20"/>
  <c r="R33" i="20" s="1"/>
  <c r="J33" i="20"/>
  <c r="K33" i="20"/>
  <c r="H33" i="20"/>
  <c r="Q33" i="20" s="1"/>
  <c r="I36" i="20"/>
  <c r="R36" i="20" s="1"/>
  <c r="K36" i="20"/>
  <c r="H36" i="20"/>
  <c r="Q36" i="20" s="1"/>
  <c r="J36" i="20"/>
  <c r="G29" i="21"/>
  <c r="N29" i="21"/>
  <c r="P29" i="21"/>
  <c r="G27" i="21"/>
  <c r="P27" i="21"/>
  <c r="N27" i="21"/>
  <c r="BF20" i="12"/>
  <c r="AH79" i="12"/>
  <c r="V34" i="21" s="1"/>
  <c r="BF49" i="12"/>
  <c r="AH22" i="12"/>
  <c r="V23" i="21" s="1"/>
  <c r="BR45" i="12"/>
  <c r="AH72" i="12"/>
  <c r="V33" i="21" s="1"/>
  <c r="BF30" i="12"/>
  <c r="AI72" i="12"/>
  <c r="BF60" i="12"/>
  <c r="BF31" i="12"/>
  <c r="AH58" i="12"/>
  <c r="V31" i="21" s="1"/>
  <c r="AI79" i="12"/>
  <c r="AR34" i="12"/>
  <c r="BH53" i="12"/>
  <c r="AR44" i="12"/>
  <c r="BH55" i="12"/>
  <c r="T101" i="2"/>
  <c r="AI58" i="12"/>
  <c r="AR22" i="12"/>
  <c r="BH49" i="12"/>
  <c r="T99" i="2"/>
  <c r="T100" i="2" s="1"/>
  <c r="BF28" i="12"/>
  <c r="AR58" i="12"/>
  <c r="BH57" i="12"/>
  <c r="AR72" i="12"/>
  <c r="BH59" i="12"/>
  <c r="BF62" i="12"/>
  <c r="BG62" i="12"/>
  <c r="T102" i="2"/>
  <c r="BF58" i="12"/>
  <c r="BG58" i="12"/>
  <c r="BF57" i="12"/>
  <c r="BG57" i="12"/>
  <c r="AR79" i="12"/>
  <c r="BH60" i="12"/>
  <c r="AR25" i="12"/>
  <c r="BH50" i="12"/>
  <c r="AR65" i="12"/>
  <c r="BH58" i="12"/>
  <c r="BF53" i="12"/>
  <c r="BG53" i="12"/>
  <c r="AR51" i="12"/>
  <c r="BH56" i="12"/>
  <c r="AR93" i="12"/>
  <c r="BH62" i="12"/>
  <c r="BF56" i="12"/>
  <c r="BG56" i="12"/>
  <c r="AF53" i="14"/>
  <c r="U5" i="14"/>
  <c r="BG59" i="12"/>
  <c r="BF59" i="12"/>
  <c r="Y101" i="2"/>
  <c r="AO22" i="9"/>
  <c r="AN22" i="9"/>
  <c r="X36" i="14"/>
  <c r="BG34" i="12"/>
  <c r="Y52" i="10"/>
  <c r="Y53" i="10"/>
  <c r="Y51" i="10"/>
  <c r="Y54" i="10"/>
  <c r="Y50" i="10"/>
  <c r="Y49" i="10"/>
  <c r="K30" i="13"/>
  <c r="I30" i="13"/>
  <c r="O30" i="13" s="1"/>
  <c r="AB30" i="21" s="1"/>
  <c r="AF30" i="21" s="1"/>
  <c r="H30" i="13"/>
  <c r="N30" i="13" s="1"/>
  <c r="AA30" i="21" s="1"/>
  <c r="J30" i="13"/>
  <c r="I24" i="13"/>
  <c r="O24" i="13" s="1"/>
  <c r="AB24" i="21" s="1"/>
  <c r="AF24" i="21" s="1"/>
  <c r="J24" i="13"/>
  <c r="H24" i="13"/>
  <c r="N24" i="13" s="1"/>
  <c r="AA24" i="21" s="1"/>
  <c r="K24" i="13"/>
  <c r="I23" i="13"/>
  <c r="H23" i="13"/>
  <c r="K23" i="13"/>
  <c r="J23" i="13"/>
  <c r="AN79" i="9"/>
  <c r="AO79" i="9"/>
  <c r="AI34" i="12"/>
  <c r="AH34" i="12"/>
  <c r="V27" i="21" s="1"/>
  <c r="BF24" i="12"/>
  <c r="BJ28" i="12"/>
  <c r="AO58" i="12"/>
  <c r="BK28" i="12" s="1"/>
  <c r="BJ24" i="12"/>
  <c r="AO34" i="12"/>
  <c r="BK24" i="12" s="1"/>
  <c r="AA16" i="14"/>
  <c r="AN58" i="9"/>
  <c r="AO58" i="9"/>
  <c r="W17" i="14"/>
  <c r="F102" i="2"/>
  <c r="F103" i="2"/>
  <c r="Y14" i="10" s="1"/>
  <c r="F101" i="2"/>
  <c r="F99" i="2"/>
  <c r="F100" i="2" s="1"/>
  <c r="G32" i="14"/>
  <c r="N32" i="14"/>
  <c r="P32" i="14"/>
  <c r="J103" i="2"/>
  <c r="Y18" i="10" s="1"/>
  <c r="J102" i="2"/>
  <c r="Z102" i="2"/>
  <c r="Z99" i="2"/>
  <c r="Z100" i="2" s="1"/>
  <c r="Z101" i="2"/>
  <c r="G29" i="14"/>
  <c r="P29" i="14"/>
  <c r="N29" i="14"/>
  <c r="L31" i="13"/>
  <c r="BC28" i="12"/>
  <c r="BJ33" i="12"/>
  <c r="AO93" i="12"/>
  <c r="BK33" i="12" s="1"/>
  <c r="N31" i="14"/>
  <c r="P31" i="14"/>
  <c r="G31" i="14"/>
  <c r="BJ30" i="12"/>
  <c r="AO72" i="12"/>
  <c r="BK30" i="12" s="1"/>
  <c r="AO25" i="12"/>
  <c r="BK21" i="12" s="1"/>
  <c r="BJ21" i="12"/>
  <c r="H34" i="13"/>
  <c r="N34" i="13" s="1"/>
  <c r="AA34" i="21" s="1"/>
  <c r="J34" i="13"/>
  <c r="I34" i="13"/>
  <c r="O34" i="13" s="1"/>
  <c r="AB34" i="21" s="1"/>
  <c r="AF34" i="21" s="1"/>
  <c r="K34" i="13"/>
  <c r="U102" i="2"/>
  <c r="U103" i="2"/>
  <c r="U99" i="2"/>
  <c r="U100" i="2" s="1"/>
  <c r="U101" i="2"/>
  <c r="L26" i="10"/>
  <c r="L25" i="10"/>
  <c r="AO65" i="9"/>
  <c r="AN65" i="9"/>
  <c r="P102" i="2"/>
  <c r="P101" i="2"/>
  <c r="P99" i="2"/>
  <c r="P100" i="2" s="1"/>
  <c r="W102" i="2"/>
  <c r="W99" i="2"/>
  <c r="W100" i="2" s="1"/>
  <c r="W101" i="2"/>
  <c r="AO65" i="12"/>
  <c r="BK29" i="12" s="1"/>
  <c r="BJ29" i="12"/>
  <c r="L103" i="2"/>
  <c r="L102" i="2"/>
  <c r="L101" i="2"/>
  <c r="L99" i="2"/>
  <c r="L100" i="2" s="1"/>
  <c r="N28" i="14"/>
  <c r="G28" i="14"/>
  <c r="P28" i="14"/>
  <c r="V103" i="2"/>
  <c r="V102" i="2"/>
  <c r="V99" i="2"/>
  <c r="V100" i="2" s="1"/>
  <c r="V101" i="2"/>
  <c r="H31" i="13"/>
  <c r="N31" i="13" s="1"/>
  <c r="AA31" i="21" s="1"/>
  <c r="J31" i="13"/>
  <c r="I31" i="13"/>
  <c r="O31" i="13" s="1"/>
  <c r="AB31" i="21" s="1"/>
  <c r="AF31" i="21" s="1"/>
  <c r="K31" i="13"/>
  <c r="N33" i="14"/>
  <c r="G33" i="14"/>
  <c r="P33" i="14"/>
  <c r="Q102" i="2"/>
  <c r="Q103" i="2"/>
  <c r="AO51" i="9"/>
  <c r="AN51" i="9"/>
  <c r="AO34" i="9"/>
  <c r="AN34" i="9"/>
  <c r="BC20" i="12"/>
  <c r="L23" i="13"/>
  <c r="L24" i="10"/>
  <c r="L23" i="10"/>
  <c r="M102" i="2"/>
  <c r="AO22" i="12"/>
  <c r="BK20" i="12" s="1"/>
  <c r="BJ20" i="12"/>
  <c r="Z16" i="14"/>
  <c r="J32" i="13"/>
  <c r="H32" i="13"/>
  <c r="N32" i="13" s="1"/>
  <c r="AA32" i="21" s="1"/>
  <c r="I32" i="13"/>
  <c r="O32" i="13" s="1"/>
  <c r="AB32" i="21" s="1"/>
  <c r="AF32" i="21" s="1"/>
  <c r="K32" i="13"/>
  <c r="AI65" i="12"/>
  <c r="BF29" i="12"/>
  <c r="AH65" i="12"/>
  <c r="V32" i="21" s="1"/>
  <c r="W16" i="14"/>
  <c r="AO72" i="9"/>
  <c r="AN72" i="9"/>
  <c r="AI51" i="12"/>
  <c r="BF27" i="12"/>
  <c r="AH51" i="12"/>
  <c r="V30" i="21" s="1"/>
  <c r="O102" i="2"/>
  <c r="O103" i="2"/>
  <c r="AN93" i="9"/>
  <c r="AO93" i="9"/>
  <c r="N30" i="14"/>
  <c r="P30" i="14"/>
  <c r="G30" i="14"/>
  <c r="AG17" i="14"/>
  <c r="AE17" i="14"/>
  <c r="P26" i="14"/>
  <c r="G26" i="14"/>
  <c r="N26" i="14"/>
  <c r="L32" i="13"/>
  <c r="BC29" i="12"/>
  <c r="AO44" i="12"/>
  <c r="BK26" i="12" s="1"/>
  <c r="BJ26" i="12"/>
  <c r="L29" i="10"/>
  <c r="L30" i="10"/>
  <c r="W20" i="14"/>
  <c r="BJ27" i="12"/>
  <c r="AO51" i="12"/>
  <c r="BK27" i="12" s="1"/>
  <c r="V20" i="14"/>
  <c r="G103" i="2"/>
  <c r="Y15" i="10" s="1"/>
  <c r="G102" i="2"/>
  <c r="V53" i="14"/>
  <c r="U64" i="14" s="1"/>
  <c r="V16" i="14"/>
  <c r="AI93" i="12"/>
  <c r="BF33" i="12"/>
  <c r="AH93" i="12"/>
  <c r="V36" i="21" s="1"/>
  <c r="AN25" i="9"/>
  <c r="AO25" i="9"/>
  <c r="K27" i="13"/>
  <c r="J27" i="13"/>
  <c r="H27" i="13"/>
  <c r="N27" i="13" s="1"/>
  <c r="AA27" i="21" s="1"/>
  <c r="I27" i="13"/>
  <c r="O27" i="13" s="1"/>
  <c r="AB27" i="21" s="1"/>
  <c r="AF27" i="21" s="1"/>
  <c r="BC24" i="12"/>
  <c r="L27" i="13"/>
  <c r="L30" i="13"/>
  <c r="BC27" i="12"/>
  <c r="L71" i="10"/>
  <c r="L69" i="10"/>
  <c r="L70" i="10"/>
  <c r="L67" i="10"/>
  <c r="L72" i="10"/>
  <c r="L68" i="10"/>
  <c r="BG31" i="12"/>
  <c r="X33" i="14"/>
  <c r="X23" i="14"/>
  <c r="BG21" i="12"/>
  <c r="I102" i="2"/>
  <c r="I103" i="2"/>
  <c r="Y17" i="10" s="1"/>
  <c r="BC33" i="12"/>
  <c r="L36" i="13"/>
  <c r="G22" i="14"/>
  <c r="P22" i="14"/>
  <c r="N22" i="14"/>
  <c r="L33" i="13"/>
  <c r="BC30" i="12"/>
  <c r="BG20" i="12"/>
  <c r="X22" i="14"/>
  <c r="AG20" i="14"/>
  <c r="AE20" i="14"/>
  <c r="BJ31" i="12"/>
  <c r="AO79" i="12"/>
  <c r="BK31" i="12" s="1"/>
  <c r="J29" i="13"/>
  <c r="K29" i="13"/>
  <c r="H29" i="13"/>
  <c r="N29" i="13" s="1"/>
  <c r="AA29" i="21" s="1"/>
  <c r="I29" i="13"/>
  <c r="O29" i="13" s="1"/>
  <c r="AB29" i="21" s="1"/>
  <c r="AF29" i="21" s="1"/>
  <c r="H103" i="2"/>
  <c r="Y16" i="10" s="1"/>
  <c r="H102" i="2"/>
  <c r="M99" i="2"/>
  <c r="M100" i="2" s="1"/>
  <c r="G35" i="14"/>
  <c r="P35" i="14"/>
  <c r="N35" i="14"/>
  <c r="S103" i="2"/>
  <c r="S102" i="2"/>
  <c r="S101" i="2"/>
  <c r="S99" i="2"/>
  <c r="S100" i="2" s="1"/>
  <c r="AN44" i="9"/>
  <c r="AO44" i="9"/>
  <c r="J101" i="2"/>
  <c r="H101" i="2"/>
  <c r="H99" i="2"/>
  <c r="H100" i="2" s="1"/>
  <c r="J99" i="2"/>
  <c r="J100" i="2" s="1"/>
  <c r="N23" i="14"/>
  <c r="P23" i="14"/>
  <c r="G23" i="14"/>
  <c r="L24" i="13"/>
  <c r="BC21" i="12"/>
  <c r="I101" i="2"/>
  <c r="L29" i="13"/>
  <c r="BC26" i="12"/>
  <c r="X28" i="14"/>
  <c r="BG26" i="12"/>
  <c r="AE21" i="14"/>
  <c r="AG21" i="14"/>
  <c r="M101" i="2"/>
  <c r="R103" i="2"/>
  <c r="R102" i="2"/>
  <c r="R99" i="2"/>
  <c r="R100" i="2" s="1"/>
  <c r="R101" i="2"/>
  <c r="K36" i="13"/>
  <c r="I36" i="13"/>
  <c r="O36" i="13" s="1"/>
  <c r="AB36" i="21" s="1"/>
  <c r="AF36" i="21" s="1"/>
  <c r="J36" i="13"/>
  <c r="H36" i="13"/>
  <c r="N36" i="13" s="1"/>
  <c r="AA36" i="21" s="1"/>
  <c r="X103" i="2"/>
  <c r="X102" i="2"/>
  <c r="X101" i="2"/>
  <c r="X99" i="2"/>
  <c r="X100" i="2" s="1"/>
  <c r="AE18" i="14"/>
  <c r="AG18" i="14"/>
  <c r="E102" i="2"/>
  <c r="E103" i="2"/>
  <c r="Y13" i="10" s="1"/>
  <c r="D93" i="2"/>
  <c r="E99" i="2"/>
  <c r="E100" i="2" s="1"/>
  <c r="E101" i="2"/>
  <c r="Y99" i="2"/>
  <c r="Y100" i="2" s="1"/>
  <c r="AE19" i="14"/>
  <c r="AG19" i="14"/>
  <c r="K33" i="13"/>
  <c r="I33" i="13"/>
  <c r="O33" i="13" s="1"/>
  <c r="AB33" i="21" s="1"/>
  <c r="AF33" i="21" s="1"/>
  <c r="J33" i="13"/>
  <c r="H33" i="13"/>
  <c r="N33" i="13" s="1"/>
  <c r="AA33" i="21" s="1"/>
  <c r="X30" i="14" l="1"/>
  <c r="BG28" i="12"/>
  <c r="O27" i="23"/>
  <c r="Q27" i="23" s="1"/>
  <c r="T27" i="23" s="1"/>
  <c r="O27" i="22"/>
  <c r="Q27" i="22" s="1"/>
  <c r="S27" i="21"/>
  <c r="U27" i="21" s="1"/>
  <c r="Q27" i="21"/>
  <c r="R23" i="21"/>
  <c r="T23" i="21" s="1"/>
  <c r="O23" i="21"/>
  <c r="O66" i="23"/>
  <c r="Q66" i="23" s="1"/>
  <c r="T66" i="23" s="1"/>
  <c r="O66" i="22"/>
  <c r="Q66" i="22" s="1"/>
  <c r="O26" i="23"/>
  <c r="Q26" i="23" s="1"/>
  <c r="T26" i="23" s="1"/>
  <c r="O26" i="22"/>
  <c r="Q26" i="22" s="1"/>
  <c r="Q33" i="21"/>
  <c r="S33" i="21"/>
  <c r="U33" i="21" s="1"/>
  <c r="Q30" i="21"/>
  <c r="S30" i="21"/>
  <c r="U30" i="21" s="1"/>
  <c r="O30" i="21"/>
  <c r="R30" i="21"/>
  <c r="T30" i="21" s="1"/>
  <c r="O20" i="23"/>
  <c r="Q20" i="23" s="1"/>
  <c r="T20" i="23" s="1"/>
  <c r="O20" i="22"/>
  <c r="Q20" i="22" s="1"/>
  <c r="O25" i="10"/>
  <c r="R25" i="10" s="1"/>
  <c r="W25" i="10" s="1"/>
  <c r="O22" i="23"/>
  <c r="Q22" i="23" s="1"/>
  <c r="T22" i="23" s="1"/>
  <c r="O22" i="22"/>
  <c r="Q22" i="22" s="1"/>
  <c r="O29" i="21"/>
  <c r="R29" i="21"/>
  <c r="T29" i="21" s="1"/>
  <c r="O32" i="21"/>
  <c r="R32" i="21"/>
  <c r="T32" i="21" s="1"/>
  <c r="R31" i="21"/>
  <c r="T31" i="21" s="1"/>
  <c r="O31" i="21"/>
  <c r="O68" i="23"/>
  <c r="Q68" i="23" s="1"/>
  <c r="T68" i="23" s="1"/>
  <c r="O68" i="22"/>
  <c r="Q68" i="22" s="1"/>
  <c r="Q31" i="21"/>
  <c r="S31" i="21"/>
  <c r="U31" i="21" s="1"/>
  <c r="Y20" i="10"/>
  <c r="AA20" i="10" s="1"/>
  <c r="AB20" i="10" s="1"/>
  <c r="O21" i="23"/>
  <c r="Q21" i="23" s="1"/>
  <c r="T21" i="23" s="1"/>
  <c r="O21" i="22"/>
  <c r="Q21" i="22" s="1"/>
  <c r="O23" i="23"/>
  <c r="Q23" i="23" s="1"/>
  <c r="T23" i="23" s="1"/>
  <c r="O23" i="22"/>
  <c r="Q23" i="22" s="1"/>
  <c r="S24" i="21"/>
  <c r="U24" i="21" s="1"/>
  <c r="Q24" i="21"/>
  <c r="S32" i="21"/>
  <c r="U32" i="21" s="1"/>
  <c r="Q32" i="21"/>
  <c r="O65" i="22"/>
  <c r="Q65" i="22" s="1"/>
  <c r="O65" i="23"/>
  <c r="Q65" i="23" s="1"/>
  <c r="T65" i="23" s="1"/>
  <c r="R24" i="21"/>
  <c r="T24" i="21" s="1"/>
  <c r="O24" i="21"/>
  <c r="R34" i="21"/>
  <c r="T34" i="21" s="1"/>
  <c r="O34" i="21"/>
  <c r="O33" i="21"/>
  <c r="R33" i="21"/>
  <c r="T33" i="21" s="1"/>
  <c r="O69" i="22"/>
  <c r="Q69" i="22" s="1"/>
  <c r="O69" i="23"/>
  <c r="Q69" i="23" s="1"/>
  <c r="T69" i="23" s="1"/>
  <c r="S36" i="21"/>
  <c r="U36" i="21" s="1"/>
  <c r="Q36" i="21"/>
  <c r="Q34" i="21"/>
  <c r="S34" i="21"/>
  <c r="U34" i="21" s="1"/>
  <c r="O67" i="23"/>
  <c r="Q67" i="23" s="1"/>
  <c r="T67" i="23" s="1"/>
  <c r="O67" i="22"/>
  <c r="Q67" i="22" s="1"/>
  <c r="Q29" i="21"/>
  <c r="S29" i="21"/>
  <c r="U29" i="21" s="1"/>
  <c r="O64" i="23"/>
  <c r="Q64" i="23" s="1"/>
  <c r="T64" i="23" s="1"/>
  <c r="O64" i="22"/>
  <c r="Q64" i="22" s="1"/>
  <c r="R27" i="21"/>
  <c r="T27" i="21" s="1"/>
  <c r="O27" i="21"/>
  <c r="R36" i="21"/>
  <c r="T36" i="21" s="1"/>
  <c r="O36" i="21"/>
  <c r="Q23" i="21"/>
  <c r="S23" i="21"/>
  <c r="U23" i="21" s="1"/>
  <c r="U14" i="23"/>
  <c r="W14" i="23" s="1"/>
  <c r="R14" i="22"/>
  <c r="S14" i="22" s="1"/>
  <c r="U15" i="23"/>
  <c r="W15" i="23" s="1"/>
  <c r="R15" i="22"/>
  <c r="S15" i="22" s="1"/>
  <c r="U47" i="23"/>
  <c r="W47" i="23" s="1"/>
  <c r="R47" i="22"/>
  <c r="S47" i="22" s="1"/>
  <c r="R46" i="22"/>
  <c r="S46" i="22" s="1"/>
  <c r="U46" i="23"/>
  <c r="W46" i="23" s="1"/>
  <c r="U16" i="23"/>
  <c r="W16" i="23" s="1"/>
  <c r="R16" i="22"/>
  <c r="S16" i="22" s="1"/>
  <c r="R51" i="22"/>
  <c r="S51" i="22" s="1"/>
  <c r="U51" i="23"/>
  <c r="W51" i="23" s="1"/>
  <c r="X32" i="14"/>
  <c r="R12" i="22"/>
  <c r="S12" i="22" s="1"/>
  <c r="U12" i="23"/>
  <c r="W12" i="23" s="1"/>
  <c r="U48" i="23"/>
  <c r="W48" i="23" s="1"/>
  <c r="R48" i="22"/>
  <c r="S48" i="22" s="1"/>
  <c r="R50" i="22"/>
  <c r="S50" i="22" s="1"/>
  <c r="U50" i="23"/>
  <c r="W50" i="23" s="1"/>
  <c r="U10" i="23"/>
  <c r="W10" i="23" s="1"/>
  <c r="R10" i="22"/>
  <c r="S10" i="22" s="1"/>
  <c r="U49" i="23"/>
  <c r="W49" i="23" s="1"/>
  <c r="R49" i="22"/>
  <c r="S49" i="22" s="1"/>
  <c r="BG30" i="12"/>
  <c r="U13" i="23"/>
  <c r="W13" i="23" s="1"/>
  <c r="R13" i="22"/>
  <c r="S13" i="22" s="1"/>
  <c r="R11" i="22"/>
  <c r="S11" i="22" s="1"/>
  <c r="U11" i="23"/>
  <c r="W11" i="23" s="1"/>
  <c r="Z64" i="14"/>
  <c r="AE64" i="14" s="1"/>
  <c r="E17" i="18"/>
  <c r="I17" i="18" s="1"/>
  <c r="AB17" i="18" s="1"/>
  <c r="K17" i="11"/>
  <c r="AL12" i="17"/>
  <c r="E17" i="19"/>
  <c r="J17" i="19" s="1"/>
  <c r="AB17" i="19" s="1"/>
  <c r="AJ17" i="19" s="1"/>
  <c r="AA16" i="10"/>
  <c r="AB16" i="10" s="1"/>
  <c r="W53" i="14"/>
  <c r="AA32" i="14"/>
  <c r="Q35" i="14"/>
  <c r="U35" i="14"/>
  <c r="W35" i="14" s="1"/>
  <c r="Z35" i="14"/>
  <c r="T22" i="14"/>
  <c r="O22" i="14"/>
  <c r="F72" i="5"/>
  <c r="G72" i="5" s="1"/>
  <c r="H72" i="5" s="1"/>
  <c r="E70" i="11"/>
  <c r="H70" i="11" s="1"/>
  <c r="F70" i="4"/>
  <c r="G70" i="4" s="1"/>
  <c r="E82" i="6"/>
  <c r="I82" i="6" s="1"/>
  <c r="AB82" i="6" s="1"/>
  <c r="O65" i="17"/>
  <c r="O69" i="10"/>
  <c r="R69" i="10" s="1"/>
  <c r="Q30" i="14"/>
  <c r="U30" i="14"/>
  <c r="W30" i="14" s="1"/>
  <c r="AG16" i="14"/>
  <c r="AE16" i="14"/>
  <c r="Q33" i="14"/>
  <c r="U33" i="14"/>
  <c r="W33" i="14" s="1"/>
  <c r="AA33" i="14"/>
  <c r="Q29" i="14"/>
  <c r="U29" i="14"/>
  <c r="W29" i="14" s="1"/>
  <c r="O32" i="14"/>
  <c r="T32" i="14"/>
  <c r="V32" i="14" s="1"/>
  <c r="AA23" i="14"/>
  <c r="E61" i="18"/>
  <c r="I61" i="18" s="1"/>
  <c r="AB61" i="18" s="1"/>
  <c r="AA51" i="10"/>
  <c r="AB51" i="10" s="1"/>
  <c r="E61" i="19"/>
  <c r="J61" i="19" s="1"/>
  <c r="AB61" i="19" s="1"/>
  <c r="AJ61" i="19" s="1"/>
  <c r="AO61" i="19" s="1"/>
  <c r="AL47" i="17"/>
  <c r="K52" i="11"/>
  <c r="Y39" i="10"/>
  <c r="Y40" i="10"/>
  <c r="Y41" i="10"/>
  <c r="Y42" i="10"/>
  <c r="Y37" i="10"/>
  <c r="Y38" i="10"/>
  <c r="AA35" i="14"/>
  <c r="AA28" i="14"/>
  <c r="O33" i="14"/>
  <c r="T33" i="14"/>
  <c r="V33" i="14" s="1"/>
  <c r="Y64" i="10"/>
  <c r="Y66" i="10"/>
  <c r="Y65" i="10"/>
  <c r="Y61" i="10"/>
  <c r="Y62" i="10"/>
  <c r="Y63" i="10"/>
  <c r="E30" i="6"/>
  <c r="I30" i="6" s="1"/>
  <c r="AB30" i="6" s="1"/>
  <c r="E27" i="11"/>
  <c r="H27" i="11" s="1"/>
  <c r="O26" i="10"/>
  <c r="R26" i="10" s="1"/>
  <c r="O22" i="17"/>
  <c r="F27" i="4"/>
  <c r="G27" i="4" s="1"/>
  <c r="F29" i="5"/>
  <c r="G29" i="5" s="1"/>
  <c r="H29" i="5" s="1"/>
  <c r="Z33" i="14"/>
  <c r="O31" i="14"/>
  <c r="T31" i="14"/>
  <c r="V31" i="14" s="1"/>
  <c r="Z29" i="14"/>
  <c r="K53" i="11"/>
  <c r="E62" i="18"/>
  <c r="I62" i="18" s="1"/>
  <c r="AB62" i="18" s="1"/>
  <c r="AA52" i="10"/>
  <c r="AB52" i="10" s="1"/>
  <c r="E62" i="19"/>
  <c r="J62" i="19" s="1"/>
  <c r="AB62" i="19" s="1"/>
  <c r="AJ62" i="19" s="1"/>
  <c r="AO62" i="19" s="1"/>
  <c r="AL48" i="17"/>
  <c r="T26" i="14"/>
  <c r="O26" i="14"/>
  <c r="Y22" i="10"/>
  <c r="Y21" i="10"/>
  <c r="K54" i="11"/>
  <c r="AA53" i="10"/>
  <c r="AB53" i="10" s="1"/>
  <c r="E63" i="19"/>
  <c r="J63" i="19" s="1"/>
  <c r="AB63" i="19" s="1"/>
  <c r="AJ63" i="19" s="1"/>
  <c r="AO63" i="19" s="1"/>
  <c r="E63" i="18"/>
  <c r="I63" i="18" s="1"/>
  <c r="AB63" i="18" s="1"/>
  <c r="AL49" i="17"/>
  <c r="Z32" i="14"/>
  <c r="Y46" i="10"/>
  <c r="Y43" i="10"/>
  <c r="Y45" i="10"/>
  <c r="Y44" i="10"/>
  <c r="Y47" i="10"/>
  <c r="Y48" i="10"/>
  <c r="Z28" i="14"/>
  <c r="AA15" i="10"/>
  <c r="AB15" i="10" s="1"/>
  <c r="AL11" i="17"/>
  <c r="E16" i="18"/>
  <c r="I16" i="18" s="1"/>
  <c r="AB16" i="18" s="1"/>
  <c r="E16" i="19"/>
  <c r="J16" i="19" s="1"/>
  <c r="AB16" i="19" s="1"/>
  <c r="AJ16" i="19" s="1"/>
  <c r="K16" i="11"/>
  <c r="E36" i="6"/>
  <c r="I36" i="6" s="1"/>
  <c r="AB36" i="6" s="1"/>
  <c r="E31" i="11"/>
  <c r="H31" i="11" s="1"/>
  <c r="F31" i="4"/>
  <c r="G31" i="4" s="1"/>
  <c r="F33" i="5"/>
  <c r="G33" i="5" s="1"/>
  <c r="H33" i="5" s="1"/>
  <c r="O26" i="17"/>
  <c r="O30" i="10"/>
  <c r="R30" i="10" s="1"/>
  <c r="U26" i="14"/>
  <c r="W26" i="14" s="1"/>
  <c r="Q26" i="14"/>
  <c r="AA31" i="14"/>
  <c r="Q28" i="14"/>
  <c r="U28" i="14"/>
  <c r="W28" i="14" s="1"/>
  <c r="N23" i="13"/>
  <c r="AA23" i="21" s="1"/>
  <c r="AA29" i="14"/>
  <c r="O67" i="17"/>
  <c r="F72" i="4"/>
  <c r="G72" i="4" s="1"/>
  <c r="E84" i="6"/>
  <c r="I84" i="6" s="1"/>
  <c r="AB84" i="6" s="1"/>
  <c r="E72" i="11"/>
  <c r="H72" i="11" s="1"/>
  <c r="O71" i="10"/>
  <c r="R71" i="10" s="1"/>
  <c r="F74" i="5"/>
  <c r="G74" i="5" s="1"/>
  <c r="H74" i="5" s="1"/>
  <c r="O30" i="14"/>
  <c r="T30" i="14"/>
  <c r="V30" i="14" s="1"/>
  <c r="U31" i="14"/>
  <c r="W31" i="14" s="1"/>
  <c r="Q31" i="14"/>
  <c r="E20" i="19"/>
  <c r="J20" i="19" s="1"/>
  <c r="AB20" i="19" s="1"/>
  <c r="AA19" i="10"/>
  <c r="AB19" i="10" s="1"/>
  <c r="E20" i="18"/>
  <c r="I20" i="18" s="1"/>
  <c r="AB20" i="18" s="1"/>
  <c r="AL15" i="17"/>
  <c r="K20" i="11"/>
  <c r="O35" i="14"/>
  <c r="T35" i="14"/>
  <c r="V35" i="14" s="1"/>
  <c r="E69" i="11"/>
  <c r="H69" i="11" s="1"/>
  <c r="F71" i="5"/>
  <c r="G71" i="5" s="1"/>
  <c r="H71" i="5" s="1"/>
  <c r="F69" i="4"/>
  <c r="G69" i="4" s="1"/>
  <c r="E81" i="6"/>
  <c r="I81" i="6" s="1"/>
  <c r="AB81" i="6" s="1"/>
  <c r="O64" i="17"/>
  <c r="O68" i="10"/>
  <c r="R68" i="10" s="1"/>
  <c r="X35" i="14"/>
  <c r="BG33" i="12"/>
  <c r="F32" i="5"/>
  <c r="G32" i="5" s="1"/>
  <c r="H32" i="5" s="1"/>
  <c r="E35" i="6"/>
  <c r="I35" i="6" s="1"/>
  <c r="AB35" i="6" s="1"/>
  <c r="F30" i="4"/>
  <c r="G30" i="4" s="1"/>
  <c r="E30" i="11"/>
  <c r="H30" i="11" s="1"/>
  <c r="O29" i="10"/>
  <c r="R29" i="10" s="1"/>
  <c r="O25" i="17"/>
  <c r="Y27" i="10"/>
  <c r="Y28" i="10"/>
  <c r="V5" i="14"/>
  <c r="W5" i="14"/>
  <c r="Z31" i="14"/>
  <c r="AA30" i="14"/>
  <c r="BG24" i="12"/>
  <c r="X26" i="14"/>
  <c r="O23" i="13"/>
  <c r="AB23" i="21" s="1"/>
  <c r="AF23" i="21" s="1"/>
  <c r="E73" i="11"/>
  <c r="H73" i="11" s="1"/>
  <c r="F73" i="4"/>
  <c r="G73" i="4" s="1"/>
  <c r="F75" i="5"/>
  <c r="G75" i="5" s="1"/>
  <c r="H75" i="5" s="1"/>
  <c r="E85" i="6"/>
  <c r="I85" i="6" s="1"/>
  <c r="AB85" i="6" s="1"/>
  <c r="O68" i="17"/>
  <c r="O72" i="10"/>
  <c r="R72" i="10" s="1"/>
  <c r="O19" i="17"/>
  <c r="E26" i="6"/>
  <c r="I26" i="6" s="1"/>
  <c r="AB26" i="6" s="1"/>
  <c r="E24" i="11"/>
  <c r="H24" i="11" s="1"/>
  <c r="O23" i="10"/>
  <c r="R23" i="10" s="1"/>
  <c r="F24" i="4"/>
  <c r="G24" i="4" s="1"/>
  <c r="F26" i="5"/>
  <c r="G26" i="5" s="1"/>
  <c r="H26" i="5" s="1"/>
  <c r="O28" i="14"/>
  <c r="T28" i="14"/>
  <c r="V28" i="14" s="1"/>
  <c r="Y59" i="10"/>
  <c r="Y57" i="10"/>
  <c r="Y58" i="10"/>
  <c r="Y56" i="10"/>
  <c r="Y60" i="10"/>
  <c r="Y55" i="10"/>
  <c r="AL10" i="17"/>
  <c r="E15" i="18"/>
  <c r="I15" i="18" s="1"/>
  <c r="AB15" i="18" s="1"/>
  <c r="E15" i="19"/>
  <c r="J15" i="19" s="1"/>
  <c r="AB15" i="19" s="1"/>
  <c r="AJ15" i="19" s="1"/>
  <c r="K15" i="11"/>
  <c r="AA14" i="10"/>
  <c r="AB14" i="10" s="1"/>
  <c r="AA49" i="10"/>
  <c r="AB49" i="10" s="1"/>
  <c r="E59" i="19"/>
  <c r="J59" i="19" s="1"/>
  <c r="AB59" i="19" s="1"/>
  <c r="AL45" i="17"/>
  <c r="E59" i="18"/>
  <c r="I59" i="18" s="1"/>
  <c r="AB59" i="18" s="1"/>
  <c r="K50" i="11"/>
  <c r="F26" i="4"/>
  <c r="G26" i="4" s="1"/>
  <c r="O21" i="17"/>
  <c r="E26" i="11"/>
  <c r="H26" i="11" s="1"/>
  <c r="E29" i="6"/>
  <c r="I29" i="6" s="1"/>
  <c r="AB29" i="6" s="1"/>
  <c r="F28" i="5"/>
  <c r="G28" i="5" s="1"/>
  <c r="H28" i="5" s="1"/>
  <c r="D103" i="2"/>
  <c r="D102" i="2"/>
  <c r="D105" i="2" s="1"/>
  <c r="D99" i="2"/>
  <c r="D100" i="2" s="1"/>
  <c r="D101" i="2"/>
  <c r="U23" i="14"/>
  <c r="Q23" i="14"/>
  <c r="E18" i="19"/>
  <c r="J18" i="19" s="1"/>
  <c r="AB18" i="19" s="1"/>
  <c r="AJ18" i="19" s="1"/>
  <c r="E18" i="18"/>
  <c r="I18" i="18" s="1"/>
  <c r="AB18" i="18" s="1"/>
  <c r="AA17" i="10"/>
  <c r="AB17" i="10" s="1"/>
  <c r="AL13" i="17"/>
  <c r="K18" i="11"/>
  <c r="AA26" i="14"/>
  <c r="BG27" i="12"/>
  <c r="X29" i="14"/>
  <c r="AG53" i="14"/>
  <c r="AM53" i="14" s="1"/>
  <c r="F27" i="5"/>
  <c r="G27" i="5" s="1"/>
  <c r="H27" i="5" s="1"/>
  <c r="O24" i="10"/>
  <c r="R24" i="10" s="1"/>
  <c r="O20" i="17"/>
  <c r="E27" i="6"/>
  <c r="I27" i="6" s="1"/>
  <c r="AB27" i="6" s="1"/>
  <c r="F25" i="4"/>
  <c r="G25" i="4" s="1"/>
  <c r="E25" i="11"/>
  <c r="H25" i="11" s="1"/>
  <c r="Y35" i="10"/>
  <c r="Y32" i="10"/>
  <c r="Y33" i="10"/>
  <c r="Y36" i="10"/>
  <c r="Y31" i="10"/>
  <c r="Y34" i="10"/>
  <c r="Z30" i="14"/>
  <c r="AL14" i="17"/>
  <c r="AA18" i="10"/>
  <c r="AB18" i="10" s="1"/>
  <c r="E19" i="19"/>
  <c r="J19" i="19" s="1"/>
  <c r="AB19" i="19" s="1"/>
  <c r="AJ19" i="19" s="1"/>
  <c r="E19" i="18"/>
  <c r="I19" i="18" s="1"/>
  <c r="AB19" i="18" s="1"/>
  <c r="K19" i="11"/>
  <c r="Z23" i="14"/>
  <c r="E60" i="19"/>
  <c r="J60" i="19" s="1"/>
  <c r="AB60" i="19" s="1"/>
  <c r="AJ60" i="19" s="1"/>
  <c r="AO60" i="19" s="1"/>
  <c r="AL46" i="17"/>
  <c r="K51" i="11"/>
  <c r="AA50" i="10"/>
  <c r="AB50" i="10" s="1"/>
  <c r="E60" i="18"/>
  <c r="I60" i="18" s="1"/>
  <c r="AB60" i="18" s="1"/>
  <c r="U22" i="14"/>
  <c r="Q22" i="14"/>
  <c r="E80" i="6"/>
  <c r="I80" i="6" s="1"/>
  <c r="AB80" i="6" s="1"/>
  <c r="O63" i="17"/>
  <c r="F70" i="5"/>
  <c r="G70" i="5" s="1"/>
  <c r="H70" i="5" s="1"/>
  <c r="O67" i="10"/>
  <c r="R67" i="10" s="1"/>
  <c r="E68" i="11"/>
  <c r="H68" i="11" s="1"/>
  <c r="F68" i="4"/>
  <c r="G68" i="4" s="1"/>
  <c r="AA13" i="10"/>
  <c r="AB13" i="10" s="1"/>
  <c r="E14" i="19"/>
  <c r="J14" i="19" s="1"/>
  <c r="AB14" i="19" s="1"/>
  <c r="AJ14" i="19" s="1"/>
  <c r="E14" i="18"/>
  <c r="I14" i="18" s="1"/>
  <c r="AB14" i="18" s="1"/>
  <c r="K14" i="11"/>
  <c r="N14" i="11" s="1"/>
  <c r="P14" i="11" s="1"/>
  <c r="AL9" i="17"/>
  <c r="Y73" i="10"/>
  <c r="Y76" i="10"/>
  <c r="Y77" i="10"/>
  <c r="Y75" i="10"/>
  <c r="Y74" i="10"/>
  <c r="Y78" i="10"/>
  <c r="O23" i="14"/>
  <c r="T23" i="14"/>
  <c r="F71" i="4"/>
  <c r="G71" i="4" s="1"/>
  <c r="F73" i="5"/>
  <c r="G73" i="5" s="1"/>
  <c r="H73" i="5" s="1"/>
  <c r="E83" i="6"/>
  <c r="I83" i="6" s="1"/>
  <c r="AB83" i="6" s="1"/>
  <c r="E71" i="11"/>
  <c r="H71" i="11" s="1"/>
  <c r="O66" i="17"/>
  <c r="O70" i="10"/>
  <c r="R70" i="10" s="1"/>
  <c r="Z26" i="14"/>
  <c r="X31" i="14"/>
  <c r="BG29" i="12"/>
  <c r="O29" i="14"/>
  <c r="T29" i="14"/>
  <c r="V29" i="14" s="1"/>
  <c r="Q32" i="14"/>
  <c r="U32" i="14"/>
  <c r="W32" i="14" s="1"/>
  <c r="E64" i="18"/>
  <c r="I64" i="18" s="1"/>
  <c r="AB64" i="18" s="1"/>
  <c r="E64" i="19"/>
  <c r="J64" i="19" s="1"/>
  <c r="AB64" i="19" s="1"/>
  <c r="AJ64" i="19" s="1"/>
  <c r="AO64" i="19" s="1"/>
  <c r="AL50" i="17"/>
  <c r="AA54" i="10"/>
  <c r="AB54" i="10" s="1"/>
  <c r="K55" i="11"/>
  <c r="K32" i="5" l="1"/>
  <c r="K28" i="5"/>
  <c r="E21" i="19"/>
  <c r="J21" i="19" s="1"/>
  <c r="AB21" i="19" s="1"/>
  <c r="AJ21" i="19" s="1"/>
  <c r="AO21" i="19" s="1"/>
  <c r="AL16" i="17"/>
  <c r="K21" i="11"/>
  <c r="R17" i="22"/>
  <c r="S17" i="22" s="1"/>
  <c r="E21" i="18"/>
  <c r="I21" i="18" s="1"/>
  <c r="AB21" i="18" s="1"/>
  <c r="AO21" i="18" s="1"/>
  <c r="U17" i="23"/>
  <c r="W17" i="23" s="1"/>
  <c r="AN9" i="17"/>
  <c r="AW9" i="17"/>
  <c r="BB9" i="17" s="1"/>
  <c r="U73" i="23"/>
  <c r="W73" i="23" s="1"/>
  <c r="R73" i="22"/>
  <c r="S73" i="22" s="1"/>
  <c r="R70" i="22"/>
  <c r="S70" i="22" s="1"/>
  <c r="U70" i="23"/>
  <c r="W70" i="23" s="1"/>
  <c r="R28" i="22"/>
  <c r="S28" i="22" s="1"/>
  <c r="U28" i="23"/>
  <c r="W28" i="23" s="1"/>
  <c r="U60" i="23"/>
  <c r="W60" i="23" s="1"/>
  <c r="R60" i="22"/>
  <c r="S60" i="22" s="1"/>
  <c r="R59" i="22"/>
  <c r="S59" i="22" s="1"/>
  <c r="U59" i="23"/>
  <c r="W59" i="23" s="1"/>
  <c r="U30" i="23"/>
  <c r="W30" i="23" s="1"/>
  <c r="R30" i="22"/>
  <c r="S30" i="22" s="1"/>
  <c r="R52" i="22"/>
  <c r="S52" i="22" s="1"/>
  <c r="U52" i="23"/>
  <c r="W52" i="23" s="1"/>
  <c r="R44" i="22"/>
  <c r="S44" i="22" s="1"/>
  <c r="U44" i="23"/>
  <c r="W44" i="23" s="1"/>
  <c r="U58" i="23"/>
  <c r="W58" i="23" s="1"/>
  <c r="R58" i="22"/>
  <c r="S58" i="22" s="1"/>
  <c r="R35" i="22"/>
  <c r="S35" i="22" s="1"/>
  <c r="U35" i="23"/>
  <c r="W35" i="23" s="1"/>
  <c r="R75" i="22"/>
  <c r="S75" i="22" s="1"/>
  <c r="U75" i="23"/>
  <c r="W75" i="23" s="1"/>
  <c r="R57" i="22"/>
  <c r="S57" i="22" s="1"/>
  <c r="U57" i="23"/>
  <c r="W57" i="23" s="1"/>
  <c r="U41" i="23"/>
  <c r="W41" i="23" s="1"/>
  <c r="R41" i="22"/>
  <c r="S41" i="22" s="1"/>
  <c r="U62" i="23"/>
  <c r="W62" i="23" s="1"/>
  <c r="R62" i="22"/>
  <c r="S62" i="22" s="1"/>
  <c r="U34" i="23"/>
  <c r="W34" i="23" s="1"/>
  <c r="R34" i="22"/>
  <c r="S34" i="22" s="1"/>
  <c r="R32" i="22"/>
  <c r="S32" i="22" s="1"/>
  <c r="U32" i="23"/>
  <c r="W32" i="23" s="1"/>
  <c r="U53" i="23"/>
  <c r="W53" i="23" s="1"/>
  <c r="R53" i="22"/>
  <c r="S53" i="22" s="1"/>
  <c r="U42" i="23"/>
  <c r="W42" i="23" s="1"/>
  <c r="R42" i="22"/>
  <c r="S42" i="22" s="1"/>
  <c r="R63" i="22"/>
  <c r="S63" i="22" s="1"/>
  <c r="U63" i="23"/>
  <c r="W63" i="23" s="1"/>
  <c r="U39" i="23"/>
  <c r="W39" i="23" s="1"/>
  <c r="R39" i="22"/>
  <c r="S39" i="22" s="1"/>
  <c r="R45" i="22"/>
  <c r="S45" i="22" s="1"/>
  <c r="U45" i="23"/>
  <c r="W45" i="23" s="1"/>
  <c r="U55" i="23"/>
  <c r="W55" i="23" s="1"/>
  <c r="R55" i="22"/>
  <c r="S55" i="22" s="1"/>
  <c r="U25" i="23"/>
  <c r="W25" i="23" s="1"/>
  <c r="R25" i="22"/>
  <c r="S25" i="22" s="1"/>
  <c r="U40" i="23"/>
  <c r="W40" i="23" s="1"/>
  <c r="R40" i="22"/>
  <c r="S40" i="22" s="1"/>
  <c r="R18" i="22"/>
  <c r="S18" i="22" s="1"/>
  <c r="U18" i="23"/>
  <c r="W18" i="23" s="1"/>
  <c r="U61" i="23"/>
  <c r="W61" i="23" s="1"/>
  <c r="R61" i="22"/>
  <c r="S61" i="22" s="1"/>
  <c r="R38" i="22"/>
  <c r="S38" i="22" s="1"/>
  <c r="U38" i="23"/>
  <c r="W38" i="23" s="1"/>
  <c r="U29" i="23"/>
  <c r="W29" i="23" s="1"/>
  <c r="R29" i="22"/>
  <c r="S29" i="22" s="1"/>
  <c r="R72" i="22"/>
  <c r="S72" i="22" s="1"/>
  <c r="U72" i="23"/>
  <c r="W72" i="23" s="1"/>
  <c r="U74" i="23"/>
  <c r="W74" i="23" s="1"/>
  <c r="R74" i="22"/>
  <c r="S74" i="22" s="1"/>
  <c r="U54" i="23"/>
  <c r="W54" i="23" s="1"/>
  <c r="R54" i="22"/>
  <c r="S54" i="22" s="1"/>
  <c r="R24" i="22"/>
  <c r="S24" i="22" s="1"/>
  <c r="U24" i="23"/>
  <c r="W24" i="23" s="1"/>
  <c r="R43" i="22"/>
  <c r="S43" i="22" s="1"/>
  <c r="U43" i="23"/>
  <c r="W43" i="23" s="1"/>
  <c r="R19" i="22"/>
  <c r="S19" i="22" s="1"/>
  <c r="U19" i="23"/>
  <c r="W19" i="23" s="1"/>
  <c r="R37" i="22"/>
  <c r="S37" i="22" s="1"/>
  <c r="U37" i="23"/>
  <c r="W37" i="23" s="1"/>
  <c r="U33" i="23"/>
  <c r="W33" i="23" s="1"/>
  <c r="R33" i="22"/>
  <c r="S33" i="22" s="1"/>
  <c r="U71" i="23"/>
  <c r="W71" i="23" s="1"/>
  <c r="R71" i="22"/>
  <c r="S71" i="22" s="1"/>
  <c r="R31" i="22"/>
  <c r="S31" i="22" s="1"/>
  <c r="U31" i="23"/>
  <c r="W31" i="23" s="1"/>
  <c r="R56" i="22"/>
  <c r="S56" i="22" s="1"/>
  <c r="U56" i="23"/>
  <c r="W56" i="23" s="1"/>
  <c r="U36" i="23"/>
  <c r="W36" i="23" s="1"/>
  <c r="R36" i="22"/>
  <c r="S36" i="22" s="1"/>
  <c r="AF55" i="14"/>
  <c r="AG55" i="14" s="1"/>
  <c r="Z66" i="14"/>
  <c r="AE66" i="14" s="1"/>
  <c r="AA53" i="14"/>
  <c r="AL72" i="17"/>
  <c r="K77" i="11"/>
  <c r="E90" i="19"/>
  <c r="J90" i="19" s="1"/>
  <c r="AB90" i="19" s="1"/>
  <c r="AJ90" i="19" s="1"/>
  <c r="AO90" i="19" s="1"/>
  <c r="AA76" i="10"/>
  <c r="AB76" i="10" s="1"/>
  <c r="E90" i="18"/>
  <c r="I90" i="18" s="1"/>
  <c r="AB90" i="18" s="1"/>
  <c r="Q80" i="12"/>
  <c r="R86" i="12" s="1"/>
  <c r="J68" i="11"/>
  <c r="AN46" i="17"/>
  <c r="AW46" i="17"/>
  <c r="BB46" i="17" s="1"/>
  <c r="AN19" i="19"/>
  <c r="AO19" i="19"/>
  <c r="E40" i="19"/>
  <c r="J40" i="19" s="1"/>
  <c r="AB40" i="19" s="1"/>
  <c r="AJ40" i="19" s="1"/>
  <c r="AO40" i="19" s="1"/>
  <c r="E40" i="18"/>
  <c r="I40" i="18" s="1"/>
  <c r="AB40" i="18" s="1"/>
  <c r="AL29" i="17"/>
  <c r="K34" i="11"/>
  <c r="AA33" i="10"/>
  <c r="AB33" i="10" s="1"/>
  <c r="AN13" i="17"/>
  <c r="AW13" i="17"/>
  <c r="BB13" i="17" s="1"/>
  <c r="N103" i="2"/>
  <c r="Y26" i="10" s="1"/>
  <c r="P103" i="2"/>
  <c r="Y29" i="10" s="1"/>
  <c r="M103" i="2"/>
  <c r="Y24" i="10" s="1"/>
  <c r="W103" i="2"/>
  <c r="Y67" i="10" s="1"/>
  <c r="N50" i="11"/>
  <c r="AJ59" i="12"/>
  <c r="AO15" i="18"/>
  <c r="AF15" i="18"/>
  <c r="W72" i="10"/>
  <c r="H85" i="18"/>
  <c r="E85" i="9"/>
  <c r="J85" i="9" s="1"/>
  <c r="AB85" i="9" s="1"/>
  <c r="AJ85" i="9" s="1"/>
  <c r="Y72" i="10"/>
  <c r="Q81" i="12"/>
  <c r="J69" i="11"/>
  <c r="Q36" i="12"/>
  <c r="J31" i="11"/>
  <c r="AG28" i="14"/>
  <c r="AE28" i="14"/>
  <c r="AG32" i="14"/>
  <c r="AE32" i="14"/>
  <c r="AE29" i="14"/>
  <c r="AG29" i="14"/>
  <c r="W26" i="10"/>
  <c r="H30" i="18"/>
  <c r="E30" i="9"/>
  <c r="J30" i="9" s="1"/>
  <c r="AB30" i="9" s="1"/>
  <c r="AJ30" i="9" s="1"/>
  <c r="AO30" i="9" s="1"/>
  <c r="K65" i="11"/>
  <c r="E76" i="18"/>
  <c r="I76" i="18" s="1"/>
  <c r="AB76" i="18" s="1"/>
  <c r="E76" i="19"/>
  <c r="J76" i="19" s="1"/>
  <c r="AB76" i="19" s="1"/>
  <c r="AJ76" i="19" s="1"/>
  <c r="AO76" i="19" s="1"/>
  <c r="AA64" i="10"/>
  <c r="AB64" i="10" s="1"/>
  <c r="AL60" i="17"/>
  <c r="E45" i="19"/>
  <c r="J45" i="19" s="1"/>
  <c r="AB45" i="19" s="1"/>
  <c r="E45" i="18"/>
  <c r="I45" i="18" s="1"/>
  <c r="AB45" i="18" s="1"/>
  <c r="AA37" i="10"/>
  <c r="AB37" i="10" s="1"/>
  <c r="AL33" i="17"/>
  <c r="K38" i="11"/>
  <c r="AN50" i="17"/>
  <c r="AW50" i="17"/>
  <c r="BB50" i="17" s="1"/>
  <c r="K33" i="11"/>
  <c r="AL28" i="17"/>
  <c r="AA32" i="10"/>
  <c r="AB32" i="10" s="1"/>
  <c r="E39" i="18"/>
  <c r="I39" i="18" s="1"/>
  <c r="AB39" i="18" s="1"/>
  <c r="E39" i="19"/>
  <c r="J39" i="19" s="1"/>
  <c r="AB39" i="19" s="1"/>
  <c r="AJ39" i="19" s="1"/>
  <c r="AO39" i="19" s="1"/>
  <c r="AO59" i="18"/>
  <c r="AB65" i="18"/>
  <c r="AF59" i="18"/>
  <c r="R68" i="17"/>
  <c r="V68" i="17" s="1"/>
  <c r="AE68" i="17"/>
  <c r="AA28" i="10"/>
  <c r="AB28" i="10" s="1"/>
  <c r="E33" i="18"/>
  <c r="I33" i="18" s="1"/>
  <c r="AB33" i="18" s="1"/>
  <c r="E33" i="19"/>
  <c r="J33" i="19" s="1"/>
  <c r="AB33" i="19" s="1"/>
  <c r="AJ33" i="19" s="1"/>
  <c r="AO33" i="19" s="1"/>
  <c r="K29" i="11"/>
  <c r="AL24" i="17"/>
  <c r="R67" i="17"/>
  <c r="V67" i="17" s="1"/>
  <c r="AE67" i="17"/>
  <c r="AO36" i="6"/>
  <c r="AF36" i="6"/>
  <c r="AK36" i="6" s="1"/>
  <c r="E57" i="19"/>
  <c r="J57" i="19" s="1"/>
  <c r="AB57" i="19" s="1"/>
  <c r="AJ57" i="19" s="1"/>
  <c r="AA48" i="10"/>
  <c r="AB48" i="10" s="1"/>
  <c r="E57" i="18"/>
  <c r="I57" i="18" s="1"/>
  <c r="AB57" i="18" s="1"/>
  <c r="AL44" i="17"/>
  <c r="K49" i="11"/>
  <c r="AN49" i="17"/>
  <c r="AW49" i="17"/>
  <c r="BB49" i="17" s="1"/>
  <c r="V26" i="14"/>
  <c r="Q30" i="12"/>
  <c r="J27" i="11"/>
  <c r="E50" i="18"/>
  <c r="I50" i="18" s="1"/>
  <c r="AB50" i="18" s="1"/>
  <c r="AL38" i="17"/>
  <c r="E50" i="19"/>
  <c r="J50" i="19" s="1"/>
  <c r="AB50" i="19" s="1"/>
  <c r="AJ50" i="19" s="1"/>
  <c r="K43" i="11"/>
  <c r="AA42" i="10"/>
  <c r="AB42" i="10" s="1"/>
  <c r="AO61" i="18"/>
  <c r="AF61" i="18"/>
  <c r="AK61" i="18" s="1"/>
  <c r="K70" i="5"/>
  <c r="AN14" i="17"/>
  <c r="AW14" i="17"/>
  <c r="BB14" i="17" s="1"/>
  <c r="E42" i="18"/>
  <c r="I42" i="18" s="1"/>
  <c r="AB42" i="18" s="1"/>
  <c r="AA35" i="10"/>
  <c r="AB35" i="10" s="1"/>
  <c r="K36" i="11"/>
  <c r="AL31" i="17"/>
  <c r="E42" i="19"/>
  <c r="J42" i="19" s="1"/>
  <c r="AB42" i="19" s="1"/>
  <c r="AJ42" i="19" s="1"/>
  <c r="AH53" i="14"/>
  <c r="AF18" i="18"/>
  <c r="AO18" i="18"/>
  <c r="AP29" i="12"/>
  <c r="AQ31" i="12" s="1"/>
  <c r="E29" i="9"/>
  <c r="J29" i="9" s="1"/>
  <c r="AB29" i="9" s="1"/>
  <c r="H29" i="18"/>
  <c r="AN45" i="17"/>
  <c r="AW45" i="17"/>
  <c r="BB45" i="17" s="1"/>
  <c r="E66" i="19"/>
  <c r="J66" i="19" s="1"/>
  <c r="AB66" i="19" s="1"/>
  <c r="AA55" i="10"/>
  <c r="AB55" i="10" s="1"/>
  <c r="E66" i="18"/>
  <c r="I66" i="18" s="1"/>
  <c r="AB66" i="18" s="1"/>
  <c r="AL51" i="17"/>
  <c r="K56" i="11"/>
  <c r="K26" i="5"/>
  <c r="H86" i="5"/>
  <c r="AF85" i="6"/>
  <c r="AO85" i="6"/>
  <c r="E32" i="18"/>
  <c r="I32" i="18" s="1"/>
  <c r="AB32" i="18" s="1"/>
  <c r="K28" i="11"/>
  <c r="E32" i="19"/>
  <c r="J32" i="19" s="1"/>
  <c r="AB32" i="19" s="1"/>
  <c r="AL23" i="17"/>
  <c r="AA27" i="10"/>
  <c r="AB27" i="10" s="1"/>
  <c r="N16" i="11"/>
  <c r="AJ16" i="12"/>
  <c r="AK16" i="12" s="1"/>
  <c r="E56" i="19"/>
  <c r="J56" i="19" s="1"/>
  <c r="AB56" i="19" s="1"/>
  <c r="AJ56" i="19" s="1"/>
  <c r="AO56" i="19" s="1"/>
  <c r="AO57" i="19" s="1"/>
  <c r="E56" i="18"/>
  <c r="I56" i="18" s="1"/>
  <c r="AB56" i="18" s="1"/>
  <c r="AL43" i="17"/>
  <c r="K48" i="11"/>
  <c r="AA47" i="10"/>
  <c r="AB47" i="10" s="1"/>
  <c r="AO63" i="18"/>
  <c r="AF63" i="18"/>
  <c r="AK63" i="18" s="1"/>
  <c r="AN48" i="17"/>
  <c r="AW48" i="17"/>
  <c r="BB48" i="17" s="1"/>
  <c r="AF30" i="6"/>
  <c r="AK30" i="6" s="1"/>
  <c r="AO30" i="6"/>
  <c r="K42" i="11"/>
  <c r="E49" i="19"/>
  <c r="J49" i="19" s="1"/>
  <c r="AB49" i="19" s="1"/>
  <c r="AJ49" i="19" s="1"/>
  <c r="AL37" i="17"/>
  <c r="E49" i="18"/>
  <c r="I49" i="18" s="1"/>
  <c r="AB49" i="18" s="1"/>
  <c r="AA41" i="10"/>
  <c r="AB41" i="10" s="1"/>
  <c r="W69" i="10"/>
  <c r="H82" i="18"/>
  <c r="E82" i="9"/>
  <c r="J82" i="9" s="1"/>
  <c r="AB82" i="9" s="1"/>
  <c r="AJ82" i="9" s="1"/>
  <c r="AO82" i="9" s="1"/>
  <c r="V54" i="14"/>
  <c r="U65" i="14" s="1"/>
  <c r="V22" i="14"/>
  <c r="X53" i="14"/>
  <c r="W67" i="10"/>
  <c r="E80" i="9"/>
  <c r="J80" i="9" s="1"/>
  <c r="AB80" i="9" s="1"/>
  <c r="H80" i="18"/>
  <c r="AN10" i="17"/>
  <c r="AW10" i="17"/>
  <c r="BB10" i="17" s="1"/>
  <c r="V23" i="14"/>
  <c r="V55" i="14"/>
  <c r="AF64" i="18"/>
  <c r="AK64" i="18" s="1"/>
  <c r="AO64" i="18"/>
  <c r="AE26" i="14"/>
  <c r="AG26" i="14"/>
  <c r="AS14" i="12"/>
  <c r="AT14" i="12" s="1"/>
  <c r="BI43" i="12" s="1"/>
  <c r="AJ14" i="12"/>
  <c r="AK14" i="12" s="1"/>
  <c r="R63" i="17"/>
  <c r="V63" i="17" s="1"/>
  <c r="AE63" i="17"/>
  <c r="AG23" i="14"/>
  <c r="AE23" i="14"/>
  <c r="Q27" i="12"/>
  <c r="J25" i="11"/>
  <c r="AN18" i="19"/>
  <c r="AO18" i="19"/>
  <c r="AB65" i="19"/>
  <c r="AJ59" i="19"/>
  <c r="AL56" i="17"/>
  <c r="K61" i="11"/>
  <c r="AA60" i="10"/>
  <c r="AB60" i="10" s="1"/>
  <c r="E71" i="19"/>
  <c r="J71" i="19" s="1"/>
  <c r="AB71" i="19" s="1"/>
  <c r="AJ71" i="19" s="1"/>
  <c r="E71" i="18"/>
  <c r="I71" i="18" s="1"/>
  <c r="AB71" i="18" s="1"/>
  <c r="AE25" i="17"/>
  <c r="R25" i="17"/>
  <c r="V25" i="17" s="1"/>
  <c r="W68" i="10"/>
  <c r="E81" i="9"/>
  <c r="J81" i="9" s="1"/>
  <c r="AB81" i="9" s="1"/>
  <c r="AJ81" i="9" s="1"/>
  <c r="AO81" i="9" s="1"/>
  <c r="H81" i="18"/>
  <c r="N20" i="11"/>
  <c r="AJ20" i="12"/>
  <c r="AN16" i="19"/>
  <c r="AO16" i="19"/>
  <c r="E53" i="19"/>
  <c r="J53" i="19" s="1"/>
  <c r="AB53" i="19" s="1"/>
  <c r="AJ53" i="19" s="1"/>
  <c r="AO53" i="19" s="1"/>
  <c r="E53" i="18"/>
  <c r="I53" i="18" s="1"/>
  <c r="AB53" i="18" s="1"/>
  <c r="K45" i="11"/>
  <c r="AL40" i="17"/>
  <c r="AA44" i="10"/>
  <c r="AB44" i="10" s="1"/>
  <c r="E75" i="18"/>
  <c r="I75" i="18" s="1"/>
  <c r="AB75" i="18" s="1"/>
  <c r="E75" i="19"/>
  <c r="J75" i="19" s="1"/>
  <c r="AB75" i="19" s="1"/>
  <c r="AJ75" i="19" s="1"/>
  <c r="AO75" i="19" s="1"/>
  <c r="AA63" i="10"/>
  <c r="AB63" i="10" s="1"/>
  <c r="AL59" i="17"/>
  <c r="K64" i="11"/>
  <c r="E48" i="18"/>
  <c r="I48" i="18" s="1"/>
  <c r="AB48" i="18" s="1"/>
  <c r="E48" i="19"/>
  <c r="J48" i="19" s="1"/>
  <c r="AB48" i="19" s="1"/>
  <c r="AJ48" i="19" s="1"/>
  <c r="AO48" i="19" s="1"/>
  <c r="AO49" i="19" s="1"/>
  <c r="AO50" i="19" s="1"/>
  <c r="AA40" i="10"/>
  <c r="AB40" i="10" s="1"/>
  <c r="AL36" i="17"/>
  <c r="K41" i="11"/>
  <c r="AE65" i="17"/>
  <c r="R65" i="17"/>
  <c r="V65" i="17" s="1"/>
  <c r="E87" i="19"/>
  <c r="J87" i="19" s="1"/>
  <c r="AB87" i="19" s="1"/>
  <c r="AA73" i="10"/>
  <c r="AB73" i="10" s="1"/>
  <c r="E87" i="18"/>
  <c r="I87" i="18" s="1"/>
  <c r="AB87" i="18" s="1"/>
  <c r="AL69" i="17"/>
  <c r="K74" i="11"/>
  <c r="W70" i="10"/>
  <c r="H83" i="18"/>
  <c r="E83" i="9"/>
  <c r="J83" i="9" s="1"/>
  <c r="AB83" i="9" s="1"/>
  <c r="AJ83" i="9" s="1"/>
  <c r="AO83" i="9" s="1"/>
  <c r="AA78" i="10"/>
  <c r="AB78" i="10" s="1"/>
  <c r="K79" i="11"/>
  <c r="E92" i="18"/>
  <c r="I92" i="18" s="1"/>
  <c r="AB92" i="18" s="1"/>
  <c r="E92" i="19"/>
  <c r="J92" i="19" s="1"/>
  <c r="AB92" i="19" s="1"/>
  <c r="AJ92" i="19" s="1"/>
  <c r="AO92" i="19" s="1"/>
  <c r="AL74" i="17"/>
  <c r="AF14" i="18"/>
  <c r="AO14" i="18"/>
  <c r="AO80" i="6"/>
  <c r="AF80" i="6"/>
  <c r="AB86" i="6"/>
  <c r="W22" i="14"/>
  <c r="AF54" i="14"/>
  <c r="AE30" i="14"/>
  <c r="AG30" i="14"/>
  <c r="AF29" i="6"/>
  <c r="AB31" i="6"/>
  <c r="AO29" i="6"/>
  <c r="E67" i="19"/>
  <c r="J67" i="19" s="1"/>
  <c r="AB67" i="19" s="1"/>
  <c r="AJ67" i="19" s="1"/>
  <c r="AO67" i="19" s="1"/>
  <c r="AA56" i="10"/>
  <c r="AB56" i="10" s="1"/>
  <c r="K57" i="11"/>
  <c r="E67" i="18"/>
  <c r="I67" i="18" s="1"/>
  <c r="AB67" i="18" s="1"/>
  <c r="AL52" i="17"/>
  <c r="W23" i="10"/>
  <c r="E26" i="9"/>
  <c r="J26" i="9" s="1"/>
  <c r="AB26" i="9" s="1"/>
  <c r="H26" i="18"/>
  <c r="Y23" i="10"/>
  <c r="W29" i="10"/>
  <c r="H35" i="18"/>
  <c r="E35" i="9"/>
  <c r="J35" i="9" s="1"/>
  <c r="AB35" i="9" s="1"/>
  <c r="AE64" i="17"/>
  <c r="R64" i="17"/>
  <c r="V64" i="17" s="1"/>
  <c r="AN15" i="17"/>
  <c r="AW15" i="17"/>
  <c r="BB15" i="17" s="1"/>
  <c r="W30" i="10"/>
  <c r="E36" i="9"/>
  <c r="J36" i="9" s="1"/>
  <c r="AB36" i="9" s="1"/>
  <c r="AJ36" i="9" s="1"/>
  <c r="AO36" i="9" s="1"/>
  <c r="H36" i="18"/>
  <c r="AO16" i="18"/>
  <c r="AF16" i="18"/>
  <c r="AL41" i="17"/>
  <c r="K46" i="11"/>
  <c r="E54" i="19"/>
  <c r="J54" i="19" s="1"/>
  <c r="AB54" i="19" s="1"/>
  <c r="AJ54" i="19" s="1"/>
  <c r="AO54" i="19" s="1"/>
  <c r="AA45" i="10"/>
  <c r="AB45" i="10" s="1"/>
  <c r="E54" i="18"/>
  <c r="I54" i="18" s="1"/>
  <c r="AB54" i="18" s="1"/>
  <c r="AG33" i="14"/>
  <c r="AE33" i="14"/>
  <c r="E74" i="18"/>
  <c r="I74" i="18" s="1"/>
  <c r="AB74" i="18" s="1"/>
  <c r="AA62" i="10"/>
  <c r="AB62" i="10" s="1"/>
  <c r="AL58" i="17"/>
  <c r="K63" i="11"/>
  <c r="E74" i="19"/>
  <c r="J74" i="19" s="1"/>
  <c r="AB74" i="19" s="1"/>
  <c r="AJ74" i="19" s="1"/>
  <c r="AO74" i="19" s="1"/>
  <c r="AA39" i="10"/>
  <c r="AB39" i="10" s="1"/>
  <c r="E47" i="19"/>
  <c r="J47" i="19" s="1"/>
  <c r="AB47" i="19" s="1"/>
  <c r="AJ47" i="19" s="1"/>
  <c r="AO47" i="19" s="1"/>
  <c r="AL35" i="17"/>
  <c r="E47" i="18"/>
  <c r="I47" i="18" s="1"/>
  <c r="AB47" i="18" s="1"/>
  <c r="K40" i="11"/>
  <c r="AO82" i="6"/>
  <c r="AF82" i="6"/>
  <c r="AK82" i="6" s="1"/>
  <c r="AG35" i="14"/>
  <c r="AE35" i="14"/>
  <c r="AN17" i="19"/>
  <c r="AO17" i="19"/>
  <c r="R66" i="17"/>
  <c r="V66" i="17" s="1"/>
  <c r="AE66" i="17"/>
  <c r="AA34" i="10"/>
  <c r="AB34" i="10" s="1"/>
  <c r="AL30" i="17"/>
  <c r="E41" i="19"/>
  <c r="J41" i="19" s="1"/>
  <c r="AB41" i="19" s="1"/>
  <c r="AJ41" i="19" s="1"/>
  <c r="AO41" i="19" s="1"/>
  <c r="AO42" i="19" s="1"/>
  <c r="AO43" i="19" s="1"/>
  <c r="K35" i="11"/>
  <c r="E41" i="18"/>
  <c r="I41" i="18" s="1"/>
  <c r="AB41" i="18" s="1"/>
  <c r="Q29" i="12"/>
  <c r="R31" i="12" s="1"/>
  <c r="J26" i="11"/>
  <c r="AA58" i="10"/>
  <c r="AB58" i="10" s="1"/>
  <c r="E69" i="18"/>
  <c r="I69" i="18" s="1"/>
  <c r="AB69" i="18" s="1"/>
  <c r="E69" i="19"/>
  <c r="J69" i="19" s="1"/>
  <c r="AB69" i="19" s="1"/>
  <c r="AJ69" i="19" s="1"/>
  <c r="AO69" i="19" s="1"/>
  <c r="K59" i="11"/>
  <c r="AL54" i="17"/>
  <c r="Q26" i="12"/>
  <c r="R28" i="12" s="1"/>
  <c r="J24" i="11"/>
  <c r="Q85" i="12"/>
  <c r="J73" i="11"/>
  <c r="AG31" i="14"/>
  <c r="AE31" i="14"/>
  <c r="Q35" i="12"/>
  <c r="R37" i="12" s="1"/>
  <c r="J30" i="11"/>
  <c r="AO81" i="6"/>
  <c r="AF81" i="6"/>
  <c r="AK81" i="6" s="1"/>
  <c r="AF20" i="18"/>
  <c r="AO20" i="18"/>
  <c r="W71" i="10"/>
  <c r="E84" i="9"/>
  <c r="J84" i="9" s="1"/>
  <c r="AB84" i="9" s="1"/>
  <c r="AJ84" i="9" s="1"/>
  <c r="AO84" i="9" s="1"/>
  <c r="AO85" i="9" s="1"/>
  <c r="H84" i="18"/>
  <c r="Z22" i="14"/>
  <c r="AE26" i="17"/>
  <c r="R26" i="17"/>
  <c r="V26" i="17" s="1"/>
  <c r="AN11" i="17"/>
  <c r="AW11" i="17"/>
  <c r="BB11" i="17" s="1"/>
  <c r="AL39" i="17"/>
  <c r="K44" i="11"/>
  <c r="E52" i="19"/>
  <c r="J52" i="19" s="1"/>
  <c r="AB52" i="19" s="1"/>
  <c r="AA43" i="10"/>
  <c r="AB43" i="10" s="1"/>
  <c r="E52" i="18"/>
  <c r="I52" i="18" s="1"/>
  <c r="AB52" i="18" s="1"/>
  <c r="N54" i="11"/>
  <c r="AJ63" i="12"/>
  <c r="AO62" i="18"/>
  <c r="AF62" i="18"/>
  <c r="AK62" i="18" s="1"/>
  <c r="AA61" i="10"/>
  <c r="AB61" i="10" s="1"/>
  <c r="K62" i="11"/>
  <c r="E73" i="18"/>
  <c r="I73" i="18" s="1"/>
  <c r="AB73" i="18" s="1"/>
  <c r="AL57" i="17"/>
  <c r="E73" i="19"/>
  <c r="J73" i="19" s="1"/>
  <c r="AB73" i="19" s="1"/>
  <c r="N52" i="11"/>
  <c r="AJ61" i="12"/>
  <c r="AN12" i="17"/>
  <c r="AW12" i="17"/>
  <c r="BB12" i="17" s="1"/>
  <c r="AF27" i="6"/>
  <c r="AK27" i="6" s="1"/>
  <c r="AO27" i="6"/>
  <c r="Q83" i="12"/>
  <c r="J71" i="11"/>
  <c r="E89" i="18"/>
  <c r="I89" i="18" s="1"/>
  <c r="AB89" i="18" s="1"/>
  <c r="AL71" i="17"/>
  <c r="E89" i="19"/>
  <c r="J89" i="19" s="1"/>
  <c r="AB89" i="19" s="1"/>
  <c r="AJ89" i="19" s="1"/>
  <c r="AO89" i="19" s="1"/>
  <c r="K76" i="11"/>
  <c r="AA75" i="10"/>
  <c r="AB75" i="10" s="1"/>
  <c r="AN16" i="17"/>
  <c r="AW16" i="17"/>
  <c r="BB16" i="17" s="1"/>
  <c r="N19" i="11"/>
  <c r="AJ19" i="12"/>
  <c r="AK19" i="12" s="1"/>
  <c r="K32" i="11"/>
  <c r="AA31" i="10"/>
  <c r="AB31" i="10" s="1"/>
  <c r="E38" i="19"/>
  <c r="J38" i="19" s="1"/>
  <c r="AB38" i="19" s="1"/>
  <c r="E38" i="18"/>
  <c r="I38" i="18" s="1"/>
  <c r="AB38" i="18" s="1"/>
  <c r="AL27" i="17"/>
  <c r="AE20" i="17"/>
  <c r="R20" i="17"/>
  <c r="V20" i="17" s="1"/>
  <c r="R21" i="17"/>
  <c r="V21" i="17" s="1"/>
  <c r="AE21" i="17"/>
  <c r="N15" i="11"/>
  <c r="AJ15" i="12"/>
  <c r="AK15" i="12" s="1"/>
  <c r="E68" i="19"/>
  <c r="J68" i="19" s="1"/>
  <c r="AB68" i="19" s="1"/>
  <c r="AJ68" i="19" s="1"/>
  <c r="AO68" i="19" s="1"/>
  <c r="AL53" i="17"/>
  <c r="AA57" i="10"/>
  <c r="AB57" i="10" s="1"/>
  <c r="E68" i="18"/>
  <c r="I68" i="18" s="1"/>
  <c r="AB68" i="18" s="1"/>
  <c r="K58" i="11"/>
  <c r="AF26" i="6"/>
  <c r="AO26" i="6"/>
  <c r="AB28" i="6"/>
  <c r="Q84" i="12"/>
  <c r="J72" i="11"/>
  <c r="K47" i="11"/>
  <c r="E55" i="19"/>
  <c r="J55" i="19" s="1"/>
  <c r="AB55" i="19" s="1"/>
  <c r="AJ55" i="19" s="1"/>
  <c r="AO55" i="19" s="1"/>
  <c r="AL42" i="17"/>
  <c r="E55" i="18"/>
  <c r="I55" i="18" s="1"/>
  <c r="AB55" i="18" s="1"/>
  <c r="AA46" i="10"/>
  <c r="AB46" i="10" s="1"/>
  <c r="AA21" i="10"/>
  <c r="AB21" i="10" s="1"/>
  <c r="AL17" i="17"/>
  <c r="K22" i="11"/>
  <c r="E23" i="18"/>
  <c r="I23" i="18" s="1"/>
  <c r="AB23" i="18" s="1"/>
  <c r="E23" i="19"/>
  <c r="J23" i="19" s="1"/>
  <c r="AB23" i="19" s="1"/>
  <c r="N53" i="11"/>
  <c r="AJ62" i="12"/>
  <c r="AL61" i="17"/>
  <c r="K66" i="11"/>
  <c r="AA65" i="10"/>
  <c r="AB65" i="10" s="1"/>
  <c r="E77" i="19"/>
  <c r="J77" i="19" s="1"/>
  <c r="AB77" i="19" s="1"/>
  <c r="AJ77" i="19" s="1"/>
  <c r="AO77" i="19" s="1"/>
  <c r="AO78" i="19" s="1"/>
  <c r="E77" i="18"/>
  <c r="I77" i="18" s="1"/>
  <c r="AB77" i="18" s="1"/>
  <c r="AN47" i="17"/>
  <c r="AW47" i="17"/>
  <c r="BB47" i="17" s="1"/>
  <c r="Q82" i="12"/>
  <c r="J70" i="11"/>
  <c r="N17" i="11"/>
  <c r="AJ17" i="12"/>
  <c r="AK17" i="12" s="1"/>
  <c r="K75" i="11"/>
  <c r="E88" i="19"/>
  <c r="J88" i="19" s="1"/>
  <c r="AB88" i="19" s="1"/>
  <c r="AJ88" i="19" s="1"/>
  <c r="AO88" i="19" s="1"/>
  <c r="E88" i="18"/>
  <c r="I88" i="18" s="1"/>
  <c r="AB88" i="18" s="1"/>
  <c r="AA74" i="10"/>
  <c r="AB74" i="10" s="1"/>
  <c r="AL70" i="17"/>
  <c r="AF60" i="18"/>
  <c r="AK60" i="18" s="1"/>
  <c r="AO60" i="18"/>
  <c r="W23" i="14"/>
  <c r="N55" i="11"/>
  <c r="AJ64" i="12"/>
  <c r="AF83" i="6"/>
  <c r="AK83" i="6" s="1"/>
  <c r="AO83" i="6"/>
  <c r="K78" i="11"/>
  <c r="E91" i="18"/>
  <c r="I91" i="18" s="1"/>
  <c r="AB91" i="18" s="1"/>
  <c r="AL73" i="17"/>
  <c r="E91" i="19"/>
  <c r="J91" i="19" s="1"/>
  <c r="AB91" i="19" s="1"/>
  <c r="AJ91" i="19" s="1"/>
  <c r="AO91" i="19" s="1"/>
  <c r="AA77" i="10"/>
  <c r="AB77" i="10" s="1"/>
  <c r="N21" i="11"/>
  <c r="AJ21" i="12"/>
  <c r="N51" i="11"/>
  <c r="AJ60" i="12"/>
  <c r="AO19" i="18"/>
  <c r="AF19" i="18"/>
  <c r="E43" i="19"/>
  <c r="J43" i="19" s="1"/>
  <c r="AB43" i="19" s="1"/>
  <c r="AJ43" i="19" s="1"/>
  <c r="E43" i="18"/>
  <c r="I43" i="18" s="1"/>
  <c r="AB43" i="18" s="1"/>
  <c r="K37" i="11"/>
  <c r="AL32" i="17"/>
  <c r="AA36" i="10"/>
  <c r="AB36" i="10" s="1"/>
  <c r="W24" i="10"/>
  <c r="E27" i="9"/>
  <c r="J27" i="9" s="1"/>
  <c r="AB27" i="9" s="1"/>
  <c r="AJ27" i="9" s="1"/>
  <c r="AO27" i="9" s="1"/>
  <c r="H27" i="18"/>
  <c r="N18" i="11"/>
  <c r="AJ18" i="12"/>
  <c r="AK18" i="12" s="1"/>
  <c r="AL55" i="17"/>
  <c r="K60" i="11"/>
  <c r="AA59" i="10"/>
  <c r="AB59" i="10" s="1"/>
  <c r="E70" i="18"/>
  <c r="I70" i="18" s="1"/>
  <c r="AB70" i="18" s="1"/>
  <c r="E70" i="19"/>
  <c r="J70" i="19" s="1"/>
  <c r="AB70" i="19" s="1"/>
  <c r="AJ70" i="19" s="1"/>
  <c r="AO70" i="19" s="1"/>
  <c r="AO71" i="19" s="1"/>
  <c r="R19" i="17"/>
  <c r="V19" i="17" s="1"/>
  <c r="AE19" i="17"/>
  <c r="AA22" i="14"/>
  <c r="AF35" i="6"/>
  <c r="AO35" i="6"/>
  <c r="AB37" i="6"/>
  <c r="AJ20" i="19"/>
  <c r="AB22" i="19"/>
  <c r="AF84" i="6"/>
  <c r="AK84" i="6" s="1"/>
  <c r="AK85" i="6" s="1"/>
  <c r="AO84" i="6"/>
  <c r="AL18" i="17"/>
  <c r="AA22" i="10"/>
  <c r="AB22" i="10" s="1"/>
  <c r="K23" i="11"/>
  <c r="E24" i="19"/>
  <c r="J24" i="19" s="1"/>
  <c r="AB24" i="19" s="1"/>
  <c r="AJ24" i="19" s="1"/>
  <c r="AO24" i="19" s="1"/>
  <c r="E24" i="18"/>
  <c r="I24" i="18" s="1"/>
  <c r="AB24" i="18" s="1"/>
  <c r="R22" i="17"/>
  <c r="V22" i="17" s="1"/>
  <c r="AE22" i="17"/>
  <c r="K67" i="11"/>
  <c r="E78" i="19"/>
  <c r="J78" i="19" s="1"/>
  <c r="AB78" i="19" s="1"/>
  <c r="AJ78" i="19" s="1"/>
  <c r="E78" i="18"/>
  <c r="I78" i="18" s="1"/>
  <c r="AB78" i="18" s="1"/>
  <c r="AA66" i="10"/>
  <c r="AB66" i="10" s="1"/>
  <c r="AL62" i="17"/>
  <c r="K39" i="11"/>
  <c r="E46" i="19"/>
  <c r="J46" i="19" s="1"/>
  <c r="AB46" i="19" s="1"/>
  <c r="AJ46" i="19" s="1"/>
  <c r="AO46" i="19" s="1"/>
  <c r="AA38" i="10"/>
  <c r="AB38" i="10" s="1"/>
  <c r="E46" i="18"/>
  <c r="I46" i="18" s="1"/>
  <c r="AB46" i="18" s="1"/>
  <c r="AL34" i="17"/>
  <c r="AO17" i="18"/>
  <c r="AF17" i="18"/>
  <c r="AO37" i="6" l="1"/>
  <c r="AB22" i="18"/>
  <c r="AF21" i="18"/>
  <c r="AK21" i="18" s="1"/>
  <c r="Y25" i="10"/>
  <c r="U22" i="23" s="1"/>
  <c r="W22" i="23" s="1"/>
  <c r="Z65" i="14"/>
  <c r="P55" i="11"/>
  <c r="AS64" i="12" s="1"/>
  <c r="AP82" i="12"/>
  <c r="G28" i="20"/>
  <c r="H28" i="21"/>
  <c r="I28" i="21" s="1"/>
  <c r="AP35" i="12"/>
  <c r="AQ37" i="12" s="1"/>
  <c r="P20" i="11"/>
  <c r="AS20" i="12" s="1"/>
  <c r="P19" i="11"/>
  <c r="AS19" i="12" s="1"/>
  <c r="AT19" i="12" s="1"/>
  <c r="P18" i="11"/>
  <c r="AS18" i="12" s="1"/>
  <c r="AT18" i="12" s="1"/>
  <c r="AP36" i="12"/>
  <c r="AP80" i="12"/>
  <c r="AQ86" i="12" s="1"/>
  <c r="P16" i="11"/>
  <c r="AS16" i="12" s="1"/>
  <c r="AT16" i="12" s="1"/>
  <c r="AP85" i="12"/>
  <c r="P21" i="11"/>
  <c r="AS21" i="12" s="1"/>
  <c r="AO28" i="6"/>
  <c r="H24" i="14" s="1"/>
  <c r="P15" i="11"/>
  <c r="AS15" i="12" s="1"/>
  <c r="AT15" i="12" s="1"/>
  <c r="AP84" i="12"/>
  <c r="AO31" i="6"/>
  <c r="H25" i="14" s="1"/>
  <c r="I25" i="14" s="1"/>
  <c r="P54" i="11"/>
  <c r="AS63" i="12" s="1"/>
  <c r="P50" i="11"/>
  <c r="AS59" i="12" s="1"/>
  <c r="AP27" i="12"/>
  <c r="AO22" i="18"/>
  <c r="Y70" i="10"/>
  <c r="U67" i="23" s="1"/>
  <c r="W67" i="23" s="1"/>
  <c r="AP81" i="12"/>
  <c r="AP30" i="12"/>
  <c r="AP83" i="12"/>
  <c r="P17" i="11"/>
  <c r="AS17" i="12" s="1"/>
  <c r="AT17" i="12" s="1"/>
  <c r="P51" i="11"/>
  <c r="AS60" i="12" s="1"/>
  <c r="P53" i="11"/>
  <c r="AS62" i="12" s="1"/>
  <c r="P52" i="11"/>
  <c r="AS61" i="12" s="1"/>
  <c r="AP26" i="12"/>
  <c r="AQ28" i="12" s="1"/>
  <c r="U23" i="23"/>
  <c r="W23" i="23" s="1"/>
  <c r="R23" i="22"/>
  <c r="S23" i="22" s="1"/>
  <c r="U26" i="23"/>
  <c r="W26" i="23" s="1"/>
  <c r="R26" i="22"/>
  <c r="S26" i="22" s="1"/>
  <c r="AC20" i="21"/>
  <c r="S20" i="20"/>
  <c r="S18" i="20"/>
  <c r="AC18" i="21"/>
  <c r="AC19" i="21"/>
  <c r="S19" i="20"/>
  <c r="AC17" i="21"/>
  <c r="S17" i="20"/>
  <c r="AC22" i="21"/>
  <c r="S22" i="20"/>
  <c r="R69" i="22"/>
  <c r="S69" i="22" s="1"/>
  <c r="U69" i="23"/>
  <c r="W69" i="23" s="1"/>
  <c r="R64" i="22"/>
  <c r="S64" i="22" s="1"/>
  <c r="U64" i="23"/>
  <c r="W64" i="23" s="1"/>
  <c r="R20" i="22"/>
  <c r="S20" i="22" s="1"/>
  <c r="U20" i="23"/>
  <c r="W20" i="23" s="1"/>
  <c r="AC21" i="21"/>
  <c r="S21" i="20"/>
  <c r="R21" i="22"/>
  <c r="S21" i="22" s="1"/>
  <c r="U21" i="23"/>
  <c r="W21" i="23" s="1"/>
  <c r="AH55" i="14"/>
  <c r="AM55" i="14"/>
  <c r="BM43" i="12"/>
  <c r="BL43" i="12"/>
  <c r="AE65" i="14"/>
  <c r="W55" i="14"/>
  <c r="X55" i="14" s="1"/>
  <c r="U66" i="14"/>
  <c r="Y71" i="10"/>
  <c r="E84" i="19" s="1"/>
  <c r="AB3" i="6"/>
  <c r="AD5" i="6" s="1"/>
  <c r="Y68" i="10"/>
  <c r="AL64" i="17" s="1"/>
  <c r="AN64" i="17" s="1"/>
  <c r="Y69" i="10"/>
  <c r="AL65" i="17" s="1"/>
  <c r="AN65" i="17" s="1"/>
  <c r="AJ52" i="19"/>
  <c r="AB58" i="19"/>
  <c r="AJ66" i="17"/>
  <c r="I83" i="19"/>
  <c r="X83" i="19" s="1"/>
  <c r="W83" i="18"/>
  <c r="N61" i="11"/>
  <c r="AJ71" i="12"/>
  <c r="AN61" i="17"/>
  <c r="AW61" i="17"/>
  <c r="BB61" i="17" s="1"/>
  <c r="AN58" i="17"/>
  <c r="AW58" i="17"/>
  <c r="BB58" i="17" s="1"/>
  <c r="AF24" i="18"/>
  <c r="AK24" i="18" s="1"/>
  <c r="AO24" i="18"/>
  <c r="AN73" i="17"/>
  <c r="AW73" i="17"/>
  <c r="BB73" i="17" s="1"/>
  <c r="AF77" i="18"/>
  <c r="AK77" i="18" s="1"/>
  <c r="AK78" i="18" s="1"/>
  <c r="AO77" i="18"/>
  <c r="N47" i="11"/>
  <c r="AJ55" i="12"/>
  <c r="AN62" i="17"/>
  <c r="AW62" i="17"/>
  <c r="BB62" i="17" s="1"/>
  <c r="AO91" i="18"/>
  <c r="AF91" i="18"/>
  <c r="AK91" i="18" s="1"/>
  <c r="AL17" i="12"/>
  <c r="X20" i="20" s="1"/>
  <c r="BH17" i="12"/>
  <c r="AJ17" i="18"/>
  <c r="AK17" i="18"/>
  <c r="AB19" i="14"/>
  <c r="P20" i="13"/>
  <c r="N23" i="11"/>
  <c r="AJ24" i="12"/>
  <c r="G28" i="13"/>
  <c r="H27" i="14"/>
  <c r="I27" i="14" s="1"/>
  <c r="AF70" i="18"/>
  <c r="AK70" i="18" s="1"/>
  <c r="AK71" i="18" s="1"/>
  <c r="AO70" i="18"/>
  <c r="N78" i="11"/>
  <c r="AJ91" i="12"/>
  <c r="AN17" i="17"/>
  <c r="AW17" i="17"/>
  <c r="BB17" i="17" s="1"/>
  <c r="AN27" i="17"/>
  <c r="AW27" i="17"/>
  <c r="BB27" i="17" s="1"/>
  <c r="AO73" i="18"/>
  <c r="AF73" i="18"/>
  <c r="AB79" i="18"/>
  <c r="AF69" i="18"/>
  <c r="AK69" i="18" s="1"/>
  <c r="AO69" i="18"/>
  <c r="AF54" i="18"/>
  <c r="AK54" i="18" s="1"/>
  <c r="AO54" i="18"/>
  <c r="I36" i="19"/>
  <c r="X36" i="19" s="1"/>
  <c r="W36" i="18"/>
  <c r="I35" i="19"/>
  <c r="W35" i="18"/>
  <c r="N57" i="11"/>
  <c r="AJ67" i="12"/>
  <c r="N64" i="11"/>
  <c r="AJ75" i="12"/>
  <c r="AF53" i="18"/>
  <c r="AK53" i="18" s="1"/>
  <c r="AO53" i="18"/>
  <c r="I81" i="19"/>
  <c r="X81" i="19" s="1"/>
  <c r="W81" i="18"/>
  <c r="AF27" i="12"/>
  <c r="L27" i="12"/>
  <c r="AV14" i="12"/>
  <c r="AU14" i="12"/>
  <c r="BM14" i="12" s="1"/>
  <c r="BL14" i="12"/>
  <c r="AL16" i="12"/>
  <c r="X19" i="20" s="1"/>
  <c r="BH16" i="12"/>
  <c r="AN38" i="17"/>
  <c r="AW38" i="17"/>
  <c r="BB38" i="17" s="1"/>
  <c r="N49" i="11"/>
  <c r="AJ57" i="12"/>
  <c r="AJ67" i="17"/>
  <c r="N33" i="11"/>
  <c r="AJ39" i="12"/>
  <c r="AJ45" i="19"/>
  <c r="AB51" i="19"/>
  <c r="K73" i="11"/>
  <c r="N73" i="11" s="1"/>
  <c r="E85" i="19"/>
  <c r="E85" i="18"/>
  <c r="I85" i="18" s="1"/>
  <c r="AB85" i="18" s="1"/>
  <c r="AL68" i="17"/>
  <c r="AN68" i="17" s="1"/>
  <c r="AA72" i="10"/>
  <c r="AB72" i="10" s="1"/>
  <c r="E80" i="18"/>
  <c r="I80" i="18" s="1"/>
  <c r="AB80" i="18" s="1"/>
  <c r="AA67" i="10"/>
  <c r="AB67" i="10" s="1"/>
  <c r="AL63" i="17"/>
  <c r="AN63" i="17" s="1"/>
  <c r="E80" i="19"/>
  <c r="K68" i="11"/>
  <c r="N68" i="11" s="1"/>
  <c r="AN29" i="17"/>
  <c r="AW29" i="17"/>
  <c r="BB29" i="17" s="1"/>
  <c r="AF82" i="12"/>
  <c r="L82" i="12"/>
  <c r="L85" i="12"/>
  <c r="AF85" i="12"/>
  <c r="N63" i="11"/>
  <c r="AJ74" i="12"/>
  <c r="AG54" i="14"/>
  <c r="AM54" i="14" s="1"/>
  <c r="AN59" i="17"/>
  <c r="AW59" i="17"/>
  <c r="BB59" i="17" s="1"/>
  <c r="AO50" i="18"/>
  <c r="AF50" i="18"/>
  <c r="AN44" i="17"/>
  <c r="AW44" i="17"/>
  <c r="BB44" i="17" s="1"/>
  <c r="AK59" i="18"/>
  <c r="AF65" i="18"/>
  <c r="AN60" i="17"/>
  <c r="AW60" i="17"/>
  <c r="BB60" i="17" s="1"/>
  <c r="AA24" i="10"/>
  <c r="AB24" i="10" s="1"/>
  <c r="E27" i="19"/>
  <c r="E27" i="18"/>
  <c r="I27" i="18" s="1"/>
  <c r="AB27" i="18" s="1"/>
  <c r="AL20" i="17"/>
  <c r="AN20" i="17" s="1"/>
  <c r="K25" i="11"/>
  <c r="N25" i="11" s="1"/>
  <c r="AF40" i="18"/>
  <c r="AK40" i="18" s="1"/>
  <c r="AO40" i="18"/>
  <c r="L80" i="12"/>
  <c r="AF80" i="12"/>
  <c r="AG86" i="12" s="1"/>
  <c r="BC61" i="12" s="1"/>
  <c r="P17" i="13"/>
  <c r="AB16" i="14"/>
  <c r="AO49" i="18"/>
  <c r="AF49" i="18"/>
  <c r="AN32" i="17"/>
  <c r="AW32" i="17"/>
  <c r="BB32" i="17" s="1"/>
  <c r="AG22" i="14"/>
  <c r="AE22" i="14"/>
  <c r="E26" i="18"/>
  <c r="I26" i="18" s="1"/>
  <c r="AB26" i="18" s="1"/>
  <c r="AA23" i="10"/>
  <c r="AB23" i="10" s="1"/>
  <c r="AL19" i="17"/>
  <c r="AN19" i="17" s="1"/>
  <c r="K24" i="11"/>
  <c r="N24" i="11" s="1"/>
  <c r="E26" i="19"/>
  <c r="AN74" i="17"/>
  <c r="AW74" i="17"/>
  <c r="BB74" i="17" s="1"/>
  <c r="AN56" i="17"/>
  <c r="AW56" i="17"/>
  <c r="BB56" i="17" s="1"/>
  <c r="P86" i="5"/>
  <c r="Q70" i="5" s="1"/>
  <c r="K86" i="5"/>
  <c r="M86" i="5"/>
  <c r="W29" i="18"/>
  <c r="I29" i="19"/>
  <c r="L30" i="12"/>
  <c r="AF30" i="12"/>
  <c r="AF57" i="18"/>
  <c r="AO57" i="18"/>
  <c r="AN24" i="17"/>
  <c r="AW24" i="17"/>
  <c r="BB24" i="17" s="1"/>
  <c r="W85" i="18"/>
  <c r="I85" i="19"/>
  <c r="X85" i="19" s="1"/>
  <c r="E35" i="18"/>
  <c r="I35" i="18" s="1"/>
  <c r="AB35" i="18" s="1"/>
  <c r="K30" i="11"/>
  <c r="N30" i="11" s="1"/>
  <c r="AA29" i="10"/>
  <c r="AB29" i="10" s="1"/>
  <c r="E35" i="19"/>
  <c r="AL25" i="17"/>
  <c r="AN25" i="17" s="1"/>
  <c r="BB32" i="12"/>
  <c r="S86" i="12"/>
  <c r="L35" i="20" s="1"/>
  <c r="AK35" i="6"/>
  <c r="AF37" i="6"/>
  <c r="AJ65" i="17"/>
  <c r="AN34" i="17"/>
  <c r="AW34" i="17"/>
  <c r="BB34" i="17" s="1"/>
  <c r="N44" i="11"/>
  <c r="AJ52" i="12"/>
  <c r="AF36" i="12"/>
  <c r="L36" i="12"/>
  <c r="AO46" i="18"/>
  <c r="AF46" i="18"/>
  <c r="AK46" i="18" s="1"/>
  <c r="N67" i="11"/>
  <c r="AJ78" i="12"/>
  <c r="AN55" i="17"/>
  <c r="AW55" i="17"/>
  <c r="BB55" i="17" s="1"/>
  <c r="N37" i="11"/>
  <c r="AJ43" i="12"/>
  <c r="AO55" i="18"/>
  <c r="AF55" i="18"/>
  <c r="AK55" i="18" s="1"/>
  <c r="AK26" i="6"/>
  <c r="AF28" i="6"/>
  <c r="AJ21" i="17"/>
  <c r="AN39" i="17"/>
  <c r="AW39" i="17"/>
  <c r="BB39" i="17" s="1"/>
  <c r="AF26" i="12"/>
  <c r="AG28" i="12" s="1"/>
  <c r="BC51" i="12" s="1"/>
  <c r="L26" i="12"/>
  <c r="BB23" i="12"/>
  <c r="S31" i="12"/>
  <c r="L26" i="20" s="1"/>
  <c r="AF47" i="18"/>
  <c r="AK47" i="18" s="1"/>
  <c r="AO47" i="18"/>
  <c r="N46" i="11"/>
  <c r="AJ54" i="12"/>
  <c r="I26" i="19"/>
  <c r="X26" i="19" s="1"/>
  <c r="W26" i="18"/>
  <c r="N74" i="11"/>
  <c r="AJ87" i="12"/>
  <c r="N41" i="11"/>
  <c r="AJ48" i="12"/>
  <c r="AJ65" i="19"/>
  <c r="AO59" i="19"/>
  <c r="W54" i="14"/>
  <c r="AN23" i="17"/>
  <c r="AW23" i="17"/>
  <c r="BB23" i="17" s="1"/>
  <c r="N56" i="11"/>
  <c r="AJ66" i="12"/>
  <c r="AB31" i="9"/>
  <c r="AJ29" i="9"/>
  <c r="AN31" i="17"/>
  <c r="AW31" i="17"/>
  <c r="BB31" i="17" s="1"/>
  <c r="N29" i="11"/>
  <c r="AJ33" i="12"/>
  <c r="AO65" i="18"/>
  <c r="AL22" i="17"/>
  <c r="AN22" i="17" s="1"/>
  <c r="E30" i="18"/>
  <c r="I30" i="18" s="1"/>
  <c r="AB30" i="18" s="1"/>
  <c r="E30" i="19"/>
  <c r="AA26" i="10"/>
  <c r="AB26" i="10" s="1"/>
  <c r="K27" i="11"/>
  <c r="N27" i="11" s="1"/>
  <c r="AO90" i="18"/>
  <c r="AF90" i="18"/>
  <c r="AK90" i="18" s="1"/>
  <c r="AN18" i="17"/>
  <c r="AW18" i="17"/>
  <c r="BB18" i="17" s="1"/>
  <c r="G25" i="13"/>
  <c r="AN37" i="17"/>
  <c r="AW37" i="17"/>
  <c r="BB37" i="17" s="1"/>
  <c r="AJ22" i="17"/>
  <c r="AL18" i="12"/>
  <c r="X21" i="20" s="1"/>
  <c r="BH18" i="12"/>
  <c r="AO43" i="18"/>
  <c r="AF43" i="18"/>
  <c r="AF88" i="18"/>
  <c r="AK88" i="18" s="1"/>
  <c r="AO88" i="18"/>
  <c r="AN42" i="17"/>
  <c r="AW42" i="17"/>
  <c r="BB42" i="17" s="1"/>
  <c r="N58" i="11"/>
  <c r="AJ68" i="12"/>
  <c r="N32" i="11"/>
  <c r="AJ38" i="12"/>
  <c r="AN71" i="17"/>
  <c r="AW71" i="17"/>
  <c r="BB71" i="17" s="1"/>
  <c r="I84" i="19"/>
  <c r="X84" i="19" s="1"/>
  <c r="W84" i="18"/>
  <c r="AF35" i="12"/>
  <c r="AG37" i="12" s="1"/>
  <c r="BC54" i="12" s="1"/>
  <c r="L35" i="12"/>
  <c r="S28" i="12"/>
  <c r="L25" i="20" s="1"/>
  <c r="BB22" i="12"/>
  <c r="AO41" i="18"/>
  <c r="AF41" i="18"/>
  <c r="AK41" i="18" s="1"/>
  <c r="AK42" i="18" s="1"/>
  <c r="AK43" i="18" s="1"/>
  <c r="AN35" i="17"/>
  <c r="AW35" i="17"/>
  <c r="BB35" i="17" s="1"/>
  <c r="AF74" i="18"/>
  <c r="AK74" i="18" s="1"/>
  <c r="AO74" i="18"/>
  <c r="AN41" i="17"/>
  <c r="AW41" i="17"/>
  <c r="BB41" i="17" s="1"/>
  <c r="AJ26" i="9"/>
  <c r="AB28" i="9"/>
  <c r="AO92" i="18"/>
  <c r="AF92" i="18"/>
  <c r="AK92" i="18" s="1"/>
  <c r="AN69" i="17"/>
  <c r="AW69" i="17"/>
  <c r="BB69" i="17" s="1"/>
  <c r="AN36" i="17"/>
  <c r="AW36" i="17"/>
  <c r="BB36" i="17" s="1"/>
  <c r="AO75" i="18"/>
  <c r="AF75" i="18"/>
  <c r="AK75" i="18" s="1"/>
  <c r="AJ25" i="17"/>
  <c r="W80" i="18"/>
  <c r="I80" i="19"/>
  <c r="N42" i="11"/>
  <c r="AJ49" i="12"/>
  <c r="N48" i="11"/>
  <c r="AJ56" i="12"/>
  <c r="AJ32" i="19"/>
  <c r="AB34" i="19"/>
  <c r="AN51" i="17"/>
  <c r="AW51" i="17"/>
  <c r="BB51" i="17" s="1"/>
  <c r="AL21" i="17"/>
  <c r="AN21" i="17" s="1"/>
  <c r="K26" i="11"/>
  <c r="N26" i="11" s="1"/>
  <c r="E29" i="19"/>
  <c r="E29" i="18"/>
  <c r="I29" i="18" s="1"/>
  <c r="AB29" i="18" s="1"/>
  <c r="N36" i="11"/>
  <c r="AJ42" i="12"/>
  <c r="N38" i="11"/>
  <c r="AJ45" i="12"/>
  <c r="AF76" i="18"/>
  <c r="AK76" i="18" s="1"/>
  <c r="AO76" i="18"/>
  <c r="AF81" i="12"/>
  <c r="L81" i="12"/>
  <c r="P18" i="13"/>
  <c r="AB17" i="14"/>
  <c r="N66" i="11"/>
  <c r="AJ77" i="12"/>
  <c r="N62" i="11"/>
  <c r="AJ73" i="12"/>
  <c r="AN70" i="17"/>
  <c r="AW70" i="17"/>
  <c r="BB70" i="17" s="1"/>
  <c r="AJ19" i="17"/>
  <c r="AB25" i="19"/>
  <c r="AJ23" i="19"/>
  <c r="AF68" i="18"/>
  <c r="AK68" i="18" s="1"/>
  <c r="AO68" i="18"/>
  <c r="BH19" i="12"/>
  <c r="AL19" i="12"/>
  <c r="X22" i="20" s="1"/>
  <c r="AO89" i="18"/>
  <c r="AF89" i="18"/>
  <c r="AK89" i="18" s="1"/>
  <c r="S37" i="12"/>
  <c r="L28" i="20" s="1"/>
  <c r="BB25" i="12"/>
  <c r="AN54" i="17"/>
  <c r="AW54" i="17"/>
  <c r="BB54" i="17" s="1"/>
  <c r="N35" i="11"/>
  <c r="AJ41" i="12"/>
  <c r="AB18" i="14"/>
  <c r="AJ16" i="18"/>
  <c r="AK16" i="18"/>
  <c r="P19" i="13"/>
  <c r="AF31" i="6"/>
  <c r="AK29" i="6"/>
  <c r="N79" i="11"/>
  <c r="AJ92" i="12"/>
  <c r="AB93" i="18"/>
  <c r="AO87" i="18"/>
  <c r="AF87" i="18"/>
  <c r="AK22" i="12"/>
  <c r="AJ63" i="17"/>
  <c r="AJ80" i="9"/>
  <c r="AB86" i="9"/>
  <c r="AN43" i="17"/>
  <c r="AW43" i="17"/>
  <c r="BB43" i="17" s="1"/>
  <c r="N28" i="11"/>
  <c r="AJ32" i="12"/>
  <c r="AO66" i="18"/>
  <c r="AF66" i="18"/>
  <c r="AB72" i="18"/>
  <c r="AF33" i="18"/>
  <c r="AK33" i="18" s="1"/>
  <c r="AO33" i="18"/>
  <c r="AF39" i="18"/>
  <c r="AK39" i="18" s="1"/>
  <c r="AO39" i="18"/>
  <c r="AN33" i="17"/>
  <c r="AW33" i="17"/>
  <c r="BB33" i="17" s="1"/>
  <c r="N65" i="11"/>
  <c r="AJ76" i="12"/>
  <c r="AF38" i="18"/>
  <c r="AO38" i="18"/>
  <c r="AB44" i="18"/>
  <c r="AF22" i="18"/>
  <c r="AK20" i="18"/>
  <c r="N60" i="11"/>
  <c r="AJ70" i="12"/>
  <c r="N76" i="11"/>
  <c r="AJ89" i="12"/>
  <c r="I27" i="19"/>
  <c r="W27" i="18"/>
  <c r="N75" i="11"/>
  <c r="AJ88" i="12"/>
  <c r="AF83" i="12"/>
  <c r="L83" i="12"/>
  <c r="AB79" i="19"/>
  <c r="AJ73" i="19"/>
  <c r="N59" i="11"/>
  <c r="AJ69" i="12"/>
  <c r="AJ64" i="17"/>
  <c r="AN52" i="17"/>
  <c r="AW52" i="17"/>
  <c r="BB52" i="17" s="1"/>
  <c r="AK80" i="6"/>
  <c r="AF86" i="6"/>
  <c r="AN40" i="17"/>
  <c r="AW40" i="17"/>
  <c r="BB40" i="17" s="1"/>
  <c r="AO71" i="18"/>
  <c r="AF71" i="18"/>
  <c r="W82" i="18"/>
  <c r="I82" i="19"/>
  <c r="AO56" i="18"/>
  <c r="AF56" i="18"/>
  <c r="AK56" i="18" s="1"/>
  <c r="AK57" i="18" s="1"/>
  <c r="AB34" i="18"/>
  <c r="AF32" i="18"/>
  <c r="AO32" i="18"/>
  <c r="AF42" i="18"/>
  <c r="AO42" i="18"/>
  <c r="N43" i="11"/>
  <c r="AJ50" i="12"/>
  <c r="AK65" i="12"/>
  <c r="N77" i="11"/>
  <c r="AJ90" i="12"/>
  <c r="AO78" i="18"/>
  <c r="AF78" i="18"/>
  <c r="AL15" i="12"/>
  <c r="X18" i="20" s="1"/>
  <c r="BH15" i="12"/>
  <c r="AB44" i="19"/>
  <c r="AJ38" i="19"/>
  <c r="AF29" i="12"/>
  <c r="AG31" i="12" s="1"/>
  <c r="BC52" i="12" s="1"/>
  <c r="L29" i="12"/>
  <c r="N40" i="11"/>
  <c r="AJ47" i="12"/>
  <c r="N39" i="11"/>
  <c r="AJ46" i="12"/>
  <c r="AO20" i="19"/>
  <c r="AJ22" i="19"/>
  <c r="P22" i="13"/>
  <c r="AJ19" i="18"/>
  <c r="AB21" i="14"/>
  <c r="AK19" i="18"/>
  <c r="AF23" i="18"/>
  <c r="AO23" i="18"/>
  <c r="AO25" i="18" s="1"/>
  <c r="AB25" i="18"/>
  <c r="N22" i="11"/>
  <c r="AJ23" i="12"/>
  <c r="AF84" i="12"/>
  <c r="L84" i="12"/>
  <c r="AN53" i="17"/>
  <c r="AW53" i="17"/>
  <c r="BB53" i="17" s="1"/>
  <c r="AJ20" i="17"/>
  <c r="AN57" i="17"/>
  <c r="AW57" i="17"/>
  <c r="BB57" i="17" s="1"/>
  <c r="AB58" i="18"/>
  <c r="AF52" i="18"/>
  <c r="AO52" i="18"/>
  <c r="AJ26" i="17"/>
  <c r="AN30" i="17"/>
  <c r="AW30" i="17"/>
  <c r="BB30" i="17" s="1"/>
  <c r="Y30" i="10"/>
  <c r="AJ35" i="9"/>
  <c r="AB37" i="9"/>
  <c r="AO67" i="18"/>
  <c r="AF67" i="18"/>
  <c r="AK67" i="18" s="1"/>
  <c r="AO86" i="6"/>
  <c r="AJ87" i="19"/>
  <c r="AB93" i="19"/>
  <c r="AO48" i="18"/>
  <c r="AF48" i="18"/>
  <c r="AK48" i="18" s="1"/>
  <c r="AK49" i="18" s="1"/>
  <c r="AK50" i="18" s="1"/>
  <c r="N45" i="11"/>
  <c r="AJ53" i="12"/>
  <c r="BH14" i="12"/>
  <c r="AL14" i="12"/>
  <c r="X17" i="20" s="1"/>
  <c r="AB53" i="14"/>
  <c r="AB72" i="19"/>
  <c r="AJ66" i="19"/>
  <c r="P21" i="13"/>
  <c r="AJ18" i="18"/>
  <c r="AK18" i="18"/>
  <c r="AB20" i="14"/>
  <c r="AJ68" i="17"/>
  <c r="AN28" i="17"/>
  <c r="AW28" i="17"/>
  <c r="BB28" i="17" s="1"/>
  <c r="AF45" i="18"/>
  <c r="AB51" i="18"/>
  <c r="AO45" i="18"/>
  <c r="I30" i="19"/>
  <c r="W30" i="18"/>
  <c r="N34" i="11"/>
  <c r="AJ40" i="12"/>
  <c r="AN72" i="17"/>
  <c r="AW72" i="17"/>
  <c r="BB72" i="17" s="1"/>
  <c r="AA25" i="10" l="1"/>
  <c r="AB25" i="10" s="1"/>
  <c r="AW63" i="17"/>
  <c r="BB63" i="17" s="1"/>
  <c r="R22" i="22"/>
  <c r="S22" i="22" s="1"/>
  <c r="K72" i="11"/>
  <c r="N72" i="11" s="1"/>
  <c r="AA71" i="10"/>
  <c r="AB71" i="10" s="1"/>
  <c r="AL67" i="17"/>
  <c r="AN67" i="17" s="1"/>
  <c r="E84" i="18"/>
  <c r="I84" i="18" s="1"/>
  <c r="AB84" i="18" s="1"/>
  <c r="AF84" i="18" s="1"/>
  <c r="AK84" i="18" s="1"/>
  <c r="AK85" i="18" s="1"/>
  <c r="K71" i="11"/>
  <c r="N71" i="11" s="1"/>
  <c r="P71" i="11" s="1"/>
  <c r="AS83" i="12" s="1"/>
  <c r="AA70" i="10"/>
  <c r="AB70" i="10" s="1"/>
  <c r="AT22" i="12"/>
  <c r="BI49" i="12" s="1"/>
  <c r="BL49" i="12" s="1"/>
  <c r="AT65" i="12"/>
  <c r="BI58" i="12" s="1"/>
  <c r="BM58" i="12" s="1"/>
  <c r="AG19" i="21"/>
  <c r="AH19" i="21" s="1"/>
  <c r="AI19" i="21"/>
  <c r="AG21" i="21"/>
  <c r="AH21" i="21" s="1"/>
  <c r="AI21" i="21"/>
  <c r="AG22" i="21"/>
  <c r="AH22" i="21" s="1"/>
  <c r="AI22" i="21"/>
  <c r="AG18" i="21"/>
  <c r="AH18" i="21" s="1"/>
  <c r="AI18" i="21"/>
  <c r="AG20" i="21"/>
  <c r="AH20" i="21" s="1"/>
  <c r="AI20" i="21"/>
  <c r="AG17" i="21"/>
  <c r="AH17" i="21" s="1"/>
  <c r="AI17" i="21"/>
  <c r="BI46" i="12"/>
  <c r="AV17" i="12"/>
  <c r="AU17" i="12"/>
  <c r="BM17" i="12" s="1"/>
  <c r="AP19" i="14" s="1"/>
  <c r="BL17" i="12"/>
  <c r="BI48" i="12"/>
  <c r="AV19" i="12"/>
  <c r="AU19" i="12"/>
  <c r="BM19" i="12" s="1"/>
  <c r="BL19" i="12"/>
  <c r="BI45" i="12"/>
  <c r="BL16" i="12"/>
  <c r="AU16" i="12"/>
  <c r="BM16" i="12" s="1"/>
  <c r="AM19" i="21" s="1"/>
  <c r="AV16" i="12"/>
  <c r="BI44" i="12"/>
  <c r="AU15" i="12"/>
  <c r="BM15" i="12" s="1"/>
  <c r="AM18" i="21" s="1"/>
  <c r="AV15" i="12"/>
  <c r="BL15" i="12"/>
  <c r="BI47" i="12"/>
  <c r="AV18" i="12"/>
  <c r="BL18" i="12"/>
  <c r="AU18" i="12"/>
  <c r="BM18" i="12" s="1"/>
  <c r="AP20" i="14" s="1"/>
  <c r="F35" i="21"/>
  <c r="F35" i="20"/>
  <c r="P45" i="11"/>
  <c r="AS53" i="12" s="1"/>
  <c r="AL66" i="17"/>
  <c r="AN66" i="17" s="1"/>
  <c r="P43" i="11"/>
  <c r="AS50" i="12" s="1"/>
  <c r="P26" i="11"/>
  <c r="AS29" i="12" s="1"/>
  <c r="AT31" i="12" s="1"/>
  <c r="BI52" i="12" s="1"/>
  <c r="F25" i="21"/>
  <c r="F25" i="20"/>
  <c r="P64" i="11"/>
  <c r="AS75" i="12" s="1"/>
  <c r="P47" i="11"/>
  <c r="AS55" i="12" s="1"/>
  <c r="P44" i="11"/>
  <c r="AS52" i="12" s="1"/>
  <c r="P39" i="11"/>
  <c r="AS46" i="12" s="1"/>
  <c r="P42" i="11"/>
  <c r="AS49" i="12" s="1"/>
  <c r="P32" i="11"/>
  <c r="AS38" i="12" s="1"/>
  <c r="P41" i="11"/>
  <c r="AS48" i="12" s="1"/>
  <c r="AO3" i="6"/>
  <c r="AO5" i="6" s="1"/>
  <c r="AR9" i="6" s="1"/>
  <c r="H35" i="21"/>
  <c r="I35" i="21" s="1"/>
  <c r="G35" i="20"/>
  <c r="P76" i="11"/>
  <c r="AS89" i="12" s="1"/>
  <c r="P79" i="11"/>
  <c r="AS92" i="12" s="1"/>
  <c r="P35" i="11"/>
  <c r="AS41" i="12" s="1"/>
  <c r="P56" i="11"/>
  <c r="AS66" i="12" s="1"/>
  <c r="P63" i="11"/>
  <c r="AS74" i="12" s="1"/>
  <c r="P73" i="11"/>
  <c r="AS85" i="12" s="1"/>
  <c r="P57" i="11"/>
  <c r="AS67" i="12" s="1"/>
  <c r="P62" i="11"/>
  <c r="AS73" i="12" s="1"/>
  <c r="P46" i="11"/>
  <c r="AS54" i="12" s="1"/>
  <c r="P67" i="11"/>
  <c r="AS78" i="12" s="1"/>
  <c r="P66" i="11"/>
  <c r="AS77" i="12" s="1"/>
  <c r="P38" i="11"/>
  <c r="AS45" i="12" s="1"/>
  <c r="P58" i="11"/>
  <c r="AS68" i="12" s="1"/>
  <c r="P74" i="11"/>
  <c r="AS87" i="12" s="1"/>
  <c r="G26" i="20"/>
  <c r="P48" i="11"/>
  <c r="AS56" i="12" s="1"/>
  <c r="P72" i="11"/>
  <c r="AS84" i="12" s="1"/>
  <c r="P25" i="11"/>
  <c r="AS27" i="12" s="1"/>
  <c r="P49" i="11"/>
  <c r="AS57" i="12" s="1"/>
  <c r="P60" i="11"/>
  <c r="AS70" i="12" s="1"/>
  <c r="P29" i="11"/>
  <c r="AS33" i="12" s="1"/>
  <c r="G26" i="13"/>
  <c r="P23" i="11"/>
  <c r="AS24" i="12" s="1"/>
  <c r="P61" i="11"/>
  <c r="AS71" i="12" s="1"/>
  <c r="H26" i="21"/>
  <c r="I26" i="21" s="1"/>
  <c r="H25" i="21"/>
  <c r="I25" i="21" s="1"/>
  <c r="G25" i="20"/>
  <c r="P24" i="11"/>
  <c r="AS26" i="12" s="1"/>
  <c r="AT28" i="12" s="1"/>
  <c r="BI51" i="12" s="1"/>
  <c r="P68" i="11"/>
  <c r="AS80" i="12" s="1"/>
  <c r="AT86" i="12" s="1"/>
  <c r="BI61" i="12" s="1"/>
  <c r="P34" i="11"/>
  <c r="AS40" i="12" s="1"/>
  <c r="AW68" i="17"/>
  <c r="BB68" i="17" s="1"/>
  <c r="P40" i="11"/>
  <c r="AS47" i="12" s="1"/>
  <c r="E83" i="19"/>
  <c r="J83" i="19" s="1"/>
  <c r="AB83" i="19" s="1"/>
  <c r="AJ83" i="19" s="1"/>
  <c r="AO83" i="19" s="1"/>
  <c r="P77" i="11"/>
  <c r="AS90" i="12" s="1"/>
  <c r="P59" i="11"/>
  <c r="AS69" i="12" s="1"/>
  <c r="P36" i="11"/>
  <c r="AS42" i="12" s="1"/>
  <c r="P27" i="11"/>
  <c r="AS30" i="12" s="1"/>
  <c r="P37" i="11"/>
  <c r="AS43" i="12" s="1"/>
  <c r="P30" i="11"/>
  <c r="AS35" i="12" s="1"/>
  <c r="AT37" i="12" s="1"/>
  <c r="BI54" i="12" s="1"/>
  <c r="R67" i="22"/>
  <c r="S67" i="22" s="1"/>
  <c r="P65" i="11"/>
  <c r="AS76" i="12" s="1"/>
  <c r="E83" i="18"/>
  <c r="I83" i="18" s="1"/>
  <c r="AB83" i="18" s="1"/>
  <c r="AO83" i="18" s="1"/>
  <c r="P22" i="11"/>
  <c r="AS23" i="12" s="1"/>
  <c r="P75" i="11"/>
  <c r="AS88" i="12" s="1"/>
  <c r="P28" i="11"/>
  <c r="AS32" i="12" s="1"/>
  <c r="F28" i="21"/>
  <c r="F28" i="20"/>
  <c r="P33" i="11"/>
  <c r="AS39" i="12" s="1"/>
  <c r="P78" i="11"/>
  <c r="AS91" i="12" s="1"/>
  <c r="W20" i="20"/>
  <c r="V20" i="20"/>
  <c r="T20" i="20"/>
  <c r="U20" i="20"/>
  <c r="AD17" i="21"/>
  <c r="AD20" i="21"/>
  <c r="AP21" i="14"/>
  <c r="AM22" i="21"/>
  <c r="W19" i="20"/>
  <c r="V19" i="20"/>
  <c r="T19" i="20"/>
  <c r="U19" i="20"/>
  <c r="W17" i="20"/>
  <c r="V17" i="20"/>
  <c r="T17" i="20"/>
  <c r="U17" i="20"/>
  <c r="F26" i="21"/>
  <c r="F26" i="20"/>
  <c r="E82" i="18"/>
  <c r="I82" i="18" s="1"/>
  <c r="AB82" i="18" s="1"/>
  <c r="AO82" i="18" s="1"/>
  <c r="R66" i="22"/>
  <c r="S66" i="22" s="1"/>
  <c r="U66" i="23"/>
  <c r="W66" i="23" s="1"/>
  <c r="V21" i="20"/>
  <c r="U21" i="20"/>
  <c r="W21" i="20"/>
  <c r="T21" i="20"/>
  <c r="W22" i="20"/>
  <c r="V22" i="20"/>
  <c r="U22" i="20"/>
  <c r="T22" i="20"/>
  <c r="AD19" i="21"/>
  <c r="K69" i="11"/>
  <c r="N69" i="11" s="1"/>
  <c r="R65" i="22"/>
  <c r="S65" i="22" s="1"/>
  <c r="U65" i="23"/>
  <c r="W65" i="23" s="1"/>
  <c r="AD21" i="21"/>
  <c r="AD22" i="21"/>
  <c r="AC23" i="21"/>
  <c r="S23" i="20"/>
  <c r="AA55" i="14"/>
  <c r="AB55" i="14" s="1"/>
  <c r="AC55" i="14" s="1"/>
  <c r="AP16" i="14"/>
  <c r="AM17" i="21"/>
  <c r="R68" i="22"/>
  <c r="S68" i="22" s="1"/>
  <c r="U68" i="23"/>
  <c r="W68" i="23" s="1"/>
  <c r="AD18" i="21"/>
  <c r="R27" i="22"/>
  <c r="S27" i="22" s="1"/>
  <c r="U27" i="23"/>
  <c r="W27" i="23" s="1"/>
  <c r="AC32" i="21"/>
  <c r="S32" i="20"/>
  <c r="V18" i="20"/>
  <c r="W18" i="20"/>
  <c r="T18" i="20"/>
  <c r="U18" i="20"/>
  <c r="K70" i="11"/>
  <c r="N70" i="11" s="1"/>
  <c r="AA69" i="10"/>
  <c r="AB69" i="10" s="1"/>
  <c r="E82" i="19"/>
  <c r="J82" i="19" s="1"/>
  <c r="AB82" i="19" s="1"/>
  <c r="AW19" i="17"/>
  <c r="BB19" i="17" s="1"/>
  <c r="AW25" i="17"/>
  <c r="BB25" i="17" s="1"/>
  <c r="AJ85" i="12"/>
  <c r="AW20" i="17"/>
  <c r="BB20" i="17" s="1"/>
  <c r="E81" i="18"/>
  <c r="I81" i="18" s="1"/>
  <c r="AB81" i="18" s="1"/>
  <c r="AK25" i="12"/>
  <c r="BH21" i="12" s="1"/>
  <c r="BF52" i="12"/>
  <c r="BG52" i="12"/>
  <c r="BG51" i="12"/>
  <c r="BF51" i="12"/>
  <c r="BR47" i="12"/>
  <c r="BF61" i="12"/>
  <c r="BG61" i="12"/>
  <c r="AK44" i="12"/>
  <c r="AL44" i="12" s="1"/>
  <c r="X29" i="20" s="1"/>
  <c r="AO51" i="18"/>
  <c r="E81" i="19"/>
  <c r="J81" i="19" s="1"/>
  <c r="AB81" i="19" s="1"/>
  <c r="AJ81" i="19" s="1"/>
  <c r="AO81" i="19" s="1"/>
  <c r="BF54" i="12"/>
  <c r="BG54" i="12"/>
  <c r="BR48" i="12"/>
  <c r="AA64" i="14"/>
  <c r="BM49" i="12"/>
  <c r="AA68" i="10"/>
  <c r="AB68" i="10" s="1"/>
  <c r="AK93" i="12"/>
  <c r="AL93" i="12" s="1"/>
  <c r="X36" i="20" s="1"/>
  <c r="AK51" i="12"/>
  <c r="BH27" i="12" s="1"/>
  <c r="AW22" i="17"/>
  <c r="BB22" i="17" s="1"/>
  <c r="AO72" i="18"/>
  <c r="Q26" i="5"/>
  <c r="R27" i="5" s="1"/>
  <c r="AB3" i="9"/>
  <c r="AD5" i="9" s="1"/>
  <c r="R75" i="5"/>
  <c r="R73" i="5"/>
  <c r="R71" i="5"/>
  <c r="R74" i="5"/>
  <c r="R72" i="5"/>
  <c r="R70" i="5"/>
  <c r="F35" i="13"/>
  <c r="AJ86" i="6"/>
  <c r="AK86" i="6"/>
  <c r="F34" i="14"/>
  <c r="P23" i="13"/>
  <c r="AK22" i="18"/>
  <c r="AB22" i="14"/>
  <c r="AJ22" i="18"/>
  <c r="AL26" i="17"/>
  <c r="K31" i="11"/>
  <c r="N31" i="11" s="1"/>
  <c r="AA30" i="10"/>
  <c r="AB30" i="10" s="1"/>
  <c r="E36" i="18"/>
  <c r="I36" i="18" s="1"/>
  <c r="AB36" i="18" s="1"/>
  <c r="AB37" i="18" s="1"/>
  <c r="E36" i="19"/>
  <c r="J36" i="19" s="1"/>
  <c r="AB36" i="19" s="1"/>
  <c r="AJ36" i="19" s="1"/>
  <c r="AO36" i="19" s="1"/>
  <c r="AI31" i="12"/>
  <c r="AH31" i="12"/>
  <c r="V26" i="21" s="1"/>
  <c r="BF23" i="12"/>
  <c r="AF30" i="18"/>
  <c r="AK30" i="18" s="1"/>
  <c r="AO30" i="18"/>
  <c r="AW21" i="17"/>
  <c r="BB21" i="17" s="1"/>
  <c r="X30" i="19"/>
  <c r="J30" i="19"/>
  <c r="AB30" i="19" s="1"/>
  <c r="AH20" i="14"/>
  <c r="AC20" i="14"/>
  <c r="U17" i="13"/>
  <c r="BI14" i="12"/>
  <c r="AN22" i="19"/>
  <c r="AO22" i="19"/>
  <c r="AJ44" i="19"/>
  <c r="AO38" i="19"/>
  <c r="AL65" i="12"/>
  <c r="X32" i="20" s="1"/>
  <c r="BH29" i="12"/>
  <c r="AK34" i="12"/>
  <c r="BH20" i="12"/>
  <c r="AL22" i="12"/>
  <c r="X23" i="20" s="1"/>
  <c r="T19" i="13"/>
  <c r="S19" i="13"/>
  <c r="Q19" i="13"/>
  <c r="R19" i="13"/>
  <c r="AJ25" i="19"/>
  <c r="AO23" i="19"/>
  <c r="AK72" i="12"/>
  <c r="J84" i="19"/>
  <c r="AB84" i="19" s="1"/>
  <c r="AJ84" i="19" s="1"/>
  <c r="AO84" i="19" s="1"/>
  <c r="AO85" i="19" s="1"/>
  <c r="AJ37" i="6"/>
  <c r="F27" i="14"/>
  <c r="F28" i="13"/>
  <c r="AK37" i="6"/>
  <c r="AF35" i="18"/>
  <c r="AO35" i="18"/>
  <c r="AJ30" i="12"/>
  <c r="AB28" i="18"/>
  <c r="AO26" i="18"/>
  <c r="AF26" i="18"/>
  <c r="AW67" i="17"/>
  <c r="BB67" i="17" s="1"/>
  <c r="J35" i="19"/>
  <c r="AB35" i="19" s="1"/>
  <c r="X35" i="19"/>
  <c r="X37" i="19" s="1"/>
  <c r="BC25" i="12"/>
  <c r="L28" i="13"/>
  <c r="AO85" i="18"/>
  <c r="AF85" i="18"/>
  <c r="W31" i="18"/>
  <c r="Z31" i="18" s="1"/>
  <c r="S17" i="13"/>
  <c r="T17" i="13"/>
  <c r="Q17" i="13"/>
  <c r="R17" i="13"/>
  <c r="J85" i="19"/>
  <c r="AB85" i="19" s="1"/>
  <c r="AJ85" i="19" s="1"/>
  <c r="AO79" i="18"/>
  <c r="S20" i="13"/>
  <c r="T20" i="13"/>
  <c r="Q20" i="13"/>
  <c r="R20" i="13"/>
  <c r="AO26" i="9"/>
  <c r="AJ28" i="9"/>
  <c r="BC32" i="12"/>
  <c r="L35" i="13"/>
  <c r="S21" i="13"/>
  <c r="T21" i="13"/>
  <c r="Q21" i="13"/>
  <c r="R21" i="13"/>
  <c r="AF25" i="18"/>
  <c r="AK23" i="18"/>
  <c r="U18" i="13"/>
  <c r="BI15" i="12"/>
  <c r="AJ83" i="12"/>
  <c r="X27" i="19"/>
  <c r="X28" i="19" s="1"/>
  <c r="J27" i="19"/>
  <c r="AB27" i="19" s="1"/>
  <c r="AO44" i="18"/>
  <c r="AH18" i="14"/>
  <c r="AC18" i="14"/>
  <c r="AJ81" i="12"/>
  <c r="AJ34" i="19"/>
  <c r="AO32" i="19"/>
  <c r="N82" i="5"/>
  <c r="O82" i="5" s="1"/>
  <c r="N83" i="5"/>
  <c r="O83" i="5" s="1"/>
  <c r="N84" i="5"/>
  <c r="O84" i="5" s="1"/>
  <c r="N17" i="5"/>
  <c r="O17" i="5" s="1"/>
  <c r="N19" i="5"/>
  <c r="O19" i="5" s="1"/>
  <c r="N20" i="5"/>
  <c r="O20" i="5" s="1"/>
  <c r="N21" i="5"/>
  <c r="O21" i="5" s="1"/>
  <c r="N18" i="5"/>
  <c r="O18" i="5" s="1"/>
  <c r="N16" i="5"/>
  <c r="N40" i="5"/>
  <c r="N76" i="5"/>
  <c r="N30" i="5"/>
  <c r="N24" i="5"/>
  <c r="N64" i="5"/>
  <c r="N46" i="5"/>
  <c r="N58" i="5"/>
  <c r="N34" i="5"/>
  <c r="N52" i="5"/>
  <c r="N22" i="5"/>
  <c r="N32" i="5"/>
  <c r="N28" i="5"/>
  <c r="AI86" i="12"/>
  <c r="AH86" i="12"/>
  <c r="V35" i="21" s="1"/>
  <c r="BF32" i="12"/>
  <c r="AC19" i="14"/>
  <c r="AH19" i="14"/>
  <c r="AK87" i="18"/>
  <c r="AF93" i="18"/>
  <c r="AC17" i="14"/>
  <c r="AH17" i="14"/>
  <c r="AH54" i="14"/>
  <c r="S18" i="13"/>
  <c r="T18" i="13"/>
  <c r="Q18" i="13"/>
  <c r="R18" i="13"/>
  <c r="AO87" i="19"/>
  <c r="AJ93" i="19"/>
  <c r="AO58" i="18"/>
  <c r="AF44" i="18"/>
  <c r="AK38" i="18"/>
  <c r="BI19" i="12"/>
  <c r="U22" i="13"/>
  <c r="AB31" i="18"/>
  <c r="AO29" i="18"/>
  <c r="AF29" i="18"/>
  <c r="L25" i="13"/>
  <c r="BC22" i="12"/>
  <c r="L26" i="13"/>
  <c r="BC23" i="12"/>
  <c r="AO84" i="18"/>
  <c r="J26" i="19"/>
  <c r="AB26" i="19" s="1"/>
  <c r="P86" i="12"/>
  <c r="AJ80" i="12"/>
  <c r="AK86" i="12" s="1"/>
  <c r="O86" i="12"/>
  <c r="AO73" i="19"/>
  <c r="AJ79" i="19"/>
  <c r="F25" i="13"/>
  <c r="F24" i="14"/>
  <c r="AK28" i="6"/>
  <c r="AJ28" i="6"/>
  <c r="AF3" i="6"/>
  <c r="AO27" i="18"/>
  <c r="AF27" i="18"/>
  <c r="AK27" i="18" s="1"/>
  <c r="AF79" i="18"/>
  <c r="AK73" i="18"/>
  <c r="AO93" i="18"/>
  <c r="AJ72" i="19"/>
  <c r="AO66" i="19"/>
  <c r="AK52" i="18"/>
  <c r="AF58" i="18"/>
  <c r="AJ84" i="12"/>
  <c r="AH21" i="14"/>
  <c r="AC21" i="14"/>
  <c r="AO34" i="18"/>
  <c r="AW64" i="17"/>
  <c r="BB64" i="17" s="1"/>
  <c r="AJ86" i="9"/>
  <c r="AO80" i="9"/>
  <c r="AK79" i="12"/>
  <c r="X80" i="19"/>
  <c r="J80" i="19"/>
  <c r="AB80" i="19" s="1"/>
  <c r="P37" i="12"/>
  <c r="O37" i="12"/>
  <c r="AJ35" i="12"/>
  <c r="AK37" i="12" s="1"/>
  <c r="X54" i="14"/>
  <c r="AA54" i="14"/>
  <c r="Q28" i="5"/>
  <c r="Q84" i="5"/>
  <c r="R84" i="5" s="1"/>
  <c r="Q82" i="5"/>
  <c r="R82" i="5" s="1"/>
  <c r="Q83" i="5"/>
  <c r="R83" i="5" s="1"/>
  <c r="Q19" i="5"/>
  <c r="R19" i="5" s="1"/>
  <c r="Q18" i="5"/>
  <c r="R18" i="5" s="1"/>
  <c r="Q21" i="5"/>
  <c r="R21" i="5" s="1"/>
  <c r="Q20" i="5"/>
  <c r="R20" i="5" s="1"/>
  <c r="Q17" i="5"/>
  <c r="R17" i="5" s="1"/>
  <c r="Q16" i="5"/>
  <c r="Q30" i="5"/>
  <c r="Q24" i="5"/>
  <c r="Q58" i="5"/>
  <c r="Q34" i="5"/>
  <c r="Q22" i="5"/>
  <c r="Q64" i="5"/>
  <c r="Q46" i="5"/>
  <c r="Q52" i="5"/>
  <c r="Q76" i="5"/>
  <c r="Q40" i="5"/>
  <c r="Q32" i="5"/>
  <c r="N70" i="5"/>
  <c r="AO45" i="19"/>
  <c r="AJ51" i="19"/>
  <c r="AJ27" i="12"/>
  <c r="J29" i="19"/>
  <c r="AB29" i="19" s="1"/>
  <c r="X29" i="19"/>
  <c r="AC16" i="14"/>
  <c r="AH16" i="14"/>
  <c r="AM16" i="14" s="1"/>
  <c r="G35" i="13"/>
  <c r="H34" i="14"/>
  <c r="I34" i="14" s="1"/>
  <c r="X82" i="19"/>
  <c r="AK45" i="18"/>
  <c r="AF51" i="18"/>
  <c r="AF81" i="18"/>
  <c r="AK81" i="18" s="1"/>
  <c r="AO35" i="9"/>
  <c r="AJ37" i="9"/>
  <c r="AJ29" i="12"/>
  <c r="AK31" i="12" s="1"/>
  <c r="P31" i="12"/>
  <c r="O31" i="12"/>
  <c r="AK32" i="18"/>
  <c r="AF34" i="18"/>
  <c r="AU22" i="12"/>
  <c r="BM20" i="12" s="1"/>
  <c r="BL20" i="12"/>
  <c r="AK66" i="18"/>
  <c r="AF72" i="18"/>
  <c r="W86" i="18"/>
  <c r="Z86" i="18" s="1"/>
  <c r="AI37" i="12"/>
  <c r="AH37" i="12"/>
  <c r="V28" i="21" s="1"/>
  <c r="BF25" i="12"/>
  <c r="U21" i="13"/>
  <c r="BI18" i="12"/>
  <c r="I24" i="14"/>
  <c r="AO29" i="9"/>
  <c r="AJ31" i="9"/>
  <c r="W28" i="18"/>
  <c r="O28" i="12"/>
  <c r="P28" i="12"/>
  <c r="AJ26" i="12"/>
  <c r="AK28" i="12" s="1"/>
  <c r="AW65" i="17"/>
  <c r="BB65" i="17" s="1"/>
  <c r="N26" i="5"/>
  <c r="AB31" i="14"/>
  <c r="P32" i="13"/>
  <c r="AJ65" i="18"/>
  <c r="AK65" i="18"/>
  <c r="AO80" i="18"/>
  <c r="AF80" i="18"/>
  <c r="AC53" i="14"/>
  <c r="T22" i="13"/>
  <c r="S22" i="13"/>
  <c r="Q22" i="13"/>
  <c r="R22" i="13"/>
  <c r="F26" i="13"/>
  <c r="AK31" i="6"/>
  <c r="AJ31" i="6"/>
  <c r="F25" i="14"/>
  <c r="AN65" i="19"/>
  <c r="AO65" i="19"/>
  <c r="AI28" i="12"/>
  <c r="BF22" i="12"/>
  <c r="AH28" i="12"/>
  <c r="V25" i="21" s="1"/>
  <c r="AK58" i="12"/>
  <c r="BI16" i="12"/>
  <c r="U19" i="13"/>
  <c r="W37" i="18"/>
  <c r="Z37" i="18" s="1"/>
  <c r="U20" i="13"/>
  <c r="BI17" i="12"/>
  <c r="AO52" i="19"/>
  <c r="AJ58" i="19"/>
  <c r="AP18" i="14" l="1"/>
  <c r="AL25" i="12"/>
  <c r="X24" i="20" s="1"/>
  <c r="G41" i="13"/>
  <c r="AV65" i="12"/>
  <c r="AU65" i="12"/>
  <c r="BM29" i="12" s="1"/>
  <c r="BL58" i="12"/>
  <c r="BL29" i="12"/>
  <c r="AM21" i="21"/>
  <c r="AV22" i="12"/>
  <c r="AM20" i="21"/>
  <c r="AO31" i="18"/>
  <c r="AW66" i="17"/>
  <c r="BB66" i="17" s="1"/>
  <c r="AJ82" i="12"/>
  <c r="AF83" i="18"/>
  <c r="AK83" i="18" s="1"/>
  <c r="AB86" i="18"/>
  <c r="AT58" i="12"/>
  <c r="BI57" i="12" s="1"/>
  <c r="BM57" i="12" s="1"/>
  <c r="R26" i="5"/>
  <c r="AT25" i="12"/>
  <c r="BI50" i="12" s="1"/>
  <c r="BS46" i="12" s="1"/>
  <c r="AT34" i="12"/>
  <c r="BI53" i="12" s="1"/>
  <c r="BL53" i="12" s="1"/>
  <c r="AT93" i="12"/>
  <c r="BI62" i="12" s="1"/>
  <c r="BL62" i="12" s="1"/>
  <c r="AT51" i="12"/>
  <c r="BI56" i="12" s="1"/>
  <c r="AT44" i="12"/>
  <c r="BI55" i="12" s="1"/>
  <c r="BS45" i="12" s="1"/>
  <c r="G41" i="20"/>
  <c r="AG23" i="21"/>
  <c r="AH23" i="21" s="1"/>
  <c r="AI23" i="21"/>
  <c r="AG32" i="21"/>
  <c r="AH32" i="21" s="1"/>
  <c r="AI32" i="21"/>
  <c r="AT72" i="12"/>
  <c r="BL30" i="12" s="1"/>
  <c r="AT79" i="12"/>
  <c r="AU79" i="12" s="1"/>
  <c r="BM31" i="12" s="1"/>
  <c r="P70" i="11"/>
  <c r="AS82" i="12" s="1"/>
  <c r="I25" i="20"/>
  <c r="R25" i="20" s="1"/>
  <c r="K25" i="20"/>
  <c r="J25" i="20"/>
  <c r="H25" i="20"/>
  <c r="Q25" i="20" s="1"/>
  <c r="J35" i="20"/>
  <c r="H35" i="20"/>
  <c r="Q35" i="20" s="1"/>
  <c r="K35" i="20"/>
  <c r="I35" i="20"/>
  <c r="R35" i="20" s="1"/>
  <c r="G35" i="21"/>
  <c r="N35" i="21"/>
  <c r="P35" i="21"/>
  <c r="P31" i="11"/>
  <c r="AS36" i="12" s="1"/>
  <c r="H41" i="21"/>
  <c r="I41" i="21" s="1"/>
  <c r="G28" i="21"/>
  <c r="N28" i="21"/>
  <c r="P28" i="21"/>
  <c r="G25" i="21"/>
  <c r="N25" i="21"/>
  <c r="P25" i="21"/>
  <c r="BL48" i="12"/>
  <c r="BM48" i="12"/>
  <c r="AV31" i="12"/>
  <c r="AO81" i="18"/>
  <c r="AO86" i="18" s="1"/>
  <c r="AF82" i="18"/>
  <c r="AK82" i="18" s="1"/>
  <c r="H28" i="20"/>
  <c r="Q28" i="20" s="1"/>
  <c r="I28" i="20"/>
  <c r="R28" i="20" s="1"/>
  <c r="J28" i="20"/>
  <c r="K28" i="20"/>
  <c r="AP17" i="14"/>
  <c r="BL44" i="12"/>
  <c r="BM44" i="12"/>
  <c r="AU37" i="12"/>
  <c r="BM25" i="12" s="1"/>
  <c r="AM28" i="21" s="1"/>
  <c r="P69" i="11"/>
  <c r="AS81" i="12" s="1"/>
  <c r="BL47" i="12"/>
  <c r="BM47" i="12"/>
  <c r="BS44" i="12"/>
  <c r="BM45" i="12"/>
  <c r="BL45" i="12"/>
  <c r="BL46" i="12"/>
  <c r="BM46" i="12"/>
  <c r="BH26" i="12"/>
  <c r="AD32" i="21"/>
  <c r="V23" i="20"/>
  <c r="U23" i="20"/>
  <c r="T23" i="20"/>
  <c r="W23" i="20"/>
  <c r="AK20" i="21"/>
  <c r="AJ20" i="21"/>
  <c r="AL20" i="21" s="1"/>
  <c r="AC29" i="21"/>
  <c r="S29" i="20"/>
  <c r="S24" i="20"/>
  <c r="AC24" i="21"/>
  <c r="AD23" i="21"/>
  <c r="K26" i="20"/>
  <c r="H26" i="20"/>
  <c r="I26" i="20"/>
  <c r="F41" i="20"/>
  <c r="J26" i="20"/>
  <c r="AP31" i="14"/>
  <c r="AM32" i="21"/>
  <c r="AK22" i="21"/>
  <c r="AJ22" i="21"/>
  <c r="AL22" i="21" s="1"/>
  <c r="N26" i="21"/>
  <c r="F41" i="21"/>
  <c r="G41" i="21" s="1"/>
  <c r="G26" i="21"/>
  <c r="P26" i="21"/>
  <c r="AJ17" i="21"/>
  <c r="AC36" i="21"/>
  <c r="S36" i="20"/>
  <c r="AP22" i="14"/>
  <c r="AM23" i="21"/>
  <c r="AC30" i="21"/>
  <c r="S30" i="20"/>
  <c r="AC34" i="21"/>
  <c r="S34" i="20"/>
  <c r="AJ21" i="21"/>
  <c r="AL21" i="21" s="1"/>
  <c r="AK21" i="21"/>
  <c r="AC33" i="21"/>
  <c r="S33" i="20"/>
  <c r="AJ18" i="21"/>
  <c r="AL18" i="21" s="1"/>
  <c r="AK18" i="21"/>
  <c r="AK19" i="21"/>
  <c r="AJ19" i="21"/>
  <c r="AL19" i="21" s="1"/>
  <c r="AC27" i="21"/>
  <c r="S27" i="20"/>
  <c r="AC31" i="21"/>
  <c r="S31" i="20"/>
  <c r="W32" i="20"/>
  <c r="U32" i="20"/>
  <c r="V32" i="20"/>
  <c r="T32" i="20"/>
  <c r="AJ30" i="19"/>
  <c r="AO30" i="19" s="1"/>
  <c r="AL51" i="12"/>
  <c r="X30" i="20" s="1"/>
  <c r="BH33" i="12"/>
  <c r="AR28" i="12"/>
  <c r="BH51" i="12"/>
  <c r="AR37" i="12"/>
  <c r="BH54" i="12"/>
  <c r="F41" i="13"/>
  <c r="H40" i="14"/>
  <c r="I40" i="14" s="1"/>
  <c r="AR86" i="12"/>
  <c r="BH61" i="12"/>
  <c r="BL56" i="12"/>
  <c r="BM56" i="12"/>
  <c r="AR31" i="12"/>
  <c r="BH52" i="12"/>
  <c r="AJ82" i="19"/>
  <c r="AO82" i="19" s="1"/>
  <c r="AJ36" i="12"/>
  <c r="X86" i="19"/>
  <c r="BL32" i="12"/>
  <c r="BL23" i="12"/>
  <c r="AV86" i="12"/>
  <c r="P33" i="13"/>
  <c r="AJ72" i="18"/>
  <c r="AB32" i="14"/>
  <c r="AK72" i="18"/>
  <c r="R52" i="5"/>
  <c r="R53" i="5"/>
  <c r="R57" i="5"/>
  <c r="R55" i="5"/>
  <c r="R56" i="5"/>
  <c r="R54" i="5"/>
  <c r="AK79" i="18"/>
  <c r="AJ79" i="18"/>
  <c r="P34" i="13"/>
  <c r="AB33" i="14"/>
  <c r="O32" i="5"/>
  <c r="O33" i="5"/>
  <c r="K35" i="13"/>
  <c r="I35" i="13"/>
  <c r="O35" i="13" s="1"/>
  <c r="AB35" i="21" s="1"/>
  <c r="AF35" i="21" s="1"/>
  <c r="J35" i="13"/>
  <c r="H35" i="13"/>
  <c r="N35" i="13" s="1"/>
  <c r="AA35" i="21" s="1"/>
  <c r="G25" i="14"/>
  <c r="N25" i="14"/>
  <c r="P25" i="14"/>
  <c r="R24" i="5"/>
  <c r="R25" i="5"/>
  <c r="AJ26" i="19"/>
  <c r="AB28" i="19"/>
  <c r="AN93" i="19"/>
  <c r="AO93" i="19"/>
  <c r="BH28" i="12"/>
  <c r="AL58" i="12"/>
  <c r="X31" i="20" s="1"/>
  <c r="BI21" i="12"/>
  <c r="U24" i="13"/>
  <c r="Z28" i="18"/>
  <c r="Z3" i="18" s="1"/>
  <c r="W3" i="18"/>
  <c r="BG25" i="12"/>
  <c r="X27" i="14"/>
  <c r="AO51" i="19"/>
  <c r="AN51" i="19"/>
  <c r="R77" i="5"/>
  <c r="R76" i="5"/>
  <c r="R81" i="5"/>
  <c r="R78" i="5"/>
  <c r="R80" i="5"/>
  <c r="R79" i="5"/>
  <c r="R31" i="5"/>
  <c r="R30" i="5"/>
  <c r="AO37" i="12"/>
  <c r="BK25" i="12" s="1"/>
  <c r="BJ25" i="12"/>
  <c r="H25" i="13"/>
  <c r="I25" i="13"/>
  <c r="K25" i="13"/>
  <c r="J25" i="13"/>
  <c r="O29" i="5"/>
  <c r="O28" i="5"/>
  <c r="O24" i="5"/>
  <c r="O25" i="5"/>
  <c r="AJ27" i="19"/>
  <c r="AO27" i="19" s="1"/>
  <c r="AU86" i="12"/>
  <c r="BM32" i="12" s="1"/>
  <c r="AO44" i="19"/>
  <c r="AN44" i="19"/>
  <c r="AI20" i="14"/>
  <c r="AM20" i="14"/>
  <c r="AL20" i="14"/>
  <c r="AN26" i="17"/>
  <c r="AW26" i="17"/>
  <c r="BB26" i="17" s="1"/>
  <c r="X24" i="14"/>
  <c r="BG22" i="12"/>
  <c r="O31" i="5"/>
  <c r="O30" i="5"/>
  <c r="O75" i="5"/>
  <c r="O73" i="5"/>
  <c r="O70" i="5"/>
  <c r="O74" i="5"/>
  <c r="O71" i="5"/>
  <c r="O72" i="5"/>
  <c r="U36" i="13"/>
  <c r="BI33" i="12"/>
  <c r="AL72" i="12"/>
  <c r="X33" i="20" s="1"/>
  <c r="BH30" i="12"/>
  <c r="O26" i="5"/>
  <c r="O27" i="5"/>
  <c r="AU31" i="12"/>
  <c r="BM23" i="12" s="1"/>
  <c r="AN37" i="9"/>
  <c r="AO37" i="9"/>
  <c r="AI16" i="14"/>
  <c r="AL16" i="14"/>
  <c r="AU28" i="12"/>
  <c r="BM22" i="12" s="1"/>
  <c r="R69" i="5"/>
  <c r="R66" i="5"/>
  <c r="R67" i="5"/>
  <c r="R65" i="5"/>
  <c r="R64" i="5"/>
  <c r="R68" i="5"/>
  <c r="BH31" i="12"/>
  <c r="AL79" i="12"/>
  <c r="X34" i="20" s="1"/>
  <c r="AK58" i="18"/>
  <c r="P31" i="13"/>
  <c r="AB30" i="14"/>
  <c r="AJ58" i="18"/>
  <c r="AI19" i="14"/>
  <c r="AL19" i="14"/>
  <c r="AN19" i="14" s="1"/>
  <c r="AM19" i="14"/>
  <c r="AO19" i="14" s="1"/>
  <c r="O52" i="5"/>
  <c r="O53" i="5"/>
  <c r="O55" i="5"/>
  <c r="O57" i="5"/>
  <c r="O56" i="5"/>
  <c r="O54" i="5"/>
  <c r="O42" i="5"/>
  <c r="O45" i="5"/>
  <c r="O44" i="5"/>
  <c r="O41" i="5"/>
  <c r="O43" i="5"/>
  <c r="O40" i="5"/>
  <c r="AO34" i="19"/>
  <c r="AN34" i="19"/>
  <c r="AJ35" i="19"/>
  <c r="AB37" i="19"/>
  <c r="AK35" i="18"/>
  <c r="BL27" i="12"/>
  <c r="AV51" i="12"/>
  <c r="AU51" i="12"/>
  <c r="BM27" i="12" s="1"/>
  <c r="AC22" i="14"/>
  <c r="AH22" i="14"/>
  <c r="AC31" i="14"/>
  <c r="AH31" i="14"/>
  <c r="O81" i="5"/>
  <c r="O78" i="5"/>
  <c r="O79" i="5"/>
  <c r="O80" i="5"/>
  <c r="O76" i="5"/>
  <c r="O77" i="5"/>
  <c r="AK80" i="18"/>
  <c r="AK51" i="18"/>
  <c r="AB29" i="14"/>
  <c r="P30" i="13"/>
  <c r="AJ51" i="18"/>
  <c r="BL22" i="12"/>
  <c r="R22" i="5"/>
  <c r="R23" i="5"/>
  <c r="AB54" i="14"/>
  <c r="AR3" i="6"/>
  <c r="AR7" i="6" s="1"/>
  <c r="AR10" i="6" s="1"/>
  <c r="AR13" i="6" s="1"/>
  <c r="AH5" i="6"/>
  <c r="O34" i="5"/>
  <c r="O38" i="5"/>
  <c r="O35" i="5"/>
  <c r="O36" i="5"/>
  <c r="O39" i="5"/>
  <c r="O37" i="5"/>
  <c r="N86" i="5"/>
  <c r="O16" i="5"/>
  <c r="BH24" i="12"/>
  <c r="AL34" i="12"/>
  <c r="X27" i="20" s="1"/>
  <c r="AN31" i="9"/>
  <c r="AO31" i="9"/>
  <c r="AI21" i="14"/>
  <c r="AL21" i="14"/>
  <c r="AN21" i="14" s="1"/>
  <c r="AM21" i="14"/>
  <c r="AO21" i="14" s="1"/>
  <c r="AJ93" i="18"/>
  <c r="P36" i="13"/>
  <c r="AK93" i="18"/>
  <c r="AB35" i="14"/>
  <c r="R28" i="5"/>
  <c r="R29" i="5"/>
  <c r="O23" i="5"/>
  <c r="O22" i="5"/>
  <c r="BI20" i="12"/>
  <c r="U23" i="13"/>
  <c r="BL25" i="12"/>
  <c r="AL28" i="12"/>
  <c r="X25" i="20" s="1"/>
  <c r="BH22" i="12"/>
  <c r="X31" i="19"/>
  <c r="AV28" i="12"/>
  <c r="R37" i="5"/>
  <c r="R36" i="5"/>
  <c r="R34" i="5"/>
  <c r="R35" i="5"/>
  <c r="R38" i="5"/>
  <c r="R39" i="5"/>
  <c r="BH32" i="12"/>
  <c r="AL86" i="12"/>
  <c r="X35" i="20" s="1"/>
  <c r="AB28" i="14"/>
  <c r="AA65" i="14" s="1"/>
  <c r="P29" i="13"/>
  <c r="AK44" i="18"/>
  <c r="AJ44" i="18"/>
  <c r="O62" i="5"/>
  <c r="O58" i="5"/>
  <c r="O60" i="5"/>
  <c r="O59" i="5"/>
  <c r="O63" i="5"/>
  <c r="O61" i="5"/>
  <c r="AU93" i="12"/>
  <c r="BM33" i="12" s="1"/>
  <c r="BL33" i="12"/>
  <c r="AV93" i="12"/>
  <c r="AN28" i="9"/>
  <c r="AO28" i="9"/>
  <c r="AJ3" i="9"/>
  <c r="AF28" i="18"/>
  <c r="AK26" i="18"/>
  <c r="H28" i="13"/>
  <c r="N28" i="13" s="1"/>
  <c r="AA28" i="21" s="1"/>
  <c r="K28" i="13"/>
  <c r="I28" i="13"/>
  <c r="O28" i="13" s="1"/>
  <c r="AB28" i="21" s="1"/>
  <c r="AF28" i="21" s="1"/>
  <c r="J28" i="13"/>
  <c r="AN25" i="19"/>
  <c r="AO25" i="19"/>
  <c r="AO36" i="18"/>
  <c r="AO37" i="18" s="1"/>
  <c r="AF36" i="18"/>
  <c r="AK36" i="18" s="1"/>
  <c r="S23" i="13"/>
  <c r="T23" i="13"/>
  <c r="R23" i="13"/>
  <c r="Q23" i="13"/>
  <c r="BJ23" i="12"/>
  <c r="AO31" i="12"/>
  <c r="BK23" i="12" s="1"/>
  <c r="R16" i="5"/>
  <c r="Q86" i="5"/>
  <c r="AO79" i="19"/>
  <c r="AN79" i="19"/>
  <c r="J26" i="13"/>
  <c r="I26" i="13"/>
  <c r="O26" i="13" s="1"/>
  <c r="AB26" i="21" s="1"/>
  <c r="AF26" i="21" s="1"/>
  <c r="H26" i="13"/>
  <c r="N26" i="13" s="1"/>
  <c r="AA26" i="21" s="1"/>
  <c r="K26" i="13"/>
  <c r="BH23" i="12"/>
  <c r="AL31" i="12"/>
  <c r="X26" i="20" s="1"/>
  <c r="R48" i="5"/>
  <c r="R49" i="5"/>
  <c r="R46" i="5"/>
  <c r="R50" i="5"/>
  <c r="R47" i="5"/>
  <c r="R51" i="5"/>
  <c r="X25" i="14"/>
  <c r="BG23" i="12"/>
  <c r="AO58" i="19"/>
  <c r="AN58" i="19"/>
  <c r="AV37" i="12"/>
  <c r="AO28" i="12"/>
  <c r="BK22" i="12" s="1"/>
  <c r="BJ22" i="12"/>
  <c r="P27" i="13"/>
  <c r="AB26" i="14"/>
  <c r="AJ34" i="18"/>
  <c r="AK34" i="18"/>
  <c r="AB31" i="19"/>
  <c r="AJ29" i="19"/>
  <c r="R32" i="5"/>
  <c r="R33" i="5"/>
  <c r="R59" i="5"/>
  <c r="R63" i="5"/>
  <c r="R61" i="5"/>
  <c r="R62" i="5"/>
  <c r="R58" i="5"/>
  <c r="R60" i="5"/>
  <c r="BH25" i="12"/>
  <c r="AL37" i="12"/>
  <c r="X28" i="20" s="1"/>
  <c r="AO72" i="19"/>
  <c r="AN72" i="19"/>
  <c r="AO86" i="12"/>
  <c r="BK32" i="12" s="1"/>
  <c r="BJ32" i="12"/>
  <c r="X34" i="14"/>
  <c r="BG32" i="12"/>
  <c r="O46" i="5"/>
  <c r="O50" i="5"/>
  <c r="O48" i="5"/>
  <c r="O49" i="5"/>
  <c r="O47" i="5"/>
  <c r="O51" i="5"/>
  <c r="AI18" i="14"/>
  <c r="AL18" i="14"/>
  <c r="AN18" i="14" s="1"/>
  <c r="AM18" i="14"/>
  <c r="AO18" i="14" s="1"/>
  <c r="P24" i="13"/>
  <c r="AJ25" i="18"/>
  <c r="AB23" i="14"/>
  <c r="AK25" i="18"/>
  <c r="AO28" i="18"/>
  <c r="G27" i="14"/>
  <c r="N27" i="14"/>
  <c r="P27" i="14"/>
  <c r="U32" i="13"/>
  <c r="BI29" i="12"/>
  <c r="N34" i="14"/>
  <c r="P34" i="14"/>
  <c r="G34" i="14"/>
  <c r="S32" i="13"/>
  <c r="T32" i="13"/>
  <c r="Q32" i="13"/>
  <c r="R32" i="13"/>
  <c r="AJ80" i="19"/>
  <c r="AB86" i="19"/>
  <c r="R41" i="5"/>
  <c r="R42" i="5"/>
  <c r="R40" i="5"/>
  <c r="R43" i="5"/>
  <c r="R44" i="5"/>
  <c r="R45" i="5"/>
  <c r="N24" i="14"/>
  <c r="G24" i="14"/>
  <c r="P24" i="14"/>
  <c r="F40" i="14"/>
  <c r="G40" i="14" s="1"/>
  <c r="AK29" i="18"/>
  <c r="AF31" i="18"/>
  <c r="AI17" i="14"/>
  <c r="AL17" i="14"/>
  <c r="AM17" i="14"/>
  <c r="O67" i="5"/>
  <c r="O68" i="5"/>
  <c r="O65" i="5"/>
  <c r="O66" i="5"/>
  <c r="O69" i="5"/>
  <c r="O64" i="5"/>
  <c r="U29" i="13"/>
  <c r="BI26" i="12"/>
  <c r="AB3" i="18"/>
  <c r="AD5" i="18" s="1"/>
  <c r="BL50" i="12" l="1"/>
  <c r="BL57" i="12"/>
  <c r="AV79" i="12"/>
  <c r="U30" i="13"/>
  <c r="BM50" i="12"/>
  <c r="AU25" i="12"/>
  <c r="BM21" i="12" s="1"/>
  <c r="AP23" i="14" s="1"/>
  <c r="BL21" i="12"/>
  <c r="AV25" i="12"/>
  <c r="BM55" i="12"/>
  <c r="BM62" i="12"/>
  <c r="AU58" i="12"/>
  <c r="BM28" i="12" s="1"/>
  <c r="AM31" i="21" s="1"/>
  <c r="BL28" i="12"/>
  <c r="AV58" i="12"/>
  <c r="AV34" i="12"/>
  <c r="BL24" i="12"/>
  <c r="AU34" i="12"/>
  <c r="BM24" i="12" s="1"/>
  <c r="AP26" i="14" s="1"/>
  <c r="BM53" i="12"/>
  <c r="AU72" i="12"/>
  <c r="BM30" i="12" s="1"/>
  <c r="AP32" i="14" s="1"/>
  <c r="BI59" i="12"/>
  <c r="BM59" i="12" s="1"/>
  <c r="AV72" i="12"/>
  <c r="AF86" i="18"/>
  <c r="P35" i="13" s="1"/>
  <c r="Q35" i="13" s="1"/>
  <c r="AP27" i="14"/>
  <c r="AV44" i="12"/>
  <c r="BL26" i="12"/>
  <c r="AU44" i="12"/>
  <c r="BM26" i="12" s="1"/>
  <c r="AM29" i="21" s="1"/>
  <c r="BL55" i="12"/>
  <c r="AG34" i="21"/>
  <c r="AH34" i="21" s="1"/>
  <c r="AI34" i="21"/>
  <c r="AG24" i="21"/>
  <c r="AH24" i="21" s="1"/>
  <c r="AI24" i="21"/>
  <c r="AG30" i="21"/>
  <c r="AH30" i="21" s="1"/>
  <c r="AI30" i="21"/>
  <c r="AG29" i="21"/>
  <c r="AH29" i="21" s="1"/>
  <c r="AI29" i="21"/>
  <c r="AG31" i="21"/>
  <c r="AH31" i="21" s="1"/>
  <c r="AI31" i="21"/>
  <c r="AG33" i="21"/>
  <c r="AH33" i="21" s="1"/>
  <c r="AI33" i="21"/>
  <c r="AG27" i="21"/>
  <c r="AH27" i="21" s="1"/>
  <c r="AI27" i="21"/>
  <c r="AG36" i="21"/>
  <c r="AH36" i="21" s="1"/>
  <c r="AI36" i="21"/>
  <c r="O25" i="21"/>
  <c r="R25" i="21"/>
  <c r="T25" i="21" s="1"/>
  <c r="S35" i="21"/>
  <c r="U35" i="21" s="1"/>
  <c r="Q35" i="21"/>
  <c r="AA66" i="14"/>
  <c r="O35" i="21"/>
  <c r="R35" i="21"/>
  <c r="T35" i="21" s="1"/>
  <c r="S28" i="21"/>
  <c r="U28" i="21" s="1"/>
  <c r="Q28" i="21"/>
  <c r="R28" i="21"/>
  <c r="T28" i="21" s="1"/>
  <c r="O28" i="21"/>
  <c r="BI60" i="12"/>
  <c r="BL31" i="12"/>
  <c r="S25" i="21"/>
  <c r="U25" i="21" s="1"/>
  <c r="Q25" i="21"/>
  <c r="BI27" i="12"/>
  <c r="W31" i="20"/>
  <c r="U31" i="20"/>
  <c r="T31" i="20"/>
  <c r="V31" i="20"/>
  <c r="V34" i="20"/>
  <c r="W34" i="20"/>
  <c r="T34" i="20"/>
  <c r="U34" i="20"/>
  <c r="AD34" i="21"/>
  <c r="O26" i="21"/>
  <c r="R26" i="21"/>
  <c r="N41" i="21"/>
  <c r="O41" i="21" s="1"/>
  <c r="AJ23" i="21"/>
  <c r="AL23" i="21" s="1"/>
  <c r="AK23" i="21"/>
  <c r="W27" i="20"/>
  <c r="V27" i="20"/>
  <c r="T27" i="20"/>
  <c r="U27" i="20"/>
  <c r="W33" i="20"/>
  <c r="V33" i="20"/>
  <c r="U33" i="20"/>
  <c r="T33" i="20"/>
  <c r="V30" i="20"/>
  <c r="T30" i="20"/>
  <c r="W30" i="20"/>
  <c r="U30" i="20"/>
  <c r="AL17" i="21"/>
  <c r="AD24" i="21"/>
  <c r="AP29" i="14"/>
  <c r="AM30" i="21"/>
  <c r="AP35" i="14"/>
  <c r="AM36" i="21"/>
  <c r="AD27" i="21"/>
  <c r="AD33" i="21"/>
  <c r="AD30" i="21"/>
  <c r="AK17" i="21"/>
  <c r="J41" i="20"/>
  <c r="K41" i="20"/>
  <c r="V24" i="20"/>
  <c r="W24" i="20"/>
  <c r="U24" i="20"/>
  <c r="T24" i="20"/>
  <c r="AP24" i="14"/>
  <c r="AM25" i="21"/>
  <c r="AP34" i="14"/>
  <c r="AM35" i="21"/>
  <c r="R26" i="20"/>
  <c r="I41" i="20"/>
  <c r="W29" i="20"/>
  <c r="V29" i="20"/>
  <c r="T29" i="20"/>
  <c r="U29" i="20"/>
  <c r="AP33" i="14"/>
  <c r="AM34" i="21"/>
  <c r="AC25" i="21"/>
  <c r="AG25" i="21" s="1"/>
  <c r="S25" i="20"/>
  <c r="Q26" i="20"/>
  <c r="H41" i="20"/>
  <c r="AD29" i="21"/>
  <c r="AD31" i="21"/>
  <c r="V36" i="20"/>
  <c r="W36" i="20"/>
  <c r="T36" i="20"/>
  <c r="U36" i="20"/>
  <c r="Q26" i="21"/>
  <c r="S26" i="21"/>
  <c r="P41" i="21"/>
  <c r="Q41" i="21" s="1"/>
  <c r="AC26" i="21"/>
  <c r="AG26" i="21" s="1"/>
  <c r="AH26" i="21" s="1"/>
  <c r="S26" i="20"/>
  <c r="AD36" i="21"/>
  <c r="AK32" i="21"/>
  <c r="AJ32" i="21"/>
  <c r="AL32" i="21" s="1"/>
  <c r="AP25" i="14"/>
  <c r="AM26" i="21"/>
  <c r="X3" i="19"/>
  <c r="Z5" i="19" s="1"/>
  <c r="BL54" i="12"/>
  <c r="BM54" i="12"/>
  <c r="BL52" i="12"/>
  <c r="BM52" i="12"/>
  <c r="BM61" i="12"/>
  <c r="BL61" i="12"/>
  <c r="AF64" i="14"/>
  <c r="BM51" i="12"/>
  <c r="BL51" i="12"/>
  <c r="AN20" i="14"/>
  <c r="V64" i="14"/>
  <c r="W64" i="14" s="1"/>
  <c r="BS48" i="12"/>
  <c r="AN17" i="14"/>
  <c r="Z5" i="18"/>
  <c r="Q27" i="14"/>
  <c r="U27" i="14"/>
  <c r="BI31" i="12"/>
  <c r="U34" i="13"/>
  <c r="T25" i="14"/>
  <c r="V25" i="14" s="1"/>
  <c r="O25" i="14"/>
  <c r="O24" i="14"/>
  <c r="T24" i="14"/>
  <c r="N40" i="14"/>
  <c r="O40" i="14" s="1"/>
  <c r="T24" i="13"/>
  <c r="S24" i="13"/>
  <c r="R24" i="13"/>
  <c r="Q24" i="13"/>
  <c r="BI25" i="12"/>
  <c r="U28" i="13"/>
  <c r="Z25" i="14"/>
  <c r="AC54" i="14"/>
  <c r="AI31" i="14"/>
  <c r="AM31" i="14"/>
  <c r="AO31" i="14" s="1"/>
  <c r="AL31" i="14"/>
  <c r="AN31" i="14" s="1"/>
  <c r="BI28" i="12"/>
  <c r="U31" i="13"/>
  <c r="U25" i="14"/>
  <c r="Q25" i="14"/>
  <c r="J41" i="13"/>
  <c r="K41" i="13"/>
  <c r="BI22" i="12"/>
  <c r="U25" i="13"/>
  <c r="AN16" i="14"/>
  <c r="T34" i="13"/>
  <c r="S34" i="13"/>
  <c r="Q34" i="13"/>
  <c r="R34" i="13"/>
  <c r="AA27" i="14"/>
  <c r="AI22" i="14"/>
  <c r="AL22" i="14"/>
  <c r="AN22" i="14" s="1"/>
  <c r="AM22" i="14"/>
  <c r="AO22" i="14" s="1"/>
  <c r="AO35" i="19"/>
  <c r="AJ37" i="19"/>
  <c r="AO3" i="18"/>
  <c r="AO5" i="18" s="1"/>
  <c r="AR9" i="18" s="1"/>
  <c r="AH35" i="14"/>
  <c r="AC35" i="14"/>
  <c r="AM5" i="14"/>
  <c r="AO16" i="14"/>
  <c r="Z34" i="14"/>
  <c r="AO20" i="14"/>
  <c r="O25" i="13"/>
  <c r="AB25" i="21" s="1"/>
  <c r="AF25" i="21" s="1"/>
  <c r="I41" i="13"/>
  <c r="AB3" i="19"/>
  <c r="AD5" i="19" s="1"/>
  <c r="AC32" i="14"/>
  <c r="AH32" i="14"/>
  <c r="AK31" i="18"/>
  <c r="P26" i="13"/>
  <c r="Q26" i="13" s="1"/>
  <c r="AB25" i="14"/>
  <c r="AJ31" i="18"/>
  <c r="BI30" i="12"/>
  <c r="U33" i="13"/>
  <c r="U24" i="14"/>
  <c r="Q24" i="14"/>
  <c r="P40" i="14"/>
  <c r="Q40" i="14" s="1"/>
  <c r="U34" i="14"/>
  <c r="W34" i="14" s="1"/>
  <c r="Q34" i="14"/>
  <c r="BI23" i="12"/>
  <c r="U26" i="13"/>
  <c r="S29" i="13"/>
  <c r="T29" i="13"/>
  <c r="Q29" i="13"/>
  <c r="R29" i="13"/>
  <c r="T36" i="13"/>
  <c r="S36" i="13"/>
  <c r="R36" i="13"/>
  <c r="Q36" i="13"/>
  <c r="S30" i="13"/>
  <c r="T30" i="13"/>
  <c r="Q30" i="13"/>
  <c r="R30" i="13"/>
  <c r="N25" i="13"/>
  <c r="AA25" i="21" s="1"/>
  <c r="H41" i="13"/>
  <c r="AJ28" i="19"/>
  <c r="AO26" i="19"/>
  <c r="AA34" i="14"/>
  <c r="AC33" i="14"/>
  <c r="AH33" i="14"/>
  <c r="O27" i="14"/>
  <c r="T27" i="14"/>
  <c r="O34" i="14"/>
  <c r="T34" i="14"/>
  <c r="V34" i="14" s="1"/>
  <c r="AH26" i="14"/>
  <c r="AC26" i="14"/>
  <c r="P25" i="13"/>
  <c r="AB24" i="14"/>
  <c r="AK28" i="18"/>
  <c r="AJ28" i="18"/>
  <c r="AC28" i="14"/>
  <c r="AH28" i="14"/>
  <c r="AC29" i="14"/>
  <c r="AH29" i="14"/>
  <c r="AC30" i="14"/>
  <c r="AH30" i="14"/>
  <c r="T33" i="13"/>
  <c r="S33" i="13"/>
  <c r="R33" i="13"/>
  <c r="Q33" i="13"/>
  <c r="AA25" i="14"/>
  <c r="AO29" i="19"/>
  <c r="AJ31" i="19"/>
  <c r="Z27" i="14"/>
  <c r="AC23" i="14"/>
  <c r="AH23" i="14"/>
  <c r="AO17" i="14"/>
  <c r="AO80" i="19"/>
  <c r="AJ86" i="19"/>
  <c r="T27" i="13"/>
  <c r="S27" i="13"/>
  <c r="R27" i="13"/>
  <c r="Q27" i="13"/>
  <c r="AV3" i="9"/>
  <c r="AV7" i="9" s="1"/>
  <c r="AV10" i="9" s="1"/>
  <c r="AV13" i="9" s="1"/>
  <c r="AL5" i="9"/>
  <c r="BI32" i="12"/>
  <c r="U35" i="13"/>
  <c r="U27" i="13"/>
  <c r="BI24" i="12"/>
  <c r="AF37" i="18"/>
  <c r="T31" i="13"/>
  <c r="S31" i="13"/>
  <c r="Q31" i="13"/>
  <c r="R31" i="13"/>
  <c r="AM24" i="21" l="1"/>
  <c r="AP30" i="14"/>
  <c r="AM33" i="21"/>
  <c r="AP28" i="14"/>
  <c r="BL59" i="12"/>
  <c r="BS47" i="12"/>
  <c r="AM27" i="21"/>
  <c r="AJ86" i="18"/>
  <c r="AK86" i="18"/>
  <c r="S35" i="20"/>
  <c r="W35" i="20" s="1"/>
  <c r="AC35" i="21"/>
  <c r="AG35" i="21" s="1"/>
  <c r="AH35" i="21" s="1"/>
  <c r="AB34" i="14"/>
  <c r="AH34" i="14" s="1"/>
  <c r="AI34" i="14" s="1"/>
  <c r="AI25" i="21"/>
  <c r="S41" i="21"/>
  <c r="U41" i="21" s="1"/>
  <c r="AH25" i="21"/>
  <c r="AI26" i="21"/>
  <c r="BM60" i="12"/>
  <c r="BL60" i="12"/>
  <c r="AK27" i="21"/>
  <c r="AJ27" i="21"/>
  <c r="AL27" i="21" s="1"/>
  <c r="AB41" i="21"/>
  <c r="AF41" i="21" s="1"/>
  <c r="T26" i="20"/>
  <c r="Q41" i="20"/>
  <c r="AA41" i="21"/>
  <c r="W26" i="20"/>
  <c r="V26" i="20"/>
  <c r="T26" i="21"/>
  <c r="R41" i="21"/>
  <c r="T41" i="21" s="1"/>
  <c r="AJ30" i="21"/>
  <c r="AL30" i="21" s="1"/>
  <c r="AK30" i="21"/>
  <c r="AJ36" i="21"/>
  <c r="AL36" i="21" s="1"/>
  <c r="AK36" i="21"/>
  <c r="AJ31" i="21"/>
  <c r="AL31" i="21" s="1"/>
  <c r="AK31" i="21"/>
  <c r="W25" i="20"/>
  <c r="V25" i="20"/>
  <c r="U25" i="20"/>
  <c r="T25" i="20"/>
  <c r="R35" i="13"/>
  <c r="U26" i="21"/>
  <c r="AD25" i="21"/>
  <c r="U26" i="20"/>
  <c r="R41" i="20"/>
  <c r="AJ33" i="21"/>
  <c r="AL33" i="21" s="1"/>
  <c r="AK33" i="21"/>
  <c r="AJ24" i="21"/>
  <c r="AK34" i="21"/>
  <c r="AJ34" i="21"/>
  <c r="AL34" i="21" s="1"/>
  <c r="AC28" i="21"/>
  <c r="S28" i="20"/>
  <c r="AD26" i="21"/>
  <c r="AK29" i="21"/>
  <c r="AJ29" i="21"/>
  <c r="AL29" i="21" s="1"/>
  <c r="R26" i="13"/>
  <c r="Z68" i="14"/>
  <c r="AE68" i="14" s="1"/>
  <c r="X64" i="14"/>
  <c r="AJ37" i="18"/>
  <c r="AB27" i="14"/>
  <c r="AK37" i="18"/>
  <c r="P28" i="13"/>
  <c r="AI23" i="14"/>
  <c r="AL23" i="14"/>
  <c r="AM23" i="14"/>
  <c r="AF56" i="14"/>
  <c r="W24" i="14"/>
  <c r="U40" i="14"/>
  <c r="W40" i="14" s="1"/>
  <c r="U6" i="14"/>
  <c r="W25" i="14"/>
  <c r="U7" i="14"/>
  <c r="AI26" i="14"/>
  <c r="AM26" i="14"/>
  <c r="AL26" i="14"/>
  <c r="AF3" i="18"/>
  <c r="AN28" i="19"/>
  <c r="AO28" i="19"/>
  <c r="AJ3" i="19"/>
  <c r="AA24" i="14"/>
  <c r="R25" i="13"/>
  <c r="O41" i="13"/>
  <c r="AO5" i="14"/>
  <c r="AN5" i="14"/>
  <c r="AG27" i="14"/>
  <c r="AE27" i="14"/>
  <c r="V27" i="14"/>
  <c r="V57" i="14"/>
  <c r="AH25" i="14"/>
  <c r="AI25" i="14" s="1"/>
  <c r="AC25" i="14"/>
  <c r="AI35" i="14"/>
  <c r="AL35" i="14"/>
  <c r="AN35" i="14" s="1"/>
  <c r="AM35" i="14"/>
  <c r="AO35" i="14" s="1"/>
  <c r="AF57" i="14"/>
  <c r="AG57" i="14" s="1"/>
  <c r="W27" i="14"/>
  <c r="Z24" i="14"/>
  <c r="N41" i="13"/>
  <c r="S26" i="13"/>
  <c r="T26" i="13"/>
  <c r="AG25" i="14"/>
  <c r="AE25" i="14"/>
  <c r="AI28" i="14"/>
  <c r="AL28" i="14"/>
  <c r="AN28" i="14" s="1"/>
  <c r="AM28" i="14"/>
  <c r="AO28" i="14" s="1"/>
  <c r="AN31" i="19"/>
  <c r="AO31" i="19"/>
  <c r="AH24" i="14"/>
  <c r="AI33" i="14"/>
  <c r="AL33" i="14"/>
  <c r="AN33" i="14" s="1"/>
  <c r="AM33" i="14"/>
  <c r="AO33" i="14" s="1"/>
  <c r="AO37" i="19"/>
  <c r="AN37" i="19"/>
  <c r="V24" i="14"/>
  <c r="V56" i="14"/>
  <c r="U67" i="14" s="1"/>
  <c r="T40" i="14"/>
  <c r="V40" i="14" s="1"/>
  <c r="AI30" i="14"/>
  <c r="AL30" i="14"/>
  <c r="AN30" i="14" s="1"/>
  <c r="AM30" i="14"/>
  <c r="AO30" i="14" s="1"/>
  <c r="AI29" i="14"/>
  <c r="AM29" i="14"/>
  <c r="AO29" i="14" s="1"/>
  <c r="AL29" i="14"/>
  <c r="AN29" i="14" s="1"/>
  <c r="Q25" i="13"/>
  <c r="S25" i="13"/>
  <c r="T25" i="13"/>
  <c r="AI32" i="14"/>
  <c r="AL32" i="14"/>
  <c r="AN32" i="14" s="1"/>
  <c r="AM32" i="14"/>
  <c r="AO32" i="14" s="1"/>
  <c r="AE34" i="14"/>
  <c r="AG34" i="14"/>
  <c r="T35" i="13"/>
  <c r="S35" i="13"/>
  <c r="AC34" i="14" l="1"/>
  <c r="AD35" i="21"/>
  <c r="T35" i="20"/>
  <c r="U35" i="20"/>
  <c r="V35" i="20"/>
  <c r="AI35" i="21"/>
  <c r="AK35" i="21" s="1"/>
  <c r="AG28" i="21"/>
  <c r="AH28" i="21" s="1"/>
  <c r="AI28" i="21"/>
  <c r="AA40" i="14"/>
  <c r="AK40" i="14" s="1"/>
  <c r="AK25" i="21"/>
  <c r="AL24" i="21"/>
  <c r="AJ26" i="21"/>
  <c r="AL26" i="21" s="1"/>
  <c r="AK26" i="21"/>
  <c r="W28" i="20"/>
  <c r="V28" i="20"/>
  <c r="T28" i="20"/>
  <c r="U28" i="20"/>
  <c r="U41" i="20" s="1"/>
  <c r="S41" i="20"/>
  <c r="W41" i="20" s="1"/>
  <c r="AK24" i="21"/>
  <c r="AD28" i="21"/>
  <c r="AJ35" i="21"/>
  <c r="AL35" i="21" s="1"/>
  <c r="AJ25" i="21"/>
  <c r="AL25" i="21" s="1"/>
  <c r="AC41" i="21"/>
  <c r="AD41" i="21" s="1"/>
  <c r="AH57" i="14"/>
  <c r="AM57" i="14"/>
  <c r="Z67" i="14"/>
  <c r="AE67" i="14" s="1"/>
  <c r="AE69" i="14" s="1"/>
  <c r="AF66" i="14"/>
  <c r="W57" i="14"/>
  <c r="U68" i="14"/>
  <c r="U69" i="14" s="1"/>
  <c r="AN23" i="14"/>
  <c r="V66" i="14"/>
  <c r="W66" i="14" s="1"/>
  <c r="AO26" i="14"/>
  <c r="AA68" i="14"/>
  <c r="AM34" i="14"/>
  <c r="AO34" i="14" s="1"/>
  <c r="AL34" i="14"/>
  <c r="AN34" i="14" s="1"/>
  <c r="AN26" i="14"/>
  <c r="V65" i="14"/>
  <c r="W65" i="14" s="1"/>
  <c r="AF65" i="14"/>
  <c r="AL5" i="19"/>
  <c r="AV3" i="19"/>
  <c r="AV7" i="19" s="1"/>
  <c r="AV10" i="19" s="1"/>
  <c r="AV13" i="19" s="1"/>
  <c r="V8" i="14"/>
  <c r="AG24" i="14"/>
  <c r="AE24" i="14"/>
  <c r="AL24" i="14"/>
  <c r="Z40" i="14"/>
  <c r="AE40" i="14" s="1"/>
  <c r="AH5" i="18"/>
  <c r="AR3" i="18"/>
  <c r="AR7" i="18" s="1"/>
  <c r="AR10" i="18" s="1"/>
  <c r="AR13" i="18" s="1"/>
  <c r="AC27" i="14"/>
  <c r="AH27" i="14"/>
  <c r="AH40" i="14" s="1"/>
  <c r="AB40" i="14"/>
  <c r="S28" i="13"/>
  <c r="T28" i="13"/>
  <c r="R28" i="13"/>
  <c r="R41" i="13" s="1"/>
  <c r="Q28" i="13"/>
  <c r="Q41" i="13" s="1"/>
  <c r="AG56" i="14"/>
  <c r="AM56" i="14" s="1"/>
  <c r="AF58" i="14"/>
  <c r="W56" i="14"/>
  <c r="V58" i="14"/>
  <c r="AM25" i="14"/>
  <c r="AM24" i="14"/>
  <c r="AI24" i="14"/>
  <c r="AL25" i="14"/>
  <c r="AO23" i="14"/>
  <c r="V6" i="14"/>
  <c r="W6" i="14"/>
  <c r="U8" i="14"/>
  <c r="W8" i="14" s="1"/>
  <c r="AC24" i="14"/>
  <c r="V7" i="14"/>
  <c r="W7" i="14"/>
  <c r="P41" i="13"/>
  <c r="T41" i="20" l="1"/>
  <c r="AJ28" i="21"/>
  <c r="AL28" i="21" s="1"/>
  <c r="AG41" i="21"/>
  <c r="AH41" i="21" s="1"/>
  <c r="V41" i="20"/>
  <c r="AA67" i="14"/>
  <c r="Z69" i="14"/>
  <c r="AA57" i="14"/>
  <c r="AB57" i="14" s="1"/>
  <c r="AC57" i="14" s="1"/>
  <c r="X57" i="14"/>
  <c r="X65" i="14"/>
  <c r="X66" i="14"/>
  <c r="AO25" i="14"/>
  <c r="AF67" i="14"/>
  <c r="W58" i="14"/>
  <c r="AN25" i="14"/>
  <c r="V67" i="14"/>
  <c r="AN24" i="14"/>
  <c r="AH56" i="14"/>
  <c r="AG58" i="14"/>
  <c r="AG40" i="14"/>
  <c r="AC40" i="14"/>
  <c r="AI27" i="14"/>
  <c r="AL27" i="14"/>
  <c r="AM27" i="14"/>
  <c r="AF68" i="14" s="1"/>
  <c r="S41" i="13"/>
  <c r="T41" i="13"/>
  <c r="AI40" i="14"/>
  <c r="AA56" i="14"/>
  <c r="X56" i="14"/>
  <c r="AO24" i="14"/>
  <c r="AM6" i="14"/>
  <c r="AJ41" i="21" l="1"/>
  <c r="AL41" i="21" s="1"/>
  <c r="AK28" i="21"/>
  <c r="AI41" i="21"/>
  <c r="AK41" i="21" s="1"/>
  <c r="AH58" i="14"/>
  <c r="AM58" i="14"/>
  <c r="X58" i="14"/>
  <c r="W67" i="14"/>
  <c r="AN27" i="14"/>
  <c r="V68" i="14"/>
  <c r="W68" i="14" s="1"/>
  <c r="AB56" i="14"/>
  <c r="AA58" i="14"/>
  <c r="AO6" i="14"/>
  <c r="AN6" i="14"/>
  <c r="AL40" i="14"/>
  <c r="AN40" i="14" s="1"/>
  <c r="AO27" i="14"/>
  <c r="AM7" i="14"/>
  <c r="AM40" i="14"/>
  <c r="AO40" i="14" s="1"/>
  <c r="X68" i="14" l="1"/>
  <c r="X67" i="14"/>
  <c r="W69" i="14"/>
  <c r="V69" i="14"/>
  <c r="AO7" i="14"/>
  <c r="AN7" i="14"/>
  <c r="AN8" i="14"/>
  <c r="AM8" i="14"/>
  <c r="AO8" i="14" s="1"/>
  <c r="AC56" i="14"/>
  <c r="AB58" i="14"/>
  <c r="AC58" i="14" l="1"/>
  <c r="X69" i="14"/>
  <c r="AA69" i="14"/>
  <c r="AG64" i="14"/>
  <c r="AM64" i="14" s="1"/>
  <c r="AB65" i="14"/>
  <c r="AC65" i="14" s="1"/>
  <c r="AB64" i="14"/>
  <c r="AC64" i="14" s="1"/>
  <c r="AB67" i="14"/>
  <c r="AC67" i="14" s="1"/>
  <c r="AG66" i="14"/>
  <c r="AG65" i="14"/>
  <c r="AG68" i="14"/>
  <c r="AB68" i="14"/>
  <c r="AC68" i="14" s="1"/>
  <c r="AB66" i="14"/>
  <c r="AC66" i="14" s="1"/>
  <c r="AG67" i="14"/>
  <c r="AH67" i="14" l="1"/>
  <c r="AM67" i="14"/>
  <c r="AH65" i="14"/>
  <c r="AM65" i="14"/>
  <c r="AH68" i="14"/>
  <c r="AM68" i="14"/>
  <c r="AH66" i="14"/>
  <c r="AM66" i="14"/>
  <c r="AH64" i="14"/>
  <c r="AG69" i="14"/>
  <c r="AM69" i="14" s="1"/>
  <c r="AF69" i="14"/>
  <c r="AB69" i="14"/>
  <c r="AC69" i="14" l="1"/>
  <c r="AH69" i="14"/>
</calcChain>
</file>

<file path=xl/sharedStrings.xml><?xml version="1.0" encoding="utf-8"?>
<sst xmlns="http://schemas.openxmlformats.org/spreadsheetml/2006/main" count="3885" uniqueCount="665">
  <si>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</si>
  <si>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</si>
  <si>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</si>
  <si>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</si>
  <si>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</si>
  <si>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</si>
  <si>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</si>
  <si>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</si>
  <si>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</si>
  <si>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</si>
  <si>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</si>
  <si>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</si>
  <si>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</si>
  <si>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</si>
  <si>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</si>
  <si>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</si>
  <si>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</si>
  <si>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</si>
  <si>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</si>
  <si>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</si>
  <si>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</si>
  <si>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</si>
  <si>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</si>
  <si>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</si>
  <si>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</si>
  <si>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</si>
  <si>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</si>
  <si>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</si>
  <si>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</si>
  <si>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</si>
  <si>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</si>
  <si>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</si>
  <si>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</si>
  <si>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</si>
  <si>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</si>
  <si>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</si>
  <si>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</si>
  <si>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</si>
  <si>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</si>
  <si>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</si>
  <si>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</si>
  <si>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</si>
  <si>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</si>
  <si>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</si>
  <si>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</si>
  <si>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</si>
  <si>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</si>
  <si>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</si>
  <si>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</si>
  <si>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</si>
  <si>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</si>
  <si>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</si>
  <si>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</si>
  <si>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</si>
  <si>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</si>
  <si>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</si>
  <si>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</si>
  <si>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</si>
  <si>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</si>
  <si>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</si>
  <si>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</si>
  <si>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</si>
  <si>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</si>
  <si>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</si>
  <si>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Calculation of Proposed Rates - SUMMARY</t>
  </si>
  <si>
    <t>Calculation of Proposed Rates - DETAIL</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</si>
  <si>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</si>
  <si>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</si>
  <si>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</si>
  <si>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</si>
  <si>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</si>
  <si>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</si>
  <si>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</si>
  <si>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</si>
  <si>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</si>
  <si>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</si>
  <si>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</si>
  <si>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</si>
  <si>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</si>
  <si>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</si>
  <si>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</si>
  <si>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</si>
  <si>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Tariff</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</si>
  <si>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</si>
  <si>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</si>
  <si>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</si>
  <si>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</si>
  <si>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</si>
  <si>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</si>
  <si>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</si>
  <si>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</si>
  <si>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</si>
  <si>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</si>
  <si>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</si>
  <si>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</si>
  <si>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</si>
  <si>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</si>
  <si>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</si>
  <si>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</si>
  <si>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</si>
  <si>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</si>
  <si>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</si>
  <si>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</si>
  <si>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</si>
  <si>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</si>
  <si>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</si>
  <si>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</si>
  <si>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</si>
  <si>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</si>
  <si>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</si>
  <si>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</si>
  <si>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</si>
  <si>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</si>
  <si>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</si>
  <si>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</si>
  <si>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</si>
  <si>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</si>
  <si>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</si>
  <si>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</si>
  <si>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</si>
  <si>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</si>
  <si>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</si>
  <si>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Derivation of Rev Req Under Proposed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</si>
  <si>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</si>
  <si>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</si>
  <si>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</si>
  <si>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</si>
  <si>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</si>
  <si>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</si>
  <si>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</si>
  <si>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</si>
  <si>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</si>
  <si>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</si>
  <si>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</si>
  <si>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</si>
  <si>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</si>
  <si>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</si>
  <si>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</si>
  <si>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</si>
  <si>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</si>
  <si>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</si>
  <si>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</si>
  <si>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</si>
  <si>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</si>
  <si>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</si>
  <si>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</si>
  <si>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</si>
  <si>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</si>
  <si>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</si>
  <si>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</si>
  <si>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</si>
  <si>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</si>
  <si>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</si>
  <si>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</si>
  <si>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</si>
  <si>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</si>
  <si>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</si>
  <si>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</si>
  <si>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</si>
  <si>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Proposed Increase:
Base Rates</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</si>
  <si>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</si>
  <si>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</si>
  <si>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</si>
  <si>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</si>
  <si>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</si>
  <si>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</si>
  <si>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</si>
  <si>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</si>
  <si>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</si>
  <si>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</si>
  <si>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</si>
  <si>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</si>
  <si>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</si>
  <si>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</si>
  <si>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</si>
  <si>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</si>
  <si>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</si>
  <si>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</si>
  <si>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</si>
  <si>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</si>
  <si>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</si>
  <si>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</si>
  <si>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</si>
  <si>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</si>
  <si>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</si>
  <si>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</si>
  <si>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</si>
  <si>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</si>
  <si>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</si>
  <si>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</si>
  <si>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</si>
  <si>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</si>
  <si>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</si>
  <si>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</si>
  <si>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</si>
  <si>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</si>
  <si>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</si>
  <si>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</si>
  <si>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</si>
  <si>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</si>
  <si>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</si>
  <si>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</si>
  <si>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</si>
  <si>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</si>
  <si>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</si>
  <si>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</si>
  <si>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</si>
  <si>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</si>
  <si>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</si>
  <si>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</si>
  <si>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</si>
  <si>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</si>
  <si>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</si>
  <si>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</si>
  <si>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Proposed Base and Total Billing Rates by Rate Schedule and Block - Combined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</si>
  <si>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</si>
  <si>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</si>
  <si>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</si>
  <si>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</si>
  <si>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</si>
  <si>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</si>
  <si>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</si>
  <si>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</si>
  <si>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</si>
  <si>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</si>
  <si>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</si>
  <si>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</si>
  <si>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</si>
  <si>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</si>
  <si>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</si>
  <si>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</si>
  <si>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</si>
  <si>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</si>
  <si>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</si>
  <si>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</si>
  <si>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</si>
  <si>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</si>
  <si>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</si>
  <si>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t>Proposed Decrease:
Temporary Rate</t>
  </si>
  <si>
    <r>
      <t xml:space="preserve">Calculation of Effect on Customer Average Bill by Rate Schedule </t>
    </r>
    <r>
      <rPr>
        <b/>
        <vertAlign val="superscript"/>
        <sz val="11"/>
        <rFont val="Calibri"/>
        <family val="2"/>
        <scheme val="minor"/>
      </rPr>
      <t>[1]</t>
    </r>
  </si>
  <si>
    <t>Billing /Tariff</t>
  </si>
  <si>
    <t>Billing/Tariff</t>
  </si>
  <si>
    <t>Total Propose PGA Rate</t>
  </si>
  <si>
    <t>2020-21</t>
  </si>
  <si>
    <t>REVENUE REQUIREMENT</t>
  </si>
  <si>
    <t>FINAL</t>
  </si>
  <si>
    <t>Proposed Decrease:
Base Rate</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</si>
  <si>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</si>
  <si>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</si>
  <si>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</si>
  <si>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</si>
  <si>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</si>
  <si>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</si>
  <si>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</si>
  <si>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</si>
  <si>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</si>
  <si>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</si>
  <si>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</si>
  <si>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</si>
  <si>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</si>
  <si>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</si>
  <si>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</si>
  <si>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</si>
  <si>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</si>
  <si>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</si>
  <si>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</si>
  <si>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</si>
  <si>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</si>
  <si>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</si>
  <si>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</si>
  <si>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</si>
  <si>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</si>
  <si>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</si>
  <si>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</si>
  <si>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</si>
  <si>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</si>
  <si>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</si>
  <si>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</si>
  <si>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UG XXXXXX + PGA</t>
  </si>
  <si>
    <t>WA GRC</t>
  </si>
  <si>
    <t>WA</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</si>
  <si>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</si>
  <si>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</si>
  <si>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</si>
  <si>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</si>
  <si>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</si>
  <si>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</si>
  <si>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</si>
  <si>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</si>
  <si>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</si>
  <si>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</si>
  <si>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</si>
  <si>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</si>
  <si>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</si>
  <si>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</si>
  <si>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</si>
  <si>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</si>
  <si>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</si>
  <si>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</si>
  <si>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</si>
  <si>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</si>
  <si>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</si>
  <si>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</si>
  <si>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</si>
  <si>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</si>
  <si>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</si>
  <si>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</si>
  <si>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</si>
  <si>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</si>
  <si>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</si>
  <si>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</si>
  <si>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</si>
  <si>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</si>
  <si>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</si>
  <si>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</si>
  <si>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</si>
  <si>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</si>
  <si>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</si>
  <si>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</si>
  <si>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</si>
  <si>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</si>
  <si>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</si>
  <si>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</si>
  <si>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</si>
  <si>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</si>
  <si>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</si>
  <si>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</si>
  <si>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</si>
  <si>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</si>
  <si>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</si>
  <si>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</si>
  <si>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</si>
  <si>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</si>
  <si>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</si>
  <si>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</si>
  <si>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</si>
  <si>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</si>
  <si>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</si>
  <si>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</si>
  <si>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</si>
  <si>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</si>
  <si>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</si>
  <si>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</si>
  <si>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</si>
  <si>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</si>
  <si>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</si>
  <si>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</si>
  <si>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</si>
  <si>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</si>
  <si>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</si>
  <si>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</si>
  <si>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</si>
  <si>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</si>
  <si>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</si>
  <si>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</si>
  <si>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</si>
  <si>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</si>
  <si>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</si>
  <si>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</si>
  <si>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</si>
  <si>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</si>
  <si>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</si>
  <si>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</si>
  <si>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</si>
  <si>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</si>
  <si>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</si>
  <si>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</si>
  <si>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</si>
  <si>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</si>
  <si>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</si>
  <si>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</si>
  <si>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Rate Spread: UG XXXXXX Updated Proposal - ATTESTATION</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</si>
  <si>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</si>
  <si>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</si>
  <si>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</si>
  <si>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</si>
  <si>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</si>
  <si>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</si>
  <si>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</si>
  <si>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</si>
  <si>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</si>
  <si>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</si>
  <si>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</si>
  <si>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</si>
  <si>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</si>
  <si>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</si>
  <si>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</si>
  <si>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</si>
  <si>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</si>
  <si>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</si>
  <si>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</si>
  <si>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</si>
  <si>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 Due to optionality, demand charges are not included in the calculations for Rate Schedule 41 &amp; 42.</t>
  </si>
  <si>
    <t>[2] Average Monthly Bill Change are calculated based on UG XXXXXX volumes and customer counts.</t>
  </si>
  <si>
    <t>11-1-20 Current 
Rates:
Base Rate</t>
  </si>
  <si>
    <t>11-1-20 Current 
Rates:
Pipeline Capacity</t>
  </si>
  <si>
    <t>11-1-20 Current 
Rates:
Commodity</t>
  </si>
  <si>
    <t>11-1-20 Current 
Rates:
Temporary Adj</t>
  </si>
  <si>
    <t>11-1-20 Current Billing Rates</t>
  </si>
  <si>
    <t xml:space="preserve">UG XXXXXX Proposed Base Rate </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</si>
  <si>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</si>
  <si>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</si>
  <si>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</si>
  <si>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</si>
  <si>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</si>
  <si>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</si>
  <si>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</si>
  <si>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</si>
  <si>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</si>
  <si>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</si>
  <si>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</si>
  <si>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</si>
  <si>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</si>
  <si>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</si>
  <si>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</si>
  <si>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</si>
  <si>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</si>
  <si>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</si>
  <si>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</si>
  <si>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</si>
  <si>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</si>
  <si>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</si>
  <si>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</si>
  <si>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</si>
  <si>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</si>
  <si>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</si>
  <si>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Margin
Decrease
($)</t>
  </si>
  <si>
    <t>Margin
Decrease 
(%)</t>
  </si>
  <si>
    <t xml:space="preserve"> Margin 
Decrease
($)</t>
  </si>
  <si>
    <t>Margin 
Decrease 
(%)</t>
  </si>
  <si>
    <t>UG XXXXX</t>
  </si>
  <si>
    <t>Margin 
Increase
($)</t>
  </si>
  <si>
    <t>Rates Effective November 1, 2021</t>
  </si>
  <si>
    <t>Proposed Decrease:
Base Rates</t>
  </si>
  <si>
    <t>UG XXXXXX + 2021-2022 PGA</t>
  </si>
  <si>
    <t xml:space="preserve">UG XXXXXX Proposed Base  + Temp Rate </t>
  </si>
  <si>
    <t>2022-23 PGA</t>
  </si>
  <si>
    <t>UG XXXXXX + 2022-2023 PGA</t>
  </si>
  <si>
    <t>AC</t>
  </si>
  <si>
    <t>AJ</t>
  </si>
  <si>
    <t>AN</t>
  </si>
  <si>
    <t>AR</t>
  </si>
  <si>
    <t>AS</t>
  </si>
  <si>
    <t>AT</t>
  </si>
  <si>
    <t>UG XXXXXX Proposed Tariff Base + Temp Rate</t>
  </si>
  <si>
    <t>K = G…J</t>
  </si>
  <si>
    <t>I=F+(D * L)</t>
  </si>
  <si>
    <t xml:space="preserve">REVENUE REQUIREMENT </t>
  </si>
  <si>
    <t>to all customers</t>
  </si>
  <si>
    <t>01R</t>
  </si>
  <si>
    <t>01C</t>
  </si>
  <si>
    <t>02R</t>
  </si>
  <si>
    <t>03C</t>
  </si>
  <si>
    <t>03I</t>
  </si>
  <si>
    <t>Revenue Requirement to Spread Based on Proposal</t>
  </si>
  <si>
    <t>* to be spread to all schedules on an equal percent of margin basis</t>
  </si>
  <si>
    <t>*Note: Margin used for spread excludes special contract revenues.</t>
  </si>
  <si>
    <t>Note: Proposal places entire increment on volumetric rates.</t>
  </si>
  <si>
    <t>RATE SPREAD PROPOSAL - YEAR 2</t>
  </si>
  <si>
    <t>5a</t>
  </si>
  <si>
    <t>5b</t>
  </si>
  <si>
    <t>5c</t>
  </si>
  <si>
    <t>5d</t>
  </si>
  <si>
    <t>Post Year 1 Margin:</t>
  </si>
  <si>
    <r>
      <rPr>
        <b/>
        <sz val="10"/>
        <rFont val="Calibri"/>
        <family val="2"/>
        <scheme val="minor"/>
      </rPr>
      <t>Step 2</t>
    </r>
    <r>
      <rPr>
        <sz val="10"/>
        <rFont val="Calibri"/>
        <family val="2"/>
        <scheme val="minor"/>
      </rPr>
      <t>: Rate Impacts - Equal Percent of Margin</t>
    </r>
  </si>
  <si>
    <t>Equal % of Margin Adjustment</t>
  </si>
  <si>
    <t>--&gt; Margin allocation to schedules with no customers.</t>
  </si>
  <si>
    <t>Less: Plant EDIT Amortization Credit</t>
  </si>
  <si>
    <t>* to be spread to all schedules on an equal percent of margin, through a temporary rate</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</si>
  <si>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</si>
  <si>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</si>
  <si>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</si>
  <si>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</si>
  <si>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</si>
  <si>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</si>
  <si>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</si>
  <si>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</si>
  <si>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</si>
  <si>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</si>
  <si>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</si>
  <si>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</si>
  <si>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</si>
  <si>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</si>
  <si>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</si>
  <si>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</si>
  <si>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</si>
  <si>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</si>
  <si>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</si>
  <si>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</si>
  <si>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</si>
  <si>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</si>
  <si>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</si>
  <si>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</si>
  <si>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</si>
  <si>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</si>
  <si>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AI=AG+AH</t>
  </si>
  <si>
    <t>AK</t>
  </si>
  <si>
    <t>AO = AJ…AN</t>
  </si>
  <si>
    <t>AQ</t>
  </si>
  <si>
    <t>AU = AP…AT</t>
  </si>
  <si>
    <t>(4)</t>
  </si>
  <si>
    <t>I=C+E+G</t>
  </si>
  <si>
    <t>M= A+I+K</t>
  </si>
  <si>
    <t>N=B+I+K</t>
  </si>
  <si>
    <t>SPREAD PROPOSED REVENUE REQUIREMENT INCREMENT ON AN EQUAL PERCENT OF MARGIN BASIS TO ALL SCHEDULES, LESS PLANT EDIT AMORTIZATION CREDIT</t>
  </si>
  <si>
    <t>Margin
Increase
($)</t>
  </si>
  <si>
    <t>Revenue
Decrease
($)</t>
  </si>
  <si>
    <t>Revenue
Decrease 
(%)</t>
  </si>
  <si>
    <t>Revenue 
Decrease
($)</t>
  </si>
  <si>
    <t>Open for use</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</si>
  <si>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</si>
  <si>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</si>
  <si>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</si>
  <si>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</si>
  <si>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</si>
  <si>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K=C+E</t>
  </si>
  <si>
    <t>M=C+E+G+I</t>
  </si>
  <si>
    <t>Q= A+K+O</t>
  </si>
  <si>
    <t>P=B+M+R</t>
  </si>
  <si>
    <t>Rev % Increase</t>
  </si>
  <si>
    <t>Avg Bill Increase</t>
  </si>
  <si>
    <t>Customer Counts</t>
  </si>
  <si>
    <t>Rates Effective November 1, 2022</t>
  </si>
  <si>
    <t>Incremental</t>
  </si>
  <si>
    <t>MARGIN AT PROPOSED RATES</t>
  </si>
  <si>
    <t>NET REVENUE CHANGE AT PROPOSED RATES PROOF</t>
  </si>
  <si>
    <t>Total Proposed PGA + Year  1 GRC  Rate</t>
  </si>
  <si>
    <t>Total Proposed PGA Rate</t>
  </si>
  <si>
    <t>Total Proposed PGA + Year  2 GRC  Rate</t>
  </si>
  <si>
    <t>SPREAD PROPOSED REVENUE REQUIREMENT INCREMENT ON AN EQUAL PERCENT OF MARGIN BASIS TO ALL SCHEDULES</t>
  </si>
  <si>
    <t>Opern for Use</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</si>
  <si>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</si>
  <si>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</si>
  <si>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</si>
  <si>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</si>
  <si>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</si>
  <si>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</si>
  <si>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</si>
  <si>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</si>
  <si>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</si>
  <si>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</si>
  <si>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</si>
  <si>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</si>
  <si>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</si>
  <si>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</si>
  <si>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</si>
  <si>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</si>
  <si>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</si>
  <si>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</si>
  <si>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</si>
  <si>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</si>
  <si>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</si>
  <si>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</si>
  <si>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</si>
  <si>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</si>
  <si>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</si>
  <si>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</si>
  <si>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</si>
  <si>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</si>
  <si>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</si>
  <si>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</si>
  <si>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</si>
  <si>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Proposed Incremental Revenue Requirement Allocation by Rate Schedule - Revenue Requirement Effects</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</si>
  <si>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</si>
  <si>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</si>
  <si>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</si>
  <si>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</si>
  <si>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</si>
  <si>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</si>
  <si>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Therefore, there may be a small discrepancy with the indicated revenue requirement presented in Exh. KTW-1T.</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</si>
  <si>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</si>
  <si>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</si>
  <si>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</si>
  <si>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</si>
  <si>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Includes Rate Mitigation Proposal</t>
  </si>
  <si>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</si>
  <si>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</si>
  <si>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</si>
  <si>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</si>
  <si>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(1):</t>
    </r>
    <r>
      <rPr>
        <sz val="10"/>
        <rFont val="Calibri"/>
        <family val="2"/>
        <scheme val="minor"/>
      </rPr>
      <t xml:space="preserve"> Revenue Requirement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</si>
  <si>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</si>
  <si>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</si>
  <si>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</si>
  <si>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</si>
  <si>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indicated revenue requirement presented in Exh. KTW-1T.</t>
    </r>
  </si>
  <si>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</si>
  <si>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</si>
  <si>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</si>
  <si>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indicated revenue</t>
    </r>
  </si>
  <si>
    <r>
      <rPr>
        <sz val="10"/>
        <color theme="0"/>
        <rFont val="Calibri"/>
        <family val="2"/>
        <scheme val="minor"/>
      </rPr>
      <t xml:space="preserve">NOTE (3):  </t>
    </r>
    <r>
      <rPr>
        <sz val="10"/>
        <rFont val="Calibri"/>
        <family val="2"/>
        <scheme val="minor"/>
      </rPr>
      <t>requirement presented in Exh. KTW-1T.</t>
    </r>
  </si>
  <si>
    <t>Current 
Rates:
Base Rate</t>
  </si>
  <si>
    <t>Current 
Rates:
Pipeline Capacity</t>
  </si>
  <si>
    <t>Current 
Rates:
Commodity</t>
  </si>
  <si>
    <t>Current 
Billing 
Rates</t>
  </si>
  <si>
    <t>Current 
Rates:
Temporary 
Adjustment</t>
  </si>
  <si>
    <t>UG Proposed</t>
  </si>
  <si>
    <t>Current Tariff Rate</t>
  </si>
  <si>
    <t>O = L+M+N</t>
  </si>
  <si>
    <t>Year One 
Proposed Rates</t>
  </si>
  <si>
    <t>Proposed Base and Total Billing Rates by Rate Schedule and Block - Revenue Requirement Effects</t>
  </si>
  <si>
    <t>For Year One and Year Two of the Multi-Year Plan</t>
  </si>
  <si>
    <t>Year Two 
Proposed Rates</t>
  </si>
  <si>
    <t>Q=O+P</t>
  </si>
  <si>
    <t>Year Two</t>
  </si>
  <si>
    <t>Year One</t>
  </si>
  <si>
    <t>Proposed Base and Total Billing Rates by Rate Schedule and Block - Revenue Requirement Effects with Rate Mitigation Proposal</t>
  </si>
  <si>
    <t>Year One 
Proposed 
Base + Temp Rates</t>
  </si>
  <si>
    <t>Year One 
Proposed 
Base Rates</t>
  </si>
  <si>
    <t>S = O+Q+R</t>
  </si>
  <si>
    <t>Year Two
Proposed 
Base + Temp Rates</t>
  </si>
  <si>
    <t>V=S+T+U-(Q+R)</t>
  </si>
  <si>
    <t>M= K+L-C</t>
  </si>
  <si>
    <t>K=F+(E * H)</t>
  </si>
  <si>
    <t>J=F+(D * H)</t>
  </si>
  <si>
    <t>M=F+(D * I)</t>
  </si>
  <si>
    <t>AF</t>
  </si>
  <si>
    <t>AI</t>
  </si>
  <si>
    <r>
      <t xml:space="preserve">Impacts of Revenue Requirement items of $6.3M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</si>
  <si>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$3.2M, </t>
    </r>
    <r>
      <rPr>
        <i/>
        <u/>
        <sz val="10"/>
        <color rgb="FF0000FF"/>
        <rFont val="Calibri"/>
        <family val="2"/>
        <scheme val="minor"/>
      </rPr>
      <t>prior to</t>
    </r>
    <r>
      <rPr>
        <i/>
        <sz val="10"/>
        <color rgb="FF0000FF"/>
        <rFont val="Calibri"/>
        <family val="2"/>
        <scheme val="minor"/>
      </rPr>
      <t xml:space="preserve"> rate mitigation adjustment: Credit of Astoria Resource Center property net gain on sale.</t>
    </r>
  </si>
  <si>
    <r>
      <t xml:space="preserve">Impacts of Revenue Requirement items of $6.3M (Incl. Plant EDIT Amortization Credits), </t>
    </r>
    <r>
      <rPr>
        <i/>
        <u/>
        <sz val="10"/>
        <color rgb="FF0000FF"/>
        <rFont val="Calibri"/>
        <family val="2"/>
        <scheme val="minor"/>
      </rPr>
      <t>including</t>
    </r>
    <r>
      <rPr>
        <i/>
        <sz val="10"/>
        <color rgb="FF0000FF"/>
        <rFont val="Calibri"/>
        <family val="2"/>
        <scheme val="minor"/>
      </rPr>
      <t xml:space="preserve"> rate mitigation adjustments: Suspension of Historical Energy Efficiency Deferral</t>
    </r>
  </si>
  <si>
    <r>
      <t xml:space="preserve">Impacts of Revenue Requirement items of $3.2M, </t>
    </r>
    <r>
      <rPr>
        <i/>
        <u/>
        <sz val="10"/>
        <color rgb="FF0000FF"/>
        <rFont val="Calibri"/>
        <family val="2"/>
        <scheme val="minor"/>
      </rPr>
      <t>including</t>
    </r>
    <r>
      <rPr>
        <i/>
        <sz val="10"/>
        <color rgb="FF0000FF"/>
        <rFont val="Calibri"/>
        <family val="2"/>
        <scheme val="minor"/>
      </rPr>
      <t xml:space="preserve"> to rate mitigation adjustment: Credit of Astoria Resource Center property net gain on sale.</t>
    </r>
  </si>
  <si>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</si>
  <si>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</si>
  <si>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</si>
  <si>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</si>
  <si>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</si>
  <si>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</si>
  <si>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</si>
  <si>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</si>
  <si>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</si>
  <si>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</si>
  <si>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</si>
  <si>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</si>
  <si>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</si>
  <si>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RATE SPREAD PROPOSAL - YEAR One</t>
  </si>
  <si>
    <t>Rate Spread Proposal - Testimony References: Exh. RJW-1T:</t>
  </si>
  <si>
    <t>Rate Spread: UG-20XXXX Proposed Rate Spread</t>
  </si>
  <si>
    <r>
      <t>Proposed UG-20</t>
    </r>
    <r>
      <rPr>
        <sz val="10"/>
        <color rgb="FFFF0000"/>
        <rFont val="Calibri"/>
        <family val="2"/>
        <scheme val="minor"/>
      </rPr>
      <t>XXXX</t>
    </r>
    <r>
      <rPr>
        <sz val="10"/>
        <rFont val="Calibri"/>
        <family val="2"/>
        <scheme val="minor"/>
      </rPr>
      <t xml:space="preserve"> Margin</t>
    </r>
  </si>
  <si>
    <r>
      <t>Proposed UG-20</t>
    </r>
    <r>
      <rPr>
        <sz val="10"/>
        <color rgb="FFFF0000"/>
        <rFont val="Calibri"/>
        <family val="2"/>
        <scheme val="minor"/>
      </rPr>
      <t>XXXX</t>
    </r>
    <r>
      <rPr>
        <sz val="10"/>
        <rFont val="Calibri"/>
        <family val="2"/>
        <scheme val="minor"/>
      </rPr>
      <t xml:space="preserve"> Revenue</t>
    </r>
  </si>
  <si>
    <t xml:space="preserve">Rate Spread: UG-20XXXX YEAR ONE FINAL </t>
  </si>
  <si>
    <r>
      <t>Proposed UG-20</t>
    </r>
    <r>
      <rPr>
        <sz val="10"/>
        <color rgb="FFFF0000"/>
        <rFont val="Calibri"/>
        <family val="2"/>
        <scheme val="minor"/>
      </rPr>
      <t>XXXX</t>
    </r>
    <r>
      <rPr>
        <sz val="10"/>
        <rFont val="Calibri"/>
        <family val="2"/>
        <scheme val="minor"/>
      </rPr>
      <t xml:space="preserve"> Year 2 Margin</t>
    </r>
  </si>
  <si>
    <t xml:space="preserve">Rate Spread: UG-20XXXX YEAR TWO FINAL </t>
  </si>
  <si>
    <t>Derivation of Rate Migitation Items Under Proposed Rates</t>
  </si>
  <si>
    <t>Derivation of All Combined Items Under Proposed Rates - YEAR TWO</t>
  </si>
  <si>
    <t>Derivation of All Combined Items Under Proposed Rates - YEAR ONE</t>
  </si>
  <si>
    <t>UG-20XXXX + PGA</t>
  </si>
  <si>
    <t>Washington Jurisdiction Rate Case</t>
  </si>
  <si>
    <t>Test Year Based on Twelve Months Ended September 30, 2020</t>
  </si>
  <si>
    <t>Workpaper: Rate Spread Proposal, Proposed Rates</t>
  </si>
  <si>
    <t>"20XXXX-NWN-Exh-RJW-3-Wyman-WP1-12-18-2020"</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</si>
  <si>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</si>
  <si>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</si>
  <si>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</si>
  <si>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</si>
  <si>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</si>
  <si>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</si>
  <si>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</si>
  <si>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</si>
  <si>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</si>
  <si>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</si>
  <si>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</si>
  <si>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</si>
  <si>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</si>
  <si>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20XXXX-NWN-Exh-KTW-3-Walker-WP1-12-18-2020.xlsx</t>
  </si>
  <si>
    <t>Rate Spread Proposal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</si>
</sst>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s>
  <fonts count="233"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s>
  <borders count="127">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style="medium">
        <color indexed="64"/>
      </left>
      <right style="dashed">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medium">
        <color indexed="64"/>
      </left>
      <right style="dashed">
        <color indexed="64"/>
      </right>
      <top/>
      <bottom style="thin">
        <color indexed="64"/>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693">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184" fontId="43" fillId="39" borderId="11"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102" xfId="0" applyFont="1" applyFill="1" applyBorder="1" applyAlignment="1">
      <alignment horizontal="center" vertical="center" wrapText="1"/>
    </xf>
    <xf numFmtId="0" fontId="181" fillId="134" borderId="97"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8"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0" fontId="186" fillId="134" borderId="17" xfId="0" applyFont="1" applyFill="1" applyBorder="1"/>
    <xf numFmtId="0" fontId="186" fillId="152" borderId="92" xfId="0" applyFont="1" applyFill="1" applyBorder="1"/>
    <xf numFmtId="0" fontId="200" fillId="134" borderId="0" xfId="0" applyFont="1" applyFill="1" applyBorder="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201"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3"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2" fillId="134" borderId="48" xfId="0" applyNumberFormat="1" applyFont="1" applyFill="1" applyBorder="1"/>
    <xf numFmtId="171" fontId="202"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2" fillId="134" borderId="0" xfId="0" applyNumberFormat="1" applyFont="1" applyFill="1" applyBorder="1"/>
    <xf numFmtId="171" fontId="202" fillId="134" borderId="7" xfId="0" applyNumberFormat="1" applyFont="1" applyFill="1" applyBorder="1"/>
    <xf numFmtId="171" fontId="186" fillId="134" borderId="7" xfId="0" applyNumberFormat="1" applyFont="1" applyFill="1" applyBorder="1"/>
    <xf numFmtId="171" fontId="204" fillId="134" borderId="0" xfId="0" applyNumberFormat="1" applyFont="1" applyFill="1" applyBorder="1"/>
    <xf numFmtId="171" fontId="202" fillId="134" borderId="7" xfId="0" applyNumberFormat="1" applyFont="1" applyFill="1" applyBorder="1" applyAlignment="1"/>
    <xf numFmtId="171" fontId="186" fillId="134" borderId="0" xfId="0" applyNumberFormat="1" applyFont="1" applyFill="1" applyBorder="1" applyAlignment="1"/>
    <xf numFmtId="171" fontId="202"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2" fillId="134" borderId="48" xfId="0" applyNumberFormat="1" applyFont="1" applyFill="1" applyBorder="1" applyAlignment="1"/>
    <xf numFmtId="171" fontId="186" fillId="134" borderId="14" xfId="0" applyNumberFormat="1" applyFont="1" applyFill="1" applyBorder="1" applyAlignment="1"/>
    <xf numFmtId="171" fontId="202"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2" fillId="134" borderId="44" xfId="0" applyNumberFormat="1" applyFont="1" applyFill="1" applyBorder="1" applyAlignment="1"/>
    <xf numFmtId="171" fontId="186" fillId="134" borderId="27" xfId="0" applyNumberFormat="1" applyFont="1" applyFill="1" applyBorder="1" applyAlignment="1"/>
    <xf numFmtId="171" fontId="202"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8" xfId="0" applyNumberFormat="1" applyFont="1" applyFill="1" applyBorder="1" applyAlignment="1"/>
    <xf numFmtId="37" fontId="192" fillId="134" borderId="0" xfId="0" applyNumberFormat="1" applyFont="1" applyFill="1" applyAlignment="1" applyProtection="1">
      <alignment horizontal="left"/>
    </xf>
    <xf numFmtId="37" fontId="205" fillId="134" borderId="0" xfId="0" applyNumberFormat="1" applyFont="1" applyFill="1" applyAlignment="1" applyProtection="1">
      <alignment horizontal="left"/>
    </xf>
    <xf numFmtId="244" fontId="186" fillId="134" borderId="0" xfId="2" applyNumberFormat="1" applyFont="1" applyFill="1"/>
    <xf numFmtId="244" fontId="201" fillId="134" borderId="91" xfId="2" applyNumberFormat="1" applyFont="1" applyFill="1" applyBorder="1" applyAlignment="1">
      <alignment horizontal="center"/>
    </xf>
    <xf numFmtId="0" fontId="181" fillId="155" borderId="105"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4" xfId="0" applyFont="1" applyFill="1" applyBorder="1" applyAlignment="1">
      <alignment horizontal="center"/>
    </xf>
    <xf numFmtId="0" fontId="191" fillId="156" borderId="104" xfId="0" applyFont="1" applyFill="1" applyBorder="1" applyAlignment="1">
      <alignment horizontal="center"/>
    </xf>
    <xf numFmtId="0" fontId="181" fillId="156" borderId="105"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00"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8"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9" xfId="0" applyNumberFormat="1" applyFont="1" applyFill="1" applyBorder="1"/>
    <xf numFmtId="39" fontId="42" fillId="134" borderId="98" xfId="0" applyNumberFormat="1" applyFont="1" applyFill="1" applyBorder="1"/>
    <xf numFmtId="171" fontId="42" fillId="134" borderId="99"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2" fillId="134" borderId="7" xfId="0" applyNumberFormat="1" applyFont="1" applyFill="1" applyBorder="1" applyAlignment="1">
      <alignment horizontal="center" vertical="center"/>
    </xf>
    <xf numFmtId="171" fontId="202" fillId="134" borderId="0" xfId="0" applyNumberFormat="1" applyFont="1" applyFill="1" applyBorder="1" applyAlignment="1">
      <alignment horizontal="center" vertical="center"/>
    </xf>
    <xf numFmtId="0" fontId="202" fillId="134" borderId="7" xfId="0" applyFont="1" applyFill="1" applyBorder="1" applyAlignment="1">
      <alignment horizontal="center" vertical="center"/>
    </xf>
    <xf numFmtId="0" fontId="202" fillId="134" borderId="6" xfId="0" applyFont="1" applyFill="1" applyBorder="1" applyAlignment="1">
      <alignment horizontal="center" vertical="center"/>
    </xf>
    <xf numFmtId="0" fontId="202" fillId="134" borderId="12" xfId="0" applyFont="1" applyFill="1" applyBorder="1" applyAlignment="1">
      <alignment horizontal="center" vertical="center"/>
    </xf>
    <xf numFmtId="0" fontId="202" fillId="134" borderId="98"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10"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11" fillId="134" borderId="0" xfId="0" applyFont="1" applyFill="1" applyBorder="1"/>
    <xf numFmtId="0" fontId="211"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2"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3"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3"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7" fontId="70" fillId="134" borderId="7" xfId="0" applyNumberFormat="1" applyFont="1" applyFill="1" applyBorder="1" applyAlignment="1">
      <alignment horizontal="center"/>
    </xf>
    <xf numFmtId="10" fontId="0" fillId="0" borderId="0" xfId="4" applyNumberFormat="1" applyFont="1"/>
    <xf numFmtId="0" fontId="42" fillId="134" borderId="99" xfId="0" applyFont="1" applyFill="1" applyBorder="1"/>
    <xf numFmtId="0" fontId="42" fillId="134" borderId="98" xfId="0" applyFont="1" applyFill="1" applyBorder="1"/>
    <xf numFmtId="5" fontId="42" fillId="134" borderId="100"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3"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3"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3"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0" fontId="50" fillId="152" borderId="0" xfId="0" applyFont="1" applyFill="1" applyBorder="1" applyAlignment="1">
      <alignment horizontal="center" vertical="center" wrapText="1"/>
    </xf>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9" xfId="0" applyNumberFormat="1" applyFont="1" applyFill="1" applyBorder="1" applyAlignment="1"/>
    <xf numFmtId="176" fontId="42" fillId="134" borderId="98" xfId="0" applyNumberFormat="1" applyFont="1" applyFill="1" applyBorder="1" applyAlignment="1"/>
    <xf numFmtId="176" fontId="42" fillId="134" borderId="100" xfId="0" applyNumberFormat="1" applyFont="1" applyFill="1" applyBorder="1" applyAlignment="1"/>
    <xf numFmtId="0" fontId="43" fillId="134" borderId="39" xfId="0" applyFont="1" applyFill="1" applyBorder="1" applyAlignment="1">
      <alignment horizontal="center"/>
    </xf>
    <xf numFmtId="0" fontId="214"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7"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5" fillId="134" borderId="0" xfId="0" applyFont="1" applyFill="1"/>
    <xf numFmtId="0" fontId="216" fillId="134" borderId="10" xfId="0" applyFont="1" applyFill="1" applyBorder="1" applyAlignment="1">
      <alignment horizontal="center" vertical="center" wrapText="1"/>
    </xf>
    <xf numFmtId="0" fontId="216" fillId="134" borderId="9" xfId="0" applyFont="1" applyFill="1" applyBorder="1" applyAlignment="1">
      <alignment horizontal="center" vertical="center" wrapText="1"/>
    </xf>
    <xf numFmtId="168" fontId="216" fillId="134" borderId="26" xfId="143" applyNumberFormat="1" applyFont="1" applyFill="1" applyBorder="1" applyAlignment="1">
      <alignment horizontal="center"/>
    </xf>
    <xf numFmtId="168" fontId="216" fillId="134" borderId="27" xfId="143" applyNumberFormat="1" applyFont="1" applyFill="1" applyBorder="1" applyAlignment="1">
      <alignment horizontal="center"/>
    </xf>
    <xf numFmtId="168" fontId="216" fillId="134" borderId="5" xfId="143" applyNumberFormat="1" applyFont="1" applyFill="1" applyBorder="1" applyAlignment="1">
      <alignment horizontal="center"/>
    </xf>
    <xf numFmtId="168" fontId="216"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6" fillId="134" borderId="0" xfId="143" applyNumberFormat="1" applyFont="1" applyFill="1" applyBorder="1" applyAlignment="1">
      <alignment horizontal="center"/>
    </xf>
    <xf numFmtId="168" fontId="216"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7" fillId="134" borderId="0" xfId="0" applyFont="1" applyFill="1" applyAlignment="1">
      <alignment horizontal="center"/>
    </xf>
    <xf numFmtId="0" fontId="217" fillId="154" borderId="33" xfId="0" applyFont="1" applyFill="1" applyBorder="1" applyAlignment="1">
      <alignment horizontal="center"/>
    </xf>
    <xf numFmtId="0" fontId="217" fillId="154" borderId="34" xfId="0" applyFont="1" applyFill="1" applyBorder="1" applyAlignment="1">
      <alignment horizontal="center"/>
    </xf>
    <xf numFmtId="0" fontId="217" fillId="154" borderId="35" xfId="0" applyFont="1" applyFill="1" applyBorder="1" applyAlignment="1">
      <alignment horizontal="center"/>
    </xf>
    <xf numFmtId="0" fontId="217" fillId="151" borderId="33" xfId="0" applyFont="1" applyFill="1" applyBorder="1" applyAlignment="1">
      <alignment horizontal="center"/>
    </xf>
    <xf numFmtId="0" fontId="217" fillId="151" borderId="34" xfId="0" applyFont="1" applyFill="1" applyBorder="1" applyAlignment="1">
      <alignment horizontal="center"/>
    </xf>
    <xf numFmtId="0" fontId="217" fillId="151" borderId="35" xfId="0" applyFont="1" applyFill="1" applyBorder="1" applyAlignment="1">
      <alignment horizontal="center"/>
    </xf>
    <xf numFmtId="0" fontId="216" fillId="134" borderId="110" xfId="5" applyFont="1" applyFill="1" applyBorder="1" applyAlignment="1">
      <alignment horizontal="center" vertical="center"/>
    </xf>
    <xf numFmtId="0" fontId="217" fillId="134" borderId="34" xfId="0" applyFont="1" applyFill="1" applyBorder="1" applyAlignment="1">
      <alignment horizontal="center" vertical="center" wrapText="1"/>
    </xf>
    <xf numFmtId="0" fontId="217" fillId="134" borderId="33" xfId="0" applyFont="1" applyFill="1" applyBorder="1" applyAlignment="1">
      <alignment horizontal="center" vertical="center" wrapText="1"/>
    </xf>
    <xf numFmtId="0" fontId="217" fillId="134" borderId="35" xfId="0" applyFont="1" applyFill="1" applyBorder="1" applyAlignment="1">
      <alignment horizontal="center" vertical="center" wrapText="1"/>
    </xf>
    <xf numFmtId="0" fontId="217" fillId="152" borderId="33" xfId="0" applyFont="1" applyFill="1" applyBorder="1" applyAlignment="1">
      <alignment horizontal="center" vertical="center" wrapText="1"/>
    </xf>
    <xf numFmtId="0" fontId="217" fillId="152" borderId="34" xfId="0" applyFont="1" applyFill="1" applyBorder="1" applyAlignment="1">
      <alignment horizontal="center" vertical="center" wrapText="1"/>
    </xf>
    <xf numFmtId="0" fontId="217" fillId="155" borderId="67" xfId="0" applyFont="1" applyFill="1" applyBorder="1" applyAlignment="1">
      <alignment horizontal="center" vertical="center" wrapText="1"/>
    </xf>
    <xf numFmtId="0" fontId="217" fillId="156" borderId="67" xfId="0" applyFont="1" applyFill="1" applyBorder="1" applyAlignment="1">
      <alignment horizontal="center"/>
    </xf>
    <xf numFmtId="170" fontId="45" fillId="0" borderId="26" xfId="0" applyNumberFormat="1"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1" applyFont="1" applyFill="1" applyBorder="1"/>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5" xfId="0" applyNumberFormat="1" applyFont="1" applyFill="1" applyBorder="1"/>
    <xf numFmtId="7" fontId="42" fillId="134" borderId="4"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166" fontId="42" fillId="134" borderId="8" xfId="0" applyNumberFormat="1" applyFont="1" applyFill="1" applyBorder="1"/>
    <xf numFmtId="166" fontId="42" fillId="134" borderId="11" xfId="0" applyNumberFormat="1" applyFont="1" applyFill="1" applyBorder="1"/>
    <xf numFmtId="0" fontId="42" fillId="134" borderId="0" xfId="56367" applyFont="1" applyFill="1" applyBorder="1"/>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9" xfId="5" applyNumberFormat="1" applyFont="1" applyFill="1" applyBorder="1" applyAlignment="1">
      <alignment horizontal="center" vertical="center"/>
    </xf>
    <xf numFmtId="166" fontId="186" fillId="134" borderId="98" xfId="5" applyNumberFormat="1" applyFont="1" applyFill="1" applyBorder="1" applyAlignment="1">
      <alignment horizontal="center" vertical="center"/>
    </xf>
    <xf numFmtId="171" fontId="202" fillId="134" borderId="98" xfId="0" applyNumberFormat="1" applyFont="1" applyFill="1" applyBorder="1" applyAlignment="1"/>
    <xf numFmtId="171" fontId="186" fillId="134" borderId="100" xfId="0" applyNumberFormat="1" applyFont="1" applyFill="1" applyBorder="1" applyAlignment="1"/>
    <xf numFmtId="0" fontId="186" fillId="156" borderId="39" xfId="0" applyFont="1" applyFill="1" applyBorder="1"/>
    <xf numFmtId="0" fontId="192" fillId="156" borderId="40" xfId="0" applyFont="1" applyFill="1" applyBorder="1" applyAlignment="1">
      <alignment horizontal="center" vertical="center"/>
    </xf>
    <xf numFmtId="0" fontId="192" fillId="156" borderId="103"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8"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7"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8" fillId="134" borderId="98"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8" fillId="134" borderId="0" xfId="0" applyNumberFormat="1" applyFont="1" applyFill="1"/>
    <xf numFmtId="185" fontId="208" fillId="134" borderId="0" xfId="101" applyFont="1" applyFill="1"/>
    <xf numFmtId="185" fontId="208"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9" xfId="0" applyFont="1" applyFill="1" applyBorder="1" applyAlignment="1">
      <alignment horizontal="center" vertical="center"/>
    </xf>
    <xf numFmtId="0" fontId="192" fillId="134" borderId="98" xfId="0" applyFont="1" applyFill="1" applyBorder="1" applyAlignment="1">
      <alignment horizontal="center" vertical="center"/>
    </xf>
    <xf numFmtId="0" fontId="192" fillId="134" borderId="100" xfId="0" applyFont="1" applyFill="1" applyBorder="1" applyAlignment="1">
      <alignment horizontal="center" vertical="center"/>
    </xf>
    <xf numFmtId="172" fontId="186" fillId="134" borderId="98"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9" fillId="0" borderId="0" xfId="0" applyFont="1"/>
    <xf numFmtId="3" fontId="192" fillId="0" borderId="0" xfId="100" applyNumberFormat="1" applyFont="1"/>
    <xf numFmtId="3" fontId="201" fillId="0" borderId="0" xfId="100" applyNumberFormat="1" applyFont="1"/>
    <xf numFmtId="0" fontId="186" fillId="0" borderId="0" xfId="0" applyFont="1"/>
    <xf numFmtId="171" fontId="186" fillId="0" borderId="100"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8" fillId="134" borderId="0" xfId="0" applyNumberFormat="1" applyFont="1" applyFill="1"/>
    <xf numFmtId="0" fontId="208" fillId="134" borderId="0" xfId="0" applyFont="1" applyFill="1"/>
    <xf numFmtId="167" fontId="208"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3"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8"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100"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9" xfId="2" applyNumberFormat="1" applyFont="1" applyFill="1" applyBorder="1"/>
    <xf numFmtId="7" fontId="42" fillId="134" borderId="98" xfId="2" applyNumberFormat="1" applyFont="1" applyFill="1" applyBorder="1"/>
    <xf numFmtId="0" fontId="186" fillId="134" borderId="7" xfId="0" applyFont="1" applyFill="1" applyBorder="1"/>
    <xf numFmtId="7" fontId="186" fillId="134" borderId="99" xfId="2" applyNumberFormat="1" applyFont="1" applyFill="1" applyBorder="1"/>
    <xf numFmtId="7" fontId="186" fillId="134" borderId="98" xfId="2" applyNumberFormat="1" applyFont="1" applyFill="1" applyBorder="1"/>
    <xf numFmtId="171" fontId="202"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8" xfId="0" applyFont="1" applyFill="1" applyBorder="1" applyAlignment="1">
      <alignment horizontal="center" vertical="center"/>
    </xf>
    <xf numFmtId="0" fontId="186" fillId="134" borderId="100" xfId="0" applyFont="1" applyFill="1" applyBorder="1" applyAlignment="1">
      <alignment horizontal="center" vertical="center"/>
    </xf>
    <xf numFmtId="168" fontId="42" fillId="134" borderId="12" xfId="0" applyNumberFormat="1" applyFont="1" applyFill="1" applyBorder="1" applyAlignment="1"/>
    <xf numFmtId="37" fontId="42" fillId="134" borderId="99"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8" xfId="0" applyNumberFormat="1" applyFont="1" applyFill="1" applyBorder="1"/>
    <xf numFmtId="170" fontId="42" fillId="134" borderId="100" xfId="0" applyNumberFormat="1" applyFont="1" applyFill="1" applyBorder="1"/>
    <xf numFmtId="0" fontId="44" fillId="134" borderId="0" xfId="5" applyFont="1" applyFill="1" applyBorder="1" applyAlignment="1">
      <alignment horizontal="center"/>
    </xf>
    <xf numFmtId="0" fontId="201" fillId="134" borderId="0" xfId="0" applyFont="1" applyFill="1" applyBorder="1"/>
    <xf numFmtId="37" fontId="42" fillId="134" borderId="98" xfId="0" applyNumberFormat="1" applyFont="1" applyFill="1" applyBorder="1"/>
    <xf numFmtId="167" fontId="42" fillId="134" borderId="99"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3" xfId="1" applyNumberFormat="1" applyFont="1" applyFill="1" applyBorder="1" applyAlignment="1"/>
    <xf numFmtId="171" fontId="189" fillId="134" borderId="14" xfId="0" applyNumberFormat="1" applyFont="1" applyFill="1" applyBorder="1"/>
    <xf numFmtId="165" fontId="42" fillId="134" borderId="99"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1" xfId="0" applyNumberFormat="1" applyFont="1" applyFill="1" applyBorder="1" applyAlignment="1"/>
    <xf numFmtId="0" fontId="192" fillId="152" borderId="40" xfId="0" applyFont="1" applyFill="1" applyBorder="1" applyAlignment="1">
      <alignment horizontal="center" vertical="center"/>
    </xf>
    <xf numFmtId="0" fontId="192" fillId="152" borderId="103"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0" fontId="200" fillId="152" borderId="39" xfId="0" applyFont="1" applyFill="1" applyBorder="1" applyAlignment="1">
      <alignment horizontal="center"/>
    </xf>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8"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6"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3"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5" xfId="0" applyNumberFormat="1" applyFont="1" applyFill="1" applyBorder="1" applyAlignment="1">
      <alignment horizontal="center"/>
    </xf>
    <xf numFmtId="171" fontId="43" fillId="152" borderId="103"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8" xfId="0" applyNumberFormat="1" applyFont="1" applyFill="1" applyBorder="1" applyAlignment="1">
      <alignment horizontal="center"/>
    </xf>
    <xf numFmtId="0" fontId="42" fillId="134" borderId="40" xfId="0" applyFont="1" applyFill="1" applyBorder="1"/>
    <xf numFmtId="0" fontId="42" fillId="134" borderId="103"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8"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0" fontId="43" fillId="158" borderId="2" xfId="0" applyFont="1" applyFill="1" applyBorder="1" applyAlignment="1">
      <alignment horizontal="center"/>
    </xf>
    <xf numFmtId="0" fontId="43" fillId="158" borderId="16" xfId="0" applyFont="1" applyFill="1" applyBorder="1" applyAlignment="1">
      <alignment horizontal="center" wrapText="1"/>
    </xf>
    <xf numFmtId="0" fontId="42" fillId="158" borderId="3" xfId="0" quotePrefix="1" applyFont="1" applyFill="1" applyBorder="1" applyAlignment="1">
      <alignment horizontal="center"/>
    </xf>
    <xf numFmtId="0" fontId="42" fillId="158" borderId="3" xfId="0" applyFont="1" applyFill="1" applyBorder="1" applyAlignment="1">
      <alignment horizontal="center"/>
    </xf>
    <xf numFmtId="0" fontId="42" fillId="158" borderId="16" xfId="0" applyFont="1" applyFill="1" applyBorder="1" applyAlignment="1">
      <alignment horizontal="center"/>
    </xf>
    <xf numFmtId="3" fontId="43" fillId="134" borderId="0" xfId="100" applyNumberFormat="1" applyFont="1" applyFill="1"/>
    <xf numFmtId="0" fontId="42" fillId="134" borderId="0" xfId="5" applyFont="1" applyFill="1" applyAlignment="1"/>
    <xf numFmtId="0" fontId="214"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68" fontId="44" fillId="134" borderId="11" xfId="56362" applyNumberFormat="1" applyFont="1" applyFill="1" applyBorder="1"/>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8"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2" fillId="134" borderId="0" xfId="0" applyFont="1" applyFill="1" applyBorder="1" applyAlignment="1">
      <alignment horizontal="center" vertical="center"/>
    </xf>
    <xf numFmtId="171" fontId="220" fillId="134" borderId="27" xfId="0" applyNumberFormat="1" applyFont="1" applyFill="1" applyBorder="1"/>
    <xf numFmtId="171" fontId="220" fillId="134" borderId="106" xfId="0" applyNumberFormat="1" applyFont="1" applyFill="1" applyBorder="1"/>
    <xf numFmtId="171" fontId="220" fillId="134" borderId="14" xfId="0" applyNumberFormat="1" applyFont="1" applyFill="1" applyBorder="1"/>
    <xf numFmtId="171" fontId="220" fillId="134" borderId="107" xfId="0" applyNumberFormat="1" applyFont="1" applyFill="1" applyBorder="1"/>
    <xf numFmtId="171" fontId="220" fillId="134" borderId="0" xfId="0" applyNumberFormat="1" applyFont="1" applyFill="1" applyBorder="1"/>
    <xf numFmtId="171" fontId="220" fillId="134" borderId="108" xfId="0" applyNumberFormat="1" applyFont="1" applyFill="1" applyBorder="1"/>
    <xf numFmtId="171" fontId="220" fillId="134" borderId="0" xfId="0" applyNumberFormat="1" applyFont="1" applyFill="1" applyBorder="1" applyAlignment="1"/>
    <xf numFmtId="171" fontId="220" fillId="134" borderId="108" xfId="0" applyNumberFormat="1" applyFont="1" applyFill="1" applyBorder="1" applyAlignment="1"/>
    <xf numFmtId="171" fontId="220" fillId="134" borderId="14" xfId="0" applyNumberFormat="1" applyFont="1" applyFill="1" applyBorder="1" applyAlignment="1"/>
    <xf numFmtId="171" fontId="220" fillId="134" borderId="107" xfId="0" applyNumberFormat="1" applyFont="1" applyFill="1" applyBorder="1" applyAlignment="1"/>
    <xf numFmtId="171" fontId="220" fillId="134" borderId="27" xfId="0" applyNumberFormat="1" applyFont="1" applyFill="1" applyBorder="1" applyAlignment="1"/>
    <xf numFmtId="171" fontId="220" fillId="134" borderId="106" xfId="0" applyNumberFormat="1" applyFont="1" applyFill="1" applyBorder="1" applyAlignment="1"/>
    <xf numFmtId="171" fontId="220" fillId="134" borderId="12" xfId="0" applyNumberFormat="1" applyFont="1" applyFill="1" applyBorder="1" applyAlignment="1"/>
    <xf numFmtId="171" fontId="220" fillId="134" borderId="98" xfId="0" applyNumberFormat="1" applyFont="1" applyFill="1" applyBorder="1" applyAlignment="1"/>
    <xf numFmtId="184" fontId="206" fillId="134" borderId="14" xfId="2" applyNumberFormat="1" applyFont="1" applyFill="1" applyBorder="1" applyAlignment="1">
      <alignment horizontal="right"/>
    </xf>
    <xf numFmtId="0" fontId="202" fillId="134" borderId="99"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201" fillId="134" borderId="0" xfId="0" applyNumberFormat="1" applyFont="1" applyFill="1" applyAlignment="1">
      <alignment horizontal="center"/>
    </xf>
    <xf numFmtId="171" fontId="220" fillId="134" borderId="7" xfId="0" applyNumberFormat="1" applyFont="1" applyFill="1" applyBorder="1"/>
    <xf numFmtId="171" fontId="220" fillId="134" borderId="7" xfId="0" applyNumberFormat="1" applyFont="1" applyFill="1" applyBorder="1" applyAlignment="1"/>
    <xf numFmtId="171" fontId="220" fillId="134" borderId="99"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0" fontId="186" fillId="134" borderId="18" xfId="0" applyFont="1" applyFill="1" applyBorder="1"/>
    <xf numFmtId="171" fontId="220" fillId="134" borderId="44" xfId="0" applyNumberFormat="1" applyFont="1" applyFill="1" applyBorder="1"/>
    <xf numFmtId="171" fontId="220" fillId="134" borderId="113" xfId="0" applyNumberFormat="1" applyFont="1" applyFill="1" applyBorder="1"/>
    <xf numFmtId="171" fontId="220" fillId="134" borderId="48" xfId="0" applyNumberFormat="1" applyFont="1" applyFill="1" applyBorder="1"/>
    <xf numFmtId="171" fontId="220" fillId="134" borderId="113" xfId="0" applyNumberFormat="1" applyFont="1" applyFill="1" applyBorder="1" applyAlignment="1"/>
    <xf numFmtId="171" fontId="220"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6"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7" fillId="134" borderId="26" xfId="0" applyNumberFormat="1" applyFont="1" applyFill="1" applyBorder="1" applyAlignment="1">
      <alignment horizontal="center"/>
    </xf>
    <xf numFmtId="168" fontId="217" fillId="134" borderId="9" xfId="0" applyNumberFormat="1" applyFont="1" applyFill="1" applyBorder="1" applyAlignment="1">
      <alignment horizontal="center"/>
    </xf>
    <xf numFmtId="0" fontId="195" fillId="134" borderId="0" xfId="0" applyFont="1" applyFill="1" applyBorder="1" applyAlignment="1"/>
    <xf numFmtId="0" fontId="190" fillId="159" borderId="114" xfId="0" applyFont="1" applyFill="1" applyBorder="1" applyAlignment="1">
      <alignment horizontal="center"/>
    </xf>
    <xf numFmtId="0" fontId="190" fillId="159" borderId="31" xfId="0" applyFont="1" applyFill="1" applyBorder="1" applyAlignment="1">
      <alignment horizontal="center"/>
    </xf>
    <xf numFmtId="0" fontId="50" fillId="159" borderId="16" xfId="0" applyFont="1" applyFill="1" applyBorder="1" applyAlignment="1">
      <alignment horizontal="center" vertical="center" wrapText="1"/>
    </xf>
    <xf numFmtId="0" fontId="181" fillId="159" borderId="16" xfId="0" applyFont="1" applyFill="1" applyBorder="1" applyAlignment="1">
      <alignment horizontal="center" vertical="center" wrapText="1"/>
    </xf>
    <xf numFmtId="168" fontId="217" fillId="159" borderId="33" xfId="0" applyNumberFormat="1" applyFont="1" applyFill="1" applyBorder="1" applyAlignment="1">
      <alignment horizontal="center"/>
    </xf>
    <xf numFmtId="168" fontId="217" fillId="159" borderId="34" xfId="0" applyNumberFormat="1" applyFont="1" applyFill="1" applyBorder="1" applyAlignment="1">
      <alignment horizontal="center"/>
    </xf>
    <xf numFmtId="168" fontId="217" fillId="159" borderId="110" xfId="0" applyNumberFormat="1" applyFont="1" applyFill="1" applyBorder="1" applyAlignment="1">
      <alignment horizontal="center"/>
    </xf>
    <xf numFmtId="168" fontId="42" fillId="159" borderId="16" xfId="143" applyNumberFormat="1" applyFont="1" applyFill="1" applyBorder="1" applyAlignment="1">
      <alignment horizontal="center"/>
    </xf>
    <xf numFmtId="168" fontId="42" fillId="159" borderId="3" xfId="143" applyNumberFormat="1" applyFont="1" applyFill="1" applyBorder="1" applyAlignment="1">
      <alignment horizontal="center"/>
    </xf>
    <xf numFmtId="168" fontId="42" fillId="159" borderId="38" xfId="143" applyNumberFormat="1" applyFont="1" applyFill="1" applyBorder="1" applyAlignment="1">
      <alignment horizontal="center"/>
    </xf>
    <xf numFmtId="247" fontId="201" fillId="134" borderId="91" xfId="2" applyNumberFormat="1" applyFont="1" applyFill="1" applyBorder="1" applyAlignment="1">
      <alignment horizontal="center"/>
    </xf>
    <xf numFmtId="14" fontId="192" fillId="156" borderId="40" xfId="0" applyNumberFormat="1" applyFont="1" applyFill="1" applyBorder="1" applyAlignment="1">
      <alignment horizontal="center" vertical="center"/>
    </xf>
    <xf numFmtId="0" fontId="186" fillId="159" borderId="39" xfId="0" applyFont="1" applyFill="1" applyBorder="1"/>
    <xf numFmtId="171" fontId="192" fillId="159" borderId="40" xfId="0" applyNumberFormat="1" applyFont="1" applyFill="1" applyBorder="1" applyAlignment="1">
      <alignment horizontal="center" vertical="center"/>
    </xf>
    <xf numFmtId="171" fontId="186" fillId="159" borderId="40" xfId="0" applyNumberFormat="1" applyFont="1" applyFill="1" applyBorder="1" applyAlignment="1">
      <alignment horizontal="center" vertical="center"/>
    </xf>
    <xf numFmtId="0" fontId="186" fillId="159" borderId="40" xfId="0" applyFont="1" applyFill="1" applyBorder="1" applyAlignment="1">
      <alignment horizontal="center" vertical="center"/>
    </xf>
    <xf numFmtId="0" fontId="186" fillId="159" borderId="103" xfId="0" applyFont="1" applyFill="1" applyBorder="1" applyAlignment="1">
      <alignment horizontal="center" vertical="center"/>
    </xf>
    <xf numFmtId="0" fontId="192" fillId="159" borderId="40" xfId="0" applyFont="1" applyFill="1" applyBorder="1" applyAlignment="1">
      <alignment horizontal="center"/>
    </xf>
    <xf numFmtId="0" fontId="192" fillId="159" borderId="42" xfId="0" applyFont="1" applyFill="1" applyBorder="1" applyAlignment="1">
      <alignment horizontal="center"/>
    </xf>
    <xf numFmtId="168" fontId="192" fillId="159" borderId="42" xfId="0" applyNumberFormat="1" applyFont="1" applyFill="1" applyBorder="1"/>
    <xf numFmtId="168" fontId="192" fillId="159" borderId="67" xfId="0" applyNumberFormat="1" applyFont="1" applyFill="1" applyBorder="1" applyAlignment="1"/>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8"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6" fontId="42" fillId="134" borderId="15" xfId="0" applyNumberFormat="1"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71" fontId="186" fillId="134" borderId="7" xfId="0" applyNumberFormat="1" applyFont="1" applyFill="1" applyBorder="1" applyAlignment="1">
      <alignment horizontal="center" vertic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9"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49" fillId="134" borderId="100" xfId="0" applyFont="1" applyFill="1" applyBorder="1" applyAlignment="1">
      <alignment horizontal="center"/>
    </xf>
    <xf numFmtId="0" fontId="0" fillId="152" borderId="100" xfId="0" applyFill="1" applyBorder="1"/>
    <xf numFmtId="0" fontId="0" fillId="154" borderId="99" xfId="0" applyFill="1" applyBorder="1"/>
    <xf numFmtId="0" fontId="49"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5"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3" xfId="2" applyNumberFormat="1" applyFont="1" applyFill="1" applyBorder="1" applyAlignment="1">
      <alignment horizontal="center"/>
    </xf>
    <xf numFmtId="10" fontId="181" fillId="152" borderId="115" xfId="4" applyNumberFormat="1" applyFont="1" applyFill="1" applyBorder="1" applyAlignment="1">
      <alignment horizontal="center"/>
    </xf>
    <xf numFmtId="184" fontId="181" fillId="154" borderId="113" xfId="2" applyNumberFormat="1" applyFont="1" applyFill="1" applyBorder="1"/>
    <xf numFmtId="10" fontId="181" fillId="154" borderId="115" xfId="4" applyNumberFormat="1" applyFont="1" applyFill="1" applyBorder="1" applyAlignment="1">
      <alignment horizontal="center"/>
    </xf>
    <xf numFmtId="10" fontId="181" fillId="134" borderId="113"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6"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9" xfId="0" applyFill="1" applyBorder="1" applyAlignment="1">
      <alignment wrapText="1"/>
    </xf>
    <xf numFmtId="0" fontId="49" fillId="161" borderId="109" xfId="0" applyFont="1" applyFill="1" applyBorder="1" applyAlignment="1">
      <alignment horizontal="center"/>
    </xf>
    <xf numFmtId="0" fontId="0" fillId="154" borderId="98" xfId="0" applyFill="1" applyBorder="1"/>
    <xf numFmtId="10" fontId="181" fillId="154" borderId="18" xfId="4" applyNumberFormat="1" applyFont="1" applyFill="1" applyBorder="1" applyAlignment="1">
      <alignment horizontal="center"/>
    </xf>
    <xf numFmtId="0" fontId="49" fillId="154" borderId="98" xfId="0" applyFont="1" applyFill="1" applyBorder="1" applyAlignment="1">
      <alignment horizontal="center"/>
    </xf>
    <xf numFmtId="0" fontId="0" fillId="134" borderId="98" xfId="0" applyFill="1" applyBorder="1" applyAlignment="1"/>
    <xf numFmtId="184" fontId="181" fillId="134" borderId="21" xfId="2" applyNumberFormat="1" applyFont="1" applyFill="1" applyBorder="1"/>
    <xf numFmtId="0" fontId="0" fillId="134" borderId="100" xfId="0" applyFill="1" applyBorder="1" applyAlignment="1"/>
    <xf numFmtId="0" fontId="50" fillId="134" borderId="113" xfId="0" applyFont="1" applyFill="1" applyBorder="1" applyAlignment="1">
      <alignment horizontal="center" vertical="center" wrapText="1"/>
    </xf>
    <xf numFmtId="184" fontId="50" fillId="134" borderId="7" xfId="2" applyNumberFormat="1" applyFont="1" applyFill="1" applyBorder="1"/>
    <xf numFmtId="184" fontId="181" fillId="134" borderId="113"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2" fillId="37" borderId="0" xfId="0" applyFont="1" applyFill="1" applyBorder="1" applyAlignment="1">
      <alignment horizontal="center" vertical="center"/>
    </xf>
    <xf numFmtId="0" fontId="190" fillId="37" borderId="38" xfId="0" applyFont="1" applyFill="1" applyBorder="1" applyAlignment="1">
      <alignment horizontal="center"/>
    </xf>
    <xf numFmtId="0" fontId="222"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0" fillId="38" borderId="27" xfId="0" applyFill="1" applyBorder="1"/>
    <xf numFmtId="0" fontId="0" fillId="38" borderId="28" xfId="0" applyFill="1" applyBorder="1"/>
    <xf numFmtId="0" fontId="43" fillId="38" borderId="28" xfId="5" applyFont="1" applyFill="1" applyBorder="1" applyAlignment="1">
      <alignment horizontal="left"/>
    </xf>
    <xf numFmtId="0" fontId="223"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69" fontId="42" fillId="37" borderId="36" xfId="51236" applyNumberFormat="1" applyFont="1" applyFill="1" applyBorder="1" applyAlignment="1">
      <alignment horizontal="center"/>
    </xf>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0" fontId="42" fillId="134" borderId="0" xfId="0" applyNumberFormat="1" applyFont="1" applyFill="1"/>
    <xf numFmtId="169" fontId="43" fillId="0" borderId="0" xfId="4" applyNumberFormat="1" applyFont="1" applyAlignment="1">
      <alignment horizontal="center"/>
    </xf>
    <xf numFmtId="10" fontId="223" fillId="0" borderId="0" xfId="4" quotePrefix="1" applyNumberFormat="1" applyFont="1" applyFill="1" applyBorder="1"/>
    <xf numFmtId="172" fontId="189" fillId="0" borderId="14" xfId="0" applyNumberFormat="1" applyFont="1" applyFill="1" applyBorder="1" applyAlignment="1">
      <alignment horizontal="center"/>
    </xf>
    <xf numFmtId="5" fontId="224"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100" xfId="0" applyNumberFormat="1" applyFont="1" applyFill="1" applyBorder="1"/>
    <xf numFmtId="0" fontId="196" fillId="0" borderId="0" xfId="5" applyFont="1" applyAlignment="1">
      <alignment horizontal="left" indent="1"/>
    </xf>
    <xf numFmtId="0" fontId="225"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6"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9" xfId="0" applyNumberFormat="1" applyFont="1" applyFill="1" applyBorder="1"/>
    <xf numFmtId="171" fontId="186" fillId="134" borderId="119" xfId="0" applyNumberFormat="1" applyFont="1" applyFill="1" applyBorder="1" applyAlignment="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20" xfId="0" applyNumberFormat="1" applyFont="1" applyFill="1" applyBorder="1" applyAlignment="1"/>
    <xf numFmtId="171" fontId="186" fillId="134" borderId="99"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72" fontId="42" fillId="0" borderId="0" xfId="0" applyNumberFormat="1" applyFont="1" applyFill="1" applyBorder="1"/>
    <xf numFmtId="184" fontId="206" fillId="134" borderId="0" xfId="2" applyNumberFormat="1" applyFont="1" applyFill="1" applyBorder="1" applyAlignment="1">
      <alignment horizontal="right"/>
    </xf>
    <xf numFmtId="0" fontId="207"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3"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3" xfId="2" applyNumberFormat="1" applyFont="1" applyFill="1" applyBorder="1"/>
    <xf numFmtId="247" fontId="201" fillId="0" borderId="91" xfId="2" applyNumberFormat="1" applyFont="1" applyFill="1" applyBorder="1" applyAlignment="1">
      <alignment horizontal="center"/>
    </xf>
    <xf numFmtId="0" fontId="202" fillId="37" borderId="12" xfId="0" applyFont="1" applyFill="1" applyBorder="1" applyAlignment="1">
      <alignment horizontal="center" vertical="center"/>
    </xf>
    <xf numFmtId="0" fontId="202" fillId="37" borderId="98"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42"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7"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195" fillId="37" borderId="0" xfId="0" applyFont="1" applyFill="1" applyAlignment="1">
      <alignment horizontal="center"/>
    </xf>
    <xf numFmtId="0" fontId="195" fillId="37" borderId="12" xfId="0" applyFont="1" applyFill="1" applyBorder="1" applyAlignment="1">
      <alignment horizontal="center"/>
    </xf>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8" xfId="0" applyFont="1" applyFill="1" applyBorder="1" applyAlignment="1">
      <alignment horizontal="center"/>
    </xf>
    <xf numFmtId="10" fontId="181"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2"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3" xfId="2" quotePrefix="1" applyNumberFormat="1" applyFont="1" applyFill="1" applyBorder="1" applyAlignment="1">
      <alignment horizontal="center" vertical="center" wrapText="1"/>
    </xf>
    <xf numFmtId="184" fontId="181" fillId="134" borderId="98"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37" fontId="43" fillId="134" borderId="7" xfId="0" applyNumberFormat="1" applyFont="1" applyFill="1" applyBorder="1" applyAlignment="1">
      <alignment horizontal="center"/>
    </xf>
    <xf numFmtId="44" fontId="42" fillId="134" borderId="48" xfId="2" applyFont="1" applyFill="1" applyBorder="1"/>
    <xf numFmtId="44" fontId="42" fillId="134" borderId="7" xfId="2" applyFont="1" applyFill="1" applyBorder="1"/>
    <xf numFmtId="44" fontId="43" fillId="134" borderId="48"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44" fontId="42" fillId="134" borderId="42" xfId="2" applyFont="1" applyFill="1" applyBorder="1"/>
    <xf numFmtId="44" fontId="42" fillId="134" borderId="40" xfId="2" applyFont="1" applyFill="1" applyBorder="1"/>
    <xf numFmtId="44" fontId="43" fillId="134" borderId="42" xfId="2" applyFont="1" applyFill="1" applyBorder="1"/>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9" xfId="0" applyNumberFormat="1" applyFont="1" applyFill="1" applyBorder="1" applyAlignment="1">
      <alignment horizontal="center"/>
    </xf>
    <xf numFmtId="184" fontId="49" fillId="134" borderId="98" xfId="0" applyNumberFormat="1" applyFont="1" applyFill="1" applyBorder="1" applyAlignment="1">
      <alignment horizontal="center"/>
    </xf>
    <xf numFmtId="0" fontId="68" fillId="134" borderId="99"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7" fontId="42" fillId="134" borderId="0" xfId="1" applyNumberFormat="1" applyFont="1" applyFill="1" applyBorder="1"/>
    <xf numFmtId="0" fontId="43" fillId="134" borderId="10" xfId="0" applyFont="1" applyFill="1" applyBorder="1" applyAlignment="1">
      <alignment horizontal="center"/>
    </xf>
    <xf numFmtId="166" fontId="42" fillId="134" borderId="8" xfId="4" applyNumberFormat="1" applyFont="1" applyFill="1" applyBorder="1"/>
    <xf numFmtId="7" fontId="42" fillId="134" borderId="14" xfId="1" applyNumberFormat="1" applyFont="1" applyFill="1" applyBorder="1"/>
    <xf numFmtId="166" fontId="42" fillId="134" borderId="11" xfId="4" applyNumberFormat="1" applyFont="1" applyFill="1" applyBorder="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6" fillId="134" borderId="0" xfId="0" applyFont="1" applyFill="1" applyAlignment="1">
      <alignment vertical="center"/>
    </xf>
    <xf numFmtId="3" fontId="217"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6"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9" fillId="134" borderId="109"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0" fillId="134" borderId="13" xfId="0" applyFill="1" applyBorder="1"/>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7" fillId="134" borderId="0" xfId="0" applyNumberFormat="1" applyFont="1" applyFill="1" applyBorder="1" applyAlignment="1">
      <alignment horizontal="center"/>
    </xf>
    <xf numFmtId="0" fontId="185" fillId="134" borderId="4" xfId="0" applyFont="1" applyFill="1" applyBorder="1" applyAlignment="1">
      <alignment horizontal="center"/>
    </xf>
    <xf numFmtId="3" fontId="230" fillId="134" borderId="0" xfId="100" applyNumberFormat="1" applyFont="1" applyFill="1"/>
    <xf numFmtId="0" fontId="217" fillId="37" borderId="34" xfId="0" applyFont="1" applyFill="1" applyBorder="1" applyAlignment="1">
      <alignment horizontal="center" vertical="center" wrapText="1"/>
    </xf>
    <xf numFmtId="0" fontId="217"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50" fillId="38" borderId="11" xfId="0" applyFont="1" applyFill="1" applyBorder="1" applyAlignment="1">
      <alignment horizontal="center" vertical="center" wrapText="1"/>
    </xf>
    <xf numFmtId="0" fontId="181" fillId="38" borderId="105" xfId="0" applyFont="1" applyFill="1" applyBorder="1" applyAlignment="1">
      <alignment horizontal="center" vertical="center" wrapText="1"/>
    </xf>
    <xf numFmtId="168" fontId="217"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7"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5" xfId="0" applyFont="1" applyFill="1" applyBorder="1" applyAlignment="1">
      <alignment horizontal="center" vertical="center" wrapText="1"/>
    </xf>
    <xf numFmtId="0" fontId="217" fillId="37" borderId="122" xfId="0" applyFont="1" applyFill="1" applyBorder="1" applyAlignment="1">
      <alignment horizontal="center" vertical="center" wrapText="1"/>
    </xf>
    <xf numFmtId="0" fontId="190" fillId="37" borderId="123" xfId="0" applyFont="1" applyFill="1" applyBorder="1" applyAlignment="1">
      <alignment horizontal="center"/>
    </xf>
    <xf numFmtId="0" fontId="50" fillId="37" borderId="124" xfId="0" applyFont="1" applyFill="1" applyBorder="1" applyAlignment="1">
      <alignment horizontal="center" vertical="center" wrapText="1"/>
    </xf>
    <xf numFmtId="0" fontId="217" fillId="37" borderId="125" xfId="0" applyFont="1" applyFill="1" applyBorder="1" applyAlignment="1">
      <alignment horizontal="center" vertical="center" wrapText="1"/>
    </xf>
    <xf numFmtId="0" fontId="190" fillId="37" borderId="11" xfId="0" applyFont="1" applyFill="1" applyBorder="1" applyAlignment="1">
      <alignment horizontal="center"/>
    </xf>
    <xf numFmtId="0" fontId="190" fillId="38" borderId="37" xfId="0" applyFont="1" applyFill="1" applyBorder="1" applyAlignment="1">
      <alignment horizontal="center"/>
    </xf>
    <xf numFmtId="0" fontId="190" fillId="38" borderId="121" xfId="0" applyFont="1" applyFill="1" applyBorder="1" applyAlignment="1">
      <alignment horizontal="center"/>
    </xf>
    <xf numFmtId="0" fontId="50" fillId="38" borderId="126" xfId="0" applyFont="1" applyFill="1" applyBorder="1" applyAlignment="1">
      <alignment horizontal="center" vertical="center" wrapText="1"/>
    </xf>
    <xf numFmtId="168" fontId="217" fillId="38" borderId="125" xfId="0" applyNumberFormat="1"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7" xfId="0" applyFont="1" applyFill="1" applyBorder="1" applyAlignment="1">
      <alignment horizontal="center" vertical="center" wrapText="1"/>
    </xf>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7" xfId="0" quotePrefix="1"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101" xfId="0"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2" xfId="0" applyFont="1" applyFill="1" applyBorder="1" applyAlignment="1">
      <alignment horizontal="center" vertical="center" wrapText="1"/>
    </xf>
    <xf numFmtId="0" fontId="0" fillId="37" borderId="7" xfId="0" applyFill="1" applyBorder="1"/>
    <xf numFmtId="0" fontId="0" fillId="37" borderId="0" xfId="0" applyFill="1" applyBorder="1"/>
    <xf numFmtId="0" fontId="0" fillId="37" borderId="1" xfId="0" applyFill="1" applyBorder="1"/>
    <xf numFmtId="184" fontId="50" fillId="37" borderId="7" xfId="2" applyNumberFormat="1" applyFont="1" applyFill="1" applyBorder="1" applyAlignment="1">
      <alignment horizontal="center"/>
    </xf>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9" xfId="2" applyNumberFormat="1" applyFont="1" applyFill="1" applyBorder="1" applyAlignment="1">
      <alignment horizont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9" fillId="37" borderId="12" xfId="0" applyFont="1" applyFill="1" applyBorder="1" applyAlignment="1">
      <alignment horizontal="center"/>
    </xf>
    <xf numFmtId="0" fontId="229" fillId="37" borderId="98" xfId="0" applyFont="1" applyFill="1" applyBorder="1" applyAlignment="1">
      <alignment horizontal="center"/>
    </xf>
    <xf numFmtId="0" fontId="0" fillId="37" borderId="100" xfId="0" applyFill="1" applyBorder="1"/>
    <xf numFmtId="0" fontId="42" fillId="38" borderId="7" xfId="0" applyFont="1" applyFill="1" applyBorder="1" applyAlignment="1">
      <alignment horizontal="center" vertical="center" wrapText="1"/>
    </xf>
    <xf numFmtId="0" fontId="42" fillId="38" borderId="1" xfId="0" applyFont="1" applyFill="1" applyBorder="1" applyAlignment="1">
      <alignment horizontal="center" vertical="center" wrapText="1"/>
    </xf>
    <xf numFmtId="0" fontId="181" fillId="38" borderId="48" xfId="0" quotePrefix="1"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5" xfId="0"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7" xfId="0" applyFill="1" applyBorder="1"/>
    <xf numFmtId="0" fontId="0" fillId="38" borderId="1" xfId="0" applyFill="1" applyBorder="1"/>
    <xf numFmtId="184" fontId="50" fillId="38" borderId="7" xfId="2" applyNumberFormat="1" applyFont="1" applyFill="1" applyBorder="1" applyAlignment="1">
      <alignment horizontal="center"/>
    </xf>
    <xf numFmtId="10" fontId="50" fillId="38" borderId="1" xfId="4" applyNumberFormat="1" applyFont="1" applyFill="1" applyBorder="1" applyAlignment="1">
      <alignment horizontal="center" vertical="center"/>
    </xf>
    <xf numFmtId="166" fontId="0" fillId="38" borderId="7" xfId="2" applyNumberFormat="1" applyFont="1" applyFill="1" applyBorder="1" applyAlignment="1">
      <alignment horizontal="center"/>
    </xf>
    <xf numFmtId="166" fontId="0" fillId="38" borderId="1" xfId="2" applyNumberFormat="1" applyFont="1" applyFill="1" applyBorder="1" applyAlignment="1">
      <alignment horizontal="center"/>
    </xf>
    <xf numFmtId="184" fontId="181" fillId="38" borderId="113" xfId="2" applyNumberFormat="1" applyFont="1" applyFill="1" applyBorder="1" applyAlignment="1">
      <alignment horizontal="center"/>
    </xf>
    <xf numFmtId="10" fontId="181" fillId="38" borderId="115" xfId="4" applyNumberFormat="1" applyFont="1" applyFill="1" applyBorder="1" applyAlignment="1">
      <alignment horizontal="center"/>
    </xf>
    <xf numFmtId="0" fontId="229" fillId="38" borderId="12" xfId="0" quotePrefix="1" applyFont="1" applyFill="1" applyBorder="1" applyAlignment="1">
      <alignment horizontal="center"/>
    </xf>
    <xf numFmtId="0" fontId="0" fillId="38" borderId="100" xfId="0" applyFill="1" applyBorder="1"/>
    <xf numFmtId="0" fontId="50" fillId="134" borderId="16" xfId="0" applyFont="1" applyFill="1" applyBorder="1" applyAlignment="1">
      <alignment horizontal="center"/>
    </xf>
    <xf numFmtId="0" fontId="217"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171" fontId="192" fillId="134" borderId="7" xfId="0" applyNumberFormat="1" applyFont="1" applyFill="1" applyBorder="1" applyAlignment="1">
      <alignment horizontal="center" vertical="center"/>
    </xf>
    <xf numFmtId="0" fontId="186" fillId="134" borderId="7" xfId="0" applyFont="1" applyFill="1" applyBorder="1" applyAlignment="1">
      <alignment horizontal="center" vertical="center"/>
    </xf>
    <xf numFmtId="0" fontId="186" fillId="134" borderId="99" xfId="0" applyFont="1" applyFill="1" applyBorder="1" applyAlignment="1">
      <alignment horizontal="center" vertical="center"/>
    </xf>
    <xf numFmtId="171" fontId="186" fillId="134" borderId="113" xfId="0" applyNumberFormat="1" applyFont="1" applyFill="1" applyBorder="1"/>
    <xf numFmtId="171" fontId="186" fillId="134" borderId="113" xfId="0" applyNumberFormat="1" applyFont="1" applyFill="1" applyBorder="1" applyAlignment="1"/>
    <xf numFmtId="168" fontId="192" fillId="159" borderId="40" xfId="0" applyNumberFormat="1" applyFont="1" applyFill="1" applyBorder="1"/>
    <xf numFmtId="168" fontId="192" fillId="159" borderId="40" xfId="0" applyNumberFormat="1" applyFont="1" applyFill="1" applyBorder="1" applyAlignment="1"/>
    <xf numFmtId="168" fontId="192" fillId="159" borderId="42" xfId="0" applyNumberFormat="1" applyFont="1" applyFill="1" applyBorder="1" applyAlignment="1"/>
    <xf numFmtId="168" fontId="192" fillId="159" borderId="43" xfId="0" applyNumberFormat="1" applyFont="1" applyFill="1" applyBorder="1" applyAlignment="1"/>
    <xf numFmtId="0" fontId="43" fillId="134" borderId="100"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4" fillId="134" borderId="0" xfId="5" applyFont="1" applyFill="1" applyAlignment="1">
      <alignment wrapText="1"/>
    </xf>
    <xf numFmtId="0" fontId="214" fillId="134" borderId="98" xfId="5" applyFont="1" applyFill="1" applyBorder="1" applyAlignment="1">
      <alignment wrapText="1"/>
    </xf>
    <xf numFmtId="0" fontId="43" fillId="161" borderId="19" xfId="0" applyFont="1" applyFill="1" applyBorder="1" applyAlignment="1">
      <alignment horizontal="center"/>
    </xf>
    <xf numFmtId="0" fontId="181" fillId="134" borderId="99" xfId="0" quotePrefix="1" applyFont="1" applyFill="1" applyBorder="1" applyAlignment="1">
      <alignment horizontal="center"/>
    </xf>
    <xf numFmtId="0" fontId="43" fillId="134" borderId="98" xfId="0" quotePrefix="1" applyFont="1" applyFill="1" applyBorder="1" applyAlignment="1">
      <alignment horizontal="center"/>
    </xf>
    <xf numFmtId="0" fontId="43" fillId="134" borderId="99" xfId="0" quotePrefix="1" applyFont="1" applyFill="1" applyBorder="1" applyAlignment="1">
      <alignment horizontal="center"/>
    </xf>
    <xf numFmtId="0" fontId="43" fillId="152" borderId="99" xfId="0" quotePrefix="1" applyFont="1" applyFill="1" applyBorder="1" applyAlignment="1">
      <alignment horizontal="center"/>
    </xf>
    <xf numFmtId="0" fontId="43" fillId="152" borderId="98" xfId="0" quotePrefix="1" applyFont="1" applyFill="1" applyBorder="1" applyAlignment="1">
      <alignment horizontal="center"/>
    </xf>
    <xf numFmtId="0" fontId="181" fillId="134" borderId="100"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251" fontId="42" fillId="134" borderId="0" xfId="1" applyNumberFormat="1" applyFont="1" applyFill="1" applyBorder="1"/>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4"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9"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6"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3"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5" xfId="0" applyNumberFormat="1" applyFont="1" applyFill="1" applyBorder="1" applyAlignment="1">
      <alignment horizontal="center"/>
    </xf>
    <xf numFmtId="171" fontId="43" fillId="37" borderId="103" xfId="0" applyNumberFormat="1" applyFont="1" applyFill="1" applyBorder="1" applyAlignment="1">
      <alignment horizontal="center"/>
    </xf>
    <xf numFmtId="0" fontId="43" fillId="38" borderId="40" xfId="0" applyFont="1" applyFill="1" applyBorder="1" applyAlignment="1">
      <alignment horizontal="center"/>
    </xf>
    <xf numFmtId="0" fontId="43" fillId="38" borderId="103" xfId="0" applyFont="1" applyFill="1" applyBorder="1" applyAlignment="1">
      <alignment horizontal="center"/>
    </xf>
    <xf numFmtId="0" fontId="43" fillId="38" borderId="42" xfId="0" applyFont="1" applyFill="1" applyBorder="1" applyAlignment="1">
      <alignment horizontal="center"/>
    </xf>
    <xf numFmtId="171" fontId="43" fillId="38" borderId="42" xfId="0" applyNumberFormat="1" applyFont="1" applyFill="1" applyBorder="1" applyAlignment="1">
      <alignment horizontal="center"/>
    </xf>
    <xf numFmtId="171" fontId="43" fillId="38" borderId="43" xfId="0" applyNumberFormat="1" applyFont="1" applyFill="1" applyBorder="1" applyAlignment="1">
      <alignment horizontal="center"/>
    </xf>
    <xf numFmtId="171" fontId="43" fillId="38" borderId="40" xfId="0" applyNumberFormat="1" applyFont="1" applyFill="1" applyBorder="1" applyAlignment="1">
      <alignment horizontal="center"/>
    </xf>
    <xf numFmtId="171" fontId="43" fillId="38" borderId="67" xfId="0" applyNumberFormat="1" applyFont="1" applyFill="1" applyBorder="1" applyAlignment="1">
      <alignment horizontal="center"/>
    </xf>
    <xf numFmtId="0" fontId="43" fillId="38" borderId="40" xfId="1" applyNumberFormat="1" applyFont="1" applyFill="1" applyBorder="1" applyAlignment="1">
      <alignment horizontal="center"/>
    </xf>
    <xf numFmtId="7" fontId="192" fillId="0" borderId="29" xfId="0" applyNumberFormat="1" applyFont="1" applyFill="1" applyBorder="1" applyAlignment="1">
      <alignment horizontal="center"/>
    </xf>
    <xf numFmtId="7" fontId="192" fillId="0" borderId="91" xfId="0" applyNumberFormat="1" applyFont="1" applyFill="1" applyBorder="1" applyAlignment="1">
      <alignment horizontal="center"/>
    </xf>
    <xf numFmtId="0" fontId="214"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37" fontId="195" fillId="134" borderId="36"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7" xfId="101" applyNumberFormat="1" applyFont="1" applyFill="1" applyBorder="1" applyAlignment="1">
      <alignment horizontal="center"/>
    </xf>
    <xf numFmtId="0" fontId="43" fillId="134" borderId="18" xfId="0" applyFont="1" applyFill="1" applyBorder="1" applyAlignment="1">
      <alignment horizontal="center"/>
    </xf>
    <xf numFmtId="37" fontId="195" fillId="134" borderId="30" xfId="101" applyNumberFormat="1" applyFont="1" applyFill="1" applyBorder="1" applyAlignment="1">
      <alignment horizontal="center"/>
    </xf>
    <xf numFmtId="37" fontId="195" fillId="134" borderId="32" xfId="101" applyNumberFormat="1" applyFont="1" applyFill="1" applyBorder="1" applyAlignment="1">
      <alignment horizontal="center"/>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0" fontId="208" fillId="37" borderId="32" xfId="0" applyFont="1" applyFill="1" applyBorder="1" applyAlignment="1">
      <alignment horizontal="center"/>
    </xf>
    <xf numFmtId="0" fontId="208" fillId="37" borderId="29" xfId="0" applyFont="1" applyFill="1" applyBorder="1" applyAlignment="1">
      <alignment horizontal="center"/>
    </xf>
    <xf numFmtId="0" fontId="208" fillId="37" borderId="30" xfId="0" applyFont="1" applyFill="1" applyBorder="1" applyAlignment="1">
      <alignment horizontal="center"/>
    </xf>
    <xf numFmtId="37" fontId="195" fillId="134" borderId="112" xfId="101" applyNumberFormat="1" applyFont="1" applyFill="1" applyBorder="1" applyAlignment="1">
      <alignment horizontal="center"/>
    </xf>
    <xf numFmtId="37" fontId="195" fillId="134" borderId="98" xfId="101" applyNumberFormat="1" applyFont="1" applyFill="1" applyBorder="1" applyAlignment="1">
      <alignment horizontal="center"/>
    </xf>
    <xf numFmtId="37" fontId="195" fillId="134" borderId="109" xfId="101" applyNumberFormat="1" applyFont="1" applyFill="1" applyBorder="1" applyAlignment="1">
      <alignment horizontal="center"/>
    </xf>
    <xf numFmtId="37" fontId="195" fillId="0" borderId="112" xfId="101" applyNumberFormat="1" applyFont="1" applyFill="1" applyBorder="1" applyAlignment="1">
      <alignment horizontal="center"/>
    </xf>
    <xf numFmtId="37" fontId="195" fillId="0" borderId="98" xfId="101" applyNumberFormat="1" applyFont="1" applyFill="1" applyBorder="1" applyAlignment="1">
      <alignment horizontal="center"/>
    </xf>
    <xf numFmtId="37" fontId="195" fillId="0" borderId="109" xfId="101" applyNumberFormat="1" applyFont="1" applyFill="1" applyBorder="1" applyAlignment="1">
      <alignment horizontal="center"/>
    </xf>
    <xf numFmtId="0" fontId="221" fillId="134" borderId="0" xfId="0" applyFont="1" applyFill="1" applyBorder="1" applyAlignment="1">
      <alignment horizontal="center" wrapText="1"/>
    </xf>
    <xf numFmtId="0" fontId="208" fillId="154" borderId="32" xfId="0" applyFont="1" applyFill="1" applyBorder="1" applyAlignment="1">
      <alignment horizontal="center"/>
    </xf>
    <xf numFmtId="0" fontId="208" fillId="154" borderId="29" xfId="0" applyFont="1" applyFill="1" applyBorder="1" applyAlignment="1">
      <alignment horizontal="center"/>
    </xf>
    <xf numFmtId="0" fontId="208" fillId="154" borderId="30"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201" fillId="134" borderId="32" xfId="0" applyNumberFormat="1" applyFont="1" applyFill="1" applyBorder="1" applyAlignment="1">
      <alignment horizontal="center"/>
    </xf>
    <xf numFmtId="14" fontId="201" fillId="134" borderId="29" xfId="0" applyNumberFormat="1" applyFont="1" applyFill="1" applyBorder="1" applyAlignment="1">
      <alignment horizontal="center"/>
    </xf>
    <xf numFmtId="14" fontId="201" fillId="134" borderId="30" xfId="0" applyNumberFormat="1" applyFont="1" applyFill="1" applyBorder="1" applyAlignment="1">
      <alignment horizontal="center"/>
    </xf>
    <xf numFmtId="0" fontId="199" fillId="134" borderId="17" xfId="0" applyFont="1" applyFill="1" applyBorder="1" applyAlignment="1">
      <alignment horizontal="center"/>
    </xf>
    <xf numFmtId="0" fontId="199" fillId="134" borderId="18" xfId="0" applyFont="1" applyFill="1" applyBorder="1" applyAlignment="1">
      <alignment horizontal="center"/>
    </xf>
    <xf numFmtId="0" fontId="199" fillId="134" borderId="96" xfId="0" applyFont="1" applyFill="1" applyBorder="1" applyAlignment="1">
      <alignment horizontal="center"/>
    </xf>
    <xf numFmtId="0" fontId="192" fillId="134" borderId="32" xfId="0" applyFont="1" applyFill="1" applyBorder="1" applyAlignment="1">
      <alignment horizontal="center"/>
    </xf>
    <xf numFmtId="0" fontId="192" fillId="134" borderId="29" xfId="0" applyFont="1" applyFill="1" applyBorder="1" applyAlignment="1">
      <alignment horizontal="center"/>
    </xf>
    <xf numFmtId="0" fontId="192" fillId="134" borderId="30" xfId="0" applyFont="1" applyFill="1" applyBorder="1" applyAlignment="1">
      <alignment horizontal="center"/>
    </xf>
    <xf numFmtId="0" fontId="43" fillId="134" borderId="9" xfId="0" applyFont="1" applyFill="1" applyBorder="1" applyAlignment="1">
      <alignment horizontal="center" wrapText="1"/>
    </xf>
    <xf numFmtId="0" fontId="43" fillId="134" borderId="14" xfId="0" applyFont="1" applyFill="1" applyBorder="1" applyAlignment="1">
      <alignment horizontal="center" wrapText="1"/>
    </xf>
    <xf numFmtId="0" fontId="43" fillId="134" borderId="15" xfId="0" applyFont="1" applyFill="1" applyBorder="1" applyAlignment="1">
      <alignment horizontal="center" wrapText="1"/>
    </xf>
    <xf numFmtId="0" fontId="43" fillId="134" borderId="11" xfId="0" applyFont="1" applyFill="1" applyBorder="1" applyAlignment="1">
      <alignment horizontal="center" wrapText="1"/>
    </xf>
    <xf numFmtId="0" fontId="43" fillId="37" borderId="32" xfId="0" applyFont="1" applyFill="1" applyBorder="1" applyAlignment="1">
      <alignment horizontal="center"/>
    </xf>
    <xf numFmtId="0" fontId="43" fillId="37" borderId="29" xfId="0" applyFont="1" applyFill="1" applyBorder="1" applyAlignment="1">
      <alignment horizontal="center"/>
    </xf>
    <xf numFmtId="0" fontId="43" fillId="37" borderId="30" xfId="0" applyFont="1" applyFill="1" applyBorder="1" applyAlignment="1">
      <alignment horizontal="center"/>
    </xf>
    <xf numFmtId="0" fontId="43" fillId="38" borderId="32" xfId="0" applyFont="1" applyFill="1" applyBorder="1" applyAlignment="1">
      <alignment horizontal="center"/>
    </xf>
    <xf numFmtId="0" fontId="43" fillId="38" borderId="29" xfId="0" applyFont="1" applyFill="1" applyBorder="1" applyAlignment="1">
      <alignment horizontal="center"/>
    </xf>
    <xf numFmtId="0" fontId="43" fillId="38" borderId="30"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7" fontId="43" fillId="134" borderId="16" xfId="0" applyNumberFormat="1" applyFont="1" applyFill="1" applyBorder="1" applyAlignment="1">
      <alignment horizontal="center"/>
    </xf>
    <xf numFmtId="0" fontId="43" fillId="134" borderId="16" xfId="0" applyFont="1" applyFill="1" applyBorder="1" applyAlignment="1">
      <alignment horizontal="center"/>
    </xf>
    <xf numFmtId="0" fontId="43" fillId="134" borderId="11" xfId="0" applyFont="1" applyFill="1" applyBorder="1" applyAlignment="1">
      <alignment horizontal="center"/>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0" fontId="43" fillId="134" borderId="10" xfId="0" applyFont="1" applyFill="1" applyBorder="1" applyAlignment="1">
      <alignment horizontal="center" wrapText="1"/>
    </xf>
    <xf numFmtId="0" fontId="43" fillId="134" borderId="5" xfId="0" applyFont="1" applyFill="1" applyBorder="1" applyAlignment="1">
      <alignment horizontal="center" wrapText="1"/>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 fillId="134" borderId="34" xfId="0" applyFont="1" applyFill="1" applyBorder="1" applyAlignment="1">
      <alignment horizontal="center"/>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9" xfId="0" applyFont="1" applyFill="1" applyBorder="1" applyAlignment="1">
      <alignment horizontal="center" wrapText="1"/>
    </xf>
    <xf numFmtId="0" fontId="43" fillId="134" borderId="98" xfId="0" applyFont="1" applyFill="1" applyBorder="1" applyAlignment="1">
      <alignment horizontal="center" wrapText="1"/>
    </xf>
    <xf numFmtId="0" fontId="43" fillId="134" borderId="100" xfId="0" applyFont="1" applyFill="1" applyBorder="1" applyAlignment="1">
      <alignment horizontal="center" wrapText="1"/>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18" xfId="5" applyFont="1" applyFill="1" applyBorder="1" applyAlignment="1">
      <alignment horizontal="center"/>
    </xf>
    <xf numFmtId="0" fontId="41" fillId="37" borderId="30" xfId="5"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37" borderId="14" xfId="0" applyFont="1" applyFill="1" applyBorder="1" applyAlignment="1">
      <alignment horizontal="center"/>
    </xf>
    <xf numFmtId="0" fontId="195" fillId="37" borderId="22" xfId="0" applyFont="1" applyFill="1" applyBorder="1" applyAlignment="1">
      <alignment horizontal="center"/>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0" fontId="195" fillId="134" borderId="24" xfId="0" applyFont="1" applyFill="1" applyBorder="1" applyAlignment="1">
      <alignment horizontal="center"/>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0" fontId="43" fillId="154" borderId="51" xfId="0" applyFont="1" applyFill="1" applyBorder="1" applyAlignment="1">
      <alignment horizontal="center"/>
    </xf>
    <xf numFmtId="0" fontId="43" fillId="154" borderId="52" xfId="0" applyFont="1" applyFill="1" applyBorder="1" applyAlignment="1">
      <alignment horizontal="center"/>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218" fillId="134" borderId="26" xfId="0" applyFont="1" applyFill="1" applyBorder="1" applyAlignment="1">
      <alignment horizontal="center"/>
    </xf>
    <xf numFmtId="0" fontId="218" fillId="134" borderId="27" xfId="0" applyFont="1" applyFill="1" applyBorder="1" applyAlignment="1">
      <alignment horizontal="center"/>
    </xf>
    <xf numFmtId="0" fontId="218" fillId="134" borderId="28" xfId="0" applyFont="1" applyFill="1" applyBorder="1" applyAlignment="1">
      <alignment horizontal="center"/>
    </xf>
    <xf numFmtId="0" fontId="19" fillId="134" borderId="0"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43" fillId="134" borderId="51" xfId="0" applyFont="1" applyFill="1" applyBorder="1" applyAlignment="1">
      <alignment horizontal="center"/>
    </xf>
    <xf numFmtId="0" fontId="43" fillId="134" borderId="52" xfId="0" applyFont="1" applyFill="1" applyBorder="1" applyAlignment="1">
      <alignment horizontal="center"/>
    </xf>
    <xf numFmtId="0" fontId="195" fillId="38" borderId="51" xfId="0" applyFont="1" applyFill="1" applyBorder="1" applyAlignment="1">
      <alignment horizontal="center" wrapText="1"/>
    </xf>
    <xf numFmtId="0" fontId="195" fillId="38" borderId="52" xfId="0" applyFont="1" applyFill="1" applyBorder="1" applyAlignment="1">
      <alignment horizontal="center" wrapText="1"/>
    </xf>
    <xf numFmtId="0" fontId="43" fillId="134" borderId="24" xfId="0" applyFont="1" applyFill="1" applyBorder="1" applyAlignment="1">
      <alignment horizontal="center"/>
    </xf>
    <xf numFmtId="0" fontId="195" fillId="37" borderId="51" xfId="0" applyFont="1" applyFill="1" applyBorder="1" applyAlignment="1">
      <alignment horizontal="center" wrapText="1"/>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FFCC"/>
      <color rgb="FFFFCCCC"/>
      <color rgb="FFCCFF66"/>
      <color rgb="FFCCFFCC"/>
      <color rgb="FFFF99FF"/>
      <color rgb="FF00FF00"/>
      <color rgb="FF0000FF"/>
      <color rgb="FFE9CDE3"/>
      <color rgb="FFFFCC99"/>
      <color rgb="FFFFE2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546098</xdr:colOff>
      <xdr:row>50</xdr:row>
      <xdr:rowOff>148355</xdr:rowOff>
    </xdr:from>
    <xdr:to>
      <xdr:col>8</xdr:col>
      <xdr:colOff>409574</xdr:colOff>
      <xdr:row>59</xdr:row>
      <xdr:rowOff>44542</xdr:rowOff>
    </xdr:to>
    <xdr:pic>
      <xdr:nvPicPr>
        <xdr:cNvPr id="3" name="Picture 2">
          <a:extLst>
            <a:ext uri="{FF2B5EF4-FFF2-40B4-BE49-F238E27FC236}">
              <a16:creationId xmlns:a16="http://schemas.microsoft.com/office/drawing/2014/main" id="{FE131D9E-D545-4ABA-890F-524BF91BDCDC}"/>
            </a:ext>
          </a:extLst>
        </xdr:cNvPr>
        <xdr:cNvPicPr>
          <a:picLocks noChangeAspect="1"/>
        </xdr:cNvPicPr>
      </xdr:nvPicPr>
      <xdr:blipFill>
        <a:blip xmlns:r="http://schemas.openxmlformats.org/officeDocument/2006/relationships" r:embed="rId1"/>
        <a:stretch>
          <a:fillRect/>
        </a:stretch>
      </xdr:blipFill>
      <xdr:spPr>
        <a:xfrm>
          <a:off x="4356098" y="8424522"/>
          <a:ext cx="4858809" cy="1324937"/>
        </a:xfrm>
        <a:prstGeom prst="rect">
          <a:avLst/>
        </a:prstGeom>
        <a:ln>
          <a:solidFill>
            <a:schemeClr val="accent1"/>
          </a:solidFill>
        </a:ln>
      </xdr:spPr>
    </xdr:pic>
    <xdr:clientData/>
  </xdr:twoCellAnchor>
  <xdr:twoCellAnchor editAs="oneCell">
    <xdr:from>
      <xdr:col>9</xdr:col>
      <xdr:colOff>49742</xdr:colOff>
      <xdr:row>50</xdr:row>
      <xdr:rowOff>4709</xdr:rowOff>
    </xdr:from>
    <xdr:to>
      <xdr:col>14</xdr:col>
      <xdr:colOff>25400</xdr:colOff>
      <xdr:row>60</xdr:row>
      <xdr:rowOff>135597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2"/>
        <a:stretch>
          <a:fillRect/>
        </a:stretch>
      </xdr:blipFill>
      <xdr:spPr>
        <a:xfrm>
          <a:off x="9765242" y="8280876"/>
          <a:ext cx="4532841" cy="1718388"/>
        </a:xfrm>
        <a:prstGeom prst="rect">
          <a:avLst/>
        </a:prstGeom>
        <a:ln>
          <a:solidFill>
            <a:schemeClr val="accent1"/>
          </a:solidFill>
        </a:ln>
      </xdr:spPr>
    </xdr:pic>
    <xdr:clientData/>
  </xdr:twoCellAnchor>
  <xdr:twoCellAnchor editAs="oneCell">
    <xdr:from>
      <xdr:col>3</xdr:col>
      <xdr:colOff>613834</xdr:colOff>
      <xdr:row>107</xdr:row>
      <xdr:rowOff>10584</xdr:rowOff>
    </xdr:from>
    <xdr:to>
      <xdr:col>8</xdr:col>
      <xdr:colOff>254001</xdr:colOff>
      <xdr:row>114</xdr:row>
      <xdr:rowOff>124734</xdr:rowOff>
    </xdr:to>
    <xdr:pic>
      <xdr:nvPicPr>
        <xdr:cNvPr id="5" name="Picture 4">
          <a:extLst>
            <a:ext uri="{FF2B5EF4-FFF2-40B4-BE49-F238E27FC236}">
              <a16:creationId xmlns:a16="http://schemas.microsoft.com/office/drawing/2014/main" id="{BFE28EF4-CED6-48EC-9DF5-E16F49C09AAB}"/>
            </a:ext>
          </a:extLst>
        </xdr:cNvPr>
        <xdr:cNvPicPr>
          <a:picLocks noChangeAspect="1"/>
        </xdr:cNvPicPr>
      </xdr:nvPicPr>
      <xdr:blipFill>
        <a:blip xmlns:r="http://schemas.openxmlformats.org/officeDocument/2006/relationships" r:embed="rId3"/>
        <a:stretch>
          <a:fillRect/>
        </a:stretch>
      </xdr:blipFill>
      <xdr:spPr>
        <a:xfrm>
          <a:off x="4423834" y="17335501"/>
          <a:ext cx="4635500" cy="1225400"/>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2-Walker-WP1-12-18-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W-2 - Rev Req"/>
      <sheetName val="KTW-3 p1 - Test Year Results"/>
      <sheetName val="KTW-3 p2 &amp; p3 - O&amp;M"/>
      <sheetName val="KTW-3 p4 - Factors"/>
      <sheetName val="KTW-3 p5 - Taxes"/>
      <sheetName val="KTW-3 p6 &amp; p7 - Rate Base"/>
      <sheetName val="KTW-3 p8 - Cost of Cap"/>
      <sheetName val="KTW-4,5,8 p1 - Adjust Issues"/>
      <sheetName val="KTW-4,5,8 p2 - Adjust Tax"/>
      <sheetName val="KTW-4 p3 - Revenue &amp; Gas Cost"/>
      <sheetName val="KTW-4 p4 - Misc Rev Adjs"/>
      <sheetName val="KTW-4 p5 - Bonuses"/>
      <sheetName val="KTW-4 p6 - Property Taxes"/>
      <sheetName val="KTW-4 p7 - Uncollectible"/>
      <sheetName val="KTW-4 p8 - Working Cap"/>
      <sheetName val="KTW-4 p9 - Marketing"/>
      <sheetName val="KTW-4 p10 - Claims"/>
      <sheetName val="KTW-4 p11 - Rate Case Exp"/>
      <sheetName val="KTW-4 p12 - Clearing"/>
      <sheetName val="KTW-4 p13 - Holdco"/>
      <sheetName val="KTW-4 Save for Future"/>
      <sheetName val="KTW-5 p3 - Payroll 1"/>
      <sheetName val="KTW-5 p4 - Payroll 2"/>
      <sheetName val="KTW-5 p5 - Pay Overheads"/>
      <sheetName val="KTW-5 p6 - 250 Taylor"/>
      <sheetName val="KTW-5 p7,KTW-8 p3 - Post TY Adj"/>
      <sheetName val="KTW-5 p8 - EDIT RB Adj."/>
      <sheetName val="KTW-5 p9 - EOP Deprec Exp"/>
      <sheetName val="KTW-5 p10 - EOP Rate Base"/>
      <sheetName val="KTW-7,9 p1 - Rev Req"/>
      <sheetName val="WP - Deferred Tax"/>
      <sheetName val="WP - Other Rev &amp; Tax"/>
    </sheetNames>
    <sheetDataSet>
      <sheetData sheetId="0">
        <row r="12">
          <cell r="F12">
            <v>6255809.5678384118</v>
          </cell>
          <cell r="J12">
            <v>3150116.0024598953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5"/>
  <sheetViews>
    <sheetView tabSelected="1" zoomScaleNormal="100" workbookViewId="0">
      <selection activeCell="M13" sqref="M13"/>
    </sheetView>
  </sheetViews>
  <sheetFormatPr defaultRowHeight="12.75" x14ac:dyDescent="0.2"/>
  <cols>
    <col min="1" max="1" width="1.33203125" customWidth="1"/>
  </cols>
  <sheetData>
    <row r="1" spans="2:3" x14ac:dyDescent="0.2">
      <c r="B1" s="1535" t="s">
        <v>0</v>
      </c>
    </row>
    <row r="2" spans="2:3" x14ac:dyDescent="0.2">
      <c r="B2" s="1535" t="s">
        <v>646</v>
      </c>
    </row>
    <row r="3" spans="2:3" x14ac:dyDescent="0.2">
      <c r="B3" s="1535" t="s">
        <v>647</v>
      </c>
    </row>
    <row r="4" spans="2:3" x14ac:dyDescent="0.2">
      <c r="B4" s="1536" t="s">
        <v>648</v>
      </c>
    </row>
    <row r="5" spans="2:3" ht="15" x14ac:dyDescent="0.25">
      <c r="B5" s="731" t="s">
        <v>649</v>
      </c>
    </row>
    <row r="8" spans="2:3" x14ac:dyDescent="0.2">
      <c r="B8" s="1535" t="s">
        <v>650</v>
      </c>
    </row>
    <row r="9" spans="2:3" x14ac:dyDescent="0.2">
      <c r="B9" s="1537" t="s">
        <v>652</v>
      </c>
    </row>
    <row r="10" spans="2:3" x14ac:dyDescent="0.2">
      <c r="B10" s="1537" t="s">
        <v>655</v>
      </c>
    </row>
    <row r="11" spans="2:3" x14ac:dyDescent="0.2">
      <c r="B11" s="1537" t="s">
        <v>653</v>
      </c>
    </row>
    <row r="12" spans="2:3" x14ac:dyDescent="0.2">
      <c r="B12" s="1537" t="s">
        <v>654</v>
      </c>
    </row>
    <row r="13" spans="2:3" x14ac:dyDescent="0.2">
      <c r="B13" s="1537" t="s">
        <v>651</v>
      </c>
    </row>
    <row r="15" spans="2:3" x14ac:dyDescent="0.2">
      <c r="B15" s="1539"/>
      <c r="C15" s="1538" t="s">
        <v>657</v>
      </c>
    </row>
    <row r="16" spans="2:3" x14ac:dyDescent="0.2">
      <c r="B16" s="1540"/>
      <c r="C16" s="1538" t="s">
        <v>656</v>
      </c>
    </row>
    <row r="17" spans="2:3" x14ac:dyDescent="0.2">
      <c r="B17" s="1541"/>
      <c r="C17" s="1538" t="s">
        <v>658</v>
      </c>
    </row>
    <row r="18" spans="2:3" x14ac:dyDescent="0.2">
      <c r="B18" s="1542"/>
      <c r="C18" s="1538" t="s">
        <v>659</v>
      </c>
    </row>
    <row r="19" spans="2:3" x14ac:dyDescent="0.2">
      <c r="B19" s="1543"/>
      <c r="C19" s="1538" t="s">
        <v>661</v>
      </c>
    </row>
    <row r="20" spans="2:3" x14ac:dyDescent="0.2">
      <c r="B20" s="1544"/>
      <c r="C20" s="1538" t="s">
        <v>660</v>
      </c>
    </row>
    <row r="23" spans="2:3" x14ac:dyDescent="0.2">
      <c r="B23" s="1537" t="s">
        <v>662</v>
      </c>
    </row>
    <row r="25" spans="2:3" ht="15" x14ac:dyDescent="0.25">
      <c r="B25" s="1545" t="s">
        <v>663</v>
      </c>
    </row>
  </sheetData>
  <pageMargins left="0.7" right="0.7" top="0.75" bottom="0.75" header="0.3" footer="0.3"/>
  <pageSetup orientation="portrait" horizontalDpi="0" verticalDpi="0" r:id="rId1"/>
  <headerFooter>
    <oddHeader>&amp;RExh. RJW-3 Wyman WP1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AZ105"/>
  <sheetViews>
    <sheetView zoomScaleNormal="100" workbookViewId="0">
      <pane xSplit="11" ySplit="13" topLeftCell="AL14" activePane="bottomRight" state="frozen"/>
      <selection pane="topRight" activeCell="L1" sqref="L1"/>
      <selection pane="bottomLeft" activeCell="A14" sqref="A14"/>
      <selection pane="bottomRight" activeCell="AX21" sqref="AX21"/>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14.83203125" style="56" hidden="1" customWidth="1" outlineLevel="1"/>
    <col min="8" max="8" width="2.83203125" style="56" customWidth="1" collapsed="1"/>
    <col min="9" max="10" width="15.83203125" style="56" customWidth="1"/>
    <col min="11" max="11" width="2.83203125" style="56" customWidth="1"/>
    <col min="12" max="17" width="15.83203125" style="56" customWidth="1"/>
    <col min="18" max="18" width="2.83203125" style="56" customWidth="1"/>
    <col min="19" max="19" width="17.1640625" style="56" customWidth="1"/>
    <col min="20"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8" width="15.83203125" style="56" customWidth="1"/>
    <col min="39" max="39" width="2.83203125" style="56" customWidth="1"/>
    <col min="40" max="40" width="15.6640625" style="56" hidden="1" customWidth="1"/>
    <col min="41" max="41" width="15.83203125" style="56" hidden="1" customWidth="1"/>
    <col min="42" max="42" width="2.83203125" style="56" customWidth="1"/>
    <col min="43" max="45" width="15.83203125" style="56" customWidth="1"/>
    <col min="46" max="46" width="2.83203125" style="56" customWidth="1"/>
    <col min="47" max="47" width="23.83203125" style="56" customWidth="1"/>
    <col min="48" max="48" width="15.33203125" style="56" customWidth="1"/>
    <col min="49" max="49" width="2.83203125" style="56" customWidth="1"/>
    <col min="50" max="50" width="9.33203125" style="55" customWidth="1"/>
    <col min="51" max="51" width="16.83203125" style="55" customWidth="1"/>
    <col min="52" max="52" width="18.5" style="55" customWidth="1"/>
    <col min="53" max="16384" width="9.33203125" style="55"/>
  </cols>
  <sheetData>
    <row r="1" spans="1:52" ht="15.75" thickBot="1" x14ac:dyDescent="0.3">
      <c r="A1" s="173" t="str">
        <f>+'WA Volumes &amp; Revenues'!A1</f>
        <v>NW Natural</v>
      </c>
    </row>
    <row r="2" spans="1:52" ht="15.75" thickBot="1" x14ac:dyDescent="0.3">
      <c r="A2" s="173" t="str">
        <f>+'WA Volumes &amp; Revenues'!A2</f>
        <v>Rates &amp; Regulatory Affairs</v>
      </c>
      <c r="E2" s="140"/>
      <c r="F2" s="140"/>
      <c r="G2" s="140"/>
      <c r="U2" s="265"/>
      <c r="X2" s="266" t="s">
        <v>114</v>
      </c>
      <c r="Y2" s="267" t="s">
        <v>115</v>
      </c>
      <c r="Z2" s="268" t="s">
        <v>99</v>
      </c>
      <c r="AB2" s="266" t="s">
        <v>114</v>
      </c>
      <c r="AC2" s="267" t="s">
        <v>115</v>
      </c>
      <c r="AD2" s="268" t="s">
        <v>99</v>
      </c>
      <c r="AF2" s="266" t="s">
        <v>114</v>
      </c>
      <c r="AG2" s="267" t="s">
        <v>115</v>
      </c>
      <c r="AH2" s="268" t="s">
        <v>99</v>
      </c>
      <c r="AJ2" s="266" t="s">
        <v>114</v>
      </c>
      <c r="AK2" s="267" t="s">
        <v>115</v>
      </c>
      <c r="AL2" s="268" t="s">
        <v>99</v>
      </c>
      <c r="AO2" s="145"/>
      <c r="AQ2" s="266" t="s">
        <v>114</v>
      </c>
      <c r="AR2" s="267" t="s">
        <v>115</v>
      </c>
      <c r="AS2" s="268" t="s">
        <v>99</v>
      </c>
      <c r="AU2" s="1583" t="s">
        <v>279</v>
      </c>
      <c r="AV2" s="1584"/>
    </row>
    <row r="3" spans="1:52" ht="15" x14ac:dyDescent="0.25">
      <c r="A3" s="173" t="str">
        <f>+'WA Volumes &amp; Revenues'!A3</f>
        <v>Test Year Ending September 30, 2020</v>
      </c>
      <c r="E3" s="140"/>
      <c r="F3" s="140"/>
      <c r="G3" s="140"/>
      <c r="U3" s="352"/>
      <c r="X3" s="269">
        <f>SUM(X14:X19)+X22+X28+X31+X37+X44+X51+X58+X65+X72+X79+X94+X93+X25+X34+X86+X95+X96</f>
        <v>37287357.418864518</v>
      </c>
      <c r="Y3" s="270">
        <f>SUM(Y14:Y19)+Y22+Y28+Y31+Y37+Y44+Y51+Y58+Y65+Y72+Y79+Y94+Y93+Y25+Y34+Y86+Y95+Y96</f>
        <v>10678018</v>
      </c>
      <c r="Z3" s="271">
        <f>SUM(Z14:Z19)+Z22+Z28+Z31+Z37+Z44+Z51+Z58+Z65+Z72+Z79+Z94+Z93+Z25+Z34+Z86+Z95+Z96</f>
        <v>141275.86116</v>
      </c>
      <c r="AB3" s="269">
        <f t="shared" ref="AB3:AD3" si="0">SUM(AB14:AB19)+AB22+AB28+AB31+AB37+AB44+AB51+AB58+AB65+AB72+AB79+AB94+AB93+AB25+AB34+AB86+AB95+AB96</f>
        <v>43542835.679936796</v>
      </c>
      <c r="AC3" s="270">
        <f t="shared" si="0"/>
        <v>10678018</v>
      </c>
      <c r="AD3" s="271">
        <f t="shared" si="0"/>
        <v>141275.86116</v>
      </c>
      <c r="AF3" s="269">
        <f t="shared" ref="AF3:AH3" si="1">SUM(AF14:AF19)+AF22+AF28+AF31+AF37+AF44+AF51+AF58+AF65+AF72+AF79+AF94+AF93+AF25+AF34+AF86+AF95+AF96</f>
        <v>-2353380.4620931265</v>
      </c>
      <c r="AG3" s="270">
        <f t="shared" si="1"/>
        <v>0</v>
      </c>
      <c r="AH3" s="271">
        <f t="shared" si="1"/>
        <v>0</v>
      </c>
      <c r="AJ3" s="269">
        <f t="shared" ref="AJ3:AL3" si="2">SUM(AJ14:AJ19)+AJ22+AJ28+AJ31+AJ37+AJ44+AJ51+AJ58+AJ65+AJ72+AJ79+AJ94+AJ93+AJ25+AJ34+AJ86+AJ95+AJ96</f>
        <v>3902097.7989791594</v>
      </c>
      <c r="AK3" s="270">
        <f t="shared" si="2"/>
        <v>0</v>
      </c>
      <c r="AL3" s="271">
        <f t="shared" si="2"/>
        <v>0</v>
      </c>
      <c r="AO3" s="270"/>
      <c r="AQ3" s="269">
        <f t="shared" ref="AQ3:AS3" si="3">SUM(AQ14:AQ19)+AQ22+AQ28+AQ31+AQ37+AQ44+AQ51+AQ58+AQ65+AQ72+AQ79+AQ94+AQ93+AQ25+AQ34+AQ86+AQ95+AQ96</f>
        <v>0</v>
      </c>
      <c r="AR3" s="270">
        <f t="shared" si="3"/>
        <v>0</v>
      </c>
      <c r="AS3" s="271">
        <f t="shared" si="3"/>
        <v>0</v>
      </c>
      <c r="AU3" s="56" t="s">
        <v>100</v>
      </c>
      <c r="AV3" s="272">
        <f>AJ3</f>
        <v>3902097.7989791594</v>
      </c>
      <c r="AY3" s="272">
        <f>'Rate Spread Proposal'!D23</f>
        <v>6718061.5678384118</v>
      </c>
      <c r="AZ3" s="55" t="s">
        <v>178</v>
      </c>
    </row>
    <row r="4" spans="1:52" ht="15" x14ac:dyDescent="0.25">
      <c r="A4" s="173" t="s">
        <v>644</v>
      </c>
      <c r="D4" s="140"/>
      <c r="E4" s="140"/>
      <c r="F4" s="140"/>
      <c r="G4" s="140"/>
      <c r="H4" s="140"/>
      <c r="I4" s="140"/>
      <c r="K4" s="140"/>
      <c r="L4" s="140"/>
      <c r="M4" s="140"/>
      <c r="R4" s="140"/>
      <c r="U4" s="352"/>
      <c r="W4" s="140"/>
      <c r="X4" s="273"/>
      <c r="Y4" s="55"/>
      <c r="Z4" s="274" t="s">
        <v>78</v>
      </c>
      <c r="AA4" s="140"/>
      <c r="AB4" s="273"/>
      <c r="AC4" s="55"/>
      <c r="AD4" s="274" t="s">
        <v>78</v>
      </c>
      <c r="AE4" s="140"/>
      <c r="AF4" s="273"/>
      <c r="AG4" s="55"/>
      <c r="AH4" s="274" t="s">
        <v>78</v>
      </c>
      <c r="AI4" s="140"/>
      <c r="AJ4" s="273"/>
      <c r="AK4" s="55"/>
      <c r="AL4" s="274" t="s">
        <v>78</v>
      </c>
      <c r="AM4" s="140"/>
      <c r="AN4" s="140"/>
      <c r="AO4" s="145"/>
      <c r="AP4" s="140"/>
      <c r="AQ4" s="273"/>
      <c r="AR4" s="55"/>
      <c r="AS4" s="274" t="s">
        <v>78</v>
      </c>
      <c r="AT4" s="140"/>
      <c r="AU4" s="56" t="s">
        <v>101</v>
      </c>
      <c r="AV4" s="272">
        <f>AK3</f>
        <v>0</v>
      </c>
      <c r="AY4" s="272">
        <f>'Allocation = % of Margin'!M10</f>
        <v>-1477729</v>
      </c>
      <c r="AZ4" s="299" t="s">
        <v>416</v>
      </c>
    </row>
    <row r="5" spans="1:52" ht="13.5" thickBot="1" x14ac:dyDescent="0.25">
      <c r="E5" s="140"/>
      <c r="F5" s="140"/>
      <c r="G5" s="140"/>
      <c r="X5" s="275"/>
      <c r="Y5" s="276"/>
      <c r="Z5" s="277">
        <f>SUM(X3:Z3)</f>
        <v>48106651.280024521</v>
      </c>
      <c r="AB5" s="275"/>
      <c r="AC5" s="276"/>
      <c r="AD5" s="277">
        <f>SUM(AB3:AD3)</f>
        <v>54362129.541096799</v>
      </c>
      <c r="AF5" s="275"/>
      <c r="AG5" s="276"/>
      <c r="AH5" s="277">
        <f>SUM(AF3:AH3)</f>
        <v>-2353380.4620931265</v>
      </c>
      <c r="AJ5" s="555"/>
      <c r="AK5" s="556"/>
      <c r="AL5" s="557">
        <f>SUM(AJ3:AL3)</f>
        <v>3902097.7989791594</v>
      </c>
      <c r="AO5" s="270"/>
      <c r="AQ5" s="275"/>
      <c r="AR5" s="276"/>
      <c r="AS5" s="277">
        <f>SUM(AQ3:AS3)</f>
        <v>0</v>
      </c>
      <c r="AU5" s="56" t="s">
        <v>102</v>
      </c>
      <c r="AV5" s="272">
        <f>AL3</f>
        <v>0</v>
      </c>
      <c r="AY5" s="272">
        <f>'Allocation = % of Margin'!P10</f>
        <v>-875740</v>
      </c>
      <c r="AZ5" s="55" t="s">
        <v>407</v>
      </c>
    </row>
    <row r="6" spans="1:52" ht="15.75" thickBot="1" x14ac:dyDescent="0.3">
      <c r="A6" s="132"/>
      <c r="E6" s="140"/>
      <c r="F6" s="140"/>
      <c r="G6" s="140"/>
      <c r="X6" s="55"/>
      <c r="Y6" s="55"/>
      <c r="Z6" s="270"/>
      <c r="AB6" s="55"/>
      <c r="AC6" s="55"/>
      <c r="AD6" s="270"/>
      <c r="AF6" s="55"/>
      <c r="AG6" s="55"/>
      <c r="AH6" s="270"/>
      <c r="AJ6" s="55"/>
      <c r="AK6" s="55"/>
      <c r="AL6" s="270"/>
      <c r="AO6" s="270"/>
      <c r="AQ6" s="55"/>
      <c r="AR6" s="55"/>
      <c r="AS6" s="270"/>
      <c r="AV6" s="272"/>
      <c r="AY6" s="272">
        <f>'Allocation = % of Margin'!S10</f>
        <v>-462252</v>
      </c>
      <c r="AZ6" s="55" t="s">
        <v>405</v>
      </c>
    </row>
    <row r="7" spans="1:52" ht="13.5" thickBot="1" x14ac:dyDescent="0.25">
      <c r="E7" s="140"/>
      <c r="F7" s="140"/>
      <c r="G7" s="140"/>
      <c r="I7" s="1585" t="s">
        <v>123</v>
      </c>
      <c r="J7" s="1586"/>
      <c r="L7" s="1585" t="s">
        <v>125</v>
      </c>
      <c r="M7" s="1587"/>
      <c r="N7" s="1587"/>
      <c r="O7" s="1587"/>
      <c r="P7" s="1587"/>
      <c r="Q7" s="1586"/>
      <c r="S7" s="1585" t="s">
        <v>124</v>
      </c>
      <c r="T7" s="1587"/>
      <c r="U7" s="1587"/>
      <c r="V7" s="1586"/>
      <c r="X7" s="844"/>
      <c r="AC7" s="842" t="str">
        <f>J9</f>
        <v>UG-20XXXX</v>
      </c>
      <c r="AD7" s="280"/>
      <c r="AG7" s="842" t="str">
        <f>F8</f>
        <v>UG-20XXXX</v>
      </c>
      <c r="AH7" s="280"/>
      <c r="AS7" s="280"/>
      <c r="AU7" s="56" t="s">
        <v>103</v>
      </c>
      <c r="AV7" s="281">
        <f>SUM(AV3:AV5)</f>
        <v>3902097.7989791594</v>
      </c>
      <c r="AY7" s="272"/>
    </row>
    <row r="8" spans="1:52" x14ac:dyDescent="0.2">
      <c r="A8" s="86">
        <v>1</v>
      </c>
      <c r="D8" s="142"/>
      <c r="E8" s="518" t="s">
        <v>557</v>
      </c>
      <c r="F8" s="518" t="str">
        <f>E8</f>
        <v>UG-20XXXX</v>
      </c>
      <c r="G8" s="518" t="str">
        <f>E8</f>
        <v>UG-20XXXX</v>
      </c>
      <c r="H8" s="142"/>
      <c r="I8" s="148"/>
      <c r="J8" s="297"/>
      <c r="K8" s="142"/>
      <c r="L8" s="329" t="s">
        <v>17</v>
      </c>
      <c r="M8" s="330" t="s">
        <v>20</v>
      </c>
      <c r="N8" s="330" t="s">
        <v>17</v>
      </c>
      <c r="O8" s="330" t="s">
        <v>20</v>
      </c>
      <c r="P8" s="330" t="s">
        <v>17</v>
      </c>
      <c r="Q8" s="331" t="s">
        <v>20</v>
      </c>
      <c r="R8" s="142"/>
      <c r="S8" s="141"/>
      <c r="T8" s="282"/>
      <c r="U8" s="282"/>
      <c r="V8" s="283"/>
      <c r="W8" s="142"/>
      <c r="X8" s="278"/>
      <c r="Y8" s="838" t="s">
        <v>126</v>
      </c>
      <c r="Z8" s="278"/>
      <c r="AA8" s="145"/>
      <c r="AB8" s="278"/>
      <c r="AC8" s="840" t="s">
        <v>413</v>
      </c>
      <c r="AD8" s="278"/>
      <c r="AE8" s="145"/>
      <c r="AF8" s="278"/>
      <c r="AG8" s="841" t="s">
        <v>414</v>
      </c>
      <c r="AH8" s="278"/>
      <c r="AI8" s="142"/>
      <c r="AK8" s="841" t="s">
        <v>385</v>
      </c>
      <c r="AM8" s="142"/>
      <c r="AN8" s="142"/>
      <c r="AP8" s="142"/>
      <c r="AQ8" s="278"/>
      <c r="AR8" s="841" t="s">
        <v>382</v>
      </c>
      <c r="AS8" s="278"/>
      <c r="AT8" s="145"/>
      <c r="AU8" s="56" t="s">
        <v>104</v>
      </c>
      <c r="AV8" s="272"/>
      <c r="AY8" s="272"/>
    </row>
    <row r="9" spans="1:52" ht="13.5" thickBot="1" x14ac:dyDescent="0.25">
      <c r="A9" s="86">
        <f>+A8+1</f>
        <v>2</v>
      </c>
      <c r="D9" s="143"/>
      <c r="E9" s="144" t="s">
        <v>189</v>
      </c>
      <c r="F9" s="144" t="s">
        <v>189</v>
      </c>
      <c r="G9" s="144" t="s">
        <v>382</v>
      </c>
      <c r="H9" s="143"/>
      <c r="I9" s="423" t="s">
        <v>118</v>
      </c>
      <c r="J9" s="1015" t="str">
        <f>E8</f>
        <v>UG-20XXXX</v>
      </c>
      <c r="K9" s="143"/>
      <c r="L9" s="332" t="str">
        <f>I9</f>
        <v>CURRENT</v>
      </c>
      <c r="M9" s="497" t="str">
        <f>E8</f>
        <v>UG-20XXXX</v>
      </c>
      <c r="N9" s="143" t="str">
        <f>L9</f>
        <v>CURRENT</v>
      </c>
      <c r="O9" s="497" t="str">
        <f>E8</f>
        <v>UG-20XXXX</v>
      </c>
      <c r="P9" s="143" t="str">
        <f>L9</f>
        <v>CURRENT</v>
      </c>
      <c r="Q9" s="1015" t="str">
        <f>E8</f>
        <v>UG-20XXXX</v>
      </c>
      <c r="R9" s="143"/>
      <c r="S9" s="1016" t="str">
        <f>J9</f>
        <v>UG-20XXXX</v>
      </c>
      <c r="T9" s="1017" t="str">
        <f>S9</f>
        <v>UG-20XXXX</v>
      </c>
      <c r="U9" s="1017" t="str">
        <f>T9</f>
        <v>UG-20XXXX</v>
      </c>
      <c r="V9" s="1018" t="str">
        <f>U9</f>
        <v>UG-20XXXX</v>
      </c>
      <c r="W9" s="143"/>
      <c r="X9" s="278"/>
      <c r="Y9" s="278"/>
      <c r="Z9" s="278"/>
      <c r="AA9" s="145"/>
      <c r="AB9" s="278"/>
      <c r="AC9" s="279"/>
      <c r="AD9" s="278"/>
      <c r="AE9" s="145"/>
      <c r="AF9" s="278"/>
      <c r="AG9" s="279"/>
      <c r="AH9" s="278"/>
      <c r="AI9" s="143"/>
      <c r="AJ9" s="278"/>
      <c r="AK9" s="278"/>
      <c r="AL9" s="278"/>
      <c r="AM9" s="143"/>
      <c r="AN9" s="143"/>
      <c r="AO9" s="278"/>
      <c r="AP9" s="143"/>
      <c r="AQ9" s="278"/>
      <c r="AR9" s="279"/>
      <c r="AS9" s="278"/>
      <c r="AT9" s="145"/>
      <c r="AU9" s="604" t="s">
        <v>253</v>
      </c>
      <c r="AV9" s="272">
        <f>AS5</f>
        <v>0</v>
      </c>
      <c r="AY9" s="272"/>
    </row>
    <row r="10" spans="1:52" ht="13.5" thickBot="1" x14ac:dyDescent="0.25">
      <c r="A10" s="86">
        <f t="shared" ref="A10:A73" si="4">+A9+1</f>
        <v>3</v>
      </c>
      <c r="D10" s="145"/>
      <c r="E10" s="59" t="s">
        <v>90</v>
      </c>
      <c r="F10" s="59" t="s">
        <v>190</v>
      </c>
      <c r="G10" s="1222" t="s">
        <v>375</v>
      </c>
      <c r="H10" s="145"/>
      <c r="I10" s="423" t="s">
        <v>105</v>
      </c>
      <c r="J10" s="424" t="s">
        <v>105</v>
      </c>
      <c r="K10" s="145"/>
      <c r="L10" s="289" t="s">
        <v>83</v>
      </c>
      <c r="M10" s="425" t="s">
        <v>83</v>
      </c>
      <c r="N10" s="145" t="s">
        <v>108</v>
      </c>
      <c r="O10" s="425" t="s">
        <v>108</v>
      </c>
      <c r="P10" s="145" t="s">
        <v>109</v>
      </c>
      <c r="Q10" s="424" t="s">
        <v>109</v>
      </c>
      <c r="R10" s="145"/>
      <c r="S10" s="284" t="s">
        <v>110</v>
      </c>
      <c r="T10" s="278" t="s">
        <v>110</v>
      </c>
      <c r="U10" s="278" t="s">
        <v>120</v>
      </c>
      <c r="V10" s="285" t="s">
        <v>70</v>
      </c>
      <c r="W10" s="145"/>
      <c r="X10" s="1580" t="s">
        <v>116</v>
      </c>
      <c r="Y10" s="1581"/>
      <c r="Z10" s="1582"/>
      <c r="AA10" s="143"/>
      <c r="AB10" s="1580" t="s">
        <v>524</v>
      </c>
      <c r="AC10" s="1581"/>
      <c r="AD10" s="1582"/>
      <c r="AE10" s="143"/>
      <c r="AF10" s="1580" t="s">
        <v>191</v>
      </c>
      <c r="AG10" s="1581"/>
      <c r="AH10" s="1582"/>
      <c r="AI10" s="145"/>
      <c r="AJ10" s="1580" t="s">
        <v>525</v>
      </c>
      <c r="AK10" s="1581"/>
      <c r="AL10" s="1582"/>
      <c r="AM10" s="145"/>
      <c r="AN10" s="58" t="s">
        <v>136</v>
      </c>
      <c r="AO10" s="58" t="s">
        <v>114</v>
      </c>
      <c r="AP10" s="145"/>
      <c r="AQ10" s="1580" t="s">
        <v>117</v>
      </c>
      <c r="AR10" s="1581"/>
      <c r="AS10" s="1582"/>
      <c r="AT10" s="143"/>
      <c r="AU10" s="60" t="s">
        <v>91</v>
      </c>
      <c r="AV10" s="281">
        <f>AV7+AV9</f>
        <v>3902097.7989791594</v>
      </c>
      <c r="AY10" s="272"/>
    </row>
    <row r="11" spans="1:52" s="57" customFormat="1" ht="15.75" thickBot="1" x14ac:dyDescent="0.4">
      <c r="A11" s="86">
        <f t="shared" si="4"/>
        <v>4</v>
      </c>
      <c r="B11" s="147"/>
      <c r="C11" s="147"/>
      <c r="D11" s="145"/>
      <c r="E11" s="172" t="s">
        <v>98</v>
      </c>
      <c r="F11" s="172" t="s">
        <v>98</v>
      </c>
      <c r="G11" s="1223"/>
      <c r="H11" s="145"/>
      <c r="I11" s="426" t="s">
        <v>106</v>
      </c>
      <c r="J11" s="427" t="s">
        <v>106</v>
      </c>
      <c r="K11" s="145"/>
      <c r="L11" s="333" t="s">
        <v>71</v>
      </c>
      <c r="M11" s="428" t="s">
        <v>71</v>
      </c>
      <c r="N11" s="334" t="s">
        <v>71</v>
      </c>
      <c r="O11" s="428" t="s">
        <v>71</v>
      </c>
      <c r="P11" s="334" t="s">
        <v>71</v>
      </c>
      <c r="Q11" s="427" t="s">
        <v>71</v>
      </c>
      <c r="R11" s="145"/>
      <c r="S11" s="286" t="s">
        <v>111</v>
      </c>
      <c r="T11" s="287" t="s">
        <v>113</v>
      </c>
      <c r="U11" s="287" t="s">
        <v>75</v>
      </c>
      <c r="V11" s="288" t="s">
        <v>112</v>
      </c>
      <c r="W11" s="145"/>
      <c r="X11" s="289" t="s">
        <v>114</v>
      </c>
      <c r="Y11" s="145" t="s">
        <v>115</v>
      </c>
      <c r="Z11" s="274" t="s">
        <v>99</v>
      </c>
      <c r="AA11" s="58"/>
      <c r="AB11" s="289" t="s">
        <v>114</v>
      </c>
      <c r="AC11" s="145" t="s">
        <v>115</v>
      </c>
      <c r="AD11" s="274" t="s">
        <v>99</v>
      </c>
      <c r="AE11" s="58"/>
      <c r="AF11" s="289" t="s">
        <v>114</v>
      </c>
      <c r="AG11" s="145" t="s">
        <v>115</v>
      </c>
      <c r="AH11" s="274" t="s">
        <v>99</v>
      </c>
      <c r="AI11" s="145"/>
      <c r="AJ11" s="289" t="s">
        <v>114</v>
      </c>
      <c r="AK11" s="145" t="s">
        <v>115</v>
      </c>
      <c r="AL11" s="274" t="s">
        <v>99</v>
      </c>
      <c r="AM11" s="145"/>
      <c r="AN11" s="58" t="s">
        <v>27</v>
      </c>
      <c r="AO11" s="58" t="s">
        <v>27</v>
      </c>
      <c r="AP11" s="145"/>
      <c r="AQ11" s="289" t="s">
        <v>114</v>
      </c>
      <c r="AR11" s="145" t="s">
        <v>115</v>
      </c>
      <c r="AS11" s="274" t="s">
        <v>99</v>
      </c>
      <c r="AT11" s="58"/>
      <c r="AU11" s="278"/>
      <c r="AV11" s="278"/>
      <c r="AW11" s="145"/>
      <c r="AY11" s="948"/>
      <c r="AZ11" s="843"/>
    </row>
    <row r="12" spans="1:52" s="57" customFormat="1" x14ac:dyDescent="0.2">
      <c r="A12" s="86">
        <f t="shared" si="4"/>
        <v>5</v>
      </c>
      <c r="B12" s="56"/>
      <c r="C12" s="56"/>
      <c r="D12" s="58"/>
      <c r="E12" s="150"/>
      <c r="F12" s="150"/>
      <c r="G12" s="150"/>
      <c r="H12" s="58"/>
      <c r="I12" s="151"/>
      <c r="J12" s="149"/>
      <c r="K12" s="58"/>
      <c r="L12" s="335"/>
      <c r="M12" s="336"/>
      <c r="N12" s="336"/>
      <c r="O12" s="336"/>
      <c r="P12" s="336"/>
      <c r="Q12" s="337"/>
      <c r="R12" s="58"/>
      <c r="S12" s="290"/>
      <c r="T12" s="146"/>
      <c r="U12" s="146"/>
      <c r="V12" s="291"/>
      <c r="W12" s="58"/>
      <c r="X12" s="151"/>
      <c r="Z12" s="149"/>
      <c r="AB12" s="151"/>
      <c r="AD12" s="149"/>
      <c r="AF12" s="151"/>
      <c r="AH12" s="149"/>
      <c r="AI12" s="58"/>
      <c r="AJ12" s="151"/>
      <c r="AL12" s="149"/>
      <c r="AM12" s="58"/>
      <c r="AN12" s="58" t="s">
        <v>128</v>
      </c>
      <c r="AO12" s="58" t="s">
        <v>128</v>
      </c>
      <c r="AP12" s="58"/>
      <c r="AQ12" s="151"/>
      <c r="AS12" s="149"/>
      <c r="AU12" s="145"/>
      <c r="AV12" s="292">
        <f>AY12</f>
        <v>3902340.5678384118</v>
      </c>
      <c r="AW12" s="293" t="s">
        <v>157</v>
      </c>
      <c r="AY12" s="272">
        <f>SUM(AY3:AY11)</f>
        <v>3902340.5678384118</v>
      </c>
      <c r="AZ12" s="55"/>
    </row>
    <row r="13" spans="1:52" s="57" customFormat="1" ht="13.5" thickBot="1" x14ac:dyDescent="0.25">
      <c r="A13" s="86">
        <f t="shared" si="4"/>
        <v>6</v>
      </c>
      <c r="B13" s="771" t="s">
        <v>2</v>
      </c>
      <c r="C13" s="771" t="s">
        <v>3</v>
      </c>
      <c r="D13" s="294"/>
      <c r="E13" s="294" t="s">
        <v>35</v>
      </c>
      <c r="F13" s="294" t="s">
        <v>36</v>
      </c>
      <c r="G13" s="294" t="s">
        <v>36</v>
      </c>
      <c r="H13" s="294"/>
      <c r="I13" s="295" t="s">
        <v>13</v>
      </c>
      <c r="J13" s="296" t="s">
        <v>37</v>
      </c>
      <c r="K13" s="294"/>
      <c r="L13" s="295" t="s">
        <v>38</v>
      </c>
      <c r="M13" s="294" t="s">
        <v>39</v>
      </c>
      <c r="N13" s="294" t="s">
        <v>40</v>
      </c>
      <c r="O13" s="294" t="s">
        <v>41</v>
      </c>
      <c r="P13" s="294" t="s">
        <v>42</v>
      </c>
      <c r="Q13" s="296" t="s">
        <v>129</v>
      </c>
      <c r="R13" s="294"/>
      <c r="S13" s="295" t="s">
        <v>130</v>
      </c>
      <c r="T13" s="294" t="s">
        <v>43</v>
      </c>
      <c r="U13" s="294" t="s">
        <v>131</v>
      </c>
      <c r="V13" s="296" t="s">
        <v>132</v>
      </c>
      <c r="W13" s="58"/>
      <c r="X13" s="148" t="s">
        <v>133</v>
      </c>
      <c r="Y13" s="58" t="s">
        <v>134</v>
      </c>
      <c r="Z13" s="297" t="s">
        <v>135</v>
      </c>
      <c r="AA13" s="58"/>
      <c r="AB13" s="148" t="s">
        <v>89</v>
      </c>
      <c r="AC13" s="58" t="s">
        <v>92</v>
      </c>
      <c r="AD13" s="297" t="s">
        <v>93</v>
      </c>
      <c r="AE13" s="58"/>
      <c r="AF13" s="148" t="s">
        <v>94</v>
      </c>
      <c r="AG13" s="58" t="s">
        <v>186</v>
      </c>
      <c r="AH13" s="297" t="s">
        <v>232</v>
      </c>
      <c r="AI13" s="58"/>
      <c r="AJ13" s="148" t="s">
        <v>227</v>
      </c>
      <c r="AK13" s="58" t="s">
        <v>233</v>
      </c>
      <c r="AL13" s="297" t="s">
        <v>234</v>
      </c>
      <c r="AM13" s="58"/>
      <c r="AN13" s="58" t="s">
        <v>127</v>
      </c>
      <c r="AO13" s="58" t="s">
        <v>127</v>
      </c>
      <c r="AP13" s="58"/>
      <c r="AQ13" s="148" t="s">
        <v>94</v>
      </c>
      <c r="AR13" s="58" t="s">
        <v>186</v>
      </c>
      <c r="AS13" s="297" t="s">
        <v>232</v>
      </c>
      <c r="AT13" s="58"/>
      <c r="AV13" s="931">
        <f>AV12-AV10</f>
        <v>242.76885925233364</v>
      </c>
      <c r="AW13" s="293" t="s">
        <v>168</v>
      </c>
      <c r="AY13" s="651">
        <f>SUM(AY3,AY4,AY5,AY6)</f>
        <v>3902340.5678384118</v>
      </c>
      <c r="AZ13" s="610" t="s">
        <v>267</v>
      </c>
    </row>
    <row r="14" spans="1:52" ht="12.95" customHeight="1" x14ac:dyDescent="0.2">
      <c r="A14" s="86">
        <f t="shared" si="4"/>
        <v>7</v>
      </c>
      <c r="B14" s="723" t="str">
        <f>'WA Volumes &amp; Revenues'!B15</f>
        <v>1R</v>
      </c>
      <c r="C14" s="723" t="s">
        <v>283</v>
      </c>
      <c r="D14" s="154"/>
      <c r="E14" s="123">
        <f>'Rates in Detail'!R13-'Rates in Detail'!N13</f>
        <v>0.12314999999999998</v>
      </c>
      <c r="F14" s="123">
        <f>'Rates in Detail'!V13</f>
        <v>-4.8430000000000001E-2</v>
      </c>
      <c r="G14" s="153"/>
      <c r="H14" s="154"/>
      <c r="I14" s="368">
        <f>'Rev Req Proof Yr1'!H14</f>
        <v>0.67652999999999996</v>
      </c>
      <c r="J14" s="773">
        <f>I14+E14</f>
        <v>0.79967999999999995</v>
      </c>
      <c r="K14" s="154"/>
      <c r="L14" s="155">
        <f>'Rev Req Proof Yr1'!K14</f>
        <v>5.5</v>
      </c>
      <c r="M14" s="156">
        <f>'Rev Req Proof Yr1'!L14</f>
        <v>5.5</v>
      </c>
      <c r="N14" s="122">
        <f>'Rev Req Proof Yr1'!M14</f>
        <v>0</v>
      </c>
      <c r="O14" s="122">
        <f>'Rev Req Proof Yr1'!N14</f>
        <v>0</v>
      </c>
      <c r="P14" s="122">
        <f>'Rev Req Proof Yr1'!O14</f>
        <v>0</v>
      </c>
      <c r="Q14" s="774">
        <f>'Rev Req Proof Yr1'!P14</f>
        <v>0</v>
      </c>
      <c r="R14" s="154"/>
      <c r="S14" s="298">
        <f>'Rev Req Proof Yr1'!R14</f>
        <v>214704.20066131229</v>
      </c>
      <c r="T14" s="299"/>
      <c r="U14" s="300">
        <f>'Rev Req Proof Yr1'!T14</f>
        <v>911</v>
      </c>
      <c r="V14" s="301">
        <f>'Rev Req Proof Yr1'!U14</f>
        <v>19.639970000000002</v>
      </c>
      <c r="W14" s="154"/>
      <c r="X14" s="302">
        <f>(I14*S14)</f>
        <v>145253.83287339759</v>
      </c>
      <c r="Y14" s="303">
        <f>(L14*U14*12)</f>
        <v>60126</v>
      </c>
      <c r="Z14" s="304">
        <f t="shared" ref="Z14" si="5">(T14*(N14+P14))*12</f>
        <v>0</v>
      </c>
      <c r="AA14" s="305"/>
      <c r="AB14" s="302">
        <f>(J14*S14)</f>
        <v>171694.65518483819</v>
      </c>
      <c r="AC14" s="303">
        <f>(M14*U14*12)</f>
        <v>60126</v>
      </c>
      <c r="AD14" s="304">
        <f t="shared" ref="AD14:AD15" si="6">(T14*(O14+Q14))*12</f>
        <v>0</v>
      </c>
      <c r="AE14" s="305"/>
      <c r="AF14" s="302">
        <f>(F14*S14)</f>
        <v>-10398.124438027355</v>
      </c>
      <c r="AG14" s="303">
        <v>0</v>
      </c>
      <c r="AH14" s="304">
        <v>0</v>
      </c>
      <c r="AI14" s="305"/>
      <c r="AJ14" s="302">
        <f t="shared" ref="AJ14" si="7">AB14-X14+AF14</f>
        <v>16042.697873413244</v>
      </c>
      <c r="AK14" s="303">
        <f t="shared" ref="AK14" si="8">AC14-Y14-AG14</f>
        <v>0</v>
      </c>
      <c r="AL14" s="304">
        <f t="shared" ref="AL14" si="9">AD14-Z14-AH14</f>
        <v>0</v>
      </c>
      <c r="AM14" s="305"/>
      <c r="AN14" s="338"/>
      <c r="AO14" s="339"/>
      <c r="AP14" s="305"/>
      <c r="AQ14" s="302">
        <f t="shared" ref="AQ14:AQ15" si="10">(G14*S14)</f>
        <v>0</v>
      </c>
      <c r="AR14" s="303">
        <v>0</v>
      </c>
      <c r="AS14" s="304">
        <v>0</v>
      </c>
      <c r="AT14" s="305"/>
      <c r="AU14" s="1589"/>
      <c r="AV14" s="1589"/>
      <c r="AW14" s="1589"/>
      <c r="AY14" s="652"/>
      <c r="AZ14" s="139"/>
    </row>
    <row r="15" spans="1:52" x14ac:dyDescent="0.2">
      <c r="A15" s="86">
        <f t="shared" si="4"/>
        <v>8</v>
      </c>
      <c r="B15" s="723" t="str">
        <f>'WA Volumes &amp; Revenues'!B16</f>
        <v>1C</v>
      </c>
      <c r="C15" s="723" t="s">
        <v>283</v>
      </c>
      <c r="D15" s="157"/>
      <c r="E15" s="123">
        <f>'Rates in Detail'!R14-'Rates in Detail'!N14</f>
        <v>0.10241</v>
      </c>
      <c r="F15" s="123">
        <f>'Rates in Detail'!V14</f>
        <v>-4.027E-2</v>
      </c>
      <c r="G15" s="153"/>
      <c r="H15" s="157"/>
      <c r="I15" s="368">
        <f>'Rev Req Proof Yr1'!H15</f>
        <v>0.73148999999999997</v>
      </c>
      <c r="J15" s="773">
        <f t="shared" ref="J15:J78" si="11">I15+E15</f>
        <v>0.83389999999999997</v>
      </c>
      <c r="K15" s="157"/>
      <c r="L15" s="155">
        <f>'Rev Req Proof Yr1'!K15</f>
        <v>7</v>
      </c>
      <c r="M15" s="156">
        <f>'Rev Req Proof Yr1'!L15</f>
        <v>7</v>
      </c>
      <c r="N15" s="122">
        <f>'Rev Req Proof Yr1'!M15</f>
        <v>0</v>
      </c>
      <c r="O15" s="122">
        <f>'Rev Req Proof Yr1'!N15</f>
        <v>0</v>
      </c>
      <c r="P15" s="122">
        <f>'Rev Req Proof Yr1'!O15</f>
        <v>0</v>
      </c>
      <c r="Q15" s="774">
        <f>'Rev Req Proof Yr1'!P15</f>
        <v>0</v>
      </c>
      <c r="R15" s="157"/>
      <c r="S15" s="298">
        <f>'Rev Req Proof Yr1'!R15</f>
        <v>46539.057144390383</v>
      </c>
      <c r="T15" s="299"/>
      <c r="U15" s="300">
        <f>'Rev Req Proof Yr1'!T15</f>
        <v>34</v>
      </c>
      <c r="V15" s="301">
        <f>'Rev Req Proof Yr1'!U15</f>
        <v>114.06632</v>
      </c>
      <c r="W15" s="157"/>
      <c r="X15" s="306">
        <f t="shared" ref="X15:X21" si="12">(I15*S15)</f>
        <v>34042.854910550122</v>
      </c>
      <c r="Y15" s="307">
        <f t="shared" ref="Y15:Y21" si="13">(L15*U15*12)</f>
        <v>2856</v>
      </c>
      <c r="Z15" s="308">
        <f t="shared" ref="Z15:Z21" si="14">(T15*(N15+P15))*12</f>
        <v>0</v>
      </c>
      <c r="AA15" s="309"/>
      <c r="AB15" s="306">
        <f t="shared" ref="AB15" si="15">(J15*S15)</f>
        <v>38808.919752707137</v>
      </c>
      <c r="AC15" s="307">
        <f t="shared" ref="AC15" si="16">(M15*U15*12)</f>
        <v>2856</v>
      </c>
      <c r="AD15" s="308">
        <f t="shared" si="6"/>
        <v>0</v>
      </c>
      <c r="AE15" s="309"/>
      <c r="AF15" s="306">
        <f t="shared" ref="AF15" si="17">(F15*S15)</f>
        <v>-1874.1278312046006</v>
      </c>
      <c r="AG15" s="307">
        <v>0</v>
      </c>
      <c r="AH15" s="308">
        <v>0</v>
      </c>
      <c r="AI15" s="309"/>
      <c r="AJ15" s="306">
        <f t="shared" ref="AJ15:AJ21" si="18">AB15-X15+AF15</f>
        <v>2891.9370109524143</v>
      </c>
      <c r="AK15" s="307">
        <f t="shared" ref="AK15:AK21" si="19">AC15-Y15-AG15</f>
        <v>0</v>
      </c>
      <c r="AL15" s="308">
        <f t="shared" ref="AL15:AL21" si="20">AD15-Z15-AH15</f>
        <v>0</v>
      </c>
      <c r="AM15" s="309"/>
      <c r="AN15" s="338"/>
      <c r="AO15" s="339"/>
      <c r="AP15" s="309"/>
      <c r="AQ15" s="306">
        <f t="shared" si="10"/>
        <v>0</v>
      </c>
      <c r="AR15" s="307">
        <v>0</v>
      </c>
      <c r="AS15" s="308">
        <v>0</v>
      </c>
      <c r="AT15" s="309"/>
      <c r="AU15" s="310"/>
      <c r="AV15" s="310"/>
      <c r="AW15" s="309"/>
    </row>
    <row r="16" spans="1:52" x14ac:dyDescent="0.2">
      <c r="A16" s="86">
        <f t="shared" si="4"/>
        <v>9</v>
      </c>
      <c r="B16" s="723" t="str">
        <f>'WA Volumes &amp; Revenues'!B17</f>
        <v>2R</v>
      </c>
      <c r="C16" s="723" t="s">
        <v>283</v>
      </c>
      <c r="D16" s="157"/>
      <c r="E16" s="123">
        <f>'Rates in Detail'!R15-'Rates in Detail'!N15</f>
        <v>7.7940000000000009E-2</v>
      </c>
      <c r="F16" s="123">
        <f>'Rates in Detail'!V15</f>
        <v>-3.065E-2</v>
      </c>
      <c r="G16" s="159"/>
      <c r="H16" s="157"/>
      <c r="I16" s="368">
        <f>'Rev Req Proof Yr1'!H16</f>
        <v>0.45816000000000001</v>
      </c>
      <c r="J16" s="773">
        <f t="shared" si="11"/>
        <v>0.53610000000000002</v>
      </c>
      <c r="K16" s="157"/>
      <c r="L16" s="155">
        <f>'Rev Req Proof Yr1'!K16</f>
        <v>8</v>
      </c>
      <c r="M16" s="156">
        <f>'Rev Req Proof Yr1'!L16</f>
        <v>8</v>
      </c>
      <c r="N16" s="122">
        <f>'Rev Req Proof Yr1'!M16</f>
        <v>0</v>
      </c>
      <c r="O16" s="122">
        <f>'Rev Req Proof Yr1'!N16</f>
        <v>0</v>
      </c>
      <c r="P16" s="122">
        <f>'Rev Req Proof Yr1'!O16</f>
        <v>0</v>
      </c>
      <c r="Q16" s="774">
        <f>'Rev Req Proof Yr1'!P16</f>
        <v>0</v>
      </c>
      <c r="R16" s="157"/>
      <c r="S16" s="298">
        <f>'Rev Req Proof Yr1'!R16</f>
        <v>54953515.785084128</v>
      </c>
      <c r="T16" s="299"/>
      <c r="U16" s="300">
        <f>'Rev Req Proof Yr1'!T16</f>
        <v>81119</v>
      </c>
      <c r="V16" s="301">
        <f>'Rev Req Proof Yr1'!U16</f>
        <v>56.453600000000002</v>
      </c>
      <c r="W16" s="157"/>
      <c r="X16" s="306">
        <f>(I16*S16)</f>
        <v>25177502.792094145</v>
      </c>
      <c r="Y16" s="307">
        <f t="shared" si="13"/>
        <v>7787424</v>
      </c>
      <c r="Z16" s="308">
        <f t="shared" si="14"/>
        <v>0</v>
      </c>
      <c r="AA16" s="309"/>
      <c r="AB16" s="306">
        <f>(J16*S16)</f>
        <v>29460579.812383603</v>
      </c>
      <c r="AC16" s="307">
        <f t="shared" ref="AC16" si="21">(M16*U16*12)</f>
        <v>7787424</v>
      </c>
      <c r="AD16" s="308">
        <f t="shared" ref="AD16" si="22">(T16*(O16+Q16))*12</f>
        <v>0</v>
      </c>
      <c r="AE16" s="309"/>
      <c r="AF16" s="306">
        <f>(F16*S16)</f>
        <v>-1684325.2588128285</v>
      </c>
      <c r="AG16" s="307">
        <v>0</v>
      </c>
      <c r="AH16" s="308">
        <v>0</v>
      </c>
      <c r="AI16" s="309"/>
      <c r="AJ16" s="306">
        <f>AB16-X16+AF16</f>
        <v>2598751.7614766299</v>
      </c>
      <c r="AK16" s="307">
        <f t="shared" si="19"/>
        <v>0</v>
      </c>
      <c r="AL16" s="308">
        <f t="shared" si="20"/>
        <v>0</v>
      </c>
      <c r="AM16" s="309"/>
      <c r="AN16" s="338">
        <f>SUM(AJ16:AL16)/SUM(X16:Z16)</f>
        <v>7.8833839913149115E-2</v>
      </c>
      <c r="AO16" s="339">
        <f t="shared" ref="AO16:AO41" si="23">SUM(AJ16)/SUM(X16)</f>
        <v>0.10321721669285844</v>
      </c>
      <c r="AP16" s="309"/>
      <c r="AQ16" s="306">
        <f t="shared" ref="AQ16:AQ21" si="24">(G16*S16)</f>
        <v>0</v>
      </c>
      <c r="AR16" s="307">
        <v>0</v>
      </c>
      <c r="AS16" s="308">
        <v>0</v>
      </c>
      <c r="AT16" s="309"/>
      <c r="AU16" s="310"/>
      <c r="AV16" s="605"/>
      <c r="AW16" s="309"/>
    </row>
    <row r="17" spans="1:52" x14ac:dyDescent="0.2">
      <c r="A17" s="86">
        <f t="shared" si="4"/>
        <v>10</v>
      </c>
      <c r="B17" s="723" t="str">
        <f>'WA Volumes &amp; Revenues'!B18</f>
        <v>3 CFS</v>
      </c>
      <c r="C17" s="723" t="s">
        <v>283</v>
      </c>
      <c r="D17" s="157"/>
      <c r="E17" s="123">
        <f>'Rates in Detail'!R16-'Rates in Detail'!N16</f>
        <v>6.9979999999999931E-2</v>
      </c>
      <c r="F17" s="123">
        <f>'Rates in Detail'!V16</f>
        <v>-2.7529999999999999E-2</v>
      </c>
      <c r="G17" s="159"/>
      <c r="H17" s="157"/>
      <c r="I17" s="368">
        <f>'Rev Req Proof Yr1'!H17</f>
        <v>0.44368000000000002</v>
      </c>
      <c r="J17" s="773">
        <f t="shared" si="11"/>
        <v>0.51366000000000001</v>
      </c>
      <c r="K17" s="157"/>
      <c r="L17" s="155">
        <f>'Rev Req Proof Yr1'!K17</f>
        <v>22</v>
      </c>
      <c r="M17" s="156">
        <f>'Rev Req Proof Yr1'!L17</f>
        <v>22</v>
      </c>
      <c r="N17" s="122">
        <f>'Rev Req Proof Yr1'!M17</f>
        <v>0</v>
      </c>
      <c r="O17" s="122">
        <f>'Rev Req Proof Yr1'!N17</f>
        <v>0</v>
      </c>
      <c r="P17" s="122">
        <f>'Rev Req Proof Yr1'!O17</f>
        <v>0</v>
      </c>
      <c r="Q17" s="774">
        <f>'Rev Req Proof Yr1'!P17</f>
        <v>0</v>
      </c>
      <c r="R17" s="157"/>
      <c r="S17" s="298">
        <f>'Rev Req Proof Yr1'!R17</f>
        <v>17867210.60654201</v>
      </c>
      <c r="T17" s="299"/>
      <c r="U17" s="300">
        <f>'Rev Req Proof Yr1'!T17</f>
        <v>6318</v>
      </c>
      <c r="V17" s="301">
        <f>'Rev Req Proof Yr1'!U17</f>
        <v>235.66542999999999</v>
      </c>
      <c r="W17" s="157"/>
      <c r="X17" s="306">
        <f t="shared" si="12"/>
        <v>7927324.0019105589</v>
      </c>
      <c r="Y17" s="307">
        <f t="shared" si="13"/>
        <v>1667952</v>
      </c>
      <c r="Z17" s="308">
        <f t="shared" si="14"/>
        <v>0</v>
      </c>
      <c r="AA17" s="309"/>
      <c r="AB17" s="306">
        <f t="shared" ref="AB17:AB21" si="25">(J17*S17)</f>
        <v>9177671.4001563694</v>
      </c>
      <c r="AC17" s="307">
        <f>(M17*U17*12)</f>
        <v>1667952</v>
      </c>
      <c r="AD17" s="308">
        <f t="shared" ref="AD17:AD21" si="26">(T17*(O17+Q17))*12</f>
        <v>0</v>
      </c>
      <c r="AE17" s="309"/>
      <c r="AF17" s="306">
        <f t="shared" ref="AF17:AF21" si="27">(F17*S17)</f>
        <v>-491884.30799810152</v>
      </c>
      <c r="AG17" s="307">
        <v>0</v>
      </c>
      <c r="AH17" s="308">
        <v>0</v>
      </c>
      <c r="AI17" s="309"/>
      <c r="AJ17" s="306">
        <f t="shared" si="18"/>
        <v>758463.09024770907</v>
      </c>
      <c r="AK17" s="307">
        <f t="shared" si="19"/>
        <v>0</v>
      </c>
      <c r="AL17" s="308">
        <f t="shared" si="20"/>
        <v>0</v>
      </c>
      <c r="AM17" s="309"/>
      <c r="AN17" s="338">
        <f>SUM(AJ17:AL17)/SUM(X17:Z17)</f>
        <v>7.9045468842864758E-2</v>
      </c>
      <c r="AO17" s="339">
        <f t="shared" si="23"/>
        <v>9.5677064551027868E-2</v>
      </c>
      <c r="AP17" s="309"/>
      <c r="AQ17" s="306">
        <f t="shared" si="24"/>
        <v>0</v>
      </c>
      <c r="AR17" s="307">
        <v>0</v>
      </c>
      <c r="AS17" s="308">
        <v>0</v>
      </c>
      <c r="AT17" s="309"/>
      <c r="AU17" s="310"/>
      <c r="AV17" s="310"/>
      <c r="AW17" s="309"/>
      <c r="AX17" s="653"/>
      <c r="AY17" s="474"/>
    </row>
    <row r="18" spans="1:52" x14ac:dyDescent="0.2">
      <c r="A18" s="86">
        <f t="shared" si="4"/>
        <v>11</v>
      </c>
      <c r="B18" s="723" t="str">
        <f>'WA Volumes &amp; Revenues'!B19</f>
        <v>3 IFS</v>
      </c>
      <c r="C18" s="723" t="s">
        <v>283</v>
      </c>
      <c r="D18" s="157"/>
      <c r="E18" s="123">
        <f>'Rates in Detail'!R17-'Rates in Detail'!N17</f>
        <v>6.3390000000000002E-2</v>
      </c>
      <c r="F18" s="123">
        <f>'Rates in Detail'!V17</f>
        <v>-8.8699999999999994E-3</v>
      </c>
      <c r="G18" s="159"/>
      <c r="H18" s="157"/>
      <c r="I18" s="368">
        <f>'Rev Req Proof Yr1'!H18</f>
        <v>0.46249000000000001</v>
      </c>
      <c r="J18" s="773">
        <f t="shared" si="11"/>
        <v>0.52588000000000001</v>
      </c>
      <c r="K18" s="157"/>
      <c r="L18" s="155">
        <f>'Rev Req Proof Yr1'!K18</f>
        <v>22</v>
      </c>
      <c r="M18" s="156">
        <f>'Rev Req Proof Yr1'!L18</f>
        <v>22</v>
      </c>
      <c r="N18" s="122">
        <f>'Rev Req Proof Yr1'!M18</f>
        <v>0</v>
      </c>
      <c r="O18" s="122">
        <f>'Rev Req Proof Yr1'!N18</f>
        <v>0</v>
      </c>
      <c r="P18" s="122">
        <f>'Rev Req Proof Yr1'!O18</f>
        <v>0</v>
      </c>
      <c r="Q18" s="774">
        <f>'Rev Req Proof Yr1'!P18</f>
        <v>0</v>
      </c>
      <c r="R18" s="157"/>
      <c r="S18" s="298">
        <f>'Rev Req Proof Yr1'!R18</f>
        <v>283651.99999999994</v>
      </c>
      <c r="T18" s="299"/>
      <c r="U18" s="300">
        <f>'Rev Req Proof Yr1'!T18</f>
        <v>24.25</v>
      </c>
      <c r="V18" s="301">
        <f>'Rev Req Proof Yr1'!U18</f>
        <v>974.74914000000001</v>
      </c>
      <c r="W18" s="157"/>
      <c r="X18" s="306">
        <f t="shared" si="12"/>
        <v>131186.21347999998</v>
      </c>
      <c r="Y18" s="307">
        <f t="shared" si="13"/>
        <v>6402</v>
      </c>
      <c r="Z18" s="308">
        <f t="shared" si="14"/>
        <v>0</v>
      </c>
      <c r="AA18" s="309"/>
      <c r="AB18" s="306">
        <f t="shared" si="25"/>
        <v>149166.91375999997</v>
      </c>
      <c r="AC18" s="307">
        <f t="shared" ref="AC18:AC21" si="28">(M18*U18*12)</f>
        <v>6402</v>
      </c>
      <c r="AD18" s="308">
        <f t="shared" si="26"/>
        <v>0</v>
      </c>
      <c r="AE18" s="309"/>
      <c r="AF18" s="306">
        <f t="shared" si="27"/>
        <v>-2515.9932399999993</v>
      </c>
      <c r="AG18" s="307">
        <v>0</v>
      </c>
      <c r="AH18" s="308">
        <v>0</v>
      </c>
      <c r="AI18" s="309"/>
      <c r="AJ18" s="306">
        <f t="shared" si="18"/>
        <v>15464.70703999999</v>
      </c>
      <c r="AK18" s="307">
        <f t="shared" si="19"/>
        <v>0</v>
      </c>
      <c r="AL18" s="308">
        <f t="shared" si="20"/>
        <v>0</v>
      </c>
      <c r="AM18" s="309"/>
      <c r="AN18" s="338">
        <f>SUM(AJ18:AL18)/SUM(X18:Z18)</f>
        <v>0.11239848711494435</v>
      </c>
      <c r="AO18" s="339">
        <f t="shared" si="23"/>
        <v>0.11788362991632247</v>
      </c>
      <c r="AP18" s="309"/>
      <c r="AQ18" s="306">
        <f t="shared" si="24"/>
        <v>0</v>
      </c>
      <c r="AR18" s="307">
        <v>0</v>
      </c>
      <c r="AS18" s="308">
        <v>0</v>
      </c>
      <c r="AT18" s="309"/>
      <c r="AU18" s="310"/>
      <c r="AV18" s="310"/>
      <c r="AW18" s="309"/>
      <c r="AX18" s="653"/>
      <c r="AY18" s="474"/>
      <c r="AZ18" s="270"/>
    </row>
    <row r="19" spans="1:52" x14ac:dyDescent="0.2">
      <c r="A19" s="86">
        <f t="shared" si="4"/>
        <v>12</v>
      </c>
      <c r="B19" s="723" t="str">
        <f>'WA Volumes &amp; Revenues'!B20</f>
        <v>27R</v>
      </c>
      <c r="C19" s="723" t="s">
        <v>283</v>
      </c>
      <c r="D19" s="157"/>
      <c r="E19" s="123">
        <f>'Rates in Detail'!R18-'Rates in Detail'!N18</f>
        <v>5.5469999999999992E-2</v>
      </c>
      <c r="F19" s="123">
        <f>'Rates in Detail'!V18</f>
        <v>-2.1819999999999999E-2</v>
      </c>
      <c r="G19" s="159"/>
      <c r="H19" s="157"/>
      <c r="I19" s="368">
        <f>'Rev Req Proof Yr1'!H19</f>
        <v>0.24088000000000001</v>
      </c>
      <c r="J19" s="773">
        <f t="shared" si="11"/>
        <v>0.29635</v>
      </c>
      <c r="K19" s="157"/>
      <c r="L19" s="155">
        <f>'Rev Req Proof Yr1'!K19</f>
        <v>9</v>
      </c>
      <c r="M19" s="590">
        <f>'Rev Req Proof Yr1'!L19</f>
        <v>9</v>
      </c>
      <c r="N19" s="122">
        <f>'Rev Req Proof Yr1'!M19</f>
        <v>0</v>
      </c>
      <c r="O19" s="122">
        <f>'Rev Req Proof Yr1'!N19</f>
        <v>0</v>
      </c>
      <c r="P19" s="122">
        <f>'Rev Req Proof Yr1'!O19</f>
        <v>0</v>
      </c>
      <c r="Q19" s="774">
        <f>'Rev Req Proof Yr1'!P19</f>
        <v>0</v>
      </c>
      <c r="R19" s="157"/>
      <c r="S19" s="298">
        <f>'Rev Req Proof Yr1'!R19</f>
        <v>461371.76933137607</v>
      </c>
      <c r="T19" s="299"/>
      <c r="U19" s="300">
        <f>'Rev Req Proof Yr1'!T19</f>
        <v>776</v>
      </c>
      <c r="V19" s="301">
        <f>'Rev Req Proof Yr1'!U19</f>
        <v>49.545940000000002</v>
      </c>
      <c r="W19" s="157"/>
      <c r="X19" s="306">
        <f t="shared" si="12"/>
        <v>111135.23179654188</v>
      </c>
      <c r="Y19" s="307">
        <f t="shared" si="13"/>
        <v>83808</v>
      </c>
      <c r="Z19" s="308">
        <f t="shared" si="14"/>
        <v>0</v>
      </c>
      <c r="AA19" s="309"/>
      <c r="AB19" s="306">
        <f t="shared" si="25"/>
        <v>136727.52384135331</v>
      </c>
      <c r="AC19" s="307">
        <f t="shared" si="28"/>
        <v>83808</v>
      </c>
      <c r="AD19" s="308">
        <f t="shared" si="26"/>
        <v>0</v>
      </c>
      <c r="AE19" s="309"/>
      <c r="AF19" s="306">
        <f t="shared" si="27"/>
        <v>-10067.132006810625</v>
      </c>
      <c r="AG19" s="307">
        <v>0</v>
      </c>
      <c r="AH19" s="308">
        <v>0</v>
      </c>
      <c r="AI19" s="309"/>
      <c r="AJ19" s="306">
        <f t="shared" si="18"/>
        <v>15525.160038000806</v>
      </c>
      <c r="AK19" s="307">
        <f t="shared" si="19"/>
        <v>0</v>
      </c>
      <c r="AL19" s="308">
        <f t="shared" si="20"/>
        <v>0</v>
      </c>
      <c r="AM19" s="309"/>
      <c r="AN19" s="338">
        <f>SUM(AJ19:AL19)/SUM(X19:Z19)</f>
        <v>7.9639389861988569E-2</v>
      </c>
      <c r="AO19" s="339">
        <f t="shared" si="23"/>
        <v>0.13969611424775821</v>
      </c>
      <c r="AP19" s="309"/>
      <c r="AQ19" s="306">
        <f t="shared" si="24"/>
        <v>0</v>
      </c>
      <c r="AR19" s="307">
        <v>0</v>
      </c>
      <c r="AS19" s="308">
        <v>0</v>
      </c>
      <c r="AT19" s="309"/>
      <c r="AU19" s="310"/>
      <c r="AV19" s="310"/>
      <c r="AW19" s="309"/>
      <c r="AX19" s="653"/>
      <c r="AY19" s="474"/>
    </row>
    <row r="20" spans="1:52" x14ac:dyDescent="0.2">
      <c r="A20" s="86">
        <f t="shared" si="4"/>
        <v>13</v>
      </c>
      <c r="B20" s="733" t="str">
        <f>'WA Volumes &amp; Revenues'!B21</f>
        <v>41C Firm Sales</v>
      </c>
      <c r="C20" s="726" t="s">
        <v>4</v>
      </c>
      <c r="D20" s="157"/>
      <c r="E20" s="122">
        <f>'Rates in Detail'!R19-'Rates in Detail'!N19</f>
        <v>5.5570000000000008E-2</v>
      </c>
      <c r="F20" s="122">
        <f>'Rates in Detail'!V19</f>
        <v>-2.1860000000000001E-2</v>
      </c>
      <c r="G20" s="157"/>
      <c r="H20" s="157"/>
      <c r="I20" s="373">
        <f>'Rev Req Proof Yr1'!H20</f>
        <v>0.34473999999999999</v>
      </c>
      <c r="J20" s="774">
        <f t="shared" si="11"/>
        <v>0.40031</v>
      </c>
      <c r="K20" s="157"/>
      <c r="L20" s="155">
        <f>'Rev Req Proof Yr1'!K20</f>
        <v>250</v>
      </c>
      <c r="M20" s="156">
        <f>'Rev Req Proof Yr1'!L20</f>
        <v>250</v>
      </c>
      <c r="N20" s="122">
        <f>'Rev Req Proof Yr1'!M20</f>
        <v>0</v>
      </c>
      <c r="O20" s="122">
        <f>'Rev Req Proof Yr1'!N20</f>
        <v>0</v>
      </c>
      <c r="P20" s="122">
        <f>'Rev Req Proof Yr1'!O20</f>
        <v>0</v>
      </c>
      <c r="Q20" s="774">
        <f>'Rev Req Proof Yr1'!P20</f>
        <v>0</v>
      </c>
      <c r="R20" s="157"/>
      <c r="S20" s="298">
        <f>'Rev Req Proof Yr1'!R20</f>
        <v>1777065.1510316674</v>
      </c>
      <c r="T20" s="299"/>
      <c r="U20" s="300">
        <f>'Rev Req Proof Yr1'!T20</f>
        <v>91</v>
      </c>
      <c r="V20" s="301">
        <f>'Rev Req Proof Yr1'!U20</f>
        <v>3436</v>
      </c>
      <c r="W20" s="157"/>
      <c r="X20" s="313">
        <f t="shared" si="12"/>
        <v>612625.44016665698</v>
      </c>
      <c r="Y20" s="309">
        <f t="shared" si="13"/>
        <v>273000</v>
      </c>
      <c r="Z20" s="314">
        <f t="shared" si="14"/>
        <v>0</v>
      </c>
      <c r="AA20" s="309"/>
      <c r="AB20" s="313">
        <f t="shared" si="25"/>
        <v>711376.95060948678</v>
      </c>
      <c r="AC20" s="309">
        <f t="shared" si="28"/>
        <v>273000</v>
      </c>
      <c r="AD20" s="314">
        <f t="shared" si="26"/>
        <v>0</v>
      </c>
      <c r="AE20" s="309"/>
      <c r="AF20" s="313">
        <f t="shared" si="27"/>
        <v>-38846.644201552248</v>
      </c>
      <c r="AG20" s="309">
        <v>0</v>
      </c>
      <c r="AH20" s="314">
        <v>0</v>
      </c>
      <c r="AI20" s="309"/>
      <c r="AJ20" s="313">
        <f t="shared" si="18"/>
        <v>59904.866241277559</v>
      </c>
      <c r="AK20" s="309">
        <f t="shared" si="19"/>
        <v>0</v>
      </c>
      <c r="AL20" s="314">
        <f t="shared" si="20"/>
        <v>0</v>
      </c>
      <c r="AM20" s="309"/>
      <c r="AN20" s="338"/>
      <c r="AO20" s="340">
        <f t="shared" si="23"/>
        <v>9.7783837094622128E-2</v>
      </c>
      <c r="AP20" s="309"/>
      <c r="AQ20" s="313">
        <f t="shared" si="24"/>
        <v>0</v>
      </c>
      <c r="AR20" s="309">
        <v>0</v>
      </c>
      <c r="AS20" s="314">
        <v>0</v>
      </c>
      <c r="AT20" s="309"/>
      <c r="AU20" s="310"/>
      <c r="AV20" s="310"/>
      <c r="AW20" s="309"/>
      <c r="AX20" s="653"/>
      <c r="AY20" s="474"/>
    </row>
    <row r="21" spans="1:52" x14ac:dyDescent="0.2">
      <c r="A21" s="86">
        <f t="shared" si="4"/>
        <v>14</v>
      </c>
      <c r="B21" s="725"/>
      <c r="C21" s="726" t="s">
        <v>5</v>
      </c>
      <c r="D21" s="157"/>
      <c r="E21" s="122">
        <f>'Rates in Detail'!R20-'Rates in Detail'!N20</f>
        <v>4.8970000000000014E-2</v>
      </c>
      <c r="F21" s="122">
        <f>'Rates in Detail'!V20</f>
        <v>-1.9259999999999999E-2</v>
      </c>
      <c r="G21" s="157"/>
      <c r="H21" s="157"/>
      <c r="I21" s="373">
        <f>'Rev Req Proof Yr1'!H21</f>
        <v>0.30376999999999998</v>
      </c>
      <c r="J21" s="774">
        <f t="shared" si="11"/>
        <v>0.35274</v>
      </c>
      <c r="K21" s="157"/>
      <c r="L21" s="155"/>
      <c r="M21" s="156"/>
      <c r="N21" s="122"/>
      <c r="O21" s="122"/>
      <c r="P21" s="122"/>
      <c r="Q21" s="774"/>
      <c r="R21" s="157"/>
      <c r="S21" s="298">
        <f>'Rev Req Proof Yr1'!R21</f>
        <v>1974656.4658023661</v>
      </c>
      <c r="T21" s="299"/>
      <c r="U21" s="300">
        <f>'Rev Req Proof Yr1'!T21</f>
        <v>0</v>
      </c>
      <c r="V21" s="301">
        <f>'Rev Req Proof Yr1'!U21</f>
        <v>0</v>
      </c>
      <c r="W21" s="157"/>
      <c r="X21" s="313">
        <f t="shared" si="12"/>
        <v>599841.39461678476</v>
      </c>
      <c r="Y21" s="309">
        <f t="shared" si="13"/>
        <v>0</v>
      </c>
      <c r="Z21" s="314">
        <f t="shared" si="14"/>
        <v>0</v>
      </c>
      <c r="AA21" s="309"/>
      <c r="AB21" s="313">
        <f t="shared" si="25"/>
        <v>696540.32174712664</v>
      </c>
      <c r="AC21" s="309">
        <f t="shared" si="28"/>
        <v>0</v>
      </c>
      <c r="AD21" s="314">
        <f t="shared" si="26"/>
        <v>0</v>
      </c>
      <c r="AE21" s="309"/>
      <c r="AF21" s="313">
        <f t="shared" si="27"/>
        <v>-38031.883531353567</v>
      </c>
      <c r="AG21" s="309">
        <v>0</v>
      </c>
      <c r="AH21" s="314">
        <v>0</v>
      </c>
      <c r="AI21" s="309"/>
      <c r="AJ21" s="313">
        <f t="shared" si="18"/>
        <v>58667.043598988312</v>
      </c>
      <c r="AK21" s="309">
        <f t="shared" si="19"/>
        <v>0</v>
      </c>
      <c r="AL21" s="314">
        <f t="shared" si="20"/>
        <v>0</v>
      </c>
      <c r="AM21" s="309"/>
      <c r="AN21" s="338"/>
      <c r="AO21" s="340">
        <f t="shared" si="23"/>
        <v>9.7804259801823765E-2</v>
      </c>
      <c r="AP21" s="309"/>
      <c r="AQ21" s="313">
        <f t="shared" si="24"/>
        <v>0</v>
      </c>
      <c r="AR21" s="309">
        <v>0</v>
      </c>
      <c r="AS21" s="314">
        <v>0</v>
      </c>
      <c r="AT21" s="309"/>
      <c r="AU21" s="310"/>
      <c r="AV21" s="310"/>
      <c r="AW21" s="309"/>
      <c r="AX21" s="653"/>
      <c r="AY21" s="474"/>
    </row>
    <row r="22" spans="1:52" x14ac:dyDescent="0.2">
      <c r="A22" s="86">
        <f t="shared" si="4"/>
        <v>15</v>
      </c>
      <c r="B22" s="723"/>
      <c r="C22" s="742" t="s">
        <v>78</v>
      </c>
      <c r="D22" s="153"/>
      <c r="E22" s="123"/>
      <c r="F22" s="123"/>
      <c r="G22" s="153"/>
      <c r="H22" s="153"/>
      <c r="I22" s="368"/>
      <c r="J22" s="773"/>
      <c r="K22" s="157"/>
      <c r="L22" s="155"/>
      <c r="M22" s="156"/>
      <c r="N22" s="122"/>
      <c r="O22" s="122"/>
      <c r="P22" s="122"/>
      <c r="Q22" s="774"/>
      <c r="R22" s="157"/>
      <c r="S22" s="298"/>
      <c r="T22" s="299"/>
      <c r="U22" s="300"/>
      <c r="V22" s="301"/>
      <c r="W22" s="157"/>
      <c r="X22" s="315">
        <f>SUM(X20:X21)</f>
        <v>1212466.8347834419</v>
      </c>
      <c r="Y22" s="316">
        <f>SUM(Y20:Y21)</f>
        <v>273000</v>
      </c>
      <c r="Z22" s="317">
        <f t="shared" ref="Z22" si="29">SUM(Z20:Z21)</f>
        <v>0</v>
      </c>
      <c r="AA22" s="309"/>
      <c r="AB22" s="315">
        <f>SUM(AB20:AB21)</f>
        <v>1407917.2723566135</v>
      </c>
      <c r="AC22" s="316">
        <f t="shared" ref="AC22:AD22" si="30">SUM(AC20:AC21)</f>
        <v>273000</v>
      </c>
      <c r="AD22" s="317">
        <f t="shared" si="30"/>
        <v>0</v>
      </c>
      <c r="AE22" s="309"/>
      <c r="AF22" s="315">
        <f>SUM(AF20:AF21)</f>
        <v>-76878.527732905815</v>
      </c>
      <c r="AG22" s="316">
        <f t="shared" ref="AG22:AH22" si="31">SUM(AG20:AG21)</f>
        <v>0</v>
      </c>
      <c r="AH22" s="317">
        <f t="shared" si="31"/>
        <v>0</v>
      </c>
      <c r="AI22" s="309"/>
      <c r="AJ22" s="315">
        <f>SUM(AJ20:AJ21)</f>
        <v>118571.90984026587</v>
      </c>
      <c r="AK22" s="316">
        <f t="shared" ref="AK22:AL22" si="32">SUM(AK20:AK21)</f>
        <v>0</v>
      </c>
      <c r="AL22" s="317">
        <f t="shared" si="32"/>
        <v>0</v>
      </c>
      <c r="AM22" s="309"/>
      <c r="AN22" s="338">
        <f>SUM(AJ22:AL22)/SUM(X22:Z22)</f>
        <v>7.9821310758211458E-2</v>
      </c>
      <c r="AO22" s="339">
        <f t="shared" si="23"/>
        <v>9.7793940781435024E-2</v>
      </c>
      <c r="AP22" s="309"/>
      <c r="AQ22" s="315">
        <f>SUM(AQ20:AQ21)</f>
        <v>0</v>
      </c>
      <c r="AR22" s="316">
        <f t="shared" ref="AR22:AS22" si="33">SUM(AR20:AR21)</f>
        <v>0</v>
      </c>
      <c r="AS22" s="317">
        <f t="shared" si="33"/>
        <v>0</v>
      </c>
      <c r="AT22" s="309"/>
      <c r="AU22" s="310"/>
      <c r="AV22" s="310"/>
      <c r="AW22" s="328"/>
      <c r="AX22" s="57"/>
      <c r="AY22" s="671"/>
    </row>
    <row r="23" spans="1:52" x14ac:dyDescent="0.2">
      <c r="A23" s="86">
        <f t="shared" si="4"/>
        <v>16</v>
      </c>
      <c r="B23" s="733" t="str">
        <f>'WA Volumes &amp; Revenues'!B23</f>
        <v>41I Firm Sales</v>
      </c>
      <c r="C23" s="726" t="s">
        <v>4</v>
      </c>
      <c r="D23" s="157"/>
      <c r="E23" s="122">
        <f>'Rates in Detail'!R21-'Rates in Detail'!N21</f>
        <v>5.2900000000000003E-2</v>
      </c>
      <c r="F23" s="122">
        <f>'Rates in Detail'!V21</f>
        <v>-7.4000000000000003E-3</v>
      </c>
      <c r="G23" s="157"/>
      <c r="H23" s="157"/>
      <c r="I23" s="373">
        <f>'Rev Req Proof Yr1'!H23</f>
        <v>0.34416000000000002</v>
      </c>
      <c r="J23" s="774">
        <f t="shared" si="11"/>
        <v>0.39706000000000002</v>
      </c>
      <c r="K23" s="157"/>
      <c r="L23" s="155">
        <f>'Rev Req Proof Yr1'!K23</f>
        <v>250</v>
      </c>
      <c r="M23" s="156">
        <f>'Rev Req Proof Yr1'!L23</f>
        <v>250</v>
      </c>
      <c r="N23" s="122">
        <f>'Rev Req Proof Yr1'!M23</f>
        <v>0</v>
      </c>
      <c r="O23" s="122">
        <f>'Rev Req Proof Yr1'!N23</f>
        <v>0</v>
      </c>
      <c r="P23" s="122">
        <f>'Rev Req Proof Yr1'!O23</f>
        <v>0</v>
      </c>
      <c r="Q23" s="774">
        <f>'Rev Req Proof Yr1'!P23</f>
        <v>0</v>
      </c>
      <c r="R23" s="157"/>
      <c r="S23" s="298">
        <f>'Rev Req Proof Yr1'!R23</f>
        <v>392890.20000000007</v>
      </c>
      <c r="T23" s="299"/>
      <c r="U23" s="300">
        <f>'Rev Req Proof Yr1'!T23</f>
        <v>17.833333333333332</v>
      </c>
      <c r="V23" s="301">
        <f>'Rev Req Proof Yr1'!U23</f>
        <v>4741</v>
      </c>
      <c r="W23" s="157"/>
      <c r="X23" s="313">
        <f t="shared" ref="X23:X24" si="34">(I23*S23)</f>
        <v>135217.09123200004</v>
      </c>
      <c r="Y23" s="309">
        <f t="shared" ref="Y23:Y24" si="35">(L23*U23*12)</f>
        <v>53500</v>
      </c>
      <c r="Z23" s="314">
        <f t="shared" ref="Z23:Z24" si="36">(T23*(N23+P23))*12</f>
        <v>0</v>
      </c>
      <c r="AA23" s="309"/>
      <c r="AB23" s="313">
        <f t="shared" ref="AB23:AB24" si="37">(J23*S23)</f>
        <v>156000.98281200003</v>
      </c>
      <c r="AC23" s="309">
        <f t="shared" ref="AC23:AC24" si="38">(M23*U23*12)</f>
        <v>53500</v>
      </c>
      <c r="AD23" s="314">
        <f t="shared" ref="AD23:AD24" si="39">(T23*(O23+Q23))*12</f>
        <v>0</v>
      </c>
      <c r="AE23" s="309"/>
      <c r="AF23" s="313">
        <f t="shared" ref="AF23:AF24" si="40">(F23*S23)</f>
        <v>-2907.3874800000008</v>
      </c>
      <c r="AG23" s="309">
        <v>0</v>
      </c>
      <c r="AH23" s="314">
        <v>0</v>
      </c>
      <c r="AI23" s="309"/>
      <c r="AJ23" s="313">
        <f t="shared" ref="AJ23:AJ24" si="41">AB23-X23+AF23</f>
        <v>17876.504099999995</v>
      </c>
      <c r="AK23" s="309">
        <f t="shared" ref="AK23:AK24" si="42">AC23-Y23-AG23</f>
        <v>0</v>
      </c>
      <c r="AL23" s="314">
        <f t="shared" ref="AL23:AL24" si="43">AD23-Z23-AH23</f>
        <v>0</v>
      </c>
      <c r="AM23" s="309"/>
      <c r="AN23" s="338"/>
      <c r="AO23" s="340">
        <f t="shared" ref="AO23:AO25" si="44">SUM(AJ23)/SUM(X23)</f>
        <v>0.13220595072059499</v>
      </c>
      <c r="AP23" s="309"/>
      <c r="AQ23" s="313">
        <f t="shared" ref="AQ23:AQ24" si="45">(G23*S23)</f>
        <v>0</v>
      </c>
      <c r="AR23" s="309">
        <v>0</v>
      </c>
      <c r="AS23" s="314">
        <v>0</v>
      </c>
      <c r="AT23" s="309"/>
      <c r="AU23" s="310"/>
      <c r="AV23" s="310"/>
      <c r="AW23" s="309"/>
      <c r="AX23" s="653"/>
      <c r="AY23" s="474"/>
    </row>
    <row r="24" spans="1:52" x14ac:dyDescent="0.2">
      <c r="A24" s="86">
        <f t="shared" si="4"/>
        <v>17</v>
      </c>
      <c r="B24" s="725"/>
      <c r="C24" s="726" t="s">
        <v>5</v>
      </c>
      <c r="D24" s="157"/>
      <c r="E24" s="122">
        <f>'Rates in Detail'!R22-'Rates in Detail'!N22</f>
        <v>4.6609999999999985E-2</v>
      </c>
      <c r="F24" s="122">
        <f>'Rates in Detail'!V22</f>
        <v>-6.5199999999999998E-3</v>
      </c>
      <c r="G24" s="157"/>
      <c r="H24" s="157"/>
      <c r="I24" s="373">
        <f>'Rev Req Proof Yr1'!H24</f>
        <v>0.30325000000000002</v>
      </c>
      <c r="J24" s="774">
        <f t="shared" si="11"/>
        <v>0.34986</v>
      </c>
      <c r="K24" s="157"/>
      <c r="L24" s="155"/>
      <c r="M24" s="156"/>
      <c r="N24" s="122"/>
      <c r="O24" s="122"/>
      <c r="P24" s="122"/>
      <c r="Q24" s="774"/>
      <c r="R24" s="157"/>
      <c r="S24" s="298">
        <f>'Rev Req Proof Yr1'!R24</f>
        <v>621650.00000000012</v>
      </c>
      <c r="T24" s="299"/>
      <c r="U24" s="300"/>
      <c r="V24" s="301"/>
      <c r="W24" s="157"/>
      <c r="X24" s="313">
        <f t="shared" si="34"/>
        <v>188515.36250000005</v>
      </c>
      <c r="Y24" s="309">
        <f t="shared" si="35"/>
        <v>0</v>
      </c>
      <c r="Z24" s="314">
        <f t="shared" si="36"/>
        <v>0</v>
      </c>
      <c r="AA24" s="309"/>
      <c r="AB24" s="313">
        <f t="shared" si="37"/>
        <v>217490.46900000004</v>
      </c>
      <c r="AC24" s="309">
        <f t="shared" si="38"/>
        <v>0</v>
      </c>
      <c r="AD24" s="314">
        <f t="shared" si="39"/>
        <v>0</v>
      </c>
      <c r="AE24" s="309"/>
      <c r="AF24" s="313">
        <f t="shared" si="40"/>
        <v>-4053.1580000000008</v>
      </c>
      <c r="AG24" s="309">
        <v>0</v>
      </c>
      <c r="AH24" s="314">
        <v>0</v>
      </c>
      <c r="AI24" s="309"/>
      <c r="AJ24" s="313">
        <f t="shared" si="41"/>
        <v>24921.948499999995</v>
      </c>
      <c r="AK24" s="309">
        <f t="shared" si="42"/>
        <v>0</v>
      </c>
      <c r="AL24" s="314">
        <f t="shared" si="43"/>
        <v>0</v>
      </c>
      <c r="AM24" s="309"/>
      <c r="AN24" s="338"/>
      <c r="AO24" s="340">
        <f t="shared" si="44"/>
        <v>0.13220115416323161</v>
      </c>
      <c r="AP24" s="309"/>
      <c r="AQ24" s="313">
        <f t="shared" si="45"/>
        <v>0</v>
      </c>
      <c r="AR24" s="309">
        <v>0</v>
      </c>
      <c r="AS24" s="314">
        <v>0</v>
      </c>
      <c r="AT24" s="309"/>
      <c r="AU24" s="310"/>
      <c r="AV24" s="310"/>
      <c r="AW24" s="309"/>
      <c r="AX24" s="653"/>
      <c r="AY24" s="474"/>
    </row>
    <row r="25" spans="1:52" x14ac:dyDescent="0.2">
      <c r="A25" s="86">
        <f t="shared" si="4"/>
        <v>18</v>
      </c>
      <c r="B25" s="723"/>
      <c r="C25" s="742" t="s">
        <v>78</v>
      </c>
      <c r="D25" s="153"/>
      <c r="E25" s="123"/>
      <c r="F25" s="123"/>
      <c r="G25" s="153"/>
      <c r="H25" s="153"/>
      <c r="I25" s="368"/>
      <c r="J25" s="773"/>
      <c r="K25" s="157"/>
      <c r="L25" s="155"/>
      <c r="M25" s="156"/>
      <c r="N25" s="122"/>
      <c r="O25" s="122"/>
      <c r="P25" s="122"/>
      <c r="Q25" s="774"/>
      <c r="R25" s="157"/>
      <c r="S25" s="298"/>
      <c r="T25" s="299"/>
      <c r="U25" s="300"/>
      <c r="V25" s="301"/>
      <c r="W25" s="157"/>
      <c r="X25" s="315">
        <f>SUM(X23:X24)</f>
        <v>323732.45373200008</v>
      </c>
      <c r="Y25" s="316">
        <f t="shared" ref="Y25:Z25" si="46">SUM(Y23:Y24)</f>
        <v>53500</v>
      </c>
      <c r="Z25" s="317">
        <f t="shared" si="46"/>
        <v>0</v>
      </c>
      <c r="AA25" s="309"/>
      <c r="AB25" s="315">
        <f>SUM(AB23:AB24)</f>
        <v>373491.45181200007</v>
      </c>
      <c r="AC25" s="316">
        <f t="shared" ref="AC25:AD25" si="47">SUM(AC23:AC24)</f>
        <v>53500</v>
      </c>
      <c r="AD25" s="317">
        <f t="shared" si="47"/>
        <v>0</v>
      </c>
      <c r="AE25" s="309"/>
      <c r="AF25" s="315">
        <f>SUM(AF23:AF24)</f>
        <v>-6960.5454800000016</v>
      </c>
      <c r="AG25" s="316">
        <f t="shared" ref="AG25:AH25" si="48">SUM(AG23:AG24)</f>
        <v>0</v>
      </c>
      <c r="AH25" s="317">
        <f t="shared" si="48"/>
        <v>0</v>
      </c>
      <c r="AI25" s="309"/>
      <c r="AJ25" s="315">
        <f>SUM(AJ23:AJ24)</f>
        <v>42798.45259999999</v>
      </c>
      <c r="AK25" s="316">
        <f t="shared" ref="AK25:AL25" si="49">SUM(AK23:AK24)</f>
        <v>0</v>
      </c>
      <c r="AL25" s="317">
        <f t="shared" si="49"/>
        <v>0</v>
      </c>
      <c r="AM25" s="309"/>
      <c r="AN25" s="338">
        <f>SUM(AJ25:AL25)/SUM(X25:Z25)</f>
        <v>0.11345379268562507</v>
      </c>
      <c r="AO25" s="339">
        <f t="shared" si="44"/>
        <v>0.13220315759701504</v>
      </c>
      <c r="AP25" s="309"/>
      <c r="AQ25" s="315">
        <f>SUM(AQ23:AQ24)</f>
        <v>0</v>
      </c>
      <c r="AR25" s="316">
        <f t="shared" ref="AR25:AS25" si="50">SUM(AR23:AR24)</f>
        <v>0</v>
      </c>
      <c r="AS25" s="317">
        <f t="shared" si="50"/>
        <v>0</v>
      </c>
      <c r="AT25" s="309"/>
      <c r="AU25" s="310"/>
      <c r="AV25" s="310"/>
      <c r="AW25" s="328"/>
      <c r="AX25" s="57"/>
      <c r="AY25" s="671"/>
    </row>
    <row r="26" spans="1:52" x14ac:dyDescent="0.2">
      <c r="A26" s="86">
        <f t="shared" si="4"/>
        <v>19</v>
      </c>
      <c r="B26" s="725" t="str">
        <f>'WA Volumes &amp; Revenues'!B25</f>
        <v>41C Interr Sales</v>
      </c>
      <c r="C26" s="726" t="s">
        <v>4</v>
      </c>
      <c r="D26" s="157"/>
      <c r="E26" s="122">
        <f>'Rates in Detail'!R23-'Rates in Detail'!N23</f>
        <v>4.0339999999999987E-2</v>
      </c>
      <c r="F26" s="122">
        <f>'Rates in Detail'!V23</f>
        <v>-2.0140000000000002E-2</v>
      </c>
      <c r="G26" s="157"/>
      <c r="H26" s="157"/>
      <c r="I26" s="373">
        <f>'Rev Req Proof Yr1'!H26</f>
        <v>0.34372999999999998</v>
      </c>
      <c r="J26" s="774">
        <f t="shared" si="11"/>
        <v>0.38406999999999997</v>
      </c>
      <c r="K26" s="157"/>
      <c r="L26" s="155">
        <f>'Rev Req Proof Yr1'!K26</f>
        <v>250</v>
      </c>
      <c r="M26" s="156">
        <f>'Rev Req Proof Yr1'!L26</f>
        <v>250</v>
      </c>
      <c r="N26" s="122">
        <f>'Rev Req Proof Yr1'!M26</f>
        <v>0</v>
      </c>
      <c r="O26" s="122">
        <f>'Rev Req Proof Yr1'!N26</f>
        <v>0</v>
      </c>
      <c r="P26" s="122">
        <f>'Rev Req Proof Yr1'!O26</f>
        <v>0</v>
      </c>
      <c r="Q26" s="774">
        <f>'Rev Req Proof Yr1'!P26</f>
        <v>0</v>
      </c>
      <c r="R26" s="157"/>
      <c r="S26" s="298">
        <f>'Rev Req Proof Yr1'!R26</f>
        <v>0</v>
      </c>
      <c r="T26" s="299"/>
      <c r="U26" s="300">
        <f>'Rev Req Proof Yr1'!T26</f>
        <v>0</v>
      </c>
      <c r="V26" s="301">
        <f>'Rev Req Proof Yr1'!U26</f>
        <v>0</v>
      </c>
      <c r="W26" s="157"/>
      <c r="X26" s="313">
        <f t="shared" ref="X26:X27" si="51">(I26*S26)</f>
        <v>0</v>
      </c>
      <c r="Y26" s="309">
        <f t="shared" ref="Y26:Y27" si="52">(L26*U26*12)</f>
        <v>0</v>
      </c>
      <c r="Z26" s="314">
        <f t="shared" ref="Z26:Z27" si="53">(T26*(N26+P26))*12</f>
        <v>0</v>
      </c>
      <c r="AA26" s="309"/>
      <c r="AB26" s="313">
        <f t="shared" ref="AB26:AB27" si="54">(J26*S26)</f>
        <v>0</v>
      </c>
      <c r="AC26" s="309">
        <f t="shared" ref="AC26:AC27" si="55">(M26*U26*12)</f>
        <v>0</v>
      </c>
      <c r="AD26" s="314">
        <f t="shared" ref="AD26:AD27" si="56">(T26*(O26+Q26))*12</f>
        <v>0</v>
      </c>
      <c r="AE26" s="309"/>
      <c r="AF26" s="313">
        <f t="shared" ref="AF26:AF27" si="57">(F26*S26)</f>
        <v>0</v>
      </c>
      <c r="AG26" s="309">
        <v>0</v>
      </c>
      <c r="AH26" s="314">
        <v>0</v>
      </c>
      <c r="AI26" s="309"/>
      <c r="AJ26" s="313">
        <f t="shared" ref="AJ26:AJ27" si="58">AB26-X26+AF26</f>
        <v>0</v>
      </c>
      <c r="AK26" s="309">
        <f t="shared" ref="AK26:AK27" si="59">AC26-Y26-AG26</f>
        <v>0</v>
      </c>
      <c r="AL26" s="314">
        <f t="shared" ref="AL26:AL27" si="60">AD26-Z26-AH26</f>
        <v>0</v>
      </c>
      <c r="AM26" s="309"/>
      <c r="AN26" s="338"/>
      <c r="AO26" s="340" t="e">
        <f t="shared" si="23"/>
        <v>#DIV/0!</v>
      </c>
      <c r="AP26" s="309"/>
      <c r="AQ26" s="313">
        <f t="shared" ref="AQ26:AQ27" si="61">(G26*S26)</f>
        <v>0</v>
      </c>
      <c r="AR26" s="309">
        <v>0</v>
      </c>
      <c r="AS26" s="314">
        <v>0</v>
      </c>
      <c r="AT26" s="309"/>
      <c r="AU26" s="310"/>
      <c r="AV26" s="310"/>
      <c r="AW26" s="309"/>
      <c r="AX26" s="653"/>
      <c r="AY26" s="474"/>
    </row>
    <row r="27" spans="1:52" x14ac:dyDescent="0.2">
      <c r="A27" s="86">
        <f t="shared" si="4"/>
        <v>20</v>
      </c>
      <c r="B27" s="725"/>
      <c r="C27" s="726" t="s">
        <v>5</v>
      </c>
      <c r="D27" s="157"/>
      <c r="E27" s="122">
        <f>'Rates in Detail'!R24-'Rates in Detail'!N24</f>
        <v>3.5539999999999961E-2</v>
      </c>
      <c r="F27" s="122">
        <f>'Rates in Detail'!V24</f>
        <v>-1.7739999999999999E-2</v>
      </c>
      <c r="G27" s="157"/>
      <c r="H27" s="157"/>
      <c r="I27" s="373">
        <f>'Rev Req Proof Yr1'!H27</f>
        <v>0.30285000000000001</v>
      </c>
      <c r="J27" s="774">
        <f t="shared" si="11"/>
        <v>0.33838999999999997</v>
      </c>
      <c r="K27" s="157"/>
      <c r="L27" s="155"/>
      <c r="M27" s="156"/>
      <c r="N27" s="122"/>
      <c r="O27" s="122"/>
      <c r="P27" s="122"/>
      <c r="Q27" s="774"/>
      <c r="R27" s="157"/>
      <c r="S27" s="298">
        <f>'Rev Req Proof Yr1'!R27</f>
        <v>0</v>
      </c>
      <c r="T27" s="299"/>
      <c r="U27" s="300"/>
      <c r="V27" s="301"/>
      <c r="W27" s="157"/>
      <c r="X27" s="313">
        <f t="shared" si="51"/>
        <v>0</v>
      </c>
      <c r="Y27" s="309">
        <f t="shared" si="52"/>
        <v>0</v>
      </c>
      <c r="Z27" s="314">
        <f t="shared" si="53"/>
        <v>0</v>
      </c>
      <c r="AA27" s="309"/>
      <c r="AB27" s="313">
        <f t="shared" si="54"/>
        <v>0</v>
      </c>
      <c r="AC27" s="309">
        <f t="shared" si="55"/>
        <v>0</v>
      </c>
      <c r="AD27" s="314">
        <f t="shared" si="56"/>
        <v>0</v>
      </c>
      <c r="AE27" s="309"/>
      <c r="AF27" s="313">
        <f t="shared" si="57"/>
        <v>0</v>
      </c>
      <c r="AG27" s="309">
        <v>0</v>
      </c>
      <c r="AH27" s="314">
        <v>0</v>
      </c>
      <c r="AI27" s="309"/>
      <c r="AJ27" s="313">
        <f t="shared" si="58"/>
        <v>0</v>
      </c>
      <c r="AK27" s="309">
        <f t="shared" si="59"/>
        <v>0</v>
      </c>
      <c r="AL27" s="314">
        <f t="shared" si="60"/>
        <v>0</v>
      </c>
      <c r="AM27" s="309"/>
      <c r="AN27" s="338"/>
      <c r="AO27" s="340" t="e">
        <f t="shared" si="23"/>
        <v>#DIV/0!</v>
      </c>
      <c r="AP27" s="309"/>
      <c r="AQ27" s="313">
        <f t="shared" si="61"/>
        <v>0</v>
      </c>
      <c r="AR27" s="309">
        <v>0</v>
      </c>
      <c r="AS27" s="314">
        <v>0</v>
      </c>
      <c r="AT27" s="309"/>
      <c r="AU27" s="310"/>
      <c r="AX27" s="653"/>
      <c r="AY27" s="474"/>
    </row>
    <row r="28" spans="1:52" x14ac:dyDescent="0.2">
      <c r="A28" s="86">
        <f t="shared" si="4"/>
        <v>21</v>
      </c>
      <c r="B28" s="723"/>
      <c r="C28" s="742" t="s">
        <v>78</v>
      </c>
      <c r="D28" s="153"/>
      <c r="E28" s="123"/>
      <c r="F28" s="123"/>
      <c r="G28" s="153"/>
      <c r="H28" s="153"/>
      <c r="I28" s="368"/>
      <c r="J28" s="773"/>
      <c r="K28" s="157"/>
      <c r="L28" s="155"/>
      <c r="M28" s="156"/>
      <c r="N28" s="122"/>
      <c r="O28" s="122"/>
      <c r="P28" s="122"/>
      <c r="Q28" s="774"/>
      <c r="R28" s="157"/>
      <c r="S28" s="298"/>
      <c r="T28" s="299"/>
      <c r="U28" s="300"/>
      <c r="V28" s="301"/>
      <c r="W28" s="157"/>
      <c r="X28" s="315">
        <f>SUM(X26:X27)</f>
        <v>0</v>
      </c>
      <c r="Y28" s="316">
        <f t="shared" ref="Y28:Z28" si="62">SUM(Y26:Y27)</f>
        <v>0</v>
      </c>
      <c r="Z28" s="317">
        <f t="shared" si="62"/>
        <v>0</v>
      </c>
      <c r="AA28" s="309"/>
      <c r="AB28" s="315">
        <f>SUM(AB26:AB27)</f>
        <v>0</v>
      </c>
      <c r="AC28" s="316">
        <f t="shared" ref="AC28:AD28" si="63">SUM(AC26:AC27)</f>
        <v>0</v>
      </c>
      <c r="AD28" s="317">
        <f t="shared" si="63"/>
        <v>0</v>
      </c>
      <c r="AE28" s="309"/>
      <c r="AF28" s="315">
        <f>SUM(AF26:AF27)</f>
        <v>0</v>
      </c>
      <c r="AG28" s="316">
        <f t="shared" ref="AG28:AH28" si="64">SUM(AG26:AG27)</f>
        <v>0</v>
      </c>
      <c r="AH28" s="317">
        <f t="shared" si="64"/>
        <v>0</v>
      </c>
      <c r="AI28" s="309"/>
      <c r="AJ28" s="315">
        <f>SUM(AJ26:AJ27)</f>
        <v>0</v>
      </c>
      <c r="AK28" s="316">
        <f t="shared" ref="AK28:AL28" si="65">SUM(AK26:AK27)</f>
        <v>0</v>
      </c>
      <c r="AL28" s="317">
        <f t="shared" si="65"/>
        <v>0</v>
      </c>
      <c r="AM28" s="309"/>
      <c r="AN28" s="338" t="e">
        <f>SUM(AJ28:AL28)/SUM(X28:Z28)</f>
        <v>#DIV/0!</v>
      </c>
      <c r="AO28" s="339" t="e">
        <f t="shared" si="23"/>
        <v>#DIV/0!</v>
      </c>
      <c r="AP28" s="309"/>
      <c r="AQ28" s="315">
        <f>SUM(AQ26:AQ27)</f>
        <v>0</v>
      </c>
      <c r="AR28" s="316">
        <f t="shared" ref="AR28:AS28" si="66">SUM(AR26:AR27)</f>
        <v>0</v>
      </c>
      <c r="AS28" s="317">
        <f t="shared" si="66"/>
        <v>0</v>
      </c>
      <c r="AT28" s="309"/>
      <c r="AU28" s="310"/>
      <c r="AV28" s="310"/>
      <c r="AW28" s="309"/>
      <c r="AX28" s="653"/>
      <c r="AY28" s="474"/>
    </row>
    <row r="29" spans="1:52" x14ac:dyDescent="0.2">
      <c r="A29" s="86">
        <f t="shared" si="4"/>
        <v>22</v>
      </c>
      <c r="B29" s="725" t="str">
        <f>'WA Volumes &amp; Revenues'!B27</f>
        <v>41I Interr Sales</v>
      </c>
      <c r="C29" s="726" t="s">
        <v>4</v>
      </c>
      <c r="D29" s="157"/>
      <c r="E29" s="122">
        <f>'Rates in Detail'!R25-'Rates in Detail'!N25</f>
        <v>4.0339999999999987E-2</v>
      </c>
      <c r="F29" s="122">
        <f>'Rates in Detail'!V25</f>
        <v>-6.1000000000000004E-3</v>
      </c>
      <c r="G29" s="157"/>
      <c r="H29" s="157"/>
      <c r="I29" s="373">
        <f>'Rev Req Proof Yr1'!H29</f>
        <v>0.34372999999999998</v>
      </c>
      <c r="J29" s="774">
        <f t="shared" si="11"/>
        <v>0.38406999999999997</v>
      </c>
      <c r="K29" s="157"/>
      <c r="L29" s="155">
        <f>'Rev Req Proof Yr1'!K29</f>
        <v>250</v>
      </c>
      <c r="M29" s="156">
        <f>'Rev Req Proof Yr1'!L29</f>
        <v>250</v>
      </c>
      <c r="N29" s="122">
        <f>'Rev Req Proof Yr1'!M29</f>
        <v>0</v>
      </c>
      <c r="O29" s="122">
        <f>'Rev Req Proof Yr1'!N29</f>
        <v>0</v>
      </c>
      <c r="P29" s="122">
        <f>'Rev Req Proof Yr1'!O29</f>
        <v>0</v>
      </c>
      <c r="Q29" s="774">
        <f>'Rev Req Proof Yr1'!P29</f>
        <v>0</v>
      </c>
      <c r="R29" s="157"/>
      <c r="S29" s="298">
        <f>'Rev Req Proof Yr1'!R29</f>
        <v>0</v>
      </c>
      <c r="T29" s="299"/>
      <c r="U29" s="300">
        <f>'Rev Req Proof Yr1'!T29</f>
        <v>0</v>
      </c>
      <c r="V29" s="301">
        <f>'Rev Req Proof Yr1'!U29</f>
        <v>0</v>
      </c>
      <c r="W29" s="157"/>
      <c r="X29" s="313">
        <f t="shared" ref="X29:X30" si="67">(I29*S29)</f>
        <v>0</v>
      </c>
      <c r="Y29" s="309">
        <f t="shared" ref="Y29:Y30" si="68">(L29*U29*12)</f>
        <v>0</v>
      </c>
      <c r="Z29" s="314">
        <f t="shared" ref="Z29:Z30" si="69">(T29*(N29+P29))*12</f>
        <v>0</v>
      </c>
      <c r="AA29" s="309"/>
      <c r="AB29" s="313">
        <f t="shared" ref="AB29:AB30" si="70">(J29*S29)</f>
        <v>0</v>
      </c>
      <c r="AC29" s="309">
        <f t="shared" ref="AC29:AC30" si="71">(M29*U29*12)</f>
        <v>0</v>
      </c>
      <c r="AD29" s="314">
        <f t="shared" ref="AD29:AD30" si="72">(T29*(O29+Q29))*12</f>
        <v>0</v>
      </c>
      <c r="AE29" s="309"/>
      <c r="AF29" s="313">
        <f t="shared" ref="AF29:AF30" si="73">(F29*S29)</f>
        <v>0</v>
      </c>
      <c r="AG29" s="309">
        <v>0</v>
      </c>
      <c r="AH29" s="314">
        <v>0</v>
      </c>
      <c r="AI29" s="309"/>
      <c r="AJ29" s="313">
        <f t="shared" ref="AJ29:AJ30" si="74">AB29-X29+AF29</f>
        <v>0</v>
      </c>
      <c r="AK29" s="309">
        <f t="shared" ref="AK29:AK30" si="75">AC29-Y29-AG29</f>
        <v>0</v>
      </c>
      <c r="AL29" s="314">
        <f t="shared" ref="AL29:AL30" si="76">AD29-Z29-AH29</f>
        <v>0</v>
      </c>
      <c r="AM29" s="309"/>
      <c r="AN29" s="338"/>
      <c r="AO29" s="340" t="e">
        <f t="shared" si="23"/>
        <v>#DIV/0!</v>
      </c>
      <c r="AP29" s="309"/>
      <c r="AQ29" s="313">
        <f t="shared" ref="AQ29:AQ30" si="77">(G29*S29)</f>
        <v>0</v>
      </c>
      <c r="AR29" s="309">
        <v>0</v>
      </c>
      <c r="AS29" s="314">
        <v>0</v>
      </c>
      <c r="AT29" s="309"/>
      <c r="AU29" s="310"/>
      <c r="AV29" s="310"/>
      <c r="AW29" s="309"/>
      <c r="AX29" s="653"/>
      <c r="AY29" s="474"/>
    </row>
    <row r="30" spans="1:52" x14ac:dyDescent="0.2">
      <c r="A30" s="86">
        <f t="shared" si="4"/>
        <v>23</v>
      </c>
      <c r="B30" s="725"/>
      <c r="C30" s="726" t="s">
        <v>5</v>
      </c>
      <c r="D30" s="157"/>
      <c r="E30" s="122">
        <f>'Rates in Detail'!R26-'Rates in Detail'!N26</f>
        <v>3.5539999999999961E-2</v>
      </c>
      <c r="F30" s="122">
        <f>'Rates in Detail'!V26</f>
        <v>-5.3699999999999998E-3</v>
      </c>
      <c r="G30" s="157"/>
      <c r="H30" s="157"/>
      <c r="I30" s="373">
        <f>'Rev Req Proof Yr1'!H30</f>
        <v>0.30285000000000001</v>
      </c>
      <c r="J30" s="774">
        <f t="shared" si="11"/>
        <v>0.33838999999999997</v>
      </c>
      <c r="K30" s="157"/>
      <c r="L30" s="155"/>
      <c r="M30" s="156"/>
      <c r="N30" s="122"/>
      <c r="O30" s="122"/>
      <c r="P30" s="122"/>
      <c r="Q30" s="774"/>
      <c r="R30" s="157"/>
      <c r="S30" s="298">
        <f>'Rev Req Proof Yr1'!R30</f>
        <v>0</v>
      </c>
      <c r="T30" s="299"/>
      <c r="U30" s="300"/>
      <c r="V30" s="301"/>
      <c r="W30" s="157"/>
      <c r="X30" s="313">
        <f t="shared" si="67"/>
        <v>0</v>
      </c>
      <c r="Y30" s="309">
        <f t="shared" si="68"/>
        <v>0</v>
      </c>
      <c r="Z30" s="314">
        <f t="shared" si="69"/>
        <v>0</v>
      </c>
      <c r="AA30" s="309"/>
      <c r="AB30" s="313">
        <f t="shared" si="70"/>
        <v>0</v>
      </c>
      <c r="AC30" s="309">
        <f t="shared" si="71"/>
        <v>0</v>
      </c>
      <c r="AD30" s="314">
        <f t="shared" si="72"/>
        <v>0</v>
      </c>
      <c r="AE30" s="309"/>
      <c r="AF30" s="313">
        <f t="shared" si="73"/>
        <v>0</v>
      </c>
      <c r="AG30" s="309">
        <v>0</v>
      </c>
      <c r="AH30" s="314">
        <v>0</v>
      </c>
      <c r="AI30" s="309"/>
      <c r="AJ30" s="313">
        <f t="shared" si="74"/>
        <v>0</v>
      </c>
      <c r="AK30" s="309">
        <f t="shared" si="75"/>
        <v>0</v>
      </c>
      <c r="AL30" s="314">
        <f t="shared" si="76"/>
        <v>0</v>
      </c>
      <c r="AM30" s="309"/>
      <c r="AN30" s="338"/>
      <c r="AO30" s="340" t="e">
        <f t="shared" si="23"/>
        <v>#DIV/0!</v>
      </c>
      <c r="AP30" s="309"/>
      <c r="AQ30" s="313">
        <f t="shared" si="77"/>
        <v>0</v>
      </c>
      <c r="AR30" s="309">
        <v>0</v>
      </c>
      <c r="AS30" s="314">
        <v>0</v>
      </c>
      <c r="AT30" s="309"/>
      <c r="AU30" s="310"/>
      <c r="AV30" s="310"/>
      <c r="AW30" s="309"/>
      <c r="AX30" s="57"/>
      <c r="AY30" s="652"/>
    </row>
    <row r="31" spans="1:52" x14ac:dyDescent="0.2">
      <c r="A31" s="86">
        <f t="shared" si="4"/>
        <v>24</v>
      </c>
      <c r="B31" s="723"/>
      <c r="C31" s="742" t="s">
        <v>78</v>
      </c>
      <c r="D31" s="153"/>
      <c r="E31" s="123"/>
      <c r="F31" s="123"/>
      <c r="G31" s="153"/>
      <c r="H31" s="153"/>
      <c r="I31" s="368"/>
      <c r="J31" s="773"/>
      <c r="K31" s="157"/>
      <c r="L31" s="155"/>
      <c r="M31" s="156"/>
      <c r="N31" s="122"/>
      <c r="O31" s="122"/>
      <c r="P31" s="122"/>
      <c r="Q31" s="774"/>
      <c r="R31" s="157"/>
      <c r="S31" s="298"/>
      <c r="T31" s="299"/>
      <c r="U31" s="300"/>
      <c r="V31" s="301"/>
      <c r="W31" s="157"/>
      <c r="X31" s="315">
        <f>SUM(X29:X30)</f>
        <v>0</v>
      </c>
      <c r="Y31" s="316">
        <f t="shared" ref="Y31:Z31" si="78">SUM(Y29:Y30)</f>
        <v>0</v>
      </c>
      <c r="Z31" s="317">
        <f t="shared" si="78"/>
        <v>0</v>
      </c>
      <c r="AA31" s="309"/>
      <c r="AB31" s="315">
        <f>SUM(AB29:AB30)</f>
        <v>0</v>
      </c>
      <c r="AC31" s="316">
        <f t="shared" ref="AC31:AD31" si="79">SUM(AC29:AC30)</f>
        <v>0</v>
      </c>
      <c r="AD31" s="317">
        <f t="shared" si="79"/>
        <v>0</v>
      </c>
      <c r="AE31" s="309"/>
      <c r="AF31" s="315">
        <f>SUM(AF29:AF30)</f>
        <v>0</v>
      </c>
      <c r="AG31" s="316">
        <f t="shared" ref="AG31:AH31" si="80">SUM(AG29:AG30)</f>
        <v>0</v>
      </c>
      <c r="AH31" s="317">
        <f t="shared" si="80"/>
        <v>0</v>
      </c>
      <c r="AI31" s="309"/>
      <c r="AJ31" s="315">
        <f>SUM(AJ29:AJ30)</f>
        <v>0</v>
      </c>
      <c r="AK31" s="316">
        <f t="shared" ref="AK31:AL31" si="81">SUM(AK29:AK30)</f>
        <v>0</v>
      </c>
      <c r="AL31" s="317">
        <f t="shared" si="81"/>
        <v>0</v>
      </c>
      <c r="AM31" s="309"/>
      <c r="AN31" s="338" t="e">
        <f>SUM(AJ31:AL31)/SUM(X31:Z31)</f>
        <v>#DIV/0!</v>
      </c>
      <c r="AO31" s="339" t="e">
        <f t="shared" si="23"/>
        <v>#DIV/0!</v>
      </c>
      <c r="AP31" s="309"/>
      <c r="AQ31" s="315">
        <f>SUM(AQ29:AQ30)</f>
        <v>0</v>
      </c>
      <c r="AR31" s="316">
        <f t="shared" ref="AR31:AS31" si="82">SUM(AR29:AR30)</f>
        <v>0</v>
      </c>
      <c r="AS31" s="317">
        <f t="shared" si="82"/>
        <v>0</v>
      </c>
      <c r="AT31" s="309"/>
      <c r="AU31" s="310"/>
      <c r="AV31" s="310"/>
      <c r="AW31" s="309"/>
    </row>
    <row r="32" spans="1:52" x14ac:dyDescent="0.2">
      <c r="A32" s="86">
        <f t="shared" si="4"/>
        <v>25</v>
      </c>
      <c r="B32" s="725" t="str">
        <f>'WA Volumes &amp; Revenues'!B29</f>
        <v>41C Firm Transpt</v>
      </c>
      <c r="C32" s="726" t="s">
        <v>4</v>
      </c>
      <c r="D32" s="157"/>
      <c r="E32" s="122">
        <f>'Rates in Detail'!R27-'Rates in Detail'!N27</f>
        <v>5.8799999999999963E-2</v>
      </c>
      <c r="F32" s="122">
        <f>'Rates in Detail'!V27</f>
        <v>-8.2299999999999995E-3</v>
      </c>
      <c r="G32" s="157"/>
      <c r="H32" s="157"/>
      <c r="I32" s="373">
        <f>'Rev Req Proof Yr1'!H32</f>
        <v>0.34791</v>
      </c>
      <c r="J32" s="774">
        <f t="shared" si="11"/>
        <v>0.40670999999999996</v>
      </c>
      <c r="K32" s="157"/>
      <c r="L32" s="155">
        <f>'Rev Req Proof Yr1'!K32</f>
        <v>500</v>
      </c>
      <c r="M32" s="156">
        <f>'Rev Req Proof Yr1'!L32</f>
        <v>500</v>
      </c>
      <c r="N32" s="122">
        <f>'Rev Req Proof Yr1'!M32</f>
        <v>0</v>
      </c>
      <c r="O32" s="122">
        <f>'Rev Req Proof Yr1'!N32</f>
        <v>0</v>
      </c>
      <c r="P32" s="122">
        <f>'Rev Req Proof Yr1'!O32</f>
        <v>0</v>
      </c>
      <c r="Q32" s="774">
        <f>'Rev Req Proof Yr1'!P32</f>
        <v>0</v>
      </c>
      <c r="R32" s="157"/>
      <c r="S32" s="298">
        <f>'Rev Req Proof Yr1'!R32</f>
        <v>168721</v>
      </c>
      <c r="T32" s="299"/>
      <c r="U32" s="300">
        <f>'Rev Req Proof Yr1'!T32</f>
        <v>7.916666666666667</v>
      </c>
      <c r="V32" s="301">
        <f>'Rev Req Proof Yr1'!U32</f>
        <v>4648</v>
      </c>
      <c r="W32" s="157"/>
      <c r="X32" s="313">
        <f t="shared" ref="X32:X33" si="83">(I32*S32)</f>
        <v>58699.723109999999</v>
      </c>
      <c r="Y32" s="309">
        <f t="shared" ref="Y32:Y33" si="84">(L32*U32*12)</f>
        <v>47500</v>
      </c>
      <c r="Z32" s="314">
        <f t="shared" ref="Z32:Z33" si="85">(T32*(N32+P32))*12</f>
        <v>0</v>
      </c>
      <c r="AA32" s="309"/>
      <c r="AB32" s="313">
        <f t="shared" ref="AB32:AB33" si="86">(J32*S32)</f>
        <v>68620.517909999995</v>
      </c>
      <c r="AC32" s="309">
        <f t="shared" ref="AC32:AC33" si="87">(M32*U32*12)</f>
        <v>47500</v>
      </c>
      <c r="AD32" s="314">
        <f t="shared" ref="AD32:AD33" si="88">(T32*(O32+Q32))*12</f>
        <v>0</v>
      </c>
      <c r="AE32" s="309"/>
      <c r="AF32" s="313">
        <f t="shared" ref="AF32:AF33" si="89">(F32*S32)</f>
        <v>-1388.5738299999998</v>
      </c>
      <c r="AG32" s="309">
        <v>0</v>
      </c>
      <c r="AH32" s="314">
        <v>0</v>
      </c>
      <c r="AI32" s="309"/>
      <c r="AJ32" s="313">
        <f t="shared" ref="AJ32:AJ33" si="90">AB32-X32+AF32</f>
        <v>8532.2209699999967</v>
      </c>
      <c r="AK32" s="309">
        <f t="shared" ref="AK32:AK33" si="91">AC32-Y32-AG32</f>
        <v>0</v>
      </c>
      <c r="AL32" s="314">
        <f t="shared" ref="AL32:AL33" si="92">AD32-Z32-AH32</f>
        <v>0</v>
      </c>
      <c r="AM32" s="309"/>
      <c r="AN32" s="338"/>
      <c r="AO32" s="340">
        <f t="shared" ref="AO32:AO34" si="93">SUM(AJ32)/SUM(X32)</f>
        <v>0.14535368342387395</v>
      </c>
      <c r="AP32" s="309"/>
      <c r="AQ32" s="313">
        <f t="shared" ref="AQ32:AQ33" si="94">(G32*S32)</f>
        <v>0</v>
      </c>
      <c r="AR32" s="309">
        <v>0</v>
      </c>
      <c r="AS32" s="314">
        <v>0</v>
      </c>
      <c r="AT32" s="309"/>
      <c r="AU32" s="310"/>
      <c r="AV32" s="310"/>
      <c r="AW32" s="309"/>
      <c r="AX32" s="653"/>
      <c r="AY32" s="474"/>
    </row>
    <row r="33" spans="1:51" x14ac:dyDescent="0.2">
      <c r="A33" s="86">
        <f t="shared" si="4"/>
        <v>26</v>
      </c>
      <c r="B33" s="725"/>
      <c r="C33" s="726" t="s">
        <v>5</v>
      </c>
      <c r="D33" s="157"/>
      <c r="E33" s="122">
        <f>'Rates in Detail'!R28-'Rates in Detail'!N28</f>
        <v>5.1810000000000023E-2</v>
      </c>
      <c r="F33" s="122">
        <f>'Rates in Detail'!V28</f>
        <v>-7.2500000000000004E-3</v>
      </c>
      <c r="G33" s="157"/>
      <c r="H33" s="157"/>
      <c r="I33" s="373">
        <f>'Rev Req Proof Yr1'!H33</f>
        <v>0.30653000000000002</v>
      </c>
      <c r="J33" s="774">
        <f t="shared" si="11"/>
        <v>0.35834000000000005</v>
      </c>
      <c r="K33" s="157"/>
      <c r="L33" s="155"/>
      <c r="M33" s="156"/>
      <c r="N33" s="122"/>
      <c r="O33" s="122"/>
      <c r="P33" s="122"/>
      <c r="Q33" s="774"/>
      <c r="R33" s="157"/>
      <c r="S33" s="298">
        <f>'Rev Req Proof Yr1'!R33</f>
        <v>272866</v>
      </c>
      <c r="T33" s="299"/>
      <c r="U33" s="300"/>
      <c r="V33" s="301"/>
      <c r="W33" s="157"/>
      <c r="X33" s="313">
        <f t="shared" si="83"/>
        <v>83641.614980000013</v>
      </c>
      <c r="Y33" s="309">
        <f t="shared" si="84"/>
        <v>0</v>
      </c>
      <c r="Z33" s="314">
        <f t="shared" si="85"/>
        <v>0</v>
      </c>
      <c r="AA33" s="309"/>
      <c r="AB33" s="313">
        <f t="shared" si="86"/>
        <v>97778.802440000014</v>
      </c>
      <c r="AC33" s="309">
        <f t="shared" si="87"/>
        <v>0</v>
      </c>
      <c r="AD33" s="314">
        <f t="shared" si="88"/>
        <v>0</v>
      </c>
      <c r="AE33" s="309"/>
      <c r="AF33" s="313">
        <f t="shared" si="89"/>
        <v>-1978.2785000000001</v>
      </c>
      <c r="AG33" s="309">
        <v>0</v>
      </c>
      <c r="AH33" s="314">
        <v>0</v>
      </c>
      <c r="AI33" s="309"/>
      <c r="AJ33" s="313">
        <f t="shared" si="90"/>
        <v>12158.908960000001</v>
      </c>
      <c r="AK33" s="309">
        <f t="shared" si="91"/>
        <v>0</v>
      </c>
      <c r="AL33" s="314">
        <f t="shared" si="92"/>
        <v>0</v>
      </c>
      <c r="AM33" s="309"/>
      <c r="AN33" s="338"/>
      <c r="AO33" s="340">
        <f t="shared" si="93"/>
        <v>0.14536913189573614</v>
      </c>
      <c r="AP33" s="309"/>
      <c r="AQ33" s="313">
        <f t="shared" si="94"/>
        <v>0</v>
      </c>
      <c r="AR33" s="309">
        <v>0</v>
      </c>
      <c r="AS33" s="314">
        <v>0</v>
      </c>
      <c r="AT33" s="309"/>
      <c r="AU33" s="310"/>
      <c r="AV33" s="310"/>
      <c r="AW33" s="309"/>
      <c r="AX33" s="57"/>
      <c r="AY33" s="652"/>
    </row>
    <row r="34" spans="1:51" x14ac:dyDescent="0.2">
      <c r="A34" s="86">
        <f t="shared" si="4"/>
        <v>27</v>
      </c>
      <c r="B34" s="723"/>
      <c r="C34" s="742" t="s">
        <v>78</v>
      </c>
      <c r="D34" s="153"/>
      <c r="E34" s="123"/>
      <c r="F34" s="123"/>
      <c r="G34" s="153"/>
      <c r="H34" s="153"/>
      <c r="I34" s="368"/>
      <c r="J34" s="773"/>
      <c r="K34" s="157"/>
      <c r="L34" s="155"/>
      <c r="M34" s="156"/>
      <c r="N34" s="122"/>
      <c r="O34" s="122"/>
      <c r="P34" s="122"/>
      <c r="Q34" s="774"/>
      <c r="R34" s="157"/>
      <c r="S34" s="298"/>
      <c r="T34" s="299"/>
      <c r="U34" s="300"/>
      <c r="V34" s="301"/>
      <c r="W34" s="157"/>
      <c r="X34" s="315">
        <f>SUM(X32:X33)</f>
        <v>142341.33809</v>
      </c>
      <c r="Y34" s="316">
        <f t="shared" ref="Y34:Z34" si="95">SUM(Y32:Y33)</f>
        <v>47500</v>
      </c>
      <c r="Z34" s="317">
        <f t="shared" si="95"/>
        <v>0</v>
      </c>
      <c r="AA34" s="309"/>
      <c r="AB34" s="315">
        <f>SUM(AB32:AB33)</f>
        <v>166399.32034999999</v>
      </c>
      <c r="AC34" s="316">
        <f t="shared" ref="AC34:AD34" si="96">SUM(AC32:AC33)</f>
        <v>47500</v>
      </c>
      <c r="AD34" s="317">
        <f t="shared" si="96"/>
        <v>0</v>
      </c>
      <c r="AE34" s="309"/>
      <c r="AF34" s="315">
        <f>SUM(AF32:AF33)</f>
        <v>-3366.8523299999997</v>
      </c>
      <c r="AG34" s="316">
        <f t="shared" ref="AG34:AH34" si="97">SUM(AG32:AG33)</f>
        <v>0</v>
      </c>
      <c r="AH34" s="317">
        <f t="shared" si="97"/>
        <v>0</v>
      </c>
      <c r="AI34" s="309"/>
      <c r="AJ34" s="315">
        <f>SUM(AJ32:AJ33)</f>
        <v>20691.129929999996</v>
      </c>
      <c r="AK34" s="316">
        <f t="shared" ref="AK34:AL34" si="98">SUM(AK32:AK33)</f>
        <v>0</v>
      </c>
      <c r="AL34" s="317">
        <f t="shared" si="98"/>
        <v>0</v>
      </c>
      <c r="AM34" s="309"/>
      <c r="AN34" s="338">
        <f>SUM(AJ34:AL34)/SUM(X34:Z34)</f>
        <v>0.10899169874261391</v>
      </c>
      <c r="AO34" s="339">
        <f t="shared" si="93"/>
        <v>0.1453627611461496</v>
      </c>
      <c r="AP34" s="309"/>
      <c r="AQ34" s="315">
        <f>SUM(AQ32:AQ33)</f>
        <v>0</v>
      </c>
      <c r="AR34" s="316">
        <f t="shared" ref="AR34:AS34" si="99">SUM(AR32:AR33)</f>
        <v>0</v>
      </c>
      <c r="AS34" s="317">
        <f t="shared" si="99"/>
        <v>0</v>
      </c>
      <c r="AT34" s="309"/>
      <c r="AU34" s="310"/>
      <c r="AV34" s="310"/>
      <c r="AW34" s="309"/>
    </row>
    <row r="35" spans="1:51" x14ac:dyDescent="0.2">
      <c r="A35" s="86">
        <f t="shared" si="4"/>
        <v>28</v>
      </c>
      <c r="B35" s="725" t="str">
        <f>'WA Volumes &amp; Revenues'!B31</f>
        <v>41I Firm Transpt</v>
      </c>
      <c r="C35" s="726" t="s">
        <v>4</v>
      </c>
      <c r="D35" s="157"/>
      <c r="E35" s="122">
        <f>'Rates in Detail'!R29-'Rates in Detail'!N29</f>
        <v>4.0830000000000033E-2</v>
      </c>
      <c r="F35" s="122">
        <f>'Rates in Detail'!V29</f>
        <v>-6.1700000000000001E-3</v>
      </c>
      <c r="G35" s="157"/>
      <c r="H35" s="157"/>
      <c r="I35" s="373">
        <f>'Rev Req Proof Yr1'!H35</f>
        <v>0.34791</v>
      </c>
      <c r="J35" s="774">
        <f t="shared" si="11"/>
        <v>0.38874000000000003</v>
      </c>
      <c r="K35" s="157"/>
      <c r="L35" s="155">
        <f>'Rev Req Proof Yr1'!K35</f>
        <v>500</v>
      </c>
      <c r="M35" s="156">
        <f>'Rev Req Proof Yr1'!L35</f>
        <v>500</v>
      </c>
      <c r="N35" s="122">
        <f>'Rev Req Proof Yr1'!M35</f>
        <v>0</v>
      </c>
      <c r="O35" s="122">
        <f>'Rev Req Proof Yr1'!N35</f>
        <v>0</v>
      </c>
      <c r="P35" s="122">
        <f>'Rev Req Proof Yr1'!O35</f>
        <v>0</v>
      </c>
      <c r="Q35" s="774">
        <f>'Rev Req Proof Yr1'!P35</f>
        <v>0</v>
      </c>
      <c r="R35" s="157"/>
      <c r="S35" s="298">
        <f>'Rev Req Proof Yr1'!R35</f>
        <v>0</v>
      </c>
      <c r="T35" s="299"/>
      <c r="U35" s="300">
        <f>'Rev Req Proof Yr1'!T35</f>
        <v>0</v>
      </c>
      <c r="V35" s="301">
        <f>'Rev Req Proof Yr1'!U35</f>
        <v>0</v>
      </c>
      <c r="W35" s="157"/>
      <c r="X35" s="313">
        <f t="shared" ref="X35:X36" si="100">(I35*S35)</f>
        <v>0</v>
      </c>
      <c r="Y35" s="309">
        <f t="shared" ref="Y35:Y36" si="101">(L35*U35*12)</f>
        <v>0</v>
      </c>
      <c r="Z35" s="314">
        <f t="shared" ref="Z35:Z36" si="102">(T35*(N35+P35))*12</f>
        <v>0</v>
      </c>
      <c r="AA35" s="309"/>
      <c r="AB35" s="313">
        <f t="shared" ref="AB35:AB36" si="103">(J35*S35)</f>
        <v>0</v>
      </c>
      <c r="AC35" s="309">
        <f t="shared" ref="AC35:AC36" si="104">(M35*U35*12)</f>
        <v>0</v>
      </c>
      <c r="AD35" s="314">
        <f t="shared" ref="AD35:AD36" si="105">(T35*(O35+Q35))*12</f>
        <v>0</v>
      </c>
      <c r="AE35" s="309"/>
      <c r="AF35" s="313">
        <f t="shared" ref="AF35:AF36" si="106">(F35*S35)</f>
        <v>0</v>
      </c>
      <c r="AG35" s="309">
        <v>0</v>
      </c>
      <c r="AH35" s="314">
        <v>0</v>
      </c>
      <c r="AI35" s="309"/>
      <c r="AJ35" s="313">
        <f t="shared" ref="AJ35:AJ36" si="107">AB35-X35+AF35</f>
        <v>0</v>
      </c>
      <c r="AK35" s="309">
        <f t="shared" ref="AK35:AK36" si="108">AC35-Y35-AG35</f>
        <v>0</v>
      </c>
      <c r="AL35" s="314">
        <f t="shared" ref="AL35:AL36" si="109">AD35-Z35-AH35</f>
        <v>0</v>
      </c>
      <c r="AM35" s="309"/>
      <c r="AN35" s="338"/>
      <c r="AO35" s="340" t="e">
        <f t="shared" si="23"/>
        <v>#DIV/0!</v>
      </c>
      <c r="AP35" s="309"/>
      <c r="AQ35" s="313">
        <f t="shared" ref="AQ35:AQ36" si="110">(G35*S35)</f>
        <v>0</v>
      </c>
      <c r="AR35" s="309">
        <v>0</v>
      </c>
      <c r="AS35" s="314">
        <v>0</v>
      </c>
      <c r="AT35" s="309"/>
      <c r="AU35" s="310"/>
      <c r="AV35" s="310"/>
      <c r="AW35" s="309"/>
    </row>
    <row r="36" spans="1:51" x14ac:dyDescent="0.2">
      <c r="A36" s="86">
        <f t="shared" si="4"/>
        <v>29</v>
      </c>
      <c r="B36" s="725"/>
      <c r="C36" s="726" t="s">
        <v>5</v>
      </c>
      <c r="D36" s="157"/>
      <c r="E36" s="122">
        <f>'Rates in Detail'!R30-'Rates in Detail'!N30</f>
        <v>3.5980000000000012E-2</v>
      </c>
      <c r="F36" s="122">
        <f>'Rates in Detail'!V30</f>
        <v>-5.4400000000000004E-3</v>
      </c>
      <c r="G36" s="157"/>
      <c r="H36" s="157"/>
      <c r="I36" s="373">
        <f>'Rev Req Proof Yr1'!H36</f>
        <v>0.30653000000000002</v>
      </c>
      <c r="J36" s="774">
        <f t="shared" si="11"/>
        <v>0.34251000000000004</v>
      </c>
      <c r="K36" s="157"/>
      <c r="L36" s="273"/>
      <c r="M36" s="55"/>
      <c r="N36" s="122"/>
      <c r="O36" s="122"/>
      <c r="P36" s="122"/>
      <c r="Q36" s="774"/>
      <c r="R36" s="157"/>
      <c r="S36" s="298">
        <f>'Rev Req Proof Yr1'!R36</f>
        <v>0</v>
      </c>
      <c r="T36" s="299"/>
      <c r="U36" s="300"/>
      <c r="V36" s="301"/>
      <c r="W36" s="157"/>
      <c r="X36" s="313">
        <f t="shared" si="100"/>
        <v>0</v>
      </c>
      <c r="Y36" s="309">
        <f t="shared" si="101"/>
        <v>0</v>
      </c>
      <c r="Z36" s="314">
        <f t="shared" si="102"/>
        <v>0</v>
      </c>
      <c r="AA36" s="309"/>
      <c r="AB36" s="313">
        <f t="shared" si="103"/>
        <v>0</v>
      </c>
      <c r="AC36" s="309">
        <f t="shared" si="104"/>
        <v>0</v>
      </c>
      <c r="AD36" s="314">
        <f t="shared" si="105"/>
        <v>0</v>
      </c>
      <c r="AE36" s="309"/>
      <c r="AF36" s="313">
        <f t="shared" si="106"/>
        <v>0</v>
      </c>
      <c r="AG36" s="309">
        <v>0</v>
      </c>
      <c r="AH36" s="314">
        <v>0</v>
      </c>
      <c r="AI36" s="309"/>
      <c r="AJ36" s="313">
        <f t="shared" si="107"/>
        <v>0</v>
      </c>
      <c r="AK36" s="309">
        <f t="shared" si="108"/>
        <v>0</v>
      </c>
      <c r="AL36" s="314">
        <f t="shared" si="109"/>
        <v>0</v>
      </c>
      <c r="AM36" s="309"/>
      <c r="AN36" s="338"/>
      <c r="AO36" s="340" t="e">
        <f t="shared" si="23"/>
        <v>#DIV/0!</v>
      </c>
      <c r="AP36" s="309"/>
      <c r="AQ36" s="313">
        <f t="shared" si="110"/>
        <v>0</v>
      </c>
      <c r="AR36" s="309">
        <v>0</v>
      </c>
      <c r="AS36" s="314">
        <v>0</v>
      </c>
      <c r="AT36" s="309"/>
      <c r="AU36" s="310"/>
      <c r="AV36" s="310"/>
      <c r="AW36" s="309"/>
    </row>
    <row r="37" spans="1:51" x14ac:dyDescent="0.2">
      <c r="A37" s="86">
        <f t="shared" si="4"/>
        <v>30</v>
      </c>
      <c r="B37" s="723"/>
      <c r="C37" s="742" t="s">
        <v>78</v>
      </c>
      <c r="D37" s="153"/>
      <c r="E37" s="123"/>
      <c r="F37" s="123"/>
      <c r="G37" s="153"/>
      <c r="H37" s="153"/>
      <c r="I37" s="368"/>
      <c r="J37" s="773"/>
      <c r="K37" s="157"/>
      <c r="L37" s="273"/>
      <c r="M37" s="55"/>
      <c r="N37" s="122"/>
      <c r="O37" s="122"/>
      <c r="P37" s="122"/>
      <c r="Q37" s="774"/>
      <c r="R37" s="157"/>
      <c r="S37" s="298"/>
      <c r="T37" s="299"/>
      <c r="U37" s="300"/>
      <c r="V37" s="301"/>
      <c r="W37" s="157"/>
      <c r="X37" s="315">
        <f>SUM(X35:X36)</f>
        <v>0</v>
      </c>
      <c r="Y37" s="316">
        <f t="shared" ref="Y37:Z37" si="111">SUM(Y35:Y36)</f>
        <v>0</v>
      </c>
      <c r="Z37" s="317">
        <f t="shared" si="111"/>
        <v>0</v>
      </c>
      <c r="AA37" s="309"/>
      <c r="AB37" s="315">
        <f>SUM(AB35:AB36)</f>
        <v>0</v>
      </c>
      <c r="AC37" s="316">
        <f t="shared" ref="AC37:AD37" si="112">SUM(AC35:AC36)</f>
        <v>0</v>
      </c>
      <c r="AD37" s="317">
        <f t="shared" si="112"/>
        <v>0</v>
      </c>
      <c r="AE37" s="309"/>
      <c r="AF37" s="315">
        <f>SUM(AF35:AF36)</f>
        <v>0</v>
      </c>
      <c r="AG37" s="316">
        <f t="shared" ref="AG37:AH37" si="113">SUM(AG35:AG36)</f>
        <v>0</v>
      </c>
      <c r="AH37" s="317">
        <f t="shared" si="113"/>
        <v>0</v>
      </c>
      <c r="AI37" s="309"/>
      <c r="AJ37" s="315">
        <f>SUM(AJ35:AJ36)</f>
        <v>0</v>
      </c>
      <c r="AK37" s="316">
        <f t="shared" ref="AK37:AL37" si="114">SUM(AK35:AK36)</f>
        <v>0</v>
      </c>
      <c r="AL37" s="317">
        <f t="shared" si="114"/>
        <v>0</v>
      </c>
      <c r="AM37" s="309"/>
      <c r="AN37" s="338" t="e">
        <f>SUM(AJ37:AL37)/SUM(X37:Z37)</f>
        <v>#DIV/0!</v>
      </c>
      <c r="AO37" s="339" t="e">
        <f t="shared" si="23"/>
        <v>#DIV/0!</v>
      </c>
      <c r="AP37" s="309"/>
      <c r="AQ37" s="315">
        <f>SUM(AQ35:AQ36)</f>
        <v>0</v>
      </c>
      <c r="AR37" s="316">
        <f t="shared" ref="AR37:AS37" si="115">SUM(AR35:AR36)</f>
        <v>0</v>
      </c>
      <c r="AS37" s="317">
        <f t="shared" si="115"/>
        <v>0</v>
      </c>
      <c r="AT37" s="309"/>
      <c r="AU37" s="310"/>
      <c r="AV37" s="310"/>
      <c r="AW37" s="309"/>
    </row>
    <row r="38" spans="1:51" x14ac:dyDescent="0.2">
      <c r="A38" s="86">
        <f t="shared" si="4"/>
        <v>31</v>
      </c>
      <c r="B38" s="725" t="str">
        <f>'WA Volumes &amp; Revenues'!B33</f>
        <v>42C Firm Sales</v>
      </c>
      <c r="C38" s="726" t="s">
        <v>4</v>
      </c>
      <c r="D38" s="157"/>
      <c r="E38" s="122">
        <f>'Rates in Detail'!R31-'Rates in Detail'!N31</f>
        <v>4.1859999999999981E-2</v>
      </c>
      <c r="F38" s="122">
        <f>'Rates in Detail'!V31</f>
        <v>-1.6459999999999999E-2</v>
      </c>
      <c r="G38" s="157"/>
      <c r="H38" s="157"/>
      <c r="I38" s="373">
        <f>'Rev Req Proof Yr1'!H38</f>
        <v>0.15246000000000001</v>
      </c>
      <c r="J38" s="774">
        <f t="shared" si="11"/>
        <v>0.19431999999999999</v>
      </c>
      <c r="K38" s="157"/>
      <c r="L38" s="155">
        <f>'Rev Req Proof Yr1'!K38</f>
        <v>1300</v>
      </c>
      <c r="M38" s="156">
        <f>'Rev Req Proof Yr1'!L38</f>
        <v>1300</v>
      </c>
      <c r="N38" s="122">
        <f>'Rev Req Proof Yr1'!M38</f>
        <v>0.15748000000000001</v>
      </c>
      <c r="O38" s="122">
        <f>'Rev Req Proof Yr1'!N38</f>
        <v>0.15748000000000001</v>
      </c>
      <c r="P38" s="122">
        <f>'Rev Req Proof Yr1'!O38</f>
        <v>0.20415</v>
      </c>
      <c r="Q38" s="774">
        <f>'Rev Req Proof Yr1'!P38</f>
        <v>0.20415</v>
      </c>
      <c r="R38" s="157"/>
      <c r="S38" s="298">
        <f>'Rev Req Proof Yr1'!R38</f>
        <v>350769.66174469434</v>
      </c>
      <c r="T38" s="299">
        <f>'Rev Req Proof Yr1'!S38</f>
        <v>6761</v>
      </c>
      <c r="U38" s="300">
        <f>'Rev Req Proof Yr1'!T38</f>
        <v>5</v>
      </c>
      <c r="V38" s="301">
        <f>'Rev Req Proof Yr1'!U38</f>
        <v>11949</v>
      </c>
      <c r="W38" s="157"/>
      <c r="X38" s="313">
        <f t="shared" ref="X38:X43" si="116">(I38*S38)</f>
        <v>53478.342629596104</v>
      </c>
      <c r="Y38" s="309">
        <f t="shared" ref="Y38:Y43" si="117">(L38*U38*12)</f>
        <v>78000</v>
      </c>
      <c r="Z38" s="314">
        <f t="shared" ref="Z38:Z43" si="118">(T38*(N38+P38))*12</f>
        <v>29339.765160000003</v>
      </c>
      <c r="AA38" s="309"/>
      <c r="AB38" s="313">
        <f t="shared" ref="AB38:AB43" si="119">(J38*S38)</f>
        <v>68161.560670228995</v>
      </c>
      <c r="AC38" s="309">
        <f t="shared" ref="AC38:AC43" si="120">(M38*U38*12)</f>
        <v>78000</v>
      </c>
      <c r="AD38" s="314">
        <f t="shared" ref="AD38:AD43" si="121">(T38*(O38+Q38))*12</f>
        <v>29339.765160000003</v>
      </c>
      <c r="AE38" s="309"/>
      <c r="AF38" s="313">
        <f t="shared" ref="AF38:AF43" si="122">(F38*S38)</f>
        <v>-5773.6686323176682</v>
      </c>
      <c r="AG38" s="309">
        <v>0</v>
      </c>
      <c r="AH38" s="314">
        <v>0</v>
      </c>
      <c r="AI38" s="309"/>
      <c r="AJ38" s="313">
        <f t="shared" ref="AJ38:AJ43" si="123">AB38-X38+AF38</f>
        <v>8909.5494083152225</v>
      </c>
      <c r="AK38" s="309">
        <f t="shared" ref="AK38:AK43" si="124">AC38-Y38-AG38</f>
        <v>0</v>
      </c>
      <c r="AL38" s="314">
        <f t="shared" ref="AL38:AL43" si="125">AD38-Z38-AH38</f>
        <v>0</v>
      </c>
      <c r="AM38" s="309"/>
      <c r="AN38" s="338"/>
      <c r="AO38" s="340">
        <f t="shared" si="23"/>
        <v>0.16660107569198451</v>
      </c>
      <c r="AP38" s="309"/>
      <c r="AQ38" s="313">
        <f t="shared" ref="AQ38:AQ43" si="126">(G38*S38)</f>
        <v>0</v>
      </c>
      <c r="AR38" s="309">
        <v>0</v>
      </c>
      <c r="AS38" s="314">
        <v>0</v>
      </c>
      <c r="AT38" s="309"/>
      <c r="AU38" s="310"/>
      <c r="AV38" s="310"/>
      <c r="AW38" s="309"/>
    </row>
    <row r="39" spans="1:51" x14ac:dyDescent="0.2">
      <c r="A39" s="86">
        <f t="shared" si="4"/>
        <v>32</v>
      </c>
      <c r="B39" s="725"/>
      <c r="C39" s="726" t="s">
        <v>5</v>
      </c>
      <c r="D39" s="157"/>
      <c r="E39" s="122">
        <f>'Rates in Detail'!R32-'Rates in Detail'!N32</f>
        <v>3.7459999999999993E-2</v>
      </c>
      <c r="F39" s="122">
        <f>'Rates in Detail'!V32</f>
        <v>-1.474E-2</v>
      </c>
      <c r="G39" s="157"/>
      <c r="H39" s="157"/>
      <c r="I39" s="373">
        <f>'Rev Req Proof Yr1'!H39</f>
        <v>0.13647000000000001</v>
      </c>
      <c r="J39" s="774">
        <f t="shared" si="11"/>
        <v>0.17393</v>
      </c>
      <c r="K39" s="157"/>
      <c r="L39" s="155"/>
      <c r="M39" s="156"/>
      <c r="N39" s="122"/>
      <c r="O39" s="122"/>
      <c r="P39" s="122"/>
      <c r="Q39" s="774"/>
      <c r="R39" s="157"/>
      <c r="S39" s="298">
        <f>'Rev Req Proof Yr1'!R39</f>
        <v>303088.75426472601</v>
      </c>
      <c r="T39" s="299"/>
      <c r="U39" s="300"/>
      <c r="V39" s="301"/>
      <c r="W39" s="157"/>
      <c r="X39" s="313">
        <f t="shared" si="116"/>
        <v>41362.522294507158</v>
      </c>
      <c r="Y39" s="309">
        <f t="shared" si="117"/>
        <v>0</v>
      </c>
      <c r="Z39" s="314">
        <f t="shared" si="118"/>
        <v>0</v>
      </c>
      <c r="AA39" s="309"/>
      <c r="AB39" s="313">
        <f t="shared" si="119"/>
        <v>52716.227029263799</v>
      </c>
      <c r="AC39" s="309">
        <f t="shared" si="120"/>
        <v>0</v>
      </c>
      <c r="AD39" s="314">
        <f t="shared" si="121"/>
        <v>0</v>
      </c>
      <c r="AE39" s="309"/>
      <c r="AF39" s="313">
        <f t="shared" si="122"/>
        <v>-4467.5282378620614</v>
      </c>
      <c r="AG39" s="309">
        <v>0</v>
      </c>
      <c r="AH39" s="314">
        <v>0</v>
      </c>
      <c r="AI39" s="309"/>
      <c r="AJ39" s="313">
        <f t="shared" si="123"/>
        <v>6886.176496894579</v>
      </c>
      <c r="AK39" s="309">
        <f t="shared" si="124"/>
        <v>0</v>
      </c>
      <c r="AL39" s="314">
        <f t="shared" si="125"/>
        <v>0</v>
      </c>
      <c r="AM39" s="309"/>
      <c r="AN39" s="338"/>
      <c r="AO39" s="340">
        <f t="shared" si="23"/>
        <v>0.16648347622188037</v>
      </c>
      <c r="AP39" s="309"/>
      <c r="AQ39" s="313">
        <f t="shared" si="126"/>
        <v>0</v>
      </c>
      <c r="AR39" s="309">
        <v>0</v>
      </c>
      <c r="AS39" s="314">
        <v>0</v>
      </c>
      <c r="AT39" s="309"/>
      <c r="AU39" s="310"/>
      <c r="AV39" s="310"/>
      <c r="AW39" s="309"/>
    </row>
    <row r="40" spans="1:51" x14ac:dyDescent="0.2">
      <c r="A40" s="86">
        <f t="shared" si="4"/>
        <v>33</v>
      </c>
      <c r="B40" s="725"/>
      <c r="C40" s="726" t="s">
        <v>6</v>
      </c>
      <c r="D40" s="157"/>
      <c r="E40" s="122">
        <f>'Rates in Detail'!R33-'Rates in Detail'!N33</f>
        <v>2.8739999999999988E-2</v>
      </c>
      <c r="F40" s="122">
        <f>'Rates in Detail'!V33</f>
        <v>-1.1300000000000001E-2</v>
      </c>
      <c r="G40" s="157"/>
      <c r="H40" s="157"/>
      <c r="I40" s="373">
        <f>'Rev Req Proof Yr1'!H40</f>
        <v>0.10467</v>
      </c>
      <c r="J40" s="774">
        <f t="shared" si="11"/>
        <v>0.13340999999999997</v>
      </c>
      <c r="K40" s="157"/>
      <c r="L40" s="273"/>
      <c r="M40" s="55"/>
      <c r="N40" s="122"/>
      <c r="O40" s="122"/>
      <c r="P40" s="122"/>
      <c r="Q40" s="774"/>
      <c r="R40" s="157"/>
      <c r="S40" s="298">
        <f>'Rev Req Proof Yr1'!R40</f>
        <v>59441.942130257296</v>
      </c>
      <c r="T40" s="299"/>
      <c r="U40" s="300"/>
      <c r="V40" s="301"/>
      <c r="W40" s="157"/>
      <c r="X40" s="313">
        <f t="shared" si="116"/>
        <v>6221.788082774031</v>
      </c>
      <c r="Y40" s="309">
        <f t="shared" si="117"/>
        <v>0</v>
      </c>
      <c r="Z40" s="314">
        <f t="shared" si="118"/>
        <v>0</v>
      </c>
      <c r="AA40" s="309"/>
      <c r="AB40" s="313">
        <f t="shared" si="119"/>
        <v>7930.1494995976245</v>
      </c>
      <c r="AC40" s="309">
        <f t="shared" si="120"/>
        <v>0</v>
      </c>
      <c r="AD40" s="314">
        <f t="shared" si="121"/>
        <v>0</v>
      </c>
      <c r="AE40" s="309"/>
      <c r="AF40" s="313">
        <f t="shared" si="122"/>
        <v>-671.69394607190748</v>
      </c>
      <c r="AG40" s="309">
        <v>0</v>
      </c>
      <c r="AH40" s="314">
        <v>0</v>
      </c>
      <c r="AI40" s="309"/>
      <c r="AJ40" s="313">
        <f t="shared" si="123"/>
        <v>1036.6674707516861</v>
      </c>
      <c r="AK40" s="309">
        <f t="shared" si="124"/>
        <v>0</v>
      </c>
      <c r="AL40" s="314">
        <f t="shared" si="125"/>
        <v>0</v>
      </c>
      <c r="AM40" s="309"/>
      <c r="AN40" s="338"/>
      <c r="AO40" s="340">
        <f t="shared" si="23"/>
        <v>0.16661889748734099</v>
      </c>
      <c r="AP40" s="309"/>
      <c r="AQ40" s="313">
        <f t="shared" si="126"/>
        <v>0</v>
      </c>
      <c r="AR40" s="309">
        <v>0</v>
      </c>
      <c r="AS40" s="314">
        <v>0</v>
      </c>
      <c r="AT40" s="309"/>
      <c r="AU40" s="310"/>
      <c r="AV40" s="310"/>
      <c r="AW40" s="309"/>
    </row>
    <row r="41" spans="1:51" x14ac:dyDescent="0.2">
      <c r="A41" s="86">
        <f t="shared" si="4"/>
        <v>34</v>
      </c>
      <c r="B41" s="725"/>
      <c r="C41" s="726" t="s">
        <v>7</v>
      </c>
      <c r="D41" s="157"/>
      <c r="E41" s="122">
        <f>'Rates in Detail'!R34-'Rates in Detail'!N34</f>
        <v>2.2980000000000014E-2</v>
      </c>
      <c r="F41" s="122">
        <f>'Rates in Detail'!V34</f>
        <v>-9.0399999999999994E-3</v>
      </c>
      <c r="G41" s="157"/>
      <c r="H41" s="157"/>
      <c r="I41" s="373">
        <f>'Rev Req Proof Yr1'!H41</f>
        <v>8.3729999999999999E-2</v>
      </c>
      <c r="J41" s="774">
        <f t="shared" si="11"/>
        <v>0.10671000000000001</v>
      </c>
      <c r="K41" s="157"/>
      <c r="L41" s="155"/>
      <c r="M41" s="156"/>
      <c r="N41" s="122"/>
      <c r="O41" s="122"/>
      <c r="P41" s="122"/>
      <c r="Q41" s="774"/>
      <c r="R41" s="157"/>
      <c r="S41" s="298">
        <f>'Rev Req Proof Yr1'!R41</f>
        <v>3614.6071898605187</v>
      </c>
      <c r="T41" s="299"/>
      <c r="U41" s="300"/>
      <c r="V41" s="301"/>
      <c r="W41" s="157"/>
      <c r="X41" s="313">
        <f t="shared" si="116"/>
        <v>302.65106000702121</v>
      </c>
      <c r="Y41" s="309">
        <f t="shared" si="117"/>
        <v>0</v>
      </c>
      <c r="Z41" s="314">
        <f t="shared" si="118"/>
        <v>0</v>
      </c>
      <c r="AA41" s="309"/>
      <c r="AB41" s="313">
        <f t="shared" si="119"/>
        <v>385.71473323001601</v>
      </c>
      <c r="AC41" s="309">
        <f t="shared" si="120"/>
        <v>0</v>
      </c>
      <c r="AD41" s="314">
        <f t="shared" si="121"/>
        <v>0</v>
      </c>
      <c r="AE41" s="309"/>
      <c r="AF41" s="313">
        <f t="shared" si="122"/>
        <v>-32.676048996339084</v>
      </c>
      <c r="AG41" s="309">
        <v>0</v>
      </c>
      <c r="AH41" s="314">
        <v>0</v>
      </c>
      <c r="AI41" s="309"/>
      <c r="AJ41" s="313">
        <f t="shared" si="123"/>
        <v>50.38762422665571</v>
      </c>
      <c r="AK41" s="309">
        <f t="shared" si="124"/>
        <v>0</v>
      </c>
      <c r="AL41" s="314">
        <f t="shared" si="125"/>
        <v>0</v>
      </c>
      <c r="AM41" s="309"/>
      <c r="AN41" s="338"/>
      <c r="AO41" s="340">
        <f t="shared" si="23"/>
        <v>0.16648751940761999</v>
      </c>
      <c r="AP41" s="309"/>
      <c r="AQ41" s="313">
        <f t="shared" si="126"/>
        <v>0</v>
      </c>
      <c r="AR41" s="309">
        <v>0</v>
      </c>
      <c r="AS41" s="314">
        <v>0</v>
      </c>
      <c r="AT41" s="309"/>
      <c r="AU41" s="310"/>
      <c r="AV41" s="310"/>
      <c r="AW41" s="309"/>
    </row>
    <row r="42" spans="1:51" x14ac:dyDescent="0.2">
      <c r="A42" s="86">
        <f t="shared" si="4"/>
        <v>35</v>
      </c>
      <c r="B42" s="725"/>
      <c r="C42" s="726" t="s">
        <v>8</v>
      </c>
      <c r="D42" s="157"/>
      <c r="E42" s="122">
        <f>'Rates in Detail'!R35-'Rates in Detail'!N35</f>
        <v>1.5319999999999993E-2</v>
      </c>
      <c r="F42" s="122">
        <f>'Rates in Detail'!V35</f>
        <v>-6.0300000000000006E-3</v>
      </c>
      <c r="G42" s="157"/>
      <c r="H42" s="157"/>
      <c r="I42" s="373">
        <f>'Rev Req Proof Yr1'!H42</f>
        <v>5.5809999999999998E-2</v>
      </c>
      <c r="J42" s="774">
        <f t="shared" si="11"/>
        <v>7.1129999999999999E-2</v>
      </c>
      <c r="K42" s="157"/>
      <c r="L42" s="155"/>
      <c r="M42" s="156"/>
      <c r="N42" s="122"/>
      <c r="O42" s="122"/>
      <c r="P42" s="122"/>
      <c r="Q42" s="774"/>
      <c r="R42" s="157"/>
      <c r="S42" s="298">
        <f>'Rev Req Proof Yr1'!R42</f>
        <v>0</v>
      </c>
      <c r="T42" s="299"/>
      <c r="U42" s="300"/>
      <c r="V42" s="301"/>
      <c r="W42" s="157"/>
      <c r="X42" s="313">
        <f t="shared" si="116"/>
        <v>0</v>
      </c>
      <c r="Y42" s="309">
        <f t="shared" si="117"/>
        <v>0</v>
      </c>
      <c r="Z42" s="314">
        <f t="shared" si="118"/>
        <v>0</v>
      </c>
      <c r="AA42" s="309"/>
      <c r="AB42" s="313">
        <f t="shared" si="119"/>
        <v>0</v>
      </c>
      <c r="AC42" s="309">
        <f t="shared" si="120"/>
        <v>0</v>
      </c>
      <c r="AD42" s="314">
        <f t="shared" si="121"/>
        <v>0</v>
      </c>
      <c r="AE42" s="309"/>
      <c r="AF42" s="313">
        <f t="shared" si="122"/>
        <v>0</v>
      </c>
      <c r="AG42" s="309">
        <v>0</v>
      </c>
      <c r="AH42" s="314">
        <v>0</v>
      </c>
      <c r="AI42" s="309"/>
      <c r="AJ42" s="313">
        <f t="shared" si="123"/>
        <v>0</v>
      </c>
      <c r="AK42" s="309">
        <f t="shared" si="124"/>
        <v>0</v>
      </c>
      <c r="AL42" s="314">
        <f t="shared" si="125"/>
        <v>0</v>
      </c>
      <c r="AM42" s="309"/>
      <c r="AN42" s="338"/>
      <c r="AO42" s="340">
        <f>AO41</f>
        <v>0.16648751940761999</v>
      </c>
      <c r="AP42" s="309"/>
      <c r="AQ42" s="313">
        <f t="shared" si="126"/>
        <v>0</v>
      </c>
      <c r="AR42" s="309">
        <v>0</v>
      </c>
      <c r="AS42" s="314">
        <v>0</v>
      </c>
      <c r="AT42" s="309"/>
      <c r="AU42" s="310"/>
      <c r="AV42" s="310"/>
      <c r="AW42" s="309"/>
    </row>
    <row r="43" spans="1:51" x14ac:dyDescent="0.2">
      <c r="A43" s="86">
        <f t="shared" si="4"/>
        <v>36</v>
      </c>
      <c r="B43" s="725"/>
      <c r="C43" s="726" t="s">
        <v>9</v>
      </c>
      <c r="D43" s="157"/>
      <c r="E43" s="122">
        <f>'Rates in Detail'!R36-'Rates in Detail'!N36</f>
        <v>5.7500000000000016E-3</v>
      </c>
      <c r="F43" s="122">
        <f>'Rates in Detail'!V36</f>
        <v>-2.2499999999999998E-3</v>
      </c>
      <c r="G43" s="157"/>
      <c r="H43" s="157"/>
      <c r="I43" s="373">
        <f>'Rev Req Proof Yr1'!H43</f>
        <v>2.0920000000000001E-2</v>
      </c>
      <c r="J43" s="774">
        <f t="shared" si="11"/>
        <v>2.6670000000000003E-2</v>
      </c>
      <c r="K43" s="157"/>
      <c r="L43" s="273"/>
      <c r="M43" s="55"/>
      <c r="N43" s="122"/>
      <c r="O43" s="122"/>
      <c r="P43" s="122"/>
      <c r="Q43" s="774"/>
      <c r="R43" s="157"/>
      <c r="S43" s="298">
        <f>'Rev Req Proof Yr1'!R43</f>
        <v>0</v>
      </c>
      <c r="T43" s="299"/>
      <c r="U43" s="300"/>
      <c r="V43" s="301"/>
      <c r="W43" s="157"/>
      <c r="X43" s="313">
        <f t="shared" si="116"/>
        <v>0</v>
      </c>
      <c r="Y43" s="309">
        <f t="shared" si="117"/>
        <v>0</v>
      </c>
      <c r="Z43" s="314">
        <f t="shared" si="118"/>
        <v>0</v>
      </c>
      <c r="AA43" s="309"/>
      <c r="AB43" s="313">
        <f t="shared" si="119"/>
        <v>0</v>
      </c>
      <c r="AC43" s="309">
        <f t="shared" si="120"/>
        <v>0</v>
      </c>
      <c r="AD43" s="314">
        <f t="shared" si="121"/>
        <v>0</v>
      </c>
      <c r="AE43" s="309"/>
      <c r="AF43" s="313">
        <f t="shared" si="122"/>
        <v>0</v>
      </c>
      <c r="AG43" s="309">
        <v>0</v>
      </c>
      <c r="AH43" s="314">
        <v>0</v>
      </c>
      <c r="AI43" s="309"/>
      <c r="AJ43" s="313">
        <f t="shared" si="123"/>
        <v>0</v>
      </c>
      <c r="AK43" s="309">
        <f t="shared" si="124"/>
        <v>0</v>
      </c>
      <c r="AL43" s="314">
        <f t="shared" si="125"/>
        <v>0</v>
      </c>
      <c r="AM43" s="309"/>
      <c r="AN43" s="338"/>
      <c r="AO43" s="340">
        <f>AO42</f>
        <v>0.16648751940761999</v>
      </c>
      <c r="AP43" s="309"/>
      <c r="AQ43" s="313">
        <f t="shared" si="126"/>
        <v>0</v>
      </c>
      <c r="AR43" s="309">
        <v>0</v>
      </c>
      <c r="AS43" s="314">
        <v>0</v>
      </c>
      <c r="AT43" s="309"/>
      <c r="AU43" s="310"/>
      <c r="AV43" s="310"/>
      <c r="AW43" s="309"/>
    </row>
    <row r="44" spans="1:51" x14ac:dyDescent="0.2">
      <c r="A44" s="86">
        <f t="shared" si="4"/>
        <v>37</v>
      </c>
      <c r="B44" s="723"/>
      <c r="C44" s="742" t="s">
        <v>78</v>
      </c>
      <c r="D44" s="153"/>
      <c r="E44" s="123"/>
      <c r="F44" s="123"/>
      <c r="G44" s="153"/>
      <c r="H44" s="153"/>
      <c r="I44" s="368"/>
      <c r="J44" s="773"/>
      <c r="K44" s="157"/>
      <c r="L44" s="273"/>
      <c r="M44" s="55"/>
      <c r="N44" s="122"/>
      <c r="O44" s="122"/>
      <c r="P44" s="122"/>
      <c r="Q44" s="774"/>
      <c r="R44" s="157"/>
      <c r="S44" s="298"/>
      <c r="T44" s="299"/>
      <c r="U44" s="300"/>
      <c r="V44" s="301"/>
      <c r="W44" s="157"/>
      <c r="X44" s="315">
        <f>SUM(X38:X43)</f>
        <v>101365.3040668843</v>
      </c>
      <c r="Y44" s="316">
        <f>SUM(Y38:Y43)</f>
        <v>78000</v>
      </c>
      <c r="Z44" s="317">
        <f>SUM(Z38:Z43)</f>
        <v>29339.765160000003</v>
      </c>
      <c r="AA44" s="309"/>
      <c r="AB44" s="315">
        <f>SUM(AB38:AB43)</f>
        <v>129193.65193232044</v>
      </c>
      <c r="AC44" s="316">
        <f>SUM(AC38:AC43)</f>
        <v>78000</v>
      </c>
      <c r="AD44" s="317">
        <f>SUM(AD38:AD43)</f>
        <v>29339.765160000003</v>
      </c>
      <c r="AE44" s="309"/>
      <c r="AF44" s="315">
        <f>SUM(AF38:AF43)</f>
        <v>-10945.566865247978</v>
      </c>
      <c r="AG44" s="316">
        <f>SUM(AG38:AG43)</f>
        <v>0</v>
      </c>
      <c r="AH44" s="317">
        <f>SUM(AH38:AH43)</f>
        <v>0</v>
      </c>
      <c r="AI44" s="309"/>
      <c r="AJ44" s="315">
        <f>SUM(AJ38:AJ43)</f>
        <v>16882.781000188144</v>
      </c>
      <c r="AK44" s="316">
        <f>SUM(AK38:AK43)</f>
        <v>0</v>
      </c>
      <c r="AL44" s="317">
        <f>SUM(AL38:AL43)</f>
        <v>0</v>
      </c>
      <c r="AM44" s="309"/>
      <c r="AN44" s="338">
        <f>SUM(AJ44:AL44)/SUM(X44:Z44)</f>
        <v>8.0893008793355134E-2</v>
      </c>
      <c r="AO44" s="339">
        <f>SUM(AJ44)/SUM(X44)</f>
        <v>0.16655384360163619</v>
      </c>
      <c r="AP44" s="309"/>
      <c r="AQ44" s="315">
        <f>SUM(AQ38:AQ43)</f>
        <v>0</v>
      </c>
      <c r="AR44" s="316">
        <f>SUM(AR38:AR43)</f>
        <v>0</v>
      </c>
      <c r="AS44" s="317">
        <f>SUM(AS38:AS43)</f>
        <v>0</v>
      </c>
      <c r="AT44" s="309"/>
      <c r="AU44" s="310"/>
      <c r="AV44" s="310"/>
      <c r="AW44" s="309"/>
    </row>
    <row r="45" spans="1:51" x14ac:dyDescent="0.2">
      <c r="A45" s="86">
        <f t="shared" si="4"/>
        <v>38</v>
      </c>
      <c r="B45" s="725" t="str">
        <f>'WA Volumes &amp; Revenues'!B39</f>
        <v>42I Firm Sales</v>
      </c>
      <c r="C45" s="726" t="s">
        <v>4</v>
      </c>
      <c r="D45" s="157"/>
      <c r="E45" s="122">
        <f>'Rates in Detail'!R37-'Rates in Detail'!N37</f>
        <v>3.7230000000000013E-2</v>
      </c>
      <c r="F45" s="122">
        <f>'Rates in Detail'!V37</f>
        <v>-5.2100000000000002E-3</v>
      </c>
      <c r="G45" s="157"/>
      <c r="H45" s="157"/>
      <c r="I45" s="373">
        <f>'Rev Req Proof Yr1'!H45</f>
        <v>0.14721000000000001</v>
      </c>
      <c r="J45" s="774">
        <f t="shared" si="11"/>
        <v>0.18444000000000002</v>
      </c>
      <c r="K45" s="157"/>
      <c r="L45" s="155">
        <f>'Rev Req Proof Yr1'!K45</f>
        <v>1300</v>
      </c>
      <c r="M45" s="156">
        <f>'Rev Req Proof Yr1'!L45</f>
        <v>1300</v>
      </c>
      <c r="N45" s="122">
        <f>'Rev Req Proof Yr1'!M45</f>
        <v>0.15748000000000001</v>
      </c>
      <c r="O45" s="122">
        <f>'Rev Req Proof Yr1'!N45</f>
        <v>0.15748000000000001</v>
      </c>
      <c r="P45" s="122">
        <f>'Rev Req Proof Yr1'!O45</f>
        <v>0.20415</v>
      </c>
      <c r="Q45" s="774">
        <f>'Rev Req Proof Yr1'!P45</f>
        <v>0.20415</v>
      </c>
      <c r="R45" s="157"/>
      <c r="S45" s="298">
        <f>'Rev Req Proof Yr1'!R45</f>
        <v>1093724.2000000002</v>
      </c>
      <c r="T45" s="299">
        <f>'Rev Req Proof Yr1'!S45</f>
        <v>9556</v>
      </c>
      <c r="U45" s="300">
        <f>'Rev Req Proof Yr1'!T45</f>
        <v>11.916666666666666</v>
      </c>
      <c r="V45" s="301">
        <f>'Rev Req Proof Yr1'!U45</f>
        <v>12869</v>
      </c>
      <c r="W45" s="157"/>
      <c r="X45" s="313">
        <f t="shared" ref="X45:X50" si="127">(I45*S45)</f>
        <v>161007.13948200003</v>
      </c>
      <c r="Y45" s="309">
        <f t="shared" ref="Y45:Y50" si="128">(L45*U45*12)</f>
        <v>185900</v>
      </c>
      <c r="Z45" s="314">
        <f t="shared" ref="Z45:Z50" si="129">(T45*(N45+P45))*12</f>
        <v>41468.835359999997</v>
      </c>
      <c r="AA45" s="309"/>
      <c r="AB45" s="313">
        <f t="shared" ref="AB45:AB50" si="130">(J45*S45)</f>
        <v>201726.49144800004</v>
      </c>
      <c r="AC45" s="309">
        <f t="shared" ref="AC45:AC50" si="131">(M45*U45*12)</f>
        <v>185900</v>
      </c>
      <c r="AD45" s="314">
        <f t="shared" ref="AD45:AD50" si="132">(T45*(O45+Q45))*12</f>
        <v>41468.835359999997</v>
      </c>
      <c r="AE45" s="309"/>
      <c r="AF45" s="313">
        <f t="shared" ref="AF45:AF50" si="133">(F45*S45)</f>
        <v>-5698.3030820000013</v>
      </c>
      <c r="AG45" s="309">
        <v>0</v>
      </c>
      <c r="AH45" s="314">
        <v>0</v>
      </c>
      <c r="AI45" s="309"/>
      <c r="AJ45" s="313">
        <f t="shared" ref="AJ45:AJ50" si="134">AB45-X45+AF45</f>
        <v>35021.048884000018</v>
      </c>
      <c r="AK45" s="309">
        <f t="shared" ref="AK45:AK50" si="135">AC45-Y45-AG45</f>
        <v>0</v>
      </c>
      <c r="AL45" s="314">
        <f t="shared" ref="AL45:AL50" si="136">AD45-Z45-AH45</f>
        <v>0</v>
      </c>
      <c r="AM45" s="309"/>
      <c r="AN45" s="338"/>
      <c r="AO45" s="340">
        <f>SUM(AJ45)/SUM(X45)</f>
        <v>0.2175123972556213</v>
      </c>
      <c r="AP45" s="309"/>
      <c r="AQ45" s="313">
        <f t="shared" ref="AQ45:AQ50" si="137">(G45*S45)</f>
        <v>0</v>
      </c>
      <c r="AR45" s="309">
        <v>0</v>
      </c>
      <c r="AS45" s="314">
        <v>0</v>
      </c>
      <c r="AT45" s="309"/>
      <c r="AU45" s="310"/>
      <c r="AV45" s="310"/>
      <c r="AW45" s="309"/>
    </row>
    <row r="46" spans="1:51" x14ac:dyDescent="0.2">
      <c r="A46" s="86">
        <f t="shared" si="4"/>
        <v>39</v>
      </c>
      <c r="B46" s="725"/>
      <c r="C46" s="726" t="s">
        <v>5</v>
      </c>
      <c r="D46" s="157"/>
      <c r="E46" s="122">
        <f>'Rates in Detail'!R38-'Rates in Detail'!N38</f>
        <v>3.3329999999999999E-2</v>
      </c>
      <c r="F46" s="122">
        <f>'Rates in Detail'!V38</f>
        <v>-4.6699999999999997E-3</v>
      </c>
      <c r="G46" s="157"/>
      <c r="H46" s="157"/>
      <c r="I46" s="373">
        <f>'Rev Req Proof Yr1'!H46</f>
        <v>0.13177</v>
      </c>
      <c r="J46" s="774">
        <f t="shared" si="11"/>
        <v>0.1651</v>
      </c>
      <c r="K46" s="157"/>
      <c r="L46" s="155"/>
      <c r="M46" s="156"/>
      <c r="N46" s="122"/>
      <c r="O46" s="122"/>
      <c r="P46" s="122"/>
      <c r="Q46" s="774"/>
      <c r="R46" s="157"/>
      <c r="S46" s="298">
        <f>'Rev Req Proof Yr1'!R46</f>
        <v>655939.80000000005</v>
      </c>
      <c r="T46" s="299"/>
      <c r="U46" s="300"/>
      <c r="V46" s="301"/>
      <c r="W46" s="157"/>
      <c r="X46" s="313">
        <f t="shared" si="127"/>
        <v>86433.187446000011</v>
      </c>
      <c r="Y46" s="309">
        <f t="shared" si="128"/>
        <v>0</v>
      </c>
      <c r="Z46" s="314">
        <f t="shared" si="129"/>
        <v>0</v>
      </c>
      <c r="AA46" s="309"/>
      <c r="AB46" s="313">
        <f t="shared" si="130"/>
        <v>108295.66098</v>
      </c>
      <c r="AC46" s="309">
        <f t="shared" si="131"/>
        <v>0</v>
      </c>
      <c r="AD46" s="314">
        <f t="shared" si="132"/>
        <v>0</v>
      </c>
      <c r="AE46" s="309"/>
      <c r="AF46" s="313">
        <f t="shared" si="133"/>
        <v>-3063.2388660000001</v>
      </c>
      <c r="AG46" s="309">
        <v>0</v>
      </c>
      <c r="AH46" s="314">
        <v>0</v>
      </c>
      <c r="AI46" s="309"/>
      <c r="AJ46" s="313">
        <f t="shared" si="134"/>
        <v>18799.23466799999</v>
      </c>
      <c r="AK46" s="309">
        <f t="shared" si="135"/>
        <v>0</v>
      </c>
      <c r="AL46" s="314">
        <f t="shared" si="136"/>
        <v>0</v>
      </c>
      <c r="AM46" s="309"/>
      <c r="AN46" s="338"/>
      <c r="AO46" s="340">
        <f>SUM(AJ46)/SUM(X46)</f>
        <v>0.21750018972451984</v>
      </c>
      <c r="AP46" s="309"/>
      <c r="AQ46" s="313">
        <f t="shared" si="137"/>
        <v>0</v>
      </c>
      <c r="AR46" s="309">
        <v>0</v>
      </c>
      <c r="AS46" s="314">
        <v>0</v>
      </c>
      <c r="AT46" s="309"/>
      <c r="AU46" s="310"/>
      <c r="AV46" s="310"/>
      <c r="AW46" s="309"/>
    </row>
    <row r="47" spans="1:51" x14ac:dyDescent="0.2">
      <c r="A47" s="86">
        <f t="shared" si="4"/>
        <v>40</v>
      </c>
      <c r="B47" s="725"/>
      <c r="C47" s="726" t="s">
        <v>6</v>
      </c>
      <c r="D47" s="157"/>
      <c r="E47" s="122">
        <f>'Rates in Detail'!R39-'Rates in Detail'!N39</f>
        <v>2.5550000000000003E-2</v>
      </c>
      <c r="F47" s="122">
        <f>'Rates in Detail'!V39</f>
        <v>-3.5799999999999998E-3</v>
      </c>
      <c r="G47" s="157"/>
      <c r="H47" s="157"/>
      <c r="I47" s="373">
        <f>'Rev Req Proof Yr1'!H47</f>
        <v>0.10105</v>
      </c>
      <c r="J47" s="774">
        <f t="shared" si="11"/>
        <v>0.12659999999999999</v>
      </c>
      <c r="K47" s="157"/>
      <c r="L47" s="155"/>
      <c r="M47" s="156"/>
      <c r="N47" s="122"/>
      <c r="O47" s="122"/>
      <c r="P47" s="122"/>
      <c r="Q47" s="774"/>
      <c r="R47" s="157"/>
      <c r="S47" s="298">
        <f>'Rev Req Proof Yr1'!R47</f>
        <v>81241.3</v>
      </c>
      <c r="T47" s="299"/>
      <c r="U47" s="300"/>
      <c r="V47" s="301"/>
      <c r="W47" s="157"/>
      <c r="X47" s="313">
        <f t="shared" si="127"/>
        <v>8209.4333650000008</v>
      </c>
      <c r="Y47" s="309">
        <f t="shared" si="128"/>
        <v>0</v>
      </c>
      <c r="Z47" s="314">
        <f t="shared" si="129"/>
        <v>0</v>
      </c>
      <c r="AA47" s="309"/>
      <c r="AB47" s="313">
        <f t="shared" si="130"/>
        <v>10285.148579999999</v>
      </c>
      <c r="AC47" s="309">
        <f t="shared" si="131"/>
        <v>0</v>
      </c>
      <c r="AD47" s="314">
        <f t="shared" si="132"/>
        <v>0</v>
      </c>
      <c r="AE47" s="309"/>
      <c r="AF47" s="313">
        <f t="shared" si="133"/>
        <v>-290.84385400000002</v>
      </c>
      <c r="AG47" s="309">
        <v>0</v>
      </c>
      <c r="AH47" s="314">
        <v>0</v>
      </c>
      <c r="AI47" s="309"/>
      <c r="AJ47" s="313">
        <f t="shared" si="134"/>
        <v>1784.8713609999984</v>
      </c>
      <c r="AK47" s="309">
        <f t="shared" si="135"/>
        <v>0</v>
      </c>
      <c r="AL47" s="314">
        <f t="shared" si="136"/>
        <v>0</v>
      </c>
      <c r="AM47" s="309"/>
      <c r="AN47" s="338"/>
      <c r="AO47" s="340">
        <f>SUM(AJ47)/SUM(X47)</f>
        <v>0.21741712023750598</v>
      </c>
      <c r="AP47" s="309"/>
      <c r="AQ47" s="313">
        <f t="shared" si="137"/>
        <v>0</v>
      </c>
      <c r="AR47" s="309">
        <v>0</v>
      </c>
      <c r="AS47" s="314">
        <v>0</v>
      </c>
      <c r="AT47" s="309"/>
      <c r="AU47" s="310"/>
      <c r="AV47" s="310"/>
      <c r="AW47" s="309"/>
    </row>
    <row r="48" spans="1:51" x14ac:dyDescent="0.2">
      <c r="A48" s="86">
        <f t="shared" si="4"/>
        <v>41</v>
      </c>
      <c r="B48" s="725"/>
      <c r="C48" s="726" t="s">
        <v>7</v>
      </c>
      <c r="D48" s="157"/>
      <c r="E48" s="122">
        <f>'Rates in Detail'!R40-'Rates in Detail'!N40</f>
        <v>2.0449999999999996E-2</v>
      </c>
      <c r="F48" s="122">
        <f>'Rates in Detail'!V40</f>
        <v>-2.8600000000000001E-3</v>
      </c>
      <c r="G48" s="157"/>
      <c r="H48" s="157"/>
      <c r="I48" s="373">
        <f>'Rev Req Proof Yr1'!H48</f>
        <v>8.0839999999999995E-2</v>
      </c>
      <c r="J48" s="774">
        <f t="shared" si="11"/>
        <v>0.10128999999999999</v>
      </c>
      <c r="K48" s="157"/>
      <c r="L48" s="155"/>
      <c r="M48" s="156"/>
      <c r="N48" s="122"/>
      <c r="O48" s="122"/>
      <c r="P48" s="122"/>
      <c r="Q48" s="774"/>
      <c r="R48" s="157"/>
      <c r="S48" s="298">
        <f>'Rev Req Proof Yr1'!R48</f>
        <v>9320.1</v>
      </c>
      <c r="T48" s="299"/>
      <c r="U48" s="300"/>
      <c r="V48" s="301"/>
      <c r="W48" s="157"/>
      <c r="X48" s="313">
        <f t="shared" si="127"/>
        <v>753.43688399999996</v>
      </c>
      <c r="Y48" s="309">
        <f t="shared" si="128"/>
        <v>0</v>
      </c>
      <c r="Z48" s="314">
        <f t="shared" si="129"/>
        <v>0</v>
      </c>
      <c r="AA48" s="309"/>
      <c r="AB48" s="313">
        <f t="shared" si="130"/>
        <v>944.03292899999997</v>
      </c>
      <c r="AC48" s="309">
        <f t="shared" si="131"/>
        <v>0</v>
      </c>
      <c r="AD48" s="314">
        <f t="shared" si="132"/>
        <v>0</v>
      </c>
      <c r="AE48" s="309"/>
      <c r="AF48" s="313">
        <f t="shared" si="133"/>
        <v>-26.655486000000003</v>
      </c>
      <c r="AG48" s="309">
        <v>0</v>
      </c>
      <c r="AH48" s="314">
        <v>0</v>
      </c>
      <c r="AI48" s="309"/>
      <c r="AJ48" s="313">
        <f t="shared" si="134"/>
        <v>163.94055900000001</v>
      </c>
      <c r="AK48" s="309">
        <f t="shared" si="135"/>
        <v>0</v>
      </c>
      <c r="AL48" s="314">
        <f t="shared" si="136"/>
        <v>0</v>
      </c>
      <c r="AM48" s="309"/>
      <c r="AN48" s="338"/>
      <c r="AO48" s="340">
        <f>SUM(AJ48)/SUM(X48)</f>
        <v>0.21759030183077685</v>
      </c>
      <c r="AP48" s="309"/>
      <c r="AQ48" s="313">
        <f t="shared" si="137"/>
        <v>0</v>
      </c>
      <c r="AR48" s="309">
        <v>0</v>
      </c>
      <c r="AS48" s="314">
        <v>0</v>
      </c>
      <c r="AT48" s="309"/>
      <c r="AU48" s="310"/>
      <c r="AV48" s="310"/>
      <c r="AW48" s="309"/>
    </row>
    <row r="49" spans="1:49" x14ac:dyDescent="0.2">
      <c r="A49" s="86">
        <f t="shared" si="4"/>
        <v>42</v>
      </c>
      <c r="B49" s="725"/>
      <c r="C49" s="726" t="s">
        <v>8</v>
      </c>
      <c r="D49" s="157"/>
      <c r="E49" s="122">
        <f>'Rates in Detail'!R41-'Rates in Detail'!N41</f>
        <v>1.3630000000000003E-2</v>
      </c>
      <c r="F49" s="122">
        <f>'Rates in Detail'!V41</f>
        <v>-1.91E-3</v>
      </c>
      <c r="G49" s="157"/>
      <c r="H49" s="157"/>
      <c r="I49" s="373">
        <f>'Rev Req Proof Yr1'!H49</f>
        <v>5.391E-2</v>
      </c>
      <c r="J49" s="774">
        <f t="shared" si="11"/>
        <v>6.7540000000000003E-2</v>
      </c>
      <c r="K49" s="157"/>
      <c r="L49" s="155"/>
      <c r="M49" s="156"/>
      <c r="N49" s="122"/>
      <c r="O49" s="122"/>
      <c r="P49" s="122"/>
      <c r="Q49" s="774"/>
      <c r="R49" s="157"/>
      <c r="S49" s="298">
        <f>'Rev Req Proof Yr1'!R49</f>
        <v>0</v>
      </c>
      <c r="T49" s="299"/>
      <c r="U49" s="300"/>
      <c r="V49" s="301"/>
      <c r="W49" s="157"/>
      <c r="X49" s="313">
        <f t="shared" si="127"/>
        <v>0</v>
      </c>
      <c r="Y49" s="309">
        <f t="shared" si="128"/>
        <v>0</v>
      </c>
      <c r="Z49" s="314">
        <f t="shared" si="129"/>
        <v>0</v>
      </c>
      <c r="AA49" s="309"/>
      <c r="AB49" s="313">
        <f t="shared" si="130"/>
        <v>0</v>
      </c>
      <c r="AC49" s="309">
        <f t="shared" si="131"/>
        <v>0</v>
      </c>
      <c r="AD49" s="314">
        <f t="shared" si="132"/>
        <v>0</v>
      </c>
      <c r="AE49" s="309"/>
      <c r="AF49" s="313">
        <f t="shared" si="133"/>
        <v>0</v>
      </c>
      <c r="AG49" s="309">
        <v>0</v>
      </c>
      <c r="AH49" s="314">
        <v>0</v>
      </c>
      <c r="AI49" s="309"/>
      <c r="AJ49" s="313">
        <f t="shared" si="134"/>
        <v>0</v>
      </c>
      <c r="AK49" s="309">
        <f t="shared" si="135"/>
        <v>0</v>
      </c>
      <c r="AL49" s="314">
        <f t="shared" si="136"/>
        <v>0</v>
      </c>
      <c r="AM49" s="309"/>
      <c r="AN49" s="338"/>
      <c r="AO49" s="340">
        <f>AO48</f>
        <v>0.21759030183077685</v>
      </c>
      <c r="AP49" s="309"/>
      <c r="AQ49" s="313">
        <f t="shared" si="137"/>
        <v>0</v>
      </c>
      <c r="AR49" s="309">
        <v>0</v>
      </c>
      <c r="AS49" s="314">
        <v>0</v>
      </c>
      <c r="AT49" s="309"/>
      <c r="AU49" s="310"/>
      <c r="AV49" s="310"/>
      <c r="AW49" s="309"/>
    </row>
    <row r="50" spans="1:49" x14ac:dyDescent="0.2">
      <c r="A50" s="86">
        <f t="shared" si="4"/>
        <v>43</v>
      </c>
      <c r="B50" s="725"/>
      <c r="C50" s="726" t="s">
        <v>9</v>
      </c>
      <c r="D50" s="157"/>
      <c r="E50" s="122">
        <f>'Rates in Detail'!R42-'Rates in Detail'!N42</f>
        <v>5.11E-3</v>
      </c>
      <c r="F50" s="122">
        <f>'Rates in Detail'!V42</f>
        <v>-7.2000000000000005E-4</v>
      </c>
      <c r="G50" s="157"/>
      <c r="H50" s="157"/>
      <c r="I50" s="373">
        <f>'Rev Req Proof Yr1'!H50</f>
        <v>2.0199999999999999E-2</v>
      </c>
      <c r="J50" s="774">
        <f t="shared" si="11"/>
        <v>2.5309999999999999E-2</v>
      </c>
      <c r="K50" s="157"/>
      <c r="L50" s="155"/>
      <c r="M50" s="156"/>
      <c r="N50" s="122"/>
      <c r="O50" s="122"/>
      <c r="P50" s="122"/>
      <c r="Q50" s="774"/>
      <c r="R50" s="157"/>
      <c r="S50" s="298">
        <f>'Rev Req Proof Yr1'!R50</f>
        <v>0</v>
      </c>
      <c r="T50" s="299"/>
      <c r="U50" s="300"/>
      <c r="V50" s="301"/>
      <c r="W50" s="157"/>
      <c r="X50" s="313">
        <f t="shared" si="127"/>
        <v>0</v>
      </c>
      <c r="Y50" s="309">
        <f t="shared" si="128"/>
        <v>0</v>
      </c>
      <c r="Z50" s="314">
        <f t="shared" si="129"/>
        <v>0</v>
      </c>
      <c r="AA50" s="309"/>
      <c r="AB50" s="313">
        <f t="shared" si="130"/>
        <v>0</v>
      </c>
      <c r="AC50" s="309">
        <f t="shared" si="131"/>
        <v>0</v>
      </c>
      <c r="AD50" s="314">
        <f t="shared" si="132"/>
        <v>0</v>
      </c>
      <c r="AE50" s="309"/>
      <c r="AF50" s="313">
        <f t="shared" si="133"/>
        <v>0</v>
      </c>
      <c r="AG50" s="309">
        <v>0</v>
      </c>
      <c r="AH50" s="314">
        <v>0</v>
      </c>
      <c r="AI50" s="309"/>
      <c r="AJ50" s="313">
        <f t="shared" si="134"/>
        <v>0</v>
      </c>
      <c r="AK50" s="309">
        <f t="shared" si="135"/>
        <v>0</v>
      </c>
      <c r="AL50" s="314">
        <f t="shared" si="136"/>
        <v>0</v>
      </c>
      <c r="AM50" s="309"/>
      <c r="AN50" s="338"/>
      <c r="AO50" s="340">
        <f>AO49</f>
        <v>0.21759030183077685</v>
      </c>
      <c r="AP50" s="309"/>
      <c r="AQ50" s="313">
        <f t="shared" si="137"/>
        <v>0</v>
      </c>
      <c r="AR50" s="309">
        <v>0</v>
      </c>
      <c r="AS50" s="314">
        <v>0</v>
      </c>
      <c r="AT50" s="309"/>
      <c r="AU50" s="310"/>
      <c r="AV50" s="310"/>
      <c r="AW50" s="309"/>
    </row>
    <row r="51" spans="1:49" x14ac:dyDescent="0.2">
      <c r="A51" s="86">
        <f t="shared" si="4"/>
        <v>44</v>
      </c>
      <c r="B51" s="723"/>
      <c r="C51" s="742" t="s">
        <v>78</v>
      </c>
      <c r="D51" s="153"/>
      <c r="E51" s="123"/>
      <c r="F51" s="123"/>
      <c r="G51" s="153"/>
      <c r="H51" s="153"/>
      <c r="I51" s="368"/>
      <c r="J51" s="773"/>
      <c r="K51" s="157"/>
      <c r="L51" s="155"/>
      <c r="M51" s="156"/>
      <c r="N51" s="122"/>
      <c r="O51" s="122"/>
      <c r="P51" s="122"/>
      <c r="Q51" s="774"/>
      <c r="R51" s="157"/>
      <c r="S51" s="298"/>
      <c r="T51" s="299"/>
      <c r="U51" s="300"/>
      <c r="V51" s="301"/>
      <c r="W51" s="157"/>
      <c r="X51" s="315">
        <f>SUM(X45:X50)</f>
        <v>256403.19717700002</v>
      </c>
      <c r="Y51" s="316">
        <f>SUM(Y45:Y50)</f>
        <v>185900</v>
      </c>
      <c r="Z51" s="317">
        <f>SUM(Z45:Z50)</f>
        <v>41468.835359999997</v>
      </c>
      <c r="AA51" s="309"/>
      <c r="AB51" s="315">
        <f>SUM(AB45:AB50)</f>
        <v>321251.33393700002</v>
      </c>
      <c r="AC51" s="316">
        <f>SUM(AC45:AC50)</f>
        <v>185900</v>
      </c>
      <c r="AD51" s="317">
        <f>SUM(AD45:AD50)</f>
        <v>41468.835359999997</v>
      </c>
      <c r="AE51" s="309"/>
      <c r="AF51" s="315">
        <f>SUM(AF45:AF50)</f>
        <v>-9079.0412880000022</v>
      </c>
      <c r="AG51" s="316">
        <f>SUM(AG45:AG50)</f>
        <v>0</v>
      </c>
      <c r="AH51" s="317">
        <f>SUM(AH45:AH50)</f>
        <v>0</v>
      </c>
      <c r="AI51" s="309"/>
      <c r="AJ51" s="315">
        <f>SUM(AJ45:AJ50)</f>
        <v>55769.095472000008</v>
      </c>
      <c r="AK51" s="316">
        <f>SUM(AK45:AK50)</f>
        <v>0</v>
      </c>
      <c r="AL51" s="317">
        <f>SUM(AL45:AL50)</f>
        <v>0</v>
      </c>
      <c r="AM51" s="309"/>
      <c r="AN51" s="338">
        <f>SUM(AJ51:AL51)/SUM(X51:Z51)</f>
        <v>0.11527970143196456</v>
      </c>
      <c r="AO51" s="339">
        <f t="shared" ref="AO51:AO56" si="138">SUM(AJ51)/SUM(X51)</f>
        <v>0.21750546048574246</v>
      </c>
      <c r="AP51" s="309"/>
      <c r="AQ51" s="315">
        <f>SUM(AQ45:AQ50)</f>
        <v>0</v>
      </c>
      <c r="AR51" s="316">
        <f>SUM(AR45:AR50)</f>
        <v>0</v>
      </c>
      <c r="AS51" s="317">
        <f>SUM(AS45:AS50)</f>
        <v>0</v>
      </c>
      <c r="AT51" s="309"/>
      <c r="AU51" s="310"/>
      <c r="AV51" s="310"/>
      <c r="AW51" s="309"/>
    </row>
    <row r="52" spans="1:49" x14ac:dyDescent="0.2">
      <c r="A52" s="86">
        <f t="shared" si="4"/>
        <v>45</v>
      </c>
      <c r="B52" s="725" t="str">
        <f>'WA Volumes &amp; Revenues'!B45</f>
        <v>42C Firm Transpt</v>
      </c>
      <c r="C52" s="726" t="s">
        <v>4</v>
      </c>
      <c r="D52" s="157"/>
      <c r="E52" s="122">
        <f>'Rates in Detail'!R43-'Rates in Detail'!N43</f>
        <v>2.3650000000000004E-2</v>
      </c>
      <c r="F52" s="122">
        <f>'Rates in Detail'!V43</f>
        <v>-3.31E-3</v>
      </c>
      <c r="G52" s="157"/>
      <c r="H52" s="157"/>
      <c r="I52" s="373">
        <f>'Rev Req Proof Yr1'!H52</f>
        <v>0.13791999999999999</v>
      </c>
      <c r="J52" s="774">
        <f t="shared" si="11"/>
        <v>0.16156999999999999</v>
      </c>
      <c r="K52" s="157"/>
      <c r="L52" s="155">
        <f>'Rev Req Proof Yr1'!K52</f>
        <v>1550</v>
      </c>
      <c r="M52" s="156">
        <f>'Rev Req Proof Yr1'!L52</f>
        <v>1550</v>
      </c>
      <c r="N52" s="122">
        <f>'Rev Req Proof Yr1'!M52</f>
        <v>0.15748000000000001</v>
      </c>
      <c r="O52" s="122">
        <f>'Rev Req Proof Yr1'!N52</f>
        <v>0.15748000000000001</v>
      </c>
      <c r="P52" s="122">
        <f>'Rev Req Proof Yr1'!O52</f>
        <v>0</v>
      </c>
      <c r="Q52" s="774">
        <f>'Rev Req Proof Yr1'!P52</f>
        <v>0</v>
      </c>
      <c r="R52" s="157"/>
      <c r="S52" s="298">
        <f>'Rev Req Proof Yr1'!R52</f>
        <v>480000</v>
      </c>
      <c r="T52" s="299">
        <f>'Rev Req Proof Yr1'!S52</f>
        <v>10479</v>
      </c>
      <c r="U52" s="300">
        <f>'Rev Req Proof Yr1'!T52</f>
        <v>4</v>
      </c>
      <c r="V52" s="301">
        <f>'Rev Req Proof Yr1'!U52</f>
        <v>51470</v>
      </c>
      <c r="W52" s="157"/>
      <c r="X52" s="313">
        <f t="shared" ref="X52:X57" si="139">(I52*S52)</f>
        <v>66201.599999999991</v>
      </c>
      <c r="Y52" s="309">
        <f t="shared" ref="Y52:Y57" si="140">(L52*U52*12)</f>
        <v>74400</v>
      </c>
      <c r="Z52" s="314">
        <f t="shared" ref="Z52:Z57" si="141">(T52*(N52+P52))*12</f>
        <v>19802.795040000001</v>
      </c>
      <c r="AA52" s="309"/>
      <c r="AB52" s="313">
        <f t="shared" ref="AB52:AB57" si="142">(J52*S52)</f>
        <v>77553.599999999991</v>
      </c>
      <c r="AC52" s="309">
        <f t="shared" ref="AC52:AC57" si="143">(M52*U52*12)</f>
        <v>74400</v>
      </c>
      <c r="AD52" s="314">
        <f t="shared" ref="AD52:AD57" si="144">(T52*(O52+Q52))*12</f>
        <v>19802.795040000001</v>
      </c>
      <c r="AE52" s="309"/>
      <c r="AF52" s="313">
        <f t="shared" ref="AF52:AF57" si="145">(F52*S52)</f>
        <v>-1588.8</v>
      </c>
      <c r="AG52" s="309">
        <v>0</v>
      </c>
      <c r="AH52" s="314">
        <v>0</v>
      </c>
      <c r="AI52" s="309"/>
      <c r="AJ52" s="313">
        <f t="shared" ref="AJ52:AJ57" si="146">AB52-X52+AF52</f>
        <v>9763.2000000000007</v>
      </c>
      <c r="AK52" s="309">
        <f t="shared" ref="AK52:AK57" si="147">AC52-Y52-AG52</f>
        <v>0</v>
      </c>
      <c r="AL52" s="314">
        <f t="shared" ref="AL52:AL57" si="148">AD52-Z52-AH52</f>
        <v>0</v>
      </c>
      <c r="AM52" s="309"/>
      <c r="AN52" s="338"/>
      <c r="AO52" s="340">
        <f t="shared" si="138"/>
        <v>0.14747679814385153</v>
      </c>
      <c r="AP52" s="309"/>
      <c r="AQ52" s="313">
        <f t="shared" ref="AQ52:AQ57" si="149">(G52*S52)</f>
        <v>0</v>
      </c>
      <c r="AR52" s="309">
        <v>0</v>
      </c>
      <c r="AS52" s="314">
        <v>0</v>
      </c>
      <c r="AT52" s="309"/>
      <c r="AU52" s="310"/>
      <c r="AV52" s="310"/>
      <c r="AW52" s="309"/>
    </row>
    <row r="53" spans="1:49" x14ac:dyDescent="0.2">
      <c r="A53" s="86">
        <f t="shared" si="4"/>
        <v>46</v>
      </c>
      <c r="B53" s="725"/>
      <c r="C53" s="726" t="s">
        <v>5</v>
      </c>
      <c r="D53" s="157"/>
      <c r="E53" s="122">
        <f>'Rates in Detail'!R44-'Rates in Detail'!N44</f>
        <v>2.1170000000000008E-2</v>
      </c>
      <c r="F53" s="122">
        <f>'Rates in Detail'!V44</f>
        <v>-2.96E-3</v>
      </c>
      <c r="G53" s="157"/>
      <c r="H53" s="157"/>
      <c r="I53" s="373">
        <f>'Rev Req Proof Yr1'!H53</f>
        <v>0.12347</v>
      </c>
      <c r="J53" s="774">
        <f t="shared" si="11"/>
        <v>0.14463999999999999</v>
      </c>
      <c r="K53" s="157"/>
      <c r="L53" s="155"/>
      <c r="M53" s="156"/>
      <c r="N53" s="122"/>
      <c r="O53" s="122"/>
      <c r="P53" s="122"/>
      <c r="Q53" s="774"/>
      <c r="R53" s="157"/>
      <c r="S53" s="298">
        <f>'Rev Req Proof Yr1'!R53</f>
        <v>807846</v>
      </c>
      <c r="T53" s="299"/>
      <c r="U53" s="300"/>
      <c r="V53" s="301"/>
      <c r="W53" s="157"/>
      <c r="X53" s="313">
        <f t="shared" si="139"/>
        <v>99744.745620000002</v>
      </c>
      <c r="Y53" s="309">
        <f t="shared" si="140"/>
        <v>0</v>
      </c>
      <c r="Z53" s="314">
        <f t="shared" si="141"/>
        <v>0</v>
      </c>
      <c r="AA53" s="309"/>
      <c r="AB53" s="313">
        <f t="shared" si="142"/>
        <v>116846.84543999999</v>
      </c>
      <c r="AC53" s="309">
        <f t="shared" si="143"/>
        <v>0</v>
      </c>
      <c r="AD53" s="314">
        <f t="shared" si="144"/>
        <v>0</v>
      </c>
      <c r="AE53" s="309"/>
      <c r="AF53" s="313">
        <f t="shared" si="145"/>
        <v>-2391.2241599999998</v>
      </c>
      <c r="AG53" s="309">
        <v>0</v>
      </c>
      <c r="AH53" s="314">
        <v>0</v>
      </c>
      <c r="AI53" s="309"/>
      <c r="AJ53" s="313">
        <f t="shared" si="146"/>
        <v>14710.875659999989</v>
      </c>
      <c r="AK53" s="309">
        <f t="shared" si="147"/>
        <v>0</v>
      </c>
      <c r="AL53" s="314">
        <f t="shared" si="148"/>
        <v>0</v>
      </c>
      <c r="AM53" s="309"/>
      <c r="AN53" s="338"/>
      <c r="AO53" s="340">
        <f t="shared" si="138"/>
        <v>0.14748521908155815</v>
      </c>
      <c r="AP53" s="309"/>
      <c r="AQ53" s="313">
        <f t="shared" si="149"/>
        <v>0</v>
      </c>
      <c r="AR53" s="309">
        <v>0</v>
      </c>
      <c r="AS53" s="314">
        <v>0</v>
      </c>
      <c r="AT53" s="309"/>
      <c r="AU53" s="310"/>
      <c r="AV53" s="310"/>
      <c r="AW53" s="309"/>
    </row>
    <row r="54" spans="1:49" x14ac:dyDescent="0.2">
      <c r="A54" s="86">
        <f t="shared" si="4"/>
        <v>47</v>
      </c>
      <c r="B54" s="725"/>
      <c r="C54" s="726" t="s">
        <v>6</v>
      </c>
      <c r="D54" s="157"/>
      <c r="E54" s="122">
        <f>'Rates in Detail'!R45-'Rates in Detail'!N45</f>
        <v>1.6239999999999991E-2</v>
      </c>
      <c r="F54" s="122">
        <f>'Rates in Detail'!V45</f>
        <v>-2.2699999999999999E-3</v>
      </c>
      <c r="G54" s="157"/>
      <c r="H54" s="157"/>
      <c r="I54" s="373">
        <f>'Rev Req Proof Yr1'!H54</f>
        <v>9.4670000000000004E-2</v>
      </c>
      <c r="J54" s="774">
        <f t="shared" si="11"/>
        <v>0.11090999999999999</v>
      </c>
      <c r="K54" s="157"/>
      <c r="L54" s="155"/>
      <c r="M54" s="156"/>
      <c r="N54" s="122"/>
      <c r="O54" s="122"/>
      <c r="P54" s="122"/>
      <c r="Q54" s="774"/>
      <c r="R54" s="157"/>
      <c r="S54" s="298">
        <f>'Rev Req Proof Yr1'!R54</f>
        <v>583779</v>
      </c>
      <c r="T54" s="299"/>
      <c r="U54" s="300"/>
      <c r="V54" s="301"/>
      <c r="W54" s="157"/>
      <c r="X54" s="313">
        <f t="shared" si="139"/>
        <v>55266.357930000006</v>
      </c>
      <c r="Y54" s="309">
        <f t="shared" si="140"/>
        <v>0</v>
      </c>
      <c r="Z54" s="314">
        <f t="shared" si="141"/>
        <v>0</v>
      </c>
      <c r="AA54" s="309"/>
      <c r="AB54" s="313">
        <f t="shared" si="142"/>
        <v>64746.928889999996</v>
      </c>
      <c r="AC54" s="309">
        <f t="shared" si="143"/>
        <v>0</v>
      </c>
      <c r="AD54" s="314">
        <f t="shared" si="144"/>
        <v>0</v>
      </c>
      <c r="AE54" s="309"/>
      <c r="AF54" s="313">
        <f t="shared" si="145"/>
        <v>-1325.17833</v>
      </c>
      <c r="AG54" s="309">
        <v>0</v>
      </c>
      <c r="AH54" s="314">
        <v>0</v>
      </c>
      <c r="AI54" s="309"/>
      <c r="AJ54" s="313">
        <f t="shared" si="146"/>
        <v>8155.3926299999903</v>
      </c>
      <c r="AK54" s="309">
        <f t="shared" si="147"/>
        <v>0</v>
      </c>
      <c r="AL54" s="314">
        <f t="shared" si="148"/>
        <v>0</v>
      </c>
      <c r="AM54" s="309"/>
      <c r="AN54" s="338"/>
      <c r="AO54" s="340">
        <f t="shared" si="138"/>
        <v>0.14756522657652882</v>
      </c>
      <c r="AP54" s="309"/>
      <c r="AQ54" s="313">
        <f t="shared" si="149"/>
        <v>0</v>
      </c>
      <c r="AR54" s="309">
        <v>0</v>
      </c>
      <c r="AS54" s="314">
        <v>0</v>
      </c>
      <c r="AT54" s="309"/>
      <c r="AU54" s="310"/>
      <c r="AV54" s="310"/>
      <c r="AW54" s="309"/>
    </row>
    <row r="55" spans="1:49" x14ac:dyDescent="0.2">
      <c r="A55" s="86">
        <f t="shared" si="4"/>
        <v>48</v>
      </c>
      <c r="B55" s="725"/>
      <c r="C55" s="726" t="s">
        <v>7</v>
      </c>
      <c r="D55" s="157"/>
      <c r="E55" s="122">
        <f>'Rates in Detail'!R46-'Rates in Detail'!N46</f>
        <v>1.2990000000000002E-2</v>
      </c>
      <c r="F55" s="122">
        <f>'Rates in Detail'!V46</f>
        <v>-1.82E-3</v>
      </c>
      <c r="G55" s="157"/>
      <c r="H55" s="157"/>
      <c r="I55" s="373">
        <f>'Rev Req Proof Yr1'!H55</f>
        <v>7.5749999999999998E-2</v>
      </c>
      <c r="J55" s="774">
        <f t="shared" si="11"/>
        <v>8.8739999999999999E-2</v>
      </c>
      <c r="K55" s="157"/>
      <c r="L55" s="155"/>
      <c r="M55" s="156"/>
      <c r="N55" s="122"/>
      <c r="O55" s="122"/>
      <c r="P55" s="122"/>
      <c r="Q55" s="774"/>
      <c r="R55" s="157"/>
      <c r="S55" s="298">
        <f>'Rev Req Proof Yr1'!R55</f>
        <v>598933</v>
      </c>
      <c r="T55" s="299"/>
      <c r="U55" s="300"/>
      <c r="V55" s="301"/>
      <c r="W55" s="157"/>
      <c r="X55" s="313">
        <f t="shared" si="139"/>
        <v>45369.174749999998</v>
      </c>
      <c r="Y55" s="309">
        <f t="shared" si="140"/>
        <v>0</v>
      </c>
      <c r="Z55" s="314">
        <f t="shared" si="141"/>
        <v>0</v>
      </c>
      <c r="AA55" s="309"/>
      <c r="AB55" s="313">
        <f t="shared" si="142"/>
        <v>53149.314420000002</v>
      </c>
      <c r="AC55" s="309">
        <f t="shared" si="143"/>
        <v>0</v>
      </c>
      <c r="AD55" s="314">
        <f t="shared" si="144"/>
        <v>0</v>
      </c>
      <c r="AE55" s="309"/>
      <c r="AF55" s="313">
        <f t="shared" si="145"/>
        <v>-1090.0580600000001</v>
      </c>
      <c r="AG55" s="309">
        <v>0</v>
      </c>
      <c r="AH55" s="314">
        <v>0</v>
      </c>
      <c r="AI55" s="309"/>
      <c r="AJ55" s="313">
        <f t="shared" si="146"/>
        <v>6690.0816100000038</v>
      </c>
      <c r="AK55" s="309">
        <f t="shared" si="147"/>
        <v>0</v>
      </c>
      <c r="AL55" s="314">
        <f t="shared" si="148"/>
        <v>0</v>
      </c>
      <c r="AM55" s="309"/>
      <c r="AN55" s="338"/>
      <c r="AO55" s="340">
        <f t="shared" si="138"/>
        <v>0.14745874587458754</v>
      </c>
      <c r="AP55" s="309"/>
      <c r="AQ55" s="313">
        <f t="shared" si="149"/>
        <v>0</v>
      </c>
      <c r="AR55" s="309">
        <v>0</v>
      </c>
      <c r="AS55" s="314">
        <v>0</v>
      </c>
      <c r="AT55" s="309"/>
      <c r="AU55" s="310"/>
      <c r="AV55" s="310"/>
      <c r="AW55" s="309"/>
    </row>
    <row r="56" spans="1:49" x14ac:dyDescent="0.2">
      <c r="A56" s="86">
        <f t="shared" si="4"/>
        <v>49</v>
      </c>
      <c r="B56" s="725"/>
      <c r="C56" s="726" t="s">
        <v>8</v>
      </c>
      <c r="D56" s="157"/>
      <c r="E56" s="122">
        <f>'Rates in Detail'!R47-'Rates in Detail'!N47</f>
        <v>8.660000000000001E-3</v>
      </c>
      <c r="F56" s="122">
        <f>'Rates in Detail'!V47</f>
        <v>-1.2099999999999999E-3</v>
      </c>
      <c r="G56" s="157"/>
      <c r="H56" s="157"/>
      <c r="I56" s="373">
        <f>'Rev Req Proof Yr1'!H56</f>
        <v>5.0500000000000003E-2</v>
      </c>
      <c r="J56" s="774">
        <f t="shared" si="11"/>
        <v>5.9160000000000004E-2</v>
      </c>
      <c r="K56" s="157"/>
      <c r="L56" s="155"/>
      <c r="M56" s="156"/>
      <c r="N56" s="122"/>
      <c r="O56" s="122"/>
      <c r="P56" s="122"/>
      <c r="Q56" s="774"/>
      <c r="R56" s="157"/>
      <c r="S56" s="298">
        <f>'Rev Req Proof Yr1'!R56</f>
        <v>0</v>
      </c>
      <c r="T56" s="299"/>
      <c r="U56" s="300"/>
      <c r="V56" s="301"/>
      <c r="W56" s="157"/>
      <c r="X56" s="313">
        <f t="shared" si="139"/>
        <v>0</v>
      </c>
      <c r="Y56" s="309">
        <f t="shared" si="140"/>
        <v>0</v>
      </c>
      <c r="Z56" s="314">
        <f t="shared" si="141"/>
        <v>0</v>
      </c>
      <c r="AA56" s="309"/>
      <c r="AB56" s="313">
        <f t="shared" si="142"/>
        <v>0</v>
      </c>
      <c r="AC56" s="309">
        <f t="shared" si="143"/>
        <v>0</v>
      </c>
      <c r="AD56" s="314">
        <f t="shared" si="144"/>
        <v>0</v>
      </c>
      <c r="AE56" s="309"/>
      <c r="AF56" s="313">
        <f t="shared" si="145"/>
        <v>0</v>
      </c>
      <c r="AG56" s="309">
        <v>0</v>
      </c>
      <c r="AH56" s="314">
        <v>0</v>
      </c>
      <c r="AI56" s="309"/>
      <c r="AJ56" s="313">
        <f t="shared" si="146"/>
        <v>0</v>
      </c>
      <c r="AK56" s="309">
        <f t="shared" si="147"/>
        <v>0</v>
      </c>
      <c r="AL56" s="314">
        <f t="shared" si="148"/>
        <v>0</v>
      </c>
      <c r="AM56" s="309"/>
      <c r="AN56" s="338"/>
      <c r="AO56" s="340" t="e">
        <f t="shared" si="138"/>
        <v>#DIV/0!</v>
      </c>
      <c r="AP56" s="309"/>
      <c r="AQ56" s="313">
        <f t="shared" si="149"/>
        <v>0</v>
      </c>
      <c r="AR56" s="309">
        <v>0</v>
      </c>
      <c r="AS56" s="314">
        <v>0</v>
      </c>
      <c r="AT56" s="309"/>
      <c r="AU56" s="310"/>
      <c r="AV56" s="310"/>
      <c r="AW56" s="309"/>
    </row>
    <row r="57" spans="1:49" x14ac:dyDescent="0.2">
      <c r="A57" s="86">
        <f t="shared" si="4"/>
        <v>50</v>
      </c>
      <c r="B57" s="725"/>
      <c r="C57" s="726" t="s">
        <v>9</v>
      </c>
      <c r="D57" s="157"/>
      <c r="E57" s="122">
        <f>'Rates in Detail'!R48-'Rates in Detail'!N48</f>
        <v>3.2499999999999994E-3</v>
      </c>
      <c r="F57" s="122">
        <f>'Rates in Detail'!V48</f>
        <v>-4.4999999999999999E-4</v>
      </c>
      <c r="G57" s="157"/>
      <c r="H57" s="157"/>
      <c r="I57" s="373">
        <f>'Rev Req Proof Yr1'!H57</f>
        <v>1.8929999999999999E-2</v>
      </c>
      <c r="J57" s="774">
        <f t="shared" si="11"/>
        <v>2.2179999999999998E-2</v>
      </c>
      <c r="K57" s="157"/>
      <c r="L57" s="155"/>
      <c r="M57" s="156"/>
      <c r="N57" s="122"/>
      <c r="O57" s="122"/>
      <c r="P57" s="122"/>
      <c r="Q57" s="774"/>
      <c r="R57" s="157"/>
      <c r="S57" s="298">
        <f>'Rev Req Proof Yr1'!R57</f>
        <v>0</v>
      </c>
      <c r="T57" s="299"/>
      <c r="U57" s="300"/>
      <c r="V57" s="301"/>
      <c r="W57" s="157"/>
      <c r="X57" s="313">
        <f t="shared" si="139"/>
        <v>0</v>
      </c>
      <c r="Y57" s="309">
        <f t="shared" si="140"/>
        <v>0</v>
      </c>
      <c r="Z57" s="314">
        <f t="shared" si="141"/>
        <v>0</v>
      </c>
      <c r="AA57" s="309"/>
      <c r="AB57" s="313">
        <f t="shared" si="142"/>
        <v>0</v>
      </c>
      <c r="AC57" s="309">
        <f t="shared" si="143"/>
        <v>0</v>
      </c>
      <c r="AD57" s="314">
        <f t="shared" si="144"/>
        <v>0</v>
      </c>
      <c r="AE57" s="309"/>
      <c r="AF57" s="313">
        <f t="shared" si="145"/>
        <v>0</v>
      </c>
      <c r="AG57" s="309">
        <v>0</v>
      </c>
      <c r="AH57" s="314">
        <v>0</v>
      </c>
      <c r="AI57" s="309"/>
      <c r="AJ57" s="313">
        <f t="shared" si="146"/>
        <v>0</v>
      </c>
      <c r="AK57" s="309">
        <f t="shared" si="147"/>
        <v>0</v>
      </c>
      <c r="AL57" s="314">
        <f t="shared" si="148"/>
        <v>0</v>
      </c>
      <c r="AM57" s="309"/>
      <c r="AN57" s="338"/>
      <c r="AO57" s="340" t="e">
        <f>AO56</f>
        <v>#DIV/0!</v>
      </c>
      <c r="AP57" s="309"/>
      <c r="AQ57" s="313">
        <f t="shared" si="149"/>
        <v>0</v>
      </c>
      <c r="AR57" s="309">
        <v>0</v>
      </c>
      <c r="AS57" s="314">
        <v>0</v>
      </c>
      <c r="AT57" s="309"/>
      <c r="AU57" s="318"/>
      <c r="AV57" s="310"/>
      <c r="AW57" s="309"/>
    </row>
    <row r="58" spans="1:49" x14ac:dyDescent="0.2">
      <c r="A58" s="86">
        <f t="shared" si="4"/>
        <v>51</v>
      </c>
      <c r="B58" s="723"/>
      <c r="C58" s="742" t="s">
        <v>78</v>
      </c>
      <c r="D58" s="153"/>
      <c r="E58" s="123"/>
      <c r="F58" s="123"/>
      <c r="G58" s="153"/>
      <c r="H58" s="153"/>
      <c r="I58" s="368"/>
      <c r="J58" s="773"/>
      <c r="K58" s="157"/>
      <c r="L58" s="155"/>
      <c r="M58" s="156"/>
      <c r="N58" s="122"/>
      <c r="O58" s="122"/>
      <c r="P58" s="122"/>
      <c r="Q58" s="774"/>
      <c r="R58" s="157"/>
      <c r="S58" s="298"/>
      <c r="T58" s="299"/>
      <c r="U58" s="300"/>
      <c r="V58" s="301"/>
      <c r="W58" s="157"/>
      <c r="X58" s="315">
        <f>SUM(X52:X57)</f>
        <v>266581.87829999998</v>
      </c>
      <c r="Y58" s="316">
        <f>SUM(Y52:Y57)</f>
        <v>74400</v>
      </c>
      <c r="Z58" s="317">
        <f>SUM(Z52:Z57)</f>
        <v>19802.795040000001</v>
      </c>
      <c r="AA58" s="309"/>
      <c r="AB58" s="315">
        <f>SUM(AB52:AB57)</f>
        <v>312296.68874999997</v>
      </c>
      <c r="AC58" s="316">
        <f>SUM(AC52:AC57)</f>
        <v>74400</v>
      </c>
      <c r="AD58" s="317">
        <f>SUM(AD52:AD57)</f>
        <v>19802.795040000001</v>
      </c>
      <c r="AE58" s="309"/>
      <c r="AF58" s="315">
        <f>SUM(AF52:AF57)</f>
        <v>-6395.26055</v>
      </c>
      <c r="AG58" s="316">
        <f>SUM(AG52:AG57)</f>
        <v>0</v>
      </c>
      <c r="AH58" s="317">
        <f>SUM(AH52:AH57)</f>
        <v>0</v>
      </c>
      <c r="AI58" s="309"/>
      <c r="AJ58" s="315">
        <f>SUM(AJ52:AJ57)</f>
        <v>39319.549899999984</v>
      </c>
      <c r="AK58" s="316">
        <f>SUM(AK52:AK57)</f>
        <v>0</v>
      </c>
      <c r="AL58" s="317">
        <f>SUM(AL52:AL57)</f>
        <v>0</v>
      </c>
      <c r="AM58" s="309"/>
      <c r="AN58" s="338">
        <f>SUM(AJ58:AL58)/SUM(X58:Z58)</f>
        <v>0.1089834264188535</v>
      </c>
      <c r="AO58" s="339">
        <f t="shared" ref="AO58:AO70" si="150">SUM(AJ58)/SUM(X58)</f>
        <v>0.14749520916703657</v>
      </c>
      <c r="AP58" s="309"/>
      <c r="AQ58" s="315">
        <f>SUM(AQ52:AQ57)</f>
        <v>0</v>
      </c>
      <c r="AR58" s="316">
        <f>SUM(AR52:AR57)</f>
        <v>0</v>
      </c>
      <c r="AS58" s="317">
        <f>SUM(AS52:AS57)</f>
        <v>0</v>
      </c>
      <c r="AT58" s="309"/>
      <c r="AU58" s="310"/>
      <c r="AV58" s="310"/>
      <c r="AW58" s="309"/>
    </row>
    <row r="59" spans="1:49" x14ac:dyDescent="0.2">
      <c r="A59" s="86">
        <f t="shared" si="4"/>
        <v>52</v>
      </c>
      <c r="B59" s="725" t="str">
        <f>'WA Volumes &amp; Revenues'!B51</f>
        <v>42I Firm Transpt</v>
      </c>
      <c r="C59" s="726" t="s">
        <v>4</v>
      </c>
      <c r="D59" s="157"/>
      <c r="E59" s="122">
        <f>'Rates in Detail'!R49-'Rates in Detail'!N49</f>
        <v>2.3970000000000019E-2</v>
      </c>
      <c r="F59" s="122">
        <f>'Rates in Detail'!V49</f>
        <v>-3.3600000000000001E-3</v>
      </c>
      <c r="G59" s="157"/>
      <c r="H59" s="157"/>
      <c r="I59" s="373">
        <f>'Rev Req Proof Yr1'!H59</f>
        <v>0.13941000000000001</v>
      </c>
      <c r="J59" s="774">
        <f t="shared" si="11"/>
        <v>0.16338000000000003</v>
      </c>
      <c r="K59" s="157"/>
      <c r="L59" s="155">
        <f>'Rev Req Proof Yr1'!K59</f>
        <v>1550</v>
      </c>
      <c r="M59" s="156">
        <f>'Rev Req Proof Yr1'!L59</f>
        <v>1550</v>
      </c>
      <c r="N59" s="122">
        <f>'Rev Req Proof Yr1'!M59</f>
        <v>0.15748000000000001</v>
      </c>
      <c r="O59" s="122">
        <f>'Rev Req Proof Yr1'!N59</f>
        <v>0.15748000000000001</v>
      </c>
      <c r="P59" s="122">
        <f>'Rev Req Proof Yr1'!O59</f>
        <v>0</v>
      </c>
      <c r="Q59" s="774">
        <f>'Rev Req Proof Yr1'!P59</f>
        <v>0</v>
      </c>
      <c r="R59" s="157"/>
      <c r="S59" s="298">
        <f>'Rev Req Proof Yr1'!R59</f>
        <v>924395</v>
      </c>
      <c r="T59" s="299">
        <f>'Rev Req Proof Yr1'!S59</f>
        <v>26810</v>
      </c>
      <c r="U59" s="300">
        <f>'Rev Req Proof Yr1'!T59</f>
        <v>8.9166666666666661</v>
      </c>
      <c r="V59" s="301">
        <f>'Rev Req Proof Yr1'!U59</f>
        <v>63374</v>
      </c>
      <c r="W59" s="157"/>
      <c r="X59" s="313">
        <f t="shared" ref="X59:X64" si="151">(I59*S59)</f>
        <v>128869.90695</v>
      </c>
      <c r="Y59" s="309">
        <f t="shared" ref="Y59:Y64" si="152">(L59*U59*12)</f>
        <v>165850</v>
      </c>
      <c r="Z59" s="314">
        <f t="shared" ref="Z59:Z64" si="153">(T59*(N59+P59))*12</f>
        <v>50664.465600000003</v>
      </c>
      <c r="AA59" s="309"/>
      <c r="AB59" s="313">
        <f t="shared" ref="AB59:AB64" si="154">(J59*S59)</f>
        <v>151027.65510000003</v>
      </c>
      <c r="AC59" s="309">
        <f t="shared" ref="AC59:AC64" si="155">(M59*U59*12)</f>
        <v>165850</v>
      </c>
      <c r="AD59" s="314">
        <f t="shared" ref="AD59:AD64" si="156">(T59*(O59+Q59))*12</f>
        <v>50664.465600000003</v>
      </c>
      <c r="AE59" s="309"/>
      <c r="AF59" s="313">
        <f t="shared" ref="AF59:AF64" si="157">(F59*S59)</f>
        <v>-3105.9672</v>
      </c>
      <c r="AG59" s="309">
        <v>0</v>
      </c>
      <c r="AH59" s="314">
        <v>0</v>
      </c>
      <c r="AI59" s="309"/>
      <c r="AJ59" s="313">
        <f t="shared" ref="AJ59:AJ64" si="158">AB59-X59+AF59</f>
        <v>19051.780950000029</v>
      </c>
      <c r="AK59" s="309">
        <f t="shared" ref="AK59:AK64" si="159">AC59-Y59-AG59</f>
        <v>0</v>
      </c>
      <c r="AL59" s="314">
        <f t="shared" ref="AL59:AL64" si="160">AD59-Z59-AH59</f>
        <v>0</v>
      </c>
      <c r="AM59" s="309"/>
      <c r="AN59" s="338"/>
      <c r="AO59" s="340">
        <f t="shared" si="150"/>
        <v>0.14783731439638498</v>
      </c>
      <c r="AP59" s="309"/>
      <c r="AQ59" s="313">
        <f t="shared" ref="AQ59:AQ64" si="161">(G59*S59)</f>
        <v>0</v>
      </c>
      <c r="AR59" s="309">
        <v>0</v>
      </c>
      <c r="AS59" s="314">
        <v>0</v>
      </c>
      <c r="AT59" s="309"/>
      <c r="AU59" s="310"/>
      <c r="AV59" s="310"/>
      <c r="AW59" s="309"/>
    </row>
    <row r="60" spans="1:49" x14ac:dyDescent="0.2">
      <c r="A60" s="86">
        <f t="shared" si="4"/>
        <v>53</v>
      </c>
      <c r="B60" s="725"/>
      <c r="C60" s="726" t="s">
        <v>5</v>
      </c>
      <c r="D60" s="157"/>
      <c r="E60" s="122">
        <f>'Rates in Detail'!R50-'Rates in Detail'!N50</f>
        <v>2.1449999999999983E-2</v>
      </c>
      <c r="F60" s="122">
        <f>'Rates in Detail'!V50</f>
        <v>-3.0000000000000001E-3</v>
      </c>
      <c r="G60" s="157"/>
      <c r="H60" s="157"/>
      <c r="I60" s="373">
        <f>'Rev Req Proof Yr1'!H60</f>
        <v>0.12479</v>
      </c>
      <c r="J60" s="774">
        <f t="shared" si="11"/>
        <v>0.14623999999999998</v>
      </c>
      <c r="K60" s="157"/>
      <c r="L60" s="155"/>
      <c r="M60" s="156"/>
      <c r="N60" s="122"/>
      <c r="O60" s="122"/>
      <c r="P60" s="122"/>
      <c r="Q60" s="774"/>
      <c r="R60" s="157"/>
      <c r="S60" s="298">
        <f>'Rev Req Proof Yr1'!R60</f>
        <v>1036796</v>
      </c>
      <c r="T60" s="299"/>
      <c r="U60" s="300"/>
      <c r="V60" s="301"/>
      <c r="W60" s="157"/>
      <c r="X60" s="313">
        <f t="shared" si="151"/>
        <v>129381.77284000001</v>
      </c>
      <c r="Y60" s="309">
        <f t="shared" si="152"/>
        <v>0</v>
      </c>
      <c r="Z60" s="314">
        <f t="shared" si="153"/>
        <v>0</v>
      </c>
      <c r="AA60" s="309"/>
      <c r="AB60" s="313">
        <f t="shared" si="154"/>
        <v>151621.04703999998</v>
      </c>
      <c r="AC60" s="309">
        <f t="shared" si="155"/>
        <v>0</v>
      </c>
      <c r="AD60" s="314">
        <f t="shared" si="156"/>
        <v>0</v>
      </c>
      <c r="AE60" s="309"/>
      <c r="AF60" s="313">
        <f t="shared" si="157"/>
        <v>-3110.3879999999999</v>
      </c>
      <c r="AG60" s="309">
        <v>0</v>
      </c>
      <c r="AH60" s="314">
        <v>0</v>
      </c>
      <c r="AI60" s="309"/>
      <c r="AJ60" s="313">
        <f t="shared" si="158"/>
        <v>19128.886199999972</v>
      </c>
      <c r="AK60" s="309">
        <f t="shared" si="159"/>
        <v>0</v>
      </c>
      <c r="AL60" s="314">
        <f t="shared" si="160"/>
        <v>0</v>
      </c>
      <c r="AM60" s="309"/>
      <c r="AN60" s="338"/>
      <c r="AO60" s="340">
        <f t="shared" si="150"/>
        <v>0.14784838528728242</v>
      </c>
      <c r="AP60" s="309"/>
      <c r="AQ60" s="313">
        <f t="shared" si="161"/>
        <v>0</v>
      </c>
      <c r="AR60" s="309">
        <v>0</v>
      </c>
      <c r="AS60" s="314">
        <v>0</v>
      </c>
      <c r="AT60" s="309"/>
      <c r="AU60" s="310"/>
      <c r="AV60" s="310"/>
      <c r="AW60" s="309"/>
    </row>
    <row r="61" spans="1:49" x14ac:dyDescent="0.2">
      <c r="A61" s="86">
        <f t="shared" si="4"/>
        <v>54</v>
      </c>
      <c r="B61" s="725"/>
      <c r="C61" s="726" t="s">
        <v>6</v>
      </c>
      <c r="D61" s="157"/>
      <c r="E61" s="122">
        <f>'Rates in Detail'!R51-'Rates in Detail'!N51</f>
        <v>1.6450000000000006E-2</v>
      </c>
      <c r="F61" s="122">
        <f>'Rates in Detail'!V51</f>
        <v>-2.3E-3</v>
      </c>
      <c r="G61" s="157"/>
      <c r="H61" s="157"/>
      <c r="I61" s="373">
        <f>'Rev Req Proof Yr1'!H61</f>
        <v>9.5689999999999997E-2</v>
      </c>
      <c r="J61" s="774">
        <f t="shared" si="11"/>
        <v>0.11214</v>
      </c>
      <c r="K61" s="157"/>
      <c r="L61" s="155"/>
      <c r="M61" s="156"/>
      <c r="N61" s="122"/>
      <c r="O61" s="122"/>
      <c r="P61" s="122"/>
      <c r="Q61" s="774"/>
      <c r="R61" s="157"/>
      <c r="S61" s="298">
        <f>'Rev Req Proof Yr1'!R61</f>
        <v>937215</v>
      </c>
      <c r="T61" s="299"/>
      <c r="U61" s="300"/>
      <c r="V61" s="301"/>
      <c r="W61" s="157"/>
      <c r="X61" s="313">
        <f t="shared" si="151"/>
        <v>89682.10334999999</v>
      </c>
      <c r="Y61" s="309">
        <f t="shared" si="152"/>
        <v>0</v>
      </c>
      <c r="Z61" s="314">
        <f t="shared" si="153"/>
        <v>0</v>
      </c>
      <c r="AA61" s="309"/>
      <c r="AB61" s="313">
        <f t="shared" si="154"/>
        <v>105099.2901</v>
      </c>
      <c r="AC61" s="309">
        <f t="shared" si="155"/>
        <v>0</v>
      </c>
      <c r="AD61" s="314">
        <f t="shared" si="156"/>
        <v>0</v>
      </c>
      <c r="AE61" s="309"/>
      <c r="AF61" s="313">
        <f t="shared" si="157"/>
        <v>-2155.5945000000002</v>
      </c>
      <c r="AG61" s="309">
        <v>0</v>
      </c>
      <c r="AH61" s="314">
        <v>0</v>
      </c>
      <c r="AI61" s="309"/>
      <c r="AJ61" s="313">
        <f t="shared" si="158"/>
        <v>13261.592250000009</v>
      </c>
      <c r="AK61" s="309">
        <f t="shared" si="159"/>
        <v>0</v>
      </c>
      <c r="AL61" s="314">
        <f t="shared" si="160"/>
        <v>0</v>
      </c>
      <c r="AM61" s="309"/>
      <c r="AN61" s="338"/>
      <c r="AO61" s="340">
        <f t="shared" si="150"/>
        <v>0.1478733409969695</v>
      </c>
      <c r="AP61" s="309"/>
      <c r="AQ61" s="313">
        <f t="shared" si="161"/>
        <v>0</v>
      </c>
      <c r="AR61" s="309">
        <v>0</v>
      </c>
      <c r="AS61" s="314">
        <v>0</v>
      </c>
      <c r="AT61" s="309"/>
      <c r="AU61" s="310"/>
      <c r="AV61" s="310"/>
      <c r="AW61" s="309"/>
    </row>
    <row r="62" spans="1:49" x14ac:dyDescent="0.2">
      <c r="A62" s="86">
        <f t="shared" si="4"/>
        <v>55</v>
      </c>
      <c r="B62" s="725"/>
      <c r="C62" s="726" t="s">
        <v>7</v>
      </c>
      <c r="D62" s="157"/>
      <c r="E62" s="122">
        <f>'Rates in Detail'!R52-'Rates in Detail'!N52</f>
        <v>1.3170000000000001E-2</v>
      </c>
      <c r="F62" s="122">
        <f>'Rates in Detail'!V52</f>
        <v>-1.8400000000000001E-3</v>
      </c>
      <c r="G62" s="157"/>
      <c r="H62" s="157"/>
      <c r="I62" s="373">
        <f>'Rev Req Proof Yr1'!H62</f>
        <v>7.6560000000000003E-2</v>
      </c>
      <c r="J62" s="774">
        <f t="shared" si="11"/>
        <v>8.9730000000000004E-2</v>
      </c>
      <c r="K62" s="157"/>
      <c r="L62" s="155"/>
      <c r="M62" s="156"/>
      <c r="N62" s="122"/>
      <c r="O62" s="122"/>
      <c r="P62" s="122"/>
      <c r="Q62" s="774"/>
      <c r="R62" s="157"/>
      <c r="S62" s="298">
        <f>'Rev Req Proof Yr1'!R62</f>
        <v>2390318</v>
      </c>
      <c r="T62" s="299"/>
      <c r="U62" s="300"/>
      <c r="V62" s="301"/>
      <c r="W62" s="157"/>
      <c r="X62" s="313">
        <f t="shared" si="151"/>
        <v>183002.74608000001</v>
      </c>
      <c r="Y62" s="309">
        <f t="shared" si="152"/>
        <v>0</v>
      </c>
      <c r="Z62" s="314">
        <f t="shared" si="153"/>
        <v>0</v>
      </c>
      <c r="AA62" s="309"/>
      <c r="AB62" s="313">
        <f t="shared" si="154"/>
        <v>214483.23414000002</v>
      </c>
      <c r="AC62" s="309">
        <f t="shared" si="155"/>
        <v>0</v>
      </c>
      <c r="AD62" s="314">
        <f t="shared" si="156"/>
        <v>0</v>
      </c>
      <c r="AE62" s="309"/>
      <c r="AF62" s="313">
        <f t="shared" si="157"/>
        <v>-4398.1851200000001</v>
      </c>
      <c r="AG62" s="309">
        <v>0</v>
      </c>
      <c r="AH62" s="314">
        <v>0</v>
      </c>
      <c r="AI62" s="309"/>
      <c r="AJ62" s="313">
        <f t="shared" si="158"/>
        <v>27082.302940000001</v>
      </c>
      <c r="AK62" s="309">
        <f t="shared" si="159"/>
        <v>0</v>
      </c>
      <c r="AL62" s="314">
        <f t="shared" si="160"/>
        <v>0</v>
      </c>
      <c r="AM62" s="309"/>
      <c r="AN62" s="338"/>
      <c r="AO62" s="340">
        <f t="shared" si="150"/>
        <v>0.14798850574712644</v>
      </c>
      <c r="AP62" s="309"/>
      <c r="AQ62" s="313">
        <f t="shared" si="161"/>
        <v>0</v>
      </c>
      <c r="AR62" s="309">
        <v>0</v>
      </c>
      <c r="AS62" s="314">
        <v>0</v>
      </c>
      <c r="AT62" s="309"/>
      <c r="AU62" s="310"/>
      <c r="AV62" s="310"/>
      <c r="AW62" s="309"/>
    </row>
    <row r="63" spans="1:49" x14ac:dyDescent="0.2">
      <c r="A63" s="86">
        <f t="shared" si="4"/>
        <v>56</v>
      </c>
      <c r="B63" s="725"/>
      <c r="C63" s="726" t="s">
        <v>8</v>
      </c>
      <c r="D63" s="157"/>
      <c r="E63" s="122">
        <f>'Rates in Detail'!R53-'Rates in Detail'!N53</f>
        <v>8.77E-3</v>
      </c>
      <c r="F63" s="122">
        <f>'Rates in Detail'!V53</f>
        <v>-1.23E-3</v>
      </c>
      <c r="G63" s="157"/>
      <c r="H63" s="157"/>
      <c r="I63" s="373">
        <f>'Rev Req Proof Yr1'!H63</f>
        <v>5.1040000000000002E-2</v>
      </c>
      <c r="J63" s="774">
        <f t="shared" si="11"/>
        <v>5.9810000000000002E-2</v>
      </c>
      <c r="K63" s="157"/>
      <c r="L63" s="155"/>
      <c r="M63" s="156"/>
      <c r="N63" s="122"/>
      <c r="O63" s="122"/>
      <c r="P63" s="122"/>
      <c r="Q63" s="774"/>
      <c r="R63" s="157"/>
      <c r="S63" s="298">
        <f>'Rev Req Proof Yr1'!R63</f>
        <v>1492257</v>
      </c>
      <c r="T63" s="299"/>
      <c r="U63" s="300"/>
      <c r="V63" s="301"/>
      <c r="W63" s="157"/>
      <c r="X63" s="313">
        <f t="shared" si="151"/>
        <v>76164.797279999999</v>
      </c>
      <c r="Y63" s="309">
        <f t="shared" si="152"/>
        <v>0</v>
      </c>
      <c r="Z63" s="314">
        <f t="shared" si="153"/>
        <v>0</v>
      </c>
      <c r="AA63" s="309"/>
      <c r="AB63" s="313">
        <f t="shared" si="154"/>
        <v>89251.891170000003</v>
      </c>
      <c r="AC63" s="309">
        <f t="shared" si="155"/>
        <v>0</v>
      </c>
      <c r="AD63" s="314">
        <f t="shared" si="156"/>
        <v>0</v>
      </c>
      <c r="AE63" s="309"/>
      <c r="AF63" s="313">
        <f t="shared" si="157"/>
        <v>-1835.4761100000001</v>
      </c>
      <c r="AG63" s="309">
        <v>0</v>
      </c>
      <c r="AH63" s="314">
        <v>0</v>
      </c>
      <c r="AI63" s="309"/>
      <c r="AJ63" s="313">
        <f t="shared" si="158"/>
        <v>11251.617780000004</v>
      </c>
      <c r="AK63" s="309">
        <f t="shared" si="159"/>
        <v>0</v>
      </c>
      <c r="AL63" s="314">
        <f t="shared" si="160"/>
        <v>0</v>
      </c>
      <c r="AM63" s="309"/>
      <c r="AN63" s="338"/>
      <c r="AO63" s="340">
        <f t="shared" si="150"/>
        <v>0.14772727272727279</v>
      </c>
      <c r="AP63" s="309"/>
      <c r="AQ63" s="313">
        <f t="shared" si="161"/>
        <v>0</v>
      </c>
      <c r="AR63" s="309">
        <v>0</v>
      </c>
      <c r="AS63" s="314">
        <v>0</v>
      </c>
      <c r="AT63" s="309"/>
      <c r="AU63" s="310"/>
      <c r="AV63" s="310"/>
      <c r="AW63" s="309"/>
    </row>
    <row r="64" spans="1:49" x14ac:dyDescent="0.2">
      <c r="A64" s="86">
        <f t="shared" si="4"/>
        <v>57</v>
      </c>
      <c r="B64" s="725"/>
      <c r="C64" s="726" t="s">
        <v>9</v>
      </c>
      <c r="D64" s="157"/>
      <c r="E64" s="122">
        <f>'Rates in Detail'!R54-'Rates in Detail'!N54</f>
        <v>3.2900000000000013E-3</v>
      </c>
      <c r="F64" s="122">
        <f>'Rates in Detail'!V54</f>
        <v>-4.6000000000000001E-4</v>
      </c>
      <c r="G64" s="157"/>
      <c r="H64" s="157"/>
      <c r="I64" s="373">
        <f>'Rev Req Proof Yr1'!H64</f>
        <v>1.9140000000000001E-2</v>
      </c>
      <c r="J64" s="774">
        <f t="shared" si="11"/>
        <v>2.2430000000000002E-2</v>
      </c>
      <c r="K64" s="157"/>
      <c r="L64" s="155"/>
      <c r="M64" s="156"/>
      <c r="N64" s="122"/>
      <c r="O64" s="122"/>
      <c r="P64" s="122"/>
      <c r="Q64" s="774"/>
      <c r="R64" s="157"/>
      <c r="S64" s="298">
        <f>'Rev Req Proof Yr1'!R64</f>
        <v>0</v>
      </c>
      <c r="T64" s="299"/>
      <c r="U64" s="300"/>
      <c r="V64" s="301"/>
      <c r="W64" s="157"/>
      <c r="X64" s="313">
        <f t="shared" si="151"/>
        <v>0</v>
      </c>
      <c r="Y64" s="309">
        <f t="shared" si="152"/>
        <v>0</v>
      </c>
      <c r="Z64" s="314">
        <f t="shared" si="153"/>
        <v>0</v>
      </c>
      <c r="AA64" s="309"/>
      <c r="AB64" s="313">
        <f t="shared" si="154"/>
        <v>0</v>
      </c>
      <c r="AC64" s="309">
        <f t="shared" si="155"/>
        <v>0</v>
      </c>
      <c r="AD64" s="314">
        <f t="shared" si="156"/>
        <v>0</v>
      </c>
      <c r="AE64" s="309"/>
      <c r="AF64" s="313">
        <f t="shared" si="157"/>
        <v>0</v>
      </c>
      <c r="AG64" s="309">
        <v>0</v>
      </c>
      <c r="AH64" s="314">
        <v>0</v>
      </c>
      <c r="AI64" s="309"/>
      <c r="AJ64" s="313">
        <f t="shared" si="158"/>
        <v>0</v>
      </c>
      <c r="AK64" s="309">
        <f t="shared" si="159"/>
        <v>0</v>
      </c>
      <c r="AL64" s="314">
        <f t="shared" si="160"/>
        <v>0</v>
      </c>
      <c r="AM64" s="309"/>
      <c r="AN64" s="338"/>
      <c r="AO64" s="340" t="e">
        <f t="shared" si="150"/>
        <v>#DIV/0!</v>
      </c>
      <c r="AP64" s="309"/>
      <c r="AQ64" s="313">
        <f t="shared" si="161"/>
        <v>0</v>
      </c>
      <c r="AR64" s="309">
        <v>0</v>
      </c>
      <c r="AS64" s="314">
        <v>0</v>
      </c>
      <c r="AT64" s="309"/>
      <c r="AU64" s="310"/>
      <c r="AV64" s="310"/>
      <c r="AW64" s="309"/>
    </row>
    <row r="65" spans="1:49" x14ac:dyDescent="0.2">
      <c r="A65" s="86">
        <f t="shared" si="4"/>
        <v>58</v>
      </c>
      <c r="B65" s="723"/>
      <c r="C65" s="742" t="s">
        <v>78</v>
      </c>
      <c r="D65" s="153"/>
      <c r="E65" s="123"/>
      <c r="F65" s="123"/>
      <c r="G65" s="153"/>
      <c r="H65" s="153"/>
      <c r="I65" s="368"/>
      <c r="J65" s="773"/>
      <c r="K65" s="157"/>
      <c r="L65" s="155"/>
      <c r="M65" s="156"/>
      <c r="N65" s="122"/>
      <c r="O65" s="122"/>
      <c r="P65" s="122"/>
      <c r="Q65" s="774"/>
      <c r="R65" s="157"/>
      <c r="S65" s="298"/>
      <c r="T65" s="299"/>
      <c r="U65" s="300"/>
      <c r="V65" s="301"/>
      <c r="W65" s="157"/>
      <c r="X65" s="315">
        <f>SUM(X59:X64)</f>
        <v>607101.32649999997</v>
      </c>
      <c r="Y65" s="316">
        <f>SUM(Y59:Y64)</f>
        <v>165850</v>
      </c>
      <c r="Z65" s="317">
        <f>SUM(Z59:Z64)</f>
        <v>50664.465600000003</v>
      </c>
      <c r="AA65" s="309"/>
      <c r="AB65" s="315">
        <f>SUM(AB59:AB64)</f>
        <v>711483.11754999997</v>
      </c>
      <c r="AC65" s="316">
        <f>SUM(AC59:AC64)</f>
        <v>165850</v>
      </c>
      <c r="AD65" s="317">
        <f>SUM(AD59:AD64)</f>
        <v>50664.465600000003</v>
      </c>
      <c r="AE65" s="309"/>
      <c r="AF65" s="315">
        <f>SUM(AF59:AF64)</f>
        <v>-14605.610930000001</v>
      </c>
      <c r="AG65" s="316">
        <f>SUM(AG59:AG64)</f>
        <v>0</v>
      </c>
      <c r="AH65" s="317">
        <f>SUM(AH59:AH64)</f>
        <v>0</v>
      </c>
      <c r="AI65" s="309"/>
      <c r="AJ65" s="315">
        <f>SUM(AJ59:AJ64)</f>
        <v>89776.180120000005</v>
      </c>
      <c r="AK65" s="316">
        <f>SUM(AK59:AK64)</f>
        <v>0</v>
      </c>
      <c r="AL65" s="317">
        <f>SUM(AL59:AL64)</f>
        <v>0</v>
      </c>
      <c r="AM65" s="309"/>
      <c r="AN65" s="338">
        <f>SUM(AJ65:AL65)/SUM(X65:Z65)</f>
        <v>0.10900249968628548</v>
      </c>
      <c r="AO65" s="339">
        <f t="shared" si="150"/>
        <v>0.14787676488465062</v>
      </c>
      <c r="AP65" s="309"/>
      <c r="AQ65" s="315">
        <f>SUM(AQ59:AQ64)</f>
        <v>0</v>
      </c>
      <c r="AR65" s="316">
        <f>SUM(AR59:AR64)</f>
        <v>0</v>
      </c>
      <c r="AS65" s="317">
        <f>SUM(AS59:AS64)</f>
        <v>0</v>
      </c>
      <c r="AT65" s="309"/>
      <c r="AU65" s="310"/>
      <c r="AV65" s="310"/>
      <c r="AW65" s="309"/>
    </row>
    <row r="66" spans="1:49" x14ac:dyDescent="0.2">
      <c r="A66" s="86">
        <f t="shared" si="4"/>
        <v>59</v>
      </c>
      <c r="B66" s="725" t="str">
        <f>'WA Volumes &amp; Revenues'!B57</f>
        <v>42C Interr Sales</v>
      </c>
      <c r="C66" s="726" t="s">
        <v>4</v>
      </c>
      <c r="D66" s="157"/>
      <c r="E66" s="122">
        <f>'Rates in Detail'!R55-'Rates in Detail'!N55</f>
        <v>2.4859999999999993E-2</v>
      </c>
      <c r="F66" s="122">
        <f>'Rates in Detail'!V55</f>
        <v>-9.7800000000000005E-3</v>
      </c>
      <c r="G66" s="157"/>
      <c r="H66" s="157"/>
      <c r="I66" s="373">
        <f>'Rev Req Proof Yr1'!H66</f>
        <v>0.13682</v>
      </c>
      <c r="J66" s="774">
        <f t="shared" si="11"/>
        <v>0.16167999999999999</v>
      </c>
      <c r="K66" s="157"/>
      <c r="L66" s="155">
        <f>'Rev Req Proof Yr1'!K66</f>
        <v>1300</v>
      </c>
      <c r="M66" s="156">
        <f>'Rev Req Proof Yr1'!L66</f>
        <v>1300</v>
      </c>
      <c r="N66" s="122">
        <f>'Rev Req Proof Yr1'!M66</f>
        <v>0</v>
      </c>
      <c r="O66" s="122">
        <f>'Rev Req Proof Yr1'!N66</f>
        <v>0</v>
      </c>
      <c r="P66" s="122">
        <f>'Rev Req Proof Yr1'!O66</f>
        <v>0</v>
      </c>
      <c r="Q66" s="774">
        <f>'Rev Req Proof Yr1'!P66</f>
        <v>0</v>
      </c>
      <c r="R66" s="157"/>
      <c r="S66" s="298">
        <f>'Rev Req Proof Yr1'!R66</f>
        <v>240000</v>
      </c>
      <c r="T66" s="299">
        <f>'Rev Req Proof Yr1'!S66</f>
        <v>4620</v>
      </c>
      <c r="U66" s="300">
        <f>'Rev Req Proof Yr1'!T66</f>
        <v>2</v>
      </c>
      <c r="V66" s="301">
        <f>'Rev Req Proof Yr1'!U66</f>
        <v>39322</v>
      </c>
      <c r="W66" s="157"/>
      <c r="X66" s="313">
        <f t="shared" ref="X66:X71" si="162">(I66*S66)</f>
        <v>32836.800000000003</v>
      </c>
      <c r="Y66" s="309">
        <f t="shared" ref="Y66:Y71" si="163">(L66*U66*12)</f>
        <v>31200</v>
      </c>
      <c r="Z66" s="314">
        <f t="shared" ref="Z66:Z71" si="164">(T66*(N66+P66))*12</f>
        <v>0</v>
      </c>
      <c r="AA66" s="309"/>
      <c r="AB66" s="313">
        <f t="shared" ref="AB66:AB71" si="165">(J66*S66)</f>
        <v>38803.199999999997</v>
      </c>
      <c r="AC66" s="309">
        <f t="shared" ref="AC66:AC71" si="166">(M66*U66*12)</f>
        <v>31200</v>
      </c>
      <c r="AD66" s="314">
        <f t="shared" ref="AD66:AD71" si="167">(T66*(O66+Q66))*12</f>
        <v>0</v>
      </c>
      <c r="AE66" s="309"/>
      <c r="AF66" s="313">
        <f t="shared" ref="AF66:AF71" si="168">(F66*S66)</f>
        <v>-2347.2000000000003</v>
      </c>
      <c r="AG66" s="309">
        <v>0</v>
      </c>
      <c r="AH66" s="314">
        <v>0</v>
      </c>
      <c r="AI66" s="309"/>
      <c r="AJ66" s="313">
        <f t="shared" ref="AJ66:AJ71" si="169">AB66-X66+AF66</f>
        <v>3619.1999999999939</v>
      </c>
      <c r="AK66" s="309">
        <f t="shared" ref="AK66:AK71" si="170">AC66-Y66-AG66</f>
        <v>0</v>
      </c>
      <c r="AL66" s="314">
        <f t="shared" ref="AL66:AL71" si="171">AD66-Z66-AH66</f>
        <v>0</v>
      </c>
      <c r="AM66" s="309"/>
      <c r="AN66" s="338"/>
      <c r="AO66" s="340">
        <f t="shared" si="150"/>
        <v>0.11021780441455908</v>
      </c>
      <c r="AP66" s="309"/>
      <c r="AQ66" s="313">
        <f t="shared" ref="AQ66:AQ71" si="172">(G66*S66)</f>
        <v>0</v>
      </c>
      <c r="AR66" s="309">
        <v>0</v>
      </c>
      <c r="AS66" s="314">
        <v>0</v>
      </c>
      <c r="AT66" s="309"/>
      <c r="AU66" s="310"/>
      <c r="AV66" s="310"/>
      <c r="AW66" s="309"/>
    </row>
    <row r="67" spans="1:49" x14ac:dyDescent="0.2">
      <c r="A67" s="86">
        <f t="shared" si="4"/>
        <v>60</v>
      </c>
      <c r="B67" s="725"/>
      <c r="C67" s="726" t="s">
        <v>5</v>
      </c>
      <c r="D67" s="157"/>
      <c r="E67" s="122">
        <f>'Rates in Detail'!R56-'Rates in Detail'!N56</f>
        <v>2.2260000000000002E-2</v>
      </c>
      <c r="F67" s="122">
        <f>'Rates in Detail'!V56</f>
        <v>-8.7600000000000004E-3</v>
      </c>
      <c r="G67" s="157"/>
      <c r="H67" s="157"/>
      <c r="I67" s="373">
        <f>'Rev Req Proof Yr1'!H67</f>
        <v>0.12247</v>
      </c>
      <c r="J67" s="774">
        <f t="shared" si="11"/>
        <v>0.14473</v>
      </c>
      <c r="K67" s="157"/>
      <c r="L67" s="273"/>
      <c r="M67" s="55"/>
      <c r="N67" s="122"/>
      <c r="O67" s="122"/>
      <c r="P67" s="122"/>
      <c r="Q67" s="774"/>
      <c r="R67" s="157"/>
      <c r="S67" s="298">
        <f>'Rev Req Proof Yr1'!R67</f>
        <v>467511</v>
      </c>
      <c r="T67" s="299"/>
      <c r="U67" s="300"/>
      <c r="V67" s="301"/>
      <c r="W67" s="157"/>
      <c r="X67" s="313">
        <f t="shared" si="162"/>
        <v>57256.072169999999</v>
      </c>
      <c r="Y67" s="309">
        <f t="shared" si="163"/>
        <v>0</v>
      </c>
      <c r="Z67" s="314">
        <f t="shared" si="164"/>
        <v>0</v>
      </c>
      <c r="AA67" s="309"/>
      <c r="AB67" s="313">
        <f t="shared" si="165"/>
        <v>67662.867029999994</v>
      </c>
      <c r="AC67" s="309">
        <f t="shared" si="166"/>
        <v>0</v>
      </c>
      <c r="AD67" s="314">
        <f t="shared" si="167"/>
        <v>0</v>
      </c>
      <c r="AE67" s="309"/>
      <c r="AF67" s="313">
        <f t="shared" si="168"/>
        <v>-4095.3963600000002</v>
      </c>
      <c r="AG67" s="309">
        <v>0</v>
      </c>
      <c r="AH67" s="314">
        <v>0</v>
      </c>
      <c r="AI67" s="309"/>
      <c r="AJ67" s="313">
        <f t="shared" si="169"/>
        <v>6311.3984999999939</v>
      </c>
      <c r="AK67" s="309">
        <f t="shared" si="170"/>
        <v>0</v>
      </c>
      <c r="AL67" s="314">
        <f t="shared" si="171"/>
        <v>0</v>
      </c>
      <c r="AM67" s="309"/>
      <c r="AN67" s="338"/>
      <c r="AO67" s="340">
        <f t="shared" si="150"/>
        <v>0.11023107699844849</v>
      </c>
      <c r="AP67" s="309"/>
      <c r="AQ67" s="313">
        <f t="shared" si="172"/>
        <v>0</v>
      </c>
      <c r="AR67" s="309">
        <v>0</v>
      </c>
      <c r="AS67" s="314">
        <v>0</v>
      </c>
      <c r="AT67" s="309"/>
      <c r="AU67" s="310"/>
      <c r="AV67" s="310"/>
      <c r="AW67" s="309"/>
    </row>
    <row r="68" spans="1:49" x14ac:dyDescent="0.2">
      <c r="A68" s="86">
        <f t="shared" si="4"/>
        <v>61</v>
      </c>
      <c r="B68" s="725"/>
      <c r="C68" s="726" t="s">
        <v>6</v>
      </c>
      <c r="D68" s="157"/>
      <c r="E68" s="122">
        <f>'Rates in Detail'!R57-'Rates in Detail'!N57</f>
        <v>1.7070000000000002E-2</v>
      </c>
      <c r="F68" s="122">
        <f>'Rates in Detail'!V57</f>
        <v>-6.7100000000000007E-3</v>
      </c>
      <c r="G68" s="157"/>
      <c r="H68" s="157"/>
      <c r="I68" s="373">
        <f>'Rev Req Proof Yr1'!H68</f>
        <v>9.3909999999999993E-2</v>
      </c>
      <c r="J68" s="774">
        <f t="shared" si="11"/>
        <v>0.11098</v>
      </c>
      <c r="K68" s="157"/>
      <c r="L68" s="155"/>
      <c r="M68" s="156"/>
      <c r="N68" s="122"/>
      <c r="O68" s="122"/>
      <c r="P68" s="122"/>
      <c r="Q68" s="774"/>
      <c r="R68" s="157"/>
      <c r="S68" s="298">
        <f>'Rev Req Proof Yr1'!R68</f>
        <v>218004</v>
      </c>
      <c r="T68" s="299"/>
      <c r="U68" s="300"/>
      <c r="V68" s="301"/>
      <c r="W68" s="157"/>
      <c r="X68" s="313">
        <f t="shared" si="162"/>
        <v>20472.755639999999</v>
      </c>
      <c r="Y68" s="309">
        <f t="shared" si="163"/>
        <v>0</v>
      </c>
      <c r="Z68" s="314">
        <f t="shared" si="164"/>
        <v>0</v>
      </c>
      <c r="AA68" s="309"/>
      <c r="AB68" s="313">
        <f t="shared" si="165"/>
        <v>24194.083919999997</v>
      </c>
      <c r="AC68" s="309">
        <f t="shared" si="166"/>
        <v>0</v>
      </c>
      <c r="AD68" s="314">
        <f t="shared" si="167"/>
        <v>0</v>
      </c>
      <c r="AE68" s="309"/>
      <c r="AF68" s="313">
        <f t="shared" si="168"/>
        <v>-1462.8068400000002</v>
      </c>
      <c r="AG68" s="309">
        <v>0</v>
      </c>
      <c r="AH68" s="314">
        <v>0</v>
      </c>
      <c r="AI68" s="309"/>
      <c r="AJ68" s="313">
        <f t="shared" si="169"/>
        <v>2258.5214399999977</v>
      </c>
      <c r="AK68" s="309">
        <f t="shared" si="170"/>
        <v>0</v>
      </c>
      <c r="AL68" s="314">
        <f t="shared" si="171"/>
        <v>0</v>
      </c>
      <c r="AM68" s="309"/>
      <c r="AN68" s="338"/>
      <c r="AO68" s="340">
        <f t="shared" si="150"/>
        <v>0.11031838994782227</v>
      </c>
      <c r="AP68" s="309"/>
      <c r="AQ68" s="313">
        <f t="shared" si="172"/>
        <v>0</v>
      </c>
      <c r="AR68" s="309">
        <v>0</v>
      </c>
      <c r="AS68" s="314">
        <v>0</v>
      </c>
      <c r="AT68" s="309"/>
      <c r="AU68" s="310"/>
      <c r="AV68" s="310"/>
      <c r="AW68" s="309"/>
    </row>
    <row r="69" spans="1:49" x14ac:dyDescent="0.2">
      <c r="A69" s="86">
        <f t="shared" si="4"/>
        <v>62</v>
      </c>
      <c r="B69" s="725"/>
      <c r="C69" s="726" t="s">
        <v>7</v>
      </c>
      <c r="D69" s="157"/>
      <c r="E69" s="122">
        <f>'Rates in Detail'!R58-'Rates in Detail'!N58</f>
        <v>1.3649999999999995E-2</v>
      </c>
      <c r="F69" s="122">
        <f>'Rates in Detail'!V58</f>
        <v>-5.3699999999999998E-3</v>
      </c>
      <c r="G69" s="157"/>
      <c r="H69" s="157"/>
      <c r="I69" s="373">
        <f>'Rev Req Proof Yr1'!H69</f>
        <v>7.5130000000000002E-2</v>
      </c>
      <c r="J69" s="774">
        <f t="shared" si="11"/>
        <v>8.8779999999999998E-2</v>
      </c>
      <c r="K69" s="157"/>
      <c r="L69" s="155"/>
      <c r="M69" s="156"/>
      <c r="N69" s="122"/>
      <c r="O69" s="122"/>
      <c r="P69" s="122"/>
      <c r="Q69" s="774"/>
      <c r="R69" s="157"/>
      <c r="S69" s="298">
        <f>'Rev Req Proof Yr1'!R69</f>
        <v>18208</v>
      </c>
      <c r="T69" s="299"/>
      <c r="U69" s="300"/>
      <c r="V69" s="301"/>
      <c r="W69" s="157"/>
      <c r="X69" s="313">
        <f t="shared" si="162"/>
        <v>1367.96704</v>
      </c>
      <c r="Y69" s="309">
        <f t="shared" si="163"/>
        <v>0</v>
      </c>
      <c r="Z69" s="314">
        <f t="shared" si="164"/>
        <v>0</v>
      </c>
      <c r="AA69" s="309"/>
      <c r="AB69" s="313">
        <f t="shared" si="165"/>
        <v>1616.5062399999999</v>
      </c>
      <c r="AC69" s="309">
        <f t="shared" si="166"/>
        <v>0</v>
      </c>
      <c r="AD69" s="314">
        <f t="shared" si="167"/>
        <v>0</v>
      </c>
      <c r="AE69" s="309"/>
      <c r="AF69" s="313">
        <f t="shared" si="168"/>
        <v>-97.776960000000003</v>
      </c>
      <c r="AG69" s="309">
        <v>0</v>
      </c>
      <c r="AH69" s="314">
        <v>0</v>
      </c>
      <c r="AI69" s="309"/>
      <c r="AJ69" s="313">
        <f t="shared" si="169"/>
        <v>150.76223999999993</v>
      </c>
      <c r="AK69" s="309">
        <f t="shared" si="170"/>
        <v>0</v>
      </c>
      <c r="AL69" s="314">
        <f t="shared" si="171"/>
        <v>0</v>
      </c>
      <c r="AM69" s="309"/>
      <c r="AN69" s="338"/>
      <c r="AO69" s="340">
        <f t="shared" si="150"/>
        <v>0.11020897111673095</v>
      </c>
      <c r="AP69" s="309"/>
      <c r="AQ69" s="313">
        <f t="shared" si="172"/>
        <v>0</v>
      </c>
      <c r="AR69" s="309">
        <v>0</v>
      </c>
      <c r="AS69" s="314">
        <v>0</v>
      </c>
      <c r="AT69" s="309"/>
      <c r="AU69" s="310"/>
      <c r="AV69" s="310"/>
      <c r="AW69" s="309"/>
    </row>
    <row r="70" spans="1:49" x14ac:dyDescent="0.2">
      <c r="A70" s="86">
        <f t="shared" si="4"/>
        <v>63</v>
      </c>
      <c r="B70" s="725"/>
      <c r="C70" s="726" t="s">
        <v>8</v>
      </c>
      <c r="D70" s="157"/>
      <c r="E70" s="122">
        <f>'Rates in Detail'!R59-'Rates in Detail'!N59</f>
        <v>9.11E-3</v>
      </c>
      <c r="F70" s="122">
        <f>'Rates in Detail'!V59</f>
        <v>-3.5799999999999998E-3</v>
      </c>
      <c r="G70" s="157"/>
      <c r="H70" s="157"/>
      <c r="I70" s="373">
        <f>'Rev Req Proof Yr1'!H70</f>
        <v>5.0090000000000003E-2</v>
      </c>
      <c r="J70" s="774">
        <f t="shared" si="11"/>
        <v>5.9200000000000003E-2</v>
      </c>
      <c r="K70" s="157"/>
      <c r="L70" s="155"/>
      <c r="M70" s="156"/>
      <c r="N70" s="122"/>
      <c r="O70" s="122"/>
      <c r="P70" s="122"/>
      <c r="Q70" s="774"/>
      <c r="R70" s="157"/>
      <c r="S70" s="298">
        <f>'Rev Req Proof Yr1'!R70</f>
        <v>0</v>
      </c>
      <c r="T70" s="299"/>
      <c r="U70" s="300"/>
      <c r="V70" s="301"/>
      <c r="W70" s="157"/>
      <c r="X70" s="313">
        <f t="shared" si="162"/>
        <v>0</v>
      </c>
      <c r="Y70" s="309">
        <f t="shared" si="163"/>
        <v>0</v>
      </c>
      <c r="Z70" s="314">
        <f t="shared" si="164"/>
        <v>0</v>
      </c>
      <c r="AA70" s="309"/>
      <c r="AB70" s="313">
        <f t="shared" si="165"/>
        <v>0</v>
      </c>
      <c r="AC70" s="309">
        <f t="shared" si="166"/>
        <v>0</v>
      </c>
      <c r="AD70" s="314">
        <f t="shared" si="167"/>
        <v>0</v>
      </c>
      <c r="AE70" s="309"/>
      <c r="AF70" s="313">
        <f t="shared" si="168"/>
        <v>0</v>
      </c>
      <c r="AG70" s="309">
        <v>0</v>
      </c>
      <c r="AH70" s="314">
        <v>0</v>
      </c>
      <c r="AI70" s="309"/>
      <c r="AJ70" s="313">
        <f t="shared" si="169"/>
        <v>0</v>
      </c>
      <c r="AK70" s="309">
        <f t="shared" si="170"/>
        <v>0</v>
      </c>
      <c r="AL70" s="314">
        <f t="shared" si="171"/>
        <v>0</v>
      </c>
      <c r="AM70" s="309"/>
      <c r="AN70" s="338"/>
      <c r="AO70" s="340" t="e">
        <f t="shared" si="150"/>
        <v>#DIV/0!</v>
      </c>
      <c r="AP70" s="309"/>
      <c r="AQ70" s="313">
        <f t="shared" si="172"/>
        <v>0</v>
      </c>
      <c r="AR70" s="309">
        <v>0</v>
      </c>
      <c r="AS70" s="314">
        <v>0</v>
      </c>
      <c r="AT70" s="309"/>
      <c r="AU70" s="310"/>
      <c r="AV70" s="310"/>
      <c r="AW70" s="309"/>
    </row>
    <row r="71" spans="1:49" x14ac:dyDescent="0.2">
      <c r="A71" s="86">
        <f t="shared" si="4"/>
        <v>64</v>
      </c>
      <c r="B71" s="725"/>
      <c r="C71" s="726" t="s">
        <v>9</v>
      </c>
      <c r="D71" s="157"/>
      <c r="E71" s="122">
        <f>'Rates in Detail'!R60-'Rates in Detail'!N60</f>
        <v>3.4199999999999994E-3</v>
      </c>
      <c r="F71" s="122">
        <f>'Rates in Detail'!V60</f>
        <v>-1.3500000000000001E-3</v>
      </c>
      <c r="G71" s="157"/>
      <c r="H71" s="157"/>
      <c r="I71" s="373">
        <f>'Rev Req Proof Yr1'!H71</f>
        <v>1.8790000000000001E-2</v>
      </c>
      <c r="J71" s="774">
        <f t="shared" si="11"/>
        <v>2.2210000000000001E-2</v>
      </c>
      <c r="K71" s="157"/>
      <c r="L71" s="155"/>
      <c r="M71" s="156"/>
      <c r="N71" s="122"/>
      <c r="O71" s="122"/>
      <c r="P71" s="122"/>
      <c r="Q71" s="774"/>
      <c r="R71" s="157"/>
      <c r="S71" s="298">
        <f>'Rev Req Proof Yr1'!R71</f>
        <v>0</v>
      </c>
      <c r="T71" s="299"/>
      <c r="U71" s="300"/>
      <c r="V71" s="301"/>
      <c r="W71" s="157"/>
      <c r="X71" s="313">
        <f t="shared" si="162"/>
        <v>0</v>
      </c>
      <c r="Y71" s="309">
        <f t="shared" si="163"/>
        <v>0</v>
      </c>
      <c r="Z71" s="314">
        <f t="shared" si="164"/>
        <v>0</v>
      </c>
      <c r="AA71" s="309"/>
      <c r="AB71" s="313">
        <f t="shared" si="165"/>
        <v>0</v>
      </c>
      <c r="AC71" s="309">
        <f t="shared" si="166"/>
        <v>0</v>
      </c>
      <c r="AD71" s="314">
        <f t="shared" si="167"/>
        <v>0</v>
      </c>
      <c r="AE71" s="309"/>
      <c r="AF71" s="313">
        <f t="shared" si="168"/>
        <v>0</v>
      </c>
      <c r="AG71" s="309">
        <v>0</v>
      </c>
      <c r="AH71" s="314">
        <v>0</v>
      </c>
      <c r="AI71" s="309"/>
      <c r="AJ71" s="313">
        <f t="shared" si="169"/>
        <v>0</v>
      </c>
      <c r="AK71" s="309">
        <f t="shared" si="170"/>
        <v>0</v>
      </c>
      <c r="AL71" s="314">
        <f t="shared" si="171"/>
        <v>0</v>
      </c>
      <c r="AM71" s="309"/>
      <c r="AN71" s="338"/>
      <c r="AO71" s="340" t="e">
        <f>AO70</f>
        <v>#DIV/0!</v>
      </c>
      <c r="AP71" s="309"/>
      <c r="AQ71" s="313">
        <f t="shared" si="172"/>
        <v>0</v>
      </c>
      <c r="AR71" s="309">
        <v>0</v>
      </c>
      <c r="AS71" s="314">
        <v>0</v>
      </c>
      <c r="AT71" s="309"/>
      <c r="AU71" s="310"/>
      <c r="AV71" s="310"/>
      <c r="AW71" s="309"/>
    </row>
    <row r="72" spans="1:49" x14ac:dyDescent="0.2">
      <c r="A72" s="86">
        <f t="shared" si="4"/>
        <v>65</v>
      </c>
      <c r="B72" s="723"/>
      <c r="C72" s="742" t="s">
        <v>78</v>
      </c>
      <c r="D72" s="153"/>
      <c r="E72" s="123"/>
      <c r="F72" s="123"/>
      <c r="G72" s="153"/>
      <c r="H72" s="153"/>
      <c r="I72" s="368"/>
      <c r="J72" s="773"/>
      <c r="K72" s="157"/>
      <c r="L72" s="155"/>
      <c r="M72" s="156"/>
      <c r="N72" s="122"/>
      <c r="O72" s="122"/>
      <c r="P72" s="122"/>
      <c r="Q72" s="774"/>
      <c r="R72" s="157"/>
      <c r="S72" s="298"/>
      <c r="T72" s="299"/>
      <c r="U72" s="300"/>
      <c r="V72" s="301"/>
      <c r="W72" s="157"/>
      <c r="X72" s="315">
        <f>SUM(X66:X71)</f>
        <v>111933.59485000001</v>
      </c>
      <c r="Y72" s="316">
        <f>SUM(Y66:Y71)</f>
        <v>31200</v>
      </c>
      <c r="Z72" s="317">
        <f>SUM(Z66:Z71)</f>
        <v>0</v>
      </c>
      <c r="AA72" s="309"/>
      <c r="AB72" s="315">
        <f>SUM(AB66:AB71)</f>
        <v>132276.65718999997</v>
      </c>
      <c r="AC72" s="316">
        <f>SUM(AC66:AC71)</f>
        <v>31200</v>
      </c>
      <c r="AD72" s="317">
        <f>SUM(AD66:AD71)</f>
        <v>0</v>
      </c>
      <c r="AE72" s="309"/>
      <c r="AF72" s="315">
        <f>SUM(AF66:AF71)</f>
        <v>-8003.1801600000008</v>
      </c>
      <c r="AG72" s="316">
        <f>SUM(AG66:AG71)</f>
        <v>0</v>
      </c>
      <c r="AH72" s="317">
        <f>SUM(AH66:AH71)</f>
        <v>0</v>
      </c>
      <c r="AI72" s="309"/>
      <c r="AJ72" s="315">
        <f>SUM(AJ66:AJ71)</f>
        <v>12339.882179999986</v>
      </c>
      <c r="AK72" s="316">
        <f>SUM(AK66:AK71)</f>
        <v>0</v>
      </c>
      <c r="AL72" s="317">
        <f>SUM(AL66:AL71)</f>
        <v>0</v>
      </c>
      <c r="AM72" s="309"/>
      <c r="AN72" s="338">
        <f>SUM(AJ72:AL72)/SUM(X72:Z72)</f>
        <v>8.6212340247108568E-2</v>
      </c>
      <c r="AO72" s="339">
        <f t="shared" ref="AO72:AO77" si="173">SUM(AJ72)/SUM(X72)</f>
        <v>0.11024288281401502</v>
      </c>
      <c r="AP72" s="309"/>
      <c r="AQ72" s="315">
        <f>SUM(AQ66:AQ71)</f>
        <v>0</v>
      </c>
      <c r="AR72" s="316">
        <f>SUM(AR66:AR71)</f>
        <v>0</v>
      </c>
      <c r="AS72" s="317">
        <f>SUM(AS66:AS71)</f>
        <v>0</v>
      </c>
      <c r="AT72" s="309"/>
      <c r="AU72" s="319"/>
      <c r="AV72" s="310"/>
      <c r="AW72" s="309"/>
    </row>
    <row r="73" spans="1:49" x14ac:dyDescent="0.2">
      <c r="A73" s="86">
        <f t="shared" si="4"/>
        <v>66</v>
      </c>
      <c r="B73" s="725" t="str">
        <f>'WA Volumes &amp; Revenues'!B63</f>
        <v>42I Interr Sales</v>
      </c>
      <c r="C73" s="726" t="s">
        <v>4</v>
      </c>
      <c r="D73" s="157"/>
      <c r="E73" s="122">
        <f>'Rates in Detail'!R61-'Rates in Detail'!N61</f>
        <v>3.4300000000000025E-2</v>
      </c>
      <c r="F73" s="122">
        <f>'Rates in Detail'!V61</f>
        <v>-4.7999999999999996E-3</v>
      </c>
      <c r="G73" s="157"/>
      <c r="H73" s="157"/>
      <c r="I73" s="373">
        <f>'Rev Req Proof Yr1'!H73</f>
        <v>0.14584</v>
      </c>
      <c r="J73" s="774">
        <f t="shared" si="11"/>
        <v>0.18014000000000002</v>
      </c>
      <c r="K73" s="157"/>
      <c r="L73" s="155">
        <f>'Rev Req Proof Yr1'!K73</f>
        <v>1300</v>
      </c>
      <c r="M73" s="156">
        <f>'Rev Req Proof Yr1'!L73</f>
        <v>1300</v>
      </c>
      <c r="N73" s="122">
        <f>'Rev Req Proof Yr1'!M73</f>
        <v>0</v>
      </c>
      <c r="O73" s="122">
        <f>'Rev Req Proof Yr1'!N73</f>
        <v>0</v>
      </c>
      <c r="P73" s="122">
        <f>'Rev Req Proof Yr1'!O73</f>
        <v>0</v>
      </c>
      <c r="Q73" s="774">
        <f>'Rev Req Proof Yr1'!P73</f>
        <v>0</v>
      </c>
      <c r="R73" s="157"/>
      <c r="S73" s="298">
        <f>'Rev Req Proof Yr1'!R73</f>
        <v>156740</v>
      </c>
      <c r="T73" s="299">
        <f>'Rev Req Proof Yr1'!S73</f>
        <v>2934</v>
      </c>
      <c r="U73" s="300">
        <f>'Rev Req Proof Yr1'!T73</f>
        <v>1.9166666666666701</v>
      </c>
      <c r="V73" s="301">
        <f>'Rev Req Proof Yr1'!U73</f>
        <v>13758</v>
      </c>
      <c r="W73" s="157"/>
      <c r="X73" s="313">
        <f t="shared" ref="X73:X78" si="174">(I73*S73)</f>
        <v>22858.961599999999</v>
      </c>
      <c r="Y73" s="309">
        <f t="shared" ref="Y73:Y78" si="175">(L73*U73*12)</f>
        <v>29900.000000000051</v>
      </c>
      <c r="Z73" s="314">
        <f t="shared" ref="Z73:Z78" si="176">(T73*(N73+P73))*12</f>
        <v>0</v>
      </c>
      <c r="AA73" s="309"/>
      <c r="AB73" s="313">
        <f t="shared" ref="AB73:AB78" si="177">(J73*S73)</f>
        <v>28235.143600000003</v>
      </c>
      <c r="AC73" s="309">
        <f t="shared" ref="AC73:AC78" si="178">(M73*U73*12)</f>
        <v>29900.000000000051</v>
      </c>
      <c r="AD73" s="314">
        <f t="shared" ref="AD73:AD78" si="179">(T73*(O73+Q73))*12</f>
        <v>0</v>
      </c>
      <c r="AE73" s="309"/>
      <c r="AF73" s="313">
        <f t="shared" ref="AF73:AF78" si="180">(F73*S73)</f>
        <v>-752.35199999999998</v>
      </c>
      <c r="AG73" s="309">
        <v>0</v>
      </c>
      <c r="AH73" s="314">
        <v>0</v>
      </c>
      <c r="AI73" s="309"/>
      <c r="AJ73" s="313">
        <f t="shared" ref="AJ73:AJ78" si="181">AB73-X73+AF73</f>
        <v>4623.8300000000045</v>
      </c>
      <c r="AK73" s="309">
        <f t="shared" ref="AK73:AK78" si="182">AC73-Y73-AG73</f>
        <v>0</v>
      </c>
      <c r="AL73" s="314">
        <f t="shared" ref="AL73:AL78" si="183">AD73-Z73-AH73</f>
        <v>0</v>
      </c>
      <c r="AM73" s="309"/>
      <c r="AN73" s="338"/>
      <c r="AO73" s="340">
        <f t="shared" si="173"/>
        <v>0.20227646736149224</v>
      </c>
      <c r="AP73" s="309"/>
      <c r="AQ73" s="313">
        <f t="shared" ref="AQ73:AQ78" si="184">(G73*S73)</f>
        <v>0</v>
      </c>
      <c r="AR73" s="309">
        <v>0</v>
      </c>
      <c r="AS73" s="314">
        <v>0</v>
      </c>
      <c r="AT73" s="309"/>
      <c r="AU73" s="310"/>
      <c r="AV73" s="310"/>
      <c r="AW73" s="309"/>
    </row>
    <row r="74" spans="1:49" x14ac:dyDescent="0.2">
      <c r="A74" s="86">
        <f t="shared" ref="A74:A102" si="185">+A73+1</f>
        <v>67</v>
      </c>
      <c r="B74" s="725"/>
      <c r="C74" s="726" t="s">
        <v>5</v>
      </c>
      <c r="D74" s="157"/>
      <c r="E74" s="122">
        <f>'Rates in Detail'!R62-'Rates in Detail'!N62</f>
        <v>3.0710000000000015E-2</v>
      </c>
      <c r="F74" s="122">
        <f>'Rates in Detail'!V62</f>
        <v>-4.3E-3</v>
      </c>
      <c r="G74" s="157"/>
      <c r="H74" s="157"/>
      <c r="I74" s="373">
        <f>'Rev Req Proof Yr1'!H74</f>
        <v>0.13055</v>
      </c>
      <c r="J74" s="774">
        <f t="shared" si="11"/>
        <v>0.16126000000000001</v>
      </c>
      <c r="K74" s="157"/>
      <c r="L74" s="155"/>
      <c r="M74" s="156"/>
      <c r="N74" s="122"/>
      <c r="O74" s="122"/>
      <c r="P74" s="122"/>
      <c r="Q74" s="774"/>
      <c r="R74" s="157"/>
      <c r="S74" s="298">
        <f>'Rev Req Proof Yr1'!R74</f>
        <v>159690</v>
      </c>
      <c r="T74" s="299"/>
      <c r="U74" s="300"/>
      <c r="V74" s="301"/>
      <c r="W74" s="157"/>
      <c r="X74" s="313">
        <f t="shared" si="174"/>
        <v>20847.529500000001</v>
      </c>
      <c r="Y74" s="309">
        <f t="shared" si="175"/>
        <v>0</v>
      </c>
      <c r="Z74" s="314">
        <f t="shared" si="176"/>
        <v>0</v>
      </c>
      <c r="AA74" s="309"/>
      <c r="AB74" s="313">
        <f t="shared" si="177"/>
        <v>25751.609400000001</v>
      </c>
      <c r="AC74" s="309">
        <f t="shared" si="178"/>
        <v>0</v>
      </c>
      <c r="AD74" s="314">
        <f t="shared" si="179"/>
        <v>0</v>
      </c>
      <c r="AE74" s="309"/>
      <c r="AF74" s="313">
        <f t="shared" si="180"/>
        <v>-686.66700000000003</v>
      </c>
      <c r="AG74" s="309">
        <v>0</v>
      </c>
      <c r="AH74" s="314">
        <v>0</v>
      </c>
      <c r="AI74" s="309"/>
      <c r="AJ74" s="313">
        <f t="shared" si="181"/>
        <v>4217.4129000000003</v>
      </c>
      <c r="AK74" s="309">
        <f t="shared" si="182"/>
        <v>0</v>
      </c>
      <c r="AL74" s="314">
        <f t="shared" si="183"/>
        <v>0</v>
      </c>
      <c r="AM74" s="309"/>
      <c r="AN74" s="338"/>
      <c r="AO74" s="340">
        <f t="shared" si="173"/>
        <v>0.20229797012638837</v>
      </c>
      <c r="AP74" s="309"/>
      <c r="AQ74" s="313">
        <f t="shared" si="184"/>
        <v>0</v>
      </c>
      <c r="AR74" s="309">
        <v>0</v>
      </c>
      <c r="AS74" s="314">
        <v>0</v>
      </c>
      <c r="AT74" s="309"/>
      <c r="AU74" s="310"/>
      <c r="AV74" s="310"/>
      <c r="AW74" s="309"/>
    </row>
    <row r="75" spans="1:49" x14ac:dyDescent="0.2">
      <c r="A75" s="86">
        <f t="shared" si="185"/>
        <v>68</v>
      </c>
      <c r="B75" s="725"/>
      <c r="C75" s="726" t="s">
        <v>6</v>
      </c>
      <c r="D75" s="157"/>
      <c r="E75" s="122">
        <f>'Rates in Detail'!R63-'Rates in Detail'!N63</f>
        <v>2.3550000000000001E-2</v>
      </c>
      <c r="F75" s="122">
        <f>'Rates in Detail'!V63</f>
        <v>-3.3E-3</v>
      </c>
      <c r="G75" s="157"/>
      <c r="H75" s="157"/>
      <c r="I75" s="373">
        <f>'Rev Req Proof Yr1'!H75</f>
        <v>0.10011</v>
      </c>
      <c r="J75" s="774">
        <f t="shared" si="11"/>
        <v>0.12366000000000001</v>
      </c>
      <c r="K75" s="157"/>
      <c r="L75" s="155"/>
      <c r="M75" s="156"/>
      <c r="N75" s="122"/>
      <c r="O75" s="122"/>
      <c r="P75" s="122"/>
      <c r="Q75" s="774"/>
      <c r="R75" s="157"/>
      <c r="S75" s="298">
        <f>'Rev Req Proof Yr1'!R75</f>
        <v>0</v>
      </c>
      <c r="T75" s="299"/>
      <c r="U75" s="300"/>
      <c r="V75" s="301"/>
      <c r="W75" s="157"/>
      <c r="X75" s="313">
        <f t="shared" si="174"/>
        <v>0</v>
      </c>
      <c r="Y75" s="309">
        <f t="shared" si="175"/>
        <v>0</v>
      </c>
      <c r="Z75" s="314">
        <f t="shared" si="176"/>
        <v>0</v>
      </c>
      <c r="AA75" s="309"/>
      <c r="AB75" s="313">
        <f t="shared" si="177"/>
        <v>0</v>
      </c>
      <c r="AC75" s="309">
        <f t="shared" si="178"/>
        <v>0</v>
      </c>
      <c r="AD75" s="314">
        <f t="shared" si="179"/>
        <v>0</v>
      </c>
      <c r="AE75" s="309"/>
      <c r="AF75" s="313">
        <f t="shared" si="180"/>
        <v>0</v>
      </c>
      <c r="AG75" s="309">
        <v>0</v>
      </c>
      <c r="AH75" s="314">
        <v>0</v>
      </c>
      <c r="AI75" s="309"/>
      <c r="AJ75" s="313">
        <f t="shared" si="181"/>
        <v>0</v>
      </c>
      <c r="AK75" s="309">
        <f t="shared" si="182"/>
        <v>0</v>
      </c>
      <c r="AL75" s="314">
        <f t="shared" si="183"/>
        <v>0</v>
      </c>
      <c r="AM75" s="309"/>
      <c r="AN75" s="338"/>
      <c r="AO75" s="340" t="e">
        <f t="shared" si="173"/>
        <v>#DIV/0!</v>
      </c>
      <c r="AP75" s="309"/>
      <c r="AQ75" s="313">
        <f t="shared" si="184"/>
        <v>0</v>
      </c>
      <c r="AR75" s="309">
        <v>0</v>
      </c>
      <c r="AS75" s="314">
        <v>0</v>
      </c>
      <c r="AT75" s="309"/>
      <c r="AU75" s="310"/>
      <c r="AV75" s="310"/>
      <c r="AW75" s="309"/>
    </row>
    <row r="76" spans="1:49" x14ac:dyDescent="0.2">
      <c r="A76" s="86">
        <f t="shared" si="185"/>
        <v>69</v>
      </c>
      <c r="B76" s="725"/>
      <c r="C76" s="726" t="s">
        <v>7</v>
      </c>
      <c r="D76" s="157"/>
      <c r="E76" s="122">
        <f>'Rates in Detail'!R64-'Rates in Detail'!N64</f>
        <v>1.8839999999999996E-2</v>
      </c>
      <c r="F76" s="122">
        <f>'Rates in Detail'!V64</f>
        <v>-2.64E-3</v>
      </c>
      <c r="G76" s="157"/>
      <c r="H76" s="157"/>
      <c r="I76" s="373">
        <f>'Rev Req Proof Yr1'!H76</f>
        <v>8.0089999999999995E-2</v>
      </c>
      <c r="J76" s="774">
        <f t="shared" si="11"/>
        <v>9.892999999999999E-2</v>
      </c>
      <c r="K76" s="157"/>
      <c r="L76" s="155"/>
      <c r="M76" s="156"/>
      <c r="N76" s="122"/>
      <c r="O76" s="122"/>
      <c r="P76" s="122"/>
      <c r="Q76" s="774"/>
      <c r="R76" s="157"/>
      <c r="S76" s="298">
        <f>'Rev Req Proof Yr1'!R76</f>
        <v>0</v>
      </c>
      <c r="T76" s="299"/>
      <c r="U76" s="300"/>
      <c r="V76" s="301"/>
      <c r="W76" s="157"/>
      <c r="X76" s="313">
        <f t="shared" si="174"/>
        <v>0</v>
      </c>
      <c r="Y76" s="309">
        <f t="shared" si="175"/>
        <v>0</v>
      </c>
      <c r="Z76" s="314">
        <f t="shared" si="176"/>
        <v>0</v>
      </c>
      <c r="AA76" s="309"/>
      <c r="AB76" s="313">
        <f t="shared" si="177"/>
        <v>0</v>
      </c>
      <c r="AC76" s="309">
        <f t="shared" si="178"/>
        <v>0</v>
      </c>
      <c r="AD76" s="314">
        <f t="shared" si="179"/>
        <v>0</v>
      </c>
      <c r="AE76" s="309"/>
      <c r="AF76" s="313">
        <f t="shared" si="180"/>
        <v>0</v>
      </c>
      <c r="AG76" s="309">
        <v>0</v>
      </c>
      <c r="AH76" s="314">
        <v>0</v>
      </c>
      <c r="AI76" s="309"/>
      <c r="AJ76" s="313">
        <f t="shared" si="181"/>
        <v>0</v>
      </c>
      <c r="AK76" s="309">
        <f t="shared" si="182"/>
        <v>0</v>
      </c>
      <c r="AL76" s="314">
        <f t="shared" si="183"/>
        <v>0</v>
      </c>
      <c r="AM76" s="309"/>
      <c r="AN76" s="338"/>
      <c r="AO76" s="340" t="e">
        <f t="shared" si="173"/>
        <v>#DIV/0!</v>
      </c>
      <c r="AP76" s="309"/>
      <c r="AQ76" s="313">
        <f t="shared" si="184"/>
        <v>0</v>
      </c>
      <c r="AR76" s="309">
        <v>0</v>
      </c>
      <c r="AS76" s="314">
        <v>0</v>
      </c>
      <c r="AT76" s="309"/>
      <c r="AU76" s="310"/>
      <c r="AV76" s="310"/>
      <c r="AW76" s="309"/>
    </row>
    <row r="77" spans="1:49" x14ac:dyDescent="0.2">
      <c r="A77" s="86">
        <f t="shared" si="185"/>
        <v>70</v>
      </c>
      <c r="B77" s="725"/>
      <c r="C77" s="726" t="s">
        <v>8</v>
      </c>
      <c r="D77" s="157"/>
      <c r="E77" s="122">
        <f>'Rates in Detail'!R65-'Rates in Detail'!N65</f>
        <v>1.2560000000000002E-2</v>
      </c>
      <c r="F77" s="122">
        <f>'Rates in Detail'!V65</f>
        <v>-1.7600000000000001E-3</v>
      </c>
      <c r="G77" s="157"/>
      <c r="H77" s="157"/>
      <c r="I77" s="373">
        <f>'Rev Req Proof Yr1'!H77</f>
        <v>5.339E-2</v>
      </c>
      <c r="J77" s="774">
        <f t="shared" si="11"/>
        <v>6.5950000000000009E-2</v>
      </c>
      <c r="K77" s="157"/>
      <c r="L77" s="155"/>
      <c r="M77" s="156"/>
      <c r="N77" s="122"/>
      <c r="O77" s="122"/>
      <c r="P77" s="122"/>
      <c r="Q77" s="774"/>
      <c r="R77" s="157"/>
      <c r="S77" s="298">
        <f>'Rev Req Proof Yr1'!R77</f>
        <v>0</v>
      </c>
      <c r="T77" s="299"/>
      <c r="U77" s="300"/>
      <c r="V77" s="301"/>
      <c r="W77" s="157"/>
      <c r="X77" s="313">
        <f t="shared" si="174"/>
        <v>0</v>
      </c>
      <c r="Y77" s="309">
        <f t="shared" si="175"/>
        <v>0</v>
      </c>
      <c r="Z77" s="314">
        <f t="shared" si="176"/>
        <v>0</v>
      </c>
      <c r="AA77" s="309"/>
      <c r="AB77" s="313">
        <f t="shared" si="177"/>
        <v>0</v>
      </c>
      <c r="AC77" s="309">
        <f t="shared" si="178"/>
        <v>0</v>
      </c>
      <c r="AD77" s="314">
        <f t="shared" si="179"/>
        <v>0</v>
      </c>
      <c r="AE77" s="309"/>
      <c r="AF77" s="313">
        <f t="shared" si="180"/>
        <v>0</v>
      </c>
      <c r="AG77" s="309">
        <v>0</v>
      </c>
      <c r="AH77" s="314">
        <v>0</v>
      </c>
      <c r="AI77" s="309"/>
      <c r="AJ77" s="313">
        <f t="shared" si="181"/>
        <v>0</v>
      </c>
      <c r="AK77" s="309">
        <f t="shared" si="182"/>
        <v>0</v>
      </c>
      <c r="AL77" s="314">
        <f t="shared" si="183"/>
        <v>0</v>
      </c>
      <c r="AM77" s="309"/>
      <c r="AN77" s="338"/>
      <c r="AO77" s="340" t="e">
        <f t="shared" si="173"/>
        <v>#DIV/0!</v>
      </c>
      <c r="AP77" s="309"/>
      <c r="AQ77" s="313">
        <f t="shared" si="184"/>
        <v>0</v>
      </c>
      <c r="AR77" s="309">
        <v>0</v>
      </c>
      <c r="AS77" s="314">
        <v>0</v>
      </c>
      <c r="AT77" s="309"/>
      <c r="AU77" s="310"/>
      <c r="AV77" s="310"/>
      <c r="AW77" s="309"/>
    </row>
    <row r="78" spans="1:49" x14ac:dyDescent="0.2">
      <c r="A78" s="86">
        <f t="shared" si="185"/>
        <v>71</v>
      </c>
      <c r="B78" s="725"/>
      <c r="C78" s="726" t="s">
        <v>9</v>
      </c>
      <c r="D78" s="157"/>
      <c r="E78" s="122">
        <f>'Rates in Detail'!R66-'Rates in Detail'!N66</f>
        <v>4.7100000000000024E-3</v>
      </c>
      <c r="F78" s="122">
        <f>'Rates in Detail'!V66</f>
        <v>-6.6E-4</v>
      </c>
      <c r="G78" s="157"/>
      <c r="H78" s="157"/>
      <c r="I78" s="373">
        <f>'Rev Req Proof Yr1'!H78</f>
        <v>2.002E-2</v>
      </c>
      <c r="J78" s="774">
        <f t="shared" si="11"/>
        <v>2.4730000000000002E-2</v>
      </c>
      <c r="K78" s="157"/>
      <c r="L78" s="273"/>
      <c r="M78" s="55"/>
      <c r="N78" s="122"/>
      <c r="O78" s="122"/>
      <c r="P78" s="122"/>
      <c r="Q78" s="774"/>
      <c r="R78" s="157"/>
      <c r="S78" s="298">
        <f>'Rev Req Proof Yr1'!R78</f>
        <v>0</v>
      </c>
      <c r="T78" s="299"/>
      <c r="U78" s="300"/>
      <c r="V78" s="301"/>
      <c r="W78" s="157"/>
      <c r="X78" s="313">
        <f t="shared" si="174"/>
        <v>0</v>
      </c>
      <c r="Y78" s="309">
        <f t="shared" si="175"/>
        <v>0</v>
      </c>
      <c r="Z78" s="314">
        <f t="shared" si="176"/>
        <v>0</v>
      </c>
      <c r="AA78" s="309"/>
      <c r="AB78" s="313">
        <f t="shared" si="177"/>
        <v>0</v>
      </c>
      <c r="AC78" s="309">
        <f t="shared" si="178"/>
        <v>0</v>
      </c>
      <c r="AD78" s="314">
        <f t="shared" si="179"/>
        <v>0</v>
      </c>
      <c r="AE78" s="309"/>
      <c r="AF78" s="313">
        <f t="shared" si="180"/>
        <v>0</v>
      </c>
      <c r="AG78" s="309">
        <v>0</v>
      </c>
      <c r="AH78" s="314">
        <v>0</v>
      </c>
      <c r="AI78" s="309"/>
      <c r="AJ78" s="313">
        <f t="shared" si="181"/>
        <v>0</v>
      </c>
      <c r="AK78" s="309">
        <f t="shared" si="182"/>
        <v>0</v>
      </c>
      <c r="AL78" s="314">
        <f t="shared" si="183"/>
        <v>0</v>
      </c>
      <c r="AM78" s="309"/>
      <c r="AN78" s="338"/>
      <c r="AO78" s="340" t="e">
        <f>AO77</f>
        <v>#DIV/0!</v>
      </c>
      <c r="AP78" s="309"/>
      <c r="AQ78" s="313">
        <f t="shared" si="184"/>
        <v>0</v>
      </c>
      <c r="AR78" s="309">
        <v>0</v>
      </c>
      <c r="AS78" s="314">
        <v>0</v>
      </c>
      <c r="AT78" s="309"/>
      <c r="AU78" s="310"/>
      <c r="AV78" s="310"/>
      <c r="AW78" s="309"/>
    </row>
    <row r="79" spans="1:49" x14ac:dyDescent="0.2">
      <c r="A79" s="86">
        <f t="shared" si="185"/>
        <v>72</v>
      </c>
      <c r="B79" s="723"/>
      <c r="C79" s="742" t="s">
        <v>78</v>
      </c>
      <c r="D79" s="153"/>
      <c r="E79" s="123"/>
      <c r="F79" s="123"/>
      <c r="G79" s="153"/>
      <c r="H79" s="153"/>
      <c r="I79" s="368"/>
      <c r="J79" s="773"/>
      <c r="K79" s="157"/>
      <c r="L79" s="273"/>
      <c r="M79" s="55"/>
      <c r="N79" s="122"/>
      <c r="O79" s="122"/>
      <c r="P79" s="122"/>
      <c r="Q79" s="774"/>
      <c r="R79" s="157"/>
      <c r="S79" s="298"/>
      <c r="T79" s="299"/>
      <c r="U79" s="300"/>
      <c r="V79" s="301"/>
      <c r="W79" s="157"/>
      <c r="X79" s="315">
        <f>SUM(X73:X78)</f>
        <v>43706.491099999999</v>
      </c>
      <c r="Y79" s="316">
        <f>SUM(Y73:Y78)</f>
        <v>29900.000000000051</v>
      </c>
      <c r="Z79" s="317">
        <f>SUM(Z73:Z78)</f>
        <v>0</v>
      </c>
      <c r="AA79" s="309"/>
      <c r="AB79" s="315">
        <f>SUM(AB73:AB78)</f>
        <v>53986.753000000004</v>
      </c>
      <c r="AC79" s="316">
        <f>SUM(AC73:AC78)</f>
        <v>29900.000000000051</v>
      </c>
      <c r="AD79" s="317">
        <f>SUM(AD73:AD78)</f>
        <v>0</v>
      </c>
      <c r="AE79" s="309"/>
      <c r="AF79" s="315">
        <f>SUM(AF73:AF78)</f>
        <v>-1439.019</v>
      </c>
      <c r="AG79" s="316">
        <f>SUM(AG73:AG78)</f>
        <v>0</v>
      </c>
      <c r="AH79" s="317">
        <f>SUM(AH73:AH78)</f>
        <v>0</v>
      </c>
      <c r="AI79" s="309"/>
      <c r="AJ79" s="315">
        <f>SUM(AJ73:AJ78)</f>
        <v>8841.2429000000047</v>
      </c>
      <c r="AK79" s="316">
        <f>SUM(AK73:AK78)</f>
        <v>0</v>
      </c>
      <c r="AL79" s="317">
        <f>SUM(AL73:AL78)</f>
        <v>0</v>
      </c>
      <c r="AM79" s="309"/>
      <c r="AN79" s="338">
        <f>SUM(AJ79:AL79)/SUM(X79:Z79)</f>
        <v>0.1201149894238064</v>
      </c>
      <c r="AO79" s="339">
        <f t="shared" ref="AO79:AO93" si="186">SUM(AJ79)/SUM(X79)</f>
        <v>0.20228672395071323</v>
      </c>
      <c r="AP79" s="309"/>
      <c r="AQ79" s="315">
        <f>SUM(AQ73:AQ78)</f>
        <v>0</v>
      </c>
      <c r="AR79" s="316">
        <f>SUM(AR73:AR78)</f>
        <v>0</v>
      </c>
      <c r="AS79" s="317">
        <f>SUM(AS73:AS78)</f>
        <v>0</v>
      </c>
      <c r="AT79" s="309"/>
      <c r="AU79" s="310"/>
      <c r="AV79" s="310"/>
      <c r="AW79" s="309"/>
    </row>
    <row r="80" spans="1:49" x14ac:dyDescent="0.2">
      <c r="A80" s="86">
        <f t="shared" si="185"/>
        <v>73</v>
      </c>
      <c r="B80" s="725" t="str">
        <f>'WA Volumes &amp; Revenues'!B69</f>
        <v>42C Inter Transpt</v>
      </c>
      <c r="C80" s="726" t="s">
        <v>4</v>
      </c>
      <c r="D80" s="157"/>
      <c r="E80" s="122">
        <f>'Rates in Detail'!R67-'Rates in Detail'!N67</f>
        <v>1.5729999999999994E-2</v>
      </c>
      <c r="F80" s="122">
        <f>'Rates in Detail'!V67</f>
        <v>-2.3800000000000002E-3</v>
      </c>
      <c r="G80" s="157"/>
      <c r="H80" s="157"/>
      <c r="I80" s="373">
        <f>'Rev Req Proof Yr1'!H80</f>
        <v>0.13403000000000001</v>
      </c>
      <c r="J80" s="774">
        <f t="shared" ref="J80:J96" si="187">I80+E80</f>
        <v>0.14976</v>
      </c>
      <c r="K80" s="157"/>
      <c r="L80" s="155">
        <f>'Rev Req Proof Yr1'!K80</f>
        <v>1550</v>
      </c>
      <c r="M80" s="156">
        <f>'Rev Req Proof Yr1'!L80</f>
        <v>1550</v>
      </c>
      <c r="N80" s="122">
        <f>'Rev Req Proof Yr1'!M80</f>
        <v>0</v>
      </c>
      <c r="O80" s="122">
        <f>'Rev Req Proof Yr1'!N80</f>
        <v>0</v>
      </c>
      <c r="P80" s="122">
        <f>'Rev Req Proof Yr1'!O80</f>
        <v>0</v>
      </c>
      <c r="Q80" s="774">
        <f>'Rev Req Proof Yr1'!P80</f>
        <v>0</v>
      </c>
      <c r="R80" s="157"/>
      <c r="S80" s="298">
        <f>'Rev Req Proof Yr1'!R80</f>
        <v>0</v>
      </c>
      <c r="T80" s="299"/>
      <c r="U80" s="300">
        <f>'Rev Req Proof Yr1'!T80</f>
        <v>0</v>
      </c>
      <c r="V80" s="301">
        <f>'Rev Req Proof Yr1'!U80</f>
        <v>0</v>
      </c>
      <c r="W80" s="157"/>
      <c r="X80" s="313">
        <f t="shared" ref="X80:X85" si="188">(I80*S80)</f>
        <v>0</v>
      </c>
      <c r="Y80" s="309">
        <f t="shared" ref="Y80:Y85" si="189">(L80*U80*12)</f>
        <v>0</v>
      </c>
      <c r="Z80" s="314">
        <f t="shared" ref="Z80:Z85" si="190">(T80*(N80+P80))*12</f>
        <v>0</v>
      </c>
      <c r="AA80" s="309"/>
      <c r="AB80" s="313">
        <f t="shared" ref="AB80:AB85" si="191">(J80*S80)</f>
        <v>0</v>
      </c>
      <c r="AC80" s="309">
        <f t="shared" ref="AC80:AC85" si="192">(M80*U80*12)</f>
        <v>0</v>
      </c>
      <c r="AD80" s="314">
        <f t="shared" ref="AD80:AD85" si="193">(T80*(O80+Q80))*12</f>
        <v>0</v>
      </c>
      <c r="AE80" s="309"/>
      <c r="AF80" s="313">
        <f t="shared" ref="AF80:AF85" si="194">(F80*S80)</f>
        <v>0</v>
      </c>
      <c r="AG80" s="309">
        <v>0</v>
      </c>
      <c r="AH80" s="314">
        <v>0</v>
      </c>
      <c r="AI80" s="309"/>
      <c r="AJ80" s="313">
        <f t="shared" ref="AJ80:AJ85" si="195">AB80-X80+AF80</f>
        <v>0</v>
      </c>
      <c r="AK80" s="309">
        <f t="shared" ref="AK80:AK85" si="196">AC80-Y80-AG80</f>
        <v>0</v>
      </c>
      <c r="AL80" s="314">
        <f t="shared" ref="AL80:AL85" si="197">AD80-Z80-AH80</f>
        <v>0</v>
      </c>
      <c r="AM80" s="309"/>
      <c r="AN80" s="338"/>
      <c r="AO80" s="340" t="e">
        <f t="shared" ref="AO80:AO84" si="198">SUM(AJ80)/SUM(X80)</f>
        <v>#DIV/0!</v>
      </c>
      <c r="AP80" s="309"/>
      <c r="AQ80" s="313">
        <f t="shared" ref="AQ80:AQ85" si="199">(G80*S80)</f>
        <v>0</v>
      </c>
      <c r="AR80" s="309">
        <v>0</v>
      </c>
      <c r="AS80" s="314">
        <v>0</v>
      </c>
      <c r="AT80" s="309"/>
      <c r="AU80" s="310"/>
      <c r="AV80" s="310"/>
      <c r="AW80" s="309"/>
    </row>
    <row r="81" spans="1:49" x14ac:dyDescent="0.2">
      <c r="A81" s="86">
        <f t="shared" si="185"/>
        <v>74</v>
      </c>
      <c r="B81" s="725"/>
      <c r="C81" s="726" t="s">
        <v>5</v>
      </c>
      <c r="D81" s="157"/>
      <c r="E81" s="122">
        <f>'Rates in Detail'!R68-'Rates in Detail'!N68</f>
        <v>1.4089999999999978E-2</v>
      </c>
      <c r="F81" s="122">
        <f>'Rates in Detail'!V68</f>
        <v>-2.1299999999999999E-3</v>
      </c>
      <c r="G81" s="157"/>
      <c r="H81" s="157"/>
      <c r="I81" s="373">
        <f>'Rev Req Proof Yr1'!H81</f>
        <v>0.11998</v>
      </c>
      <c r="J81" s="774">
        <f t="shared" si="187"/>
        <v>0.13406999999999997</v>
      </c>
      <c r="K81" s="157"/>
      <c r="L81" s="155"/>
      <c r="M81" s="156"/>
      <c r="N81" s="122"/>
      <c r="O81" s="122"/>
      <c r="P81" s="122"/>
      <c r="Q81" s="774"/>
      <c r="R81" s="157"/>
      <c r="S81" s="298">
        <f>'Rev Req Proof Yr1'!R81</f>
        <v>0</v>
      </c>
      <c r="T81" s="299"/>
      <c r="U81" s="300"/>
      <c r="V81" s="301"/>
      <c r="W81" s="157"/>
      <c r="X81" s="313">
        <f t="shared" si="188"/>
        <v>0</v>
      </c>
      <c r="Y81" s="309">
        <f t="shared" si="189"/>
        <v>0</v>
      </c>
      <c r="Z81" s="314">
        <f t="shared" si="190"/>
        <v>0</v>
      </c>
      <c r="AA81" s="309"/>
      <c r="AB81" s="313">
        <f t="shared" si="191"/>
        <v>0</v>
      </c>
      <c r="AC81" s="309">
        <f t="shared" si="192"/>
        <v>0</v>
      </c>
      <c r="AD81" s="314">
        <f t="shared" si="193"/>
        <v>0</v>
      </c>
      <c r="AE81" s="309"/>
      <c r="AF81" s="313">
        <f t="shared" si="194"/>
        <v>0</v>
      </c>
      <c r="AG81" s="309">
        <v>0</v>
      </c>
      <c r="AH81" s="314">
        <v>0</v>
      </c>
      <c r="AI81" s="309"/>
      <c r="AJ81" s="313">
        <f t="shared" si="195"/>
        <v>0</v>
      </c>
      <c r="AK81" s="309">
        <f t="shared" si="196"/>
        <v>0</v>
      </c>
      <c r="AL81" s="314">
        <f t="shared" si="197"/>
        <v>0</v>
      </c>
      <c r="AM81" s="309"/>
      <c r="AN81" s="338"/>
      <c r="AO81" s="340" t="e">
        <f t="shared" si="198"/>
        <v>#DIV/0!</v>
      </c>
      <c r="AP81" s="309"/>
      <c r="AQ81" s="313">
        <f t="shared" si="199"/>
        <v>0</v>
      </c>
      <c r="AR81" s="309">
        <v>0</v>
      </c>
      <c r="AS81" s="314">
        <v>0</v>
      </c>
      <c r="AT81" s="309"/>
      <c r="AU81" s="310"/>
      <c r="AV81" s="310"/>
      <c r="AW81" s="309"/>
    </row>
    <row r="82" spans="1:49" x14ac:dyDescent="0.2">
      <c r="A82" s="86">
        <f t="shared" si="185"/>
        <v>75</v>
      </c>
      <c r="B82" s="725"/>
      <c r="C82" s="726" t="s">
        <v>6</v>
      </c>
      <c r="D82" s="157"/>
      <c r="E82" s="122">
        <f>'Rates in Detail'!R69-'Rates in Detail'!N69</f>
        <v>1.0800000000000004E-2</v>
      </c>
      <c r="F82" s="122">
        <f>'Rates in Detail'!V69</f>
        <v>-1.6299999999999999E-3</v>
      </c>
      <c r="G82" s="157"/>
      <c r="H82" s="157"/>
      <c r="I82" s="373">
        <f>'Rev Req Proof Yr1'!H82</f>
        <v>9.1999999999999998E-2</v>
      </c>
      <c r="J82" s="774">
        <f t="shared" si="187"/>
        <v>0.1028</v>
      </c>
      <c r="K82" s="157"/>
      <c r="L82" s="155"/>
      <c r="M82" s="156"/>
      <c r="N82" s="122"/>
      <c r="O82" s="122"/>
      <c r="P82" s="122"/>
      <c r="Q82" s="774"/>
      <c r="R82" s="157"/>
      <c r="S82" s="298">
        <f>'Rev Req Proof Yr1'!R82</f>
        <v>0</v>
      </c>
      <c r="T82" s="299"/>
      <c r="U82" s="300"/>
      <c r="V82" s="301"/>
      <c r="W82" s="157"/>
      <c r="X82" s="313">
        <f t="shared" si="188"/>
        <v>0</v>
      </c>
      <c r="Y82" s="309">
        <f t="shared" si="189"/>
        <v>0</v>
      </c>
      <c r="Z82" s="314">
        <f t="shared" si="190"/>
        <v>0</v>
      </c>
      <c r="AA82" s="309"/>
      <c r="AB82" s="313">
        <f t="shared" si="191"/>
        <v>0</v>
      </c>
      <c r="AC82" s="309">
        <f t="shared" si="192"/>
        <v>0</v>
      </c>
      <c r="AD82" s="314">
        <f t="shared" si="193"/>
        <v>0</v>
      </c>
      <c r="AE82" s="309"/>
      <c r="AF82" s="313">
        <f t="shared" si="194"/>
        <v>0</v>
      </c>
      <c r="AG82" s="309">
        <v>0</v>
      </c>
      <c r="AH82" s="314">
        <v>0</v>
      </c>
      <c r="AI82" s="309"/>
      <c r="AJ82" s="313">
        <f t="shared" si="195"/>
        <v>0</v>
      </c>
      <c r="AK82" s="309">
        <f t="shared" si="196"/>
        <v>0</v>
      </c>
      <c r="AL82" s="314">
        <f t="shared" si="197"/>
        <v>0</v>
      </c>
      <c r="AM82" s="309"/>
      <c r="AN82" s="338"/>
      <c r="AO82" s="340" t="e">
        <f t="shared" si="198"/>
        <v>#DIV/0!</v>
      </c>
      <c r="AP82" s="309"/>
      <c r="AQ82" s="313">
        <f t="shared" si="199"/>
        <v>0</v>
      </c>
      <c r="AR82" s="309">
        <v>0</v>
      </c>
      <c r="AS82" s="314">
        <v>0</v>
      </c>
      <c r="AT82" s="309"/>
      <c r="AU82" s="310"/>
      <c r="AV82" s="310"/>
      <c r="AW82" s="309"/>
    </row>
    <row r="83" spans="1:49" x14ac:dyDescent="0.2">
      <c r="A83" s="86">
        <f t="shared" si="185"/>
        <v>76</v>
      </c>
      <c r="B83" s="725"/>
      <c r="C83" s="726" t="s">
        <v>7</v>
      </c>
      <c r="D83" s="157"/>
      <c r="E83" s="122">
        <f>'Rates in Detail'!R70-'Rates in Detail'!N70</f>
        <v>8.6400000000000088E-3</v>
      </c>
      <c r="F83" s="122">
        <f>'Rates in Detail'!V70</f>
        <v>-1.31E-3</v>
      </c>
      <c r="G83" s="157"/>
      <c r="H83" s="157"/>
      <c r="I83" s="373">
        <f>'Rev Req Proof Yr1'!H83</f>
        <v>7.3609999999999995E-2</v>
      </c>
      <c r="J83" s="774">
        <f t="shared" si="187"/>
        <v>8.2250000000000004E-2</v>
      </c>
      <c r="K83" s="157"/>
      <c r="L83" s="155"/>
      <c r="M83" s="156"/>
      <c r="N83" s="122"/>
      <c r="O83" s="122"/>
      <c r="P83" s="122"/>
      <c r="Q83" s="774"/>
      <c r="R83" s="157"/>
      <c r="S83" s="298">
        <f>'Rev Req Proof Yr1'!R83</f>
        <v>0</v>
      </c>
      <c r="T83" s="299"/>
      <c r="U83" s="300"/>
      <c r="V83" s="301"/>
      <c r="W83" s="157"/>
      <c r="X83" s="313">
        <f t="shared" si="188"/>
        <v>0</v>
      </c>
      <c r="Y83" s="309">
        <f t="shared" si="189"/>
        <v>0</v>
      </c>
      <c r="Z83" s="314">
        <f t="shared" si="190"/>
        <v>0</v>
      </c>
      <c r="AA83" s="309"/>
      <c r="AB83" s="313">
        <f t="shared" si="191"/>
        <v>0</v>
      </c>
      <c r="AC83" s="309">
        <f t="shared" si="192"/>
        <v>0</v>
      </c>
      <c r="AD83" s="314">
        <f t="shared" si="193"/>
        <v>0</v>
      </c>
      <c r="AE83" s="309"/>
      <c r="AF83" s="313">
        <f t="shared" si="194"/>
        <v>0</v>
      </c>
      <c r="AG83" s="309">
        <v>0</v>
      </c>
      <c r="AH83" s="314">
        <v>0</v>
      </c>
      <c r="AI83" s="309"/>
      <c r="AJ83" s="313">
        <f t="shared" si="195"/>
        <v>0</v>
      </c>
      <c r="AK83" s="309">
        <f t="shared" si="196"/>
        <v>0</v>
      </c>
      <c r="AL83" s="314">
        <f t="shared" si="197"/>
        <v>0</v>
      </c>
      <c r="AM83" s="309"/>
      <c r="AN83" s="338"/>
      <c r="AO83" s="340" t="e">
        <f t="shared" si="198"/>
        <v>#DIV/0!</v>
      </c>
      <c r="AP83" s="309"/>
      <c r="AQ83" s="313">
        <f t="shared" si="199"/>
        <v>0</v>
      </c>
      <c r="AR83" s="309">
        <v>0</v>
      </c>
      <c r="AS83" s="314">
        <v>0</v>
      </c>
      <c r="AT83" s="309"/>
      <c r="AU83" s="310"/>
      <c r="AV83" s="310"/>
      <c r="AW83" s="309"/>
    </row>
    <row r="84" spans="1:49" x14ac:dyDescent="0.2">
      <c r="A84" s="86">
        <f t="shared" si="185"/>
        <v>77</v>
      </c>
      <c r="B84" s="725"/>
      <c r="C84" s="726" t="s">
        <v>8</v>
      </c>
      <c r="D84" s="157"/>
      <c r="E84" s="122">
        <f>'Rates in Detail'!R71-'Rates in Detail'!N71</f>
        <v>5.7600000000000012E-3</v>
      </c>
      <c r="F84" s="122">
        <f>'Rates in Detail'!V71</f>
        <v>-8.7000000000000001E-4</v>
      </c>
      <c r="G84" s="157"/>
      <c r="H84" s="157"/>
      <c r="I84" s="373">
        <f>'Rev Req Proof Yr1'!H84</f>
        <v>4.9079999999999999E-2</v>
      </c>
      <c r="J84" s="774">
        <f t="shared" si="187"/>
        <v>5.484E-2</v>
      </c>
      <c r="K84" s="157"/>
      <c r="L84" s="155"/>
      <c r="M84" s="156"/>
      <c r="N84" s="122"/>
      <c r="O84" s="122"/>
      <c r="P84" s="122"/>
      <c r="Q84" s="774"/>
      <c r="R84" s="157"/>
      <c r="S84" s="298">
        <f>'Rev Req Proof Yr1'!R84</f>
        <v>0</v>
      </c>
      <c r="T84" s="299"/>
      <c r="U84" s="300"/>
      <c r="V84" s="301"/>
      <c r="W84" s="157"/>
      <c r="X84" s="313">
        <f t="shared" si="188"/>
        <v>0</v>
      </c>
      <c r="Y84" s="309">
        <f t="shared" si="189"/>
        <v>0</v>
      </c>
      <c r="Z84" s="314">
        <f t="shared" si="190"/>
        <v>0</v>
      </c>
      <c r="AA84" s="309"/>
      <c r="AB84" s="313">
        <f t="shared" si="191"/>
        <v>0</v>
      </c>
      <c r="AC84" s="309">
        <f t="shared" si="192"/>
        <v>0</v>
      </c>
      <c r="AD84" s="314">
        <f t="shared" si="193"/>
        <v>0</v>
      </c>
      <c r="AE84" s="309"/>
      <c r="AF84" s="313">
        <f t="shared" si="194"/>
        <v>0</v>
      </c>
      <c r="AG84" s="309">
        <v>0</v>
      </c>
      <c r="AH84" s="314">
        <v>0</v>
      </c>
      <c r="AI84" s="309"/>
      <c r="AJ84" s="313">
        <f t="shared" si="195"/>
        <v>0</v>
      </c>
      <c r="AK84" s="309">
        <f t="shared" si="196"/>
        <v>0</v>
      </c>
      <c r="AL84" s="314">
        <f t="shared" si="197"/>
        <v>0</v>
      </c>
      <c r="AM84" s="309"/>
      <c r="AN84" s="338"/>
      <c r="AO84" s="340" t="e">
        <f t="shared" si="198"/>
        <v>#DIV/0!</v>
      </c>
      <c r="AP84" s="309"/>
      <c r="AQ84" s="313">
        <f t="shared" si="199"/>
        <v>0</v>
      </c>
      <c r="AR84" s="309">
        <v>0</v>
      </c>
      <c r="AS84" s="314">
        <v>0</v>
      </c>
      <c r="AT84" s="309"/>
      <c r="AU84" s="310"/>
      <c r="AV84" s="310"/>
      <c r="AW84" s="309"/>
    </row>
    <row r="85" spans="1:49" x14ac:dyDescent="0.2">
      <c r="A85" s="86">
        <f t="shared" si="185"/>
        <v>78</v>
      </c>
      <c r="B85" s="725"/>
      <c r="C85" s="726" t="s">
        <v>9</v>
      </c>
      <c r="D85" s="157"/>
      <c r="E85" s="122">
        <f>'Rates in Detail'!R72-'Rates in Detail'!N72</f>
        <v>2.1599999999999987E-3</v>
      </c>
      <c r="F85" s="122">
        <f>'Rates in Detail'!V72</f>
        <v>-3.3E-4</v>
      </c>
      <c r="G85" s="157"/>
      <c r="H85" s="157"/>
      <c r="I85" s="373">
        <f>'Rev Req Proof Yr1'!H85</f>
        <v>1.839E-2</v>
      </c>
      <c r="J85" s="774">
        <f t="shared" si="187"/>
        <v>2.0549999999999999E-2</v>
      </c>
      <c r="K85" s="157"/>
      <c r="L85" s="273"/>
      <c r="M85" s="55"/>
      <c r="N85" s="122"/>
      <c r="O85" s="122"/>
      <c r="P85" s="122"/>
      <c r="Q85" s="774"/>
      <c r="R85" s="157"/>
      <c r="S85" s="298">
        <f>'Rev Req Proof Yr1'!R85</f>
        <v>0</v>
      </c>
      <c r="T85" s="299"/>
      <c r="U85" s="300"/>
      <c r="V85" s="301"/>
      <c r="W85" s="157"/>
      <c r="X85" s="313">
        <f t="shared" si="188"/>
        <v>0</v>
      </c>
      <c r="Y85" s="309">
        <f t="shared" si="189"/>
        <v>0</v>
      </c>
      <c r="Z85" s="314">
        <f t="shared" si="190"/>
        <v>0</v>
      </c>
      <c r="AA85" s="309"/>
      <c r="AB85" s="313">
        <f t="shared" si="191"/>
        <v>0</v>
      </c>
      <c r="AC85" s="309">
        <f t="shared" si="192"/>
        <v>0</v>
      </c>
      <c r="AD85" s="314">
        <f t="shared" si="193"/>
        <v>0</v>
      </c>
      <c r="AE85" s="309"/>
      <c r="AF85" s="313">
        <f t="shared" si="194"/>
        <v>0</v>
      </c>
      <c r="AG85" s="309">
        <v>0</v>
      </c>
      <c r="AH85" s="314">
        <v>0</v>
      </c>
      <c r="AI85" s="309"/>
      <c r="AJ85" s="313">
        <f t="shared" si="195"/>
        <v>0</v>
      </c>
      <c r="AK85" s="309">
        <f t="shared" si="196"/>
        <v>0</v>
      </c>
      <c r="AL85" s="314">
        <f t="shared" si="197"/>
        <v>0</v>
      </c>
      <c r="AM85" s="309"/>
      <c r="AN85" s="338"/>
      <c r="AO85" s="340" t="e">
        <f>AO84</f>
        <v>#DIV/0!</v>
      </c>
      <c r="AP85" s="309"/>
      <c r="AQ85" s="313">
        <f t="shared" si="199"/>
        <v>0</v>
      </c>
      <c r="AR85" s="309">
        <v>0</v>
      </c>
      <c r="AS85" s="314">
        <v>0</v>
      </c>
      <c r="AT85" s="309"/>
      <c r="AU85" s="310"/>
      <c r="AV85" s="310"/>
      <c r="AW85" s="309"/>
    </row>
    <row r="86" spans="1:49" x14ac:dyDescent="0.2">
      <c r="A86" s="86">
        <f t="shared" si="185"/>
        <v>79</v>
      </c>
      <c r="B86" s="723"/>
      <c r="C86" s="742" t="s">
        <v>78</v>
      </c>
      <c r="D86" s="153"/>
      <c r="E86" s="123"/>
      <c r="F86" s="123"/>
      <c r="G86" s="153"/>
      <c r="H86" s="153"/>
      <c r="I86" s="368"/>
      <c r="J86" s="773"/>
      <c r="K86" s="157"/>
      <c r="L86" s="273"/>
      <c r="M86" s="55"/>
      <c r="N86" s="122"/>
      <c r="O86" s="122"/>
      <c r="P86" s="122"/>
      <c r="Q86" s="774"/>
      <c r="R86" s="157"/>
      <c r="S86" s="298"/>
      <c r="T86" s="299"/>
      <c r="U86" s="300"/>
      <c r="V86" s="301"/>
      <c r="W86" s="157"/>
      <c r="X86" s="315">
        <f>SUM(X80:X85)</f>
        <v>0</v>
      </c>
      <c r="Y86" s="316">
        <f>SUM(Y80:Y85)</f>
        <v>0</v>
      </c>
      <c r="Z86" s="317">
        <f>SUM(Z80:Z85)</f>
        <v>0</v>
      </c>
      <c r="AA86" s="309"/>
      <c r="AB86" s="315">
        <f>SUM(AB80:AB85)</f>
        <v>0</v>
      </c>
      <c r="AC86" s="316">
        <f>SUM(AC80:AC85)</f>
        <v>0</v>
      </c>
      <c r="AD86" s="317">
        <f>SUM(AD80:AD85)</f>
        <v>0</v>
      </c>
      <c r="AE86" s="309"/>
      <c r="AF86" s="315">
        <f>SUM(AF80:AF85)</f>
        <v>0</v>
      </c>
      <c r="AG86" s="316">
        <f>SUM(AG80:AG85)</f>
        <v>0</v>
      </c>
      <c r="AH86" s="317">
        <f>SUM(AH80:AH85)</f>
        <v>0</v>
      </c>
      <c r="AI86" s="309"/>
      <c r="AJ86" s="315">
        <f>SUM(AJ80:AJ85)</f>
        <v>0</v>
      </c>
      <c r="AK86" s="316">
        <f>SUM(AK80:AK85)</f>
        <v>0</v>
      </c>
      <c r="AL86" s="317">
        <f>SUM(AL80:AL85)</f>
        <v>0</v>
      </c>
      <c r="AM86" s="309"/>
      <c r="AN86" s="338"/>
      <c r="AO86" s="339"/>
      <c r="AP86" s="309"/>
      <c r="AQ86" s="315">
        <f>SUM(AQ80:AQ85)</f>
        <v>0</v>
      </c>
      <c r="AR86" s="316">
        <f>SUM(AR80:AR85)</f>
        <v>0</v>
      </c>
      <c r="AS86" s="317">
        <f>SUM(AS80:AS85)</f>
        <v>0</v>
      </c>
      <c r="AT86" s="309"/>
      <c r="AU86" s="310"/>
      <c r="AV86" s="310"/>
      <c r="AW86" s="309"/>
    </row>
    <row r="87" spans="1:49" x14ac:dyDescent="0.2">
      <c r="A87" s="86">
        <f t="shared" si="185"/>
        <v>80</v>
      </c>
      <c r="B87" s="725" t="str">
        <f>'WA Volumes &amp; Revenues'!B75</f>
        <v>42I Inter Transpt</v>
      </c>
      <c r="C87" s="726" t="s">
        <v>4</v>
      </c>
      <c r="D87" s="162"/>
      <c r="E87" s="122">
        <f>'Rates in Detail'!R73-'Rates in Detail'!N73</f>
        <v>2.0170000000000021E-2</v>
      </c>
      <c r="F87" s="122">
        <f>'Rates in Detail'!V73</f>
        <v>-2.82E-3</v>
      </c>
      <c r="G87" s="157"/>
      <c r="H87" s="162"/>
      <c r="I87" s="373">
        <f>'Rev Req Proof Yr1'!H87</f>
        <v>0.13403000000000001</v>
      </c>
      <c r="J87" s="774">
        <f t="shared" si="187"/>
        <v>0.15420000000000003</v>
      </c>
      <c r="K87" s="162"/>
      <c r="L87" s="155">
        <f>'Rev Req Proof Yr1'!K87</f>
        <v>1550</v>
      </c>
      <c r="M87" s="156">
        <f>'Rev Req Proof Yr1'!L87</f>
        <v>1550</v>
      </c>
      <c r="N87" s="122">
        <f>'Rev Req Proof Yr1'!M87</f>
        <v>0</v>
      </c>
      <c r="O87" s="122">
        <f>'Rev Req Proof Yr1'!N87</f>
        <v>0</v>
      </c>
      <c r="P87" s="122">
        <f>'Rev Req Proof Yr1'!O87</f>
        <v>0</v>
      </c>
      <c r="Q87" s="774">
        <f>'Rev Req Proof Yr1'!P87</f>
        <v>0</v>
      </c>
      <c r="R87" s="162"/>
      <c r="S87" s="298">
        <f>'Rev Req Proof Yr1'!R87</f>
        <v>844078</v>
      </c>
      <c r="T87" s="299"/>
      <c r="U87" s="300">
        <f>'Rev Req Proof Yr1'!T87</f>
        <v>7</v>
      </c>
      <c r="V87" s="301">
        <f>'Rev Req Proof Yr1'!U87</f>
        <v>95634</v>
      </c>
      <c r="W87" s="162"/>
      <c r="X87" s="313">
        <f t="shared" ref="X87:X92" si="200">(I87*S87)</f>
        <v>113131.77434</v>
      </c>
      <c r="Y87" s="309">
        <f t="shared" ref="Y87:Y92" si="201">(L87*U87*12)</f>
        <v>130200</v>
      </c>
      <c r="Z87" s="314">
        <f t="shared" ref="Z87:Z92" si="202">(T87*(N87+P87))*12</f>
        <v>0</v>
      </c>
      <c r="AA87" s="320"/>
      <c r="AB87" s="313">
        <f t="shared" ref="AB87:AB92" si="203">(J87*S87)</f>
        <v>130156.82760000003</v>
      </c>
      <c r="AC87" s="309">
        <f t="shared" ref="AC87:AC92" si="204">(M87*U87*12)</f>
        <v>130200</v>
      </c>
      <c r="AD87" s="314">
        <f t="shared" ref="AD87:AD92" si="205">(T87*(O87+Q87))*12</f>
        <v>0</v>
      </c>
      <c r="AE87" s="320"/>
      <c r="AF87" s="313">
        <f t="shared" ref="AF87:AF92" si="206">(F87*S87)</f>
        <v>-2380.2999599999998</v>
      </c>
      <c r="AG87" s="309">
        <v>0</v>
      </c>
      <c r="AH87" s="314">
        <v>0</v>
      </c>
      <c r="AI87" s="320"/>
      <c r="AJ87" s="313">
        <f t="shared" ref="AJ87:AJ92" si="207">AB87-X87+AF87</f>
        <v>14644.753300000029</v>
      </c>
      <c r="AK87" s="309">
        <f t="shared" ref="AK87:AK92" si="208">AC87-Y87-AG87</f>
        <v>0</v>
      </c>
      <c r="AL87" s="314">
        <f t="shared" ref="AL87:AL92" si="209">AD87-Z87-AH87</f>
        <v>0</v>
      </c>
      <c r="AM87" s="320"/>
      <c r="AN87" s="338"/>
      <c r="AO87" s="340">
        <f t="shared" si="186"/>
        <v>0.12944863090352932</v>
      </c>
      <c r="AP87" s="320"/>
      <c r="AQ87" s="313">
        <f t="shared" ref="AQ87:AQ92" si="210">(G87*S87)</f>
        <v>0</v>
      </c>
      <c r="AR87" s="309">
        <v>0</v>
      </c>
      <c r="AS87" s="314">
        <v>0</v>
      </c>
      <c r="AT87" s="320"/>
      <c r="AU87" s="310"/>
      <c r="AV87" s="310"/>
      <c r="AW87" s="320"/>
    </row>
    <row r="88" spans="1:49" x14ac:dyDescent="0.2">
      <c r="A88" s="86">
        <f t="shared" si="185"/>
        <v>81</v>
      </c>
      <c r="B88" s="725"/>
      <c r="C88" s="726" t="s">
        <v>5</v>
      </c>
      <c r="D88" s="162"/>
      <c r="E88" s="122">
        <f>'Rates in Detail'!R74-'Rates in Detail'!N74</f>
        <v>1.8060000000000007E-2</v>
      </c>
      <c r="F88" s="122">
        <f>'Rates in Detail'!V74</f>
        <v>-2.5300000000000001E-3</v>
      </c>
      <c r="G88" s="157"/>
      <c r="H88" s="162"/>
      <c r="I88" s="373">
        <f>'Rev Req Proof Yr1'!H88</f>
        <v>0.11998</v>
      </c>
      <c r="J88" s="774">
        <f t="shared" si="187"/>
        <v>0.13804</v>
      </c>
      <c r="K88" s="162"/>
      <c r="L88" s="273"/>
      <c r="M88" s="55"/>
      <c r="N88" s="122"/>
      <c r="O88" s="122"/>
      <c r="P88" s="122"/>
      <c r="Q88" s="774"/>
      <c r="R88" s="162"/>
      <c r="S88" s="298">
        <f>'Rev Req Proof Yr1'!R88</f>
        <v>1445175</v>
      </c>
      <c r="T88" s="299"/>
      <c r="U88" s="157"/>
      <c r="V88" s="158"/>
      <c r="W88" s="162"/>
      <c r="X88" s="313">
        <f t="shared" si="200"/>
        <v>173392.09650000001</v>
      </c>
      <c r="Y88" s="309">
        <f t="shared" si="201"/>
        <v>0</v>
      </c>
      <c r="Z88" s="314">
        <f t="shared" si="202"/>
        <v>0</v>
      </c>
      <c r="AA88" s="320"/>
      <c r="AB88" s="313">
        <f t="shared" si="203"/>
        <v>199491.95699999999</v>
      </c>
      <c r="AC88" s="309">
        <f t="shared" si="204"/>
        <v>0</v>
      </c>
      <c r="AD88" s="314">
        <f t="shared" si="205"/>
        <v>0</v>
      </c>
      <c r="AE88" s="320"/>
      <c r="AF88" s="313">
        <f t="shared" si="206"/>
        <v>-3656.2927500000001</v>
      </c>
      <c r="AG88" s="309">
        <v>0</v>
      </c>
      <c r="AH88" s="314">
        <v>0</v>
      </c>
      <c r="AI88" s="320"/>
      <c r="AJ88" s="313">
        <f t="shared" si="207"/>
        <v>22443.56774999998</v>
      </c>
      <c r="AK88" s="309">
        <f t="shared" si="208"/>
        <v>0</v>
      </c>
      <c r="AL88" s="314">
        <f t="shared" si="209"/>
        <v>0</v>
      </c>
      <c r="AM88" s="320"/>
      <c r="AN88" s="338"/>
      <c r="AO88" s="340">
        <f t="shared" si="186"/>
        <v>0.12943823970661764</v>
      </c>
      <c r="AP88" s="320"/>
      <c r="AQ88" s="313">
        <f t="shared" si="210"/>
        <v>0</v>
      </c>
      <c r="AR88" s="309">
        <v>0</v>
      </c>
      <c r="AS88" s="314">
        <v>0</v>
      </c>
      <c r="AT88" s="320"/>
      <c r="AU88" s="310"/>
      <c r="AV88" s="156"/>
      <c r="AW88" s="320"/>
    </row>
    <row r="89" spans="1:49" x14ac:dyDescent="0.2">
      <c r="A89" s="86">
        <f t="shared" si="185"/>
        <v>82</v>
      </c>
      <c r="B89" s="725"/>
      <c r="C89" s="726" t="s">
        <v>6</v>
      </c>
      <c r="D89" s="162"/>
      <c r="E89" s="122">
        <f>'Rates in Detail'!R75-'Rates in Detail'!N75</f>
        <v>1.3850000000000001E-2</v>
      </c>
      <c r="F89" s="122">
        <f>'Rates in Detail'!V75</f>
        <v>-1.9400000000000001E-3</v>
      </c>
      <c r="G89" s="157"/>
      <c r="H89" s="162"/>
      <c r="I89" s="373">
        <f>'Rev Req Proof Yr1'!H89</f>
        <v>9.1999999999999998E-2</v>
      </c>
      <c r="J89" s="774">
        <f t="shared" si="187"/>
        <v>0.10585</v>
      </c>
      <c r="K89" s="162"/>
      <c r="L89" s="155"/>
      <c r="M89" s="156"/>
      <c r="N89" s="122"/>
      <c r="O89" s="122"/>
      <c r="P89" s="122"/>
      <c r="Q89" s="774"/>
      <c r="R89" s="162"/>
      <c r="S89" s="298">
        <f>'Rev Req Proof Yr1'!R89</f>
        <v>1034978</v>
      </c>
      <c r="T89" s="299"/>
      <c r="U89" s="157"/>
      <c r="V89" s="158"/>
      <c r="W89" s="162"/>
      <c r="X89" s="313">
        <f t="shared" si="200"/>
        <v>95217.975999999995</v>
      </c>
      <c r="Y89" s="309">
        <f t="shared" si="201"/>
        <v>0</v>
      </c>
      <c r="Z89" s="314">
        <f t="shared" si="202"/>
        <v>0</v>
      </c>
      <c r="AA89" s="320"/>
      <c r="AB89" s="313">
        <f t="shared" si="203"/>
        <v>109552.4213</v>
      </c>
      <c r="AC89" s="309">
        <f t="shared" si="204"/>
        <v>0</v>
      </c>
      <c r="AD89" s="314">
        <f t="shared" si="205"/>
        <v>0</v>
      </c>
      <c r="AE89" s="320"/>
      <c r="AF89" s="313">
        <f t="shared" si="206"/>
        <v>-2007.8573200000001</v>
      </c>
      <c r="AG89" s="309">
        <v>0</v>
      </c>
      <c r="AH89" s="314">
        <v>0</v>
      </c>
      <c r="AI89" s="320"/>
      <c r="AJ89" s="313">
        <f t="shared" si="207"/>
        <v>12326.587980000008</v>
      </c>
      <c r="AK89" s="309">
        <f t="shared" si="208"/>
        <v>0</v>
      </c>
      <c r="AL89" s="314">
        <f t="shared" si="209"/>
        <v>0</v>
      </c>
      <c r="AM89" s="320"/>
      <c r="AN89" s="338"/>
      <c r="AO89" s="340">
        <f t="shared" si="186"/>
        <v>0.12945652173913053</v>
      </c>
      <c r="AP89" s="320"/>
      <c r="AQ89" s="313">
        <f t="shared" si="210"/>
        <v>0</v>
      </c>
      <c r="AR89" s="309">
        <v>0</v>
      </c>
      <c r="AS89" s="314">
        <v>0</v>
      </c>
      <c r="AT89" s="320"/>
      <c r="AU89" s="310"/>
      <c r="AV89" s="156"/>
      <c r="AW89" s="320"/>
    </row>
    <row r="90" spans="1:49" x14ac:dyDescent="0.2">
      <c r="A90" s="86">
        <f t="shared" si="185"/>
        <v>83</v>
      </c>
      <c r="B90" s="725"/>
      <c r="C90" s="726" t="s">
        <v>7</v>
      </c>
      <c r="D90" s="162"/>
      <c r="E90" s="122">
        <f>'Rates in Detail'!R76-'Rates in Detail'!N76</f>
        <v>1.1069999999999997E-2</v>
      </c>
      <c r="F90" s="122">
        <f>'Rates in Detail'!V76</f>
        <v>-1.5499999999999999E-3</v>
      </c>
      <c r="G90" s="157"/>
      <c r="H90" s="162"/>
      <c r="I90" s="373">
        <f>'Rev Req Proof Yr1'!H90</f>
        <v>7.3609999999999995E-2</v>
      </c>
      <c r="J90" s="774">
        <f t="shared" si="187"/>
        <v>8.4679999999999991E-2</v>
      </c>
      <c r="K90" s="162"/>
      <c r="L90" s="155"/>
      <c r="M90" s="156"/>
      <c r="N90" s="122"/>
      <c r="O90" s="122"/>
      <c r="P90" s="122"/>
      <c r="Q90" s="774"/>
      <c r="R90" s="162"/>
      <c r="S90" s="298">
        <f>'Rev Req Proof Yr1'!R90</f>
        <v>3359916</v>
      </c>
      <c r="T90" s="299"/>
      <c r="U90" s="157"/>
      <c r="V90" s="158"/>
      <c r="W90" s="162"/>
      <c r="X90" s="313">
        <f t="shared" si="200"/>
        <v>247323.41675999999</v>
      </c>
      <c r="Y90" s="309">
        <f t="shared" si="201"/>
        <v>0</v>
      </c>
      <c r="Z90" s="314">
        <f t="shared" si="202"/>
        <v>0</v>
      </c>
      <c r="AA90" s="320"/>
      <c r="AB90" s="313">
        <f t="shared" si="203"/>
        <v>284517.68687999999</v>
      </c>
      <c r="AC90" s="309">
        <f t="shared" si="204"/>
        <v>0</v>
      </c>
      <c r="AD90" s="314">
        <f t="shared" si="205"/>
        <v>0</v>
      </c>
      <c r="AE90" s="320"/>
      <c r="AF90" s="313">
        <f t="shared" si="206"/>
        <v>-5207.8697999999995</v>
      </c>
      <c r="AG90" s="309">
        <v>0</v>
      </c>
      <c r="AH90" s="314">
        <v>0</v>
      </c>
      <c r="AI90" s="320"/>
      <c r="AJ90" s="313">
        <f t="shared" si="207"/>
        <v>31986.400320000001</v>
      </c>
      <c r="AK90" s="309">
        <f t="shared" si="208"/>
        <v>0</v>
      </c>
      <c r="AL90" s="314">
        <f t="shared" si="209"/>
        <v>0</v>
      </c>
      <c r="AM90" s="320"/>
      <c r="AN90" s="338"/>
      <c r="AO90" s="340">
        <f t="shared" si="186"/>
        <v>0.12933025404157045</v>
      </c>
      <c r="AP90" s="320"/>
      <c r="AQ90" s="313">
        <f t="shared" si="210"/>
        <v>0</v>
      </c>
      <c r="AR90" s="309">
        <v>0</v>
      </c>
      <c r="AS90" s="314">
        <v>0</v>
      </c>
      <c r="AT90" s="320"/>
      <c r="AU90" s="310"/>
      <c r="AV90" s="156"/>
      <c r="AW90" s="320"/>
    </row>
    <row r="91" spans="1:49" x14ac:dyDescent="0.2">
      <c r="A91" s="86">
        <f t="shared" si="185"/>
        <v>84</v>
      </c>
      <c r="B91" s="725"/>
      <c r="C91" s="726" t="s">
        <v>8</v>
      </c>
      <c r="D91" s="162"/>
      <c r="E91" s="122">
        <f>'Rates in Detail'!R77-'Rates in Detail'!N77</f>
        <v>7.3799999999999977E-3</v>
      </c>
      <c r="F91" s="122">
        <f>'Rates in Detail'!V77</f>
        <v>-1.0300000000000001E-3</v>
      </c>
      <c r="G91" s="157"/>
      <c r="H91" s="162"/>
      <c r="I91" s="373">
        <f>'Rev Req Proof Yr1'!H91</f>
        <v>4.9079999999999999E-2</v>
      </c>
      <c r="J91" s="774">
        <f t="shared" si="187"/>
        <v>5.6459999999999996E-2</v>
      </c>
      <c r="K91" s="162"/>
      <c r="L91" s="155"/>
      <c r="M91" s="156"/>
      <c r="N91" s="122"/>
      <c r="O91" s="122"/>
      <c r="P91" s="122"/>
      <c r="Q91" s="774"/>
      <c r="R91" s="162"/>
      <c r="S91" s="298">
        <f>'Rev Req Proof Yr1'!R91</f>
        <v>1349120</v>
      </c>
      <c r="T91" s="299"/>
      <c r="U91" s="157"/>
      <c r="V91" s="158"/>
      <c r="W91" s="162"/>
      <c r="X91" s="313">
        <f t="shared" si="200"/>
        <v>66214.809599999993</v>
      </c>
      <c r="Y91" s="309">
        <f t="shared" si="201"/>
        <v>0</v>
      </c>
      <c r="Z91" s="314">
        <f t="shared" si="202"/>
        <v>0</v>
      </c>
      <c r="AA91" s="320"/>
      <c r="AB91" s="313">
        <f t="shared" si="203"/>
        <v>76171.315199999997</v>
      </c>
      <c r="AC91" s="309">
        <f t="shared" si="204"/>
        <v>0</v>
      </c>
      <c r="AD91" s="314">
        <f t="shared" si="205"/>
        <v>0</v>
      </c>
      <c r="AE91" s="320"/>
      <c r="AF91" s="313">
        <f t="shared" si="206"/>
        <v>-1389.5936000000002</v>
      </c>
      <c r="AG91" s="309">
        <v>0</v>
      </c>
      <c r="AH91" s="314">
        <v>0</v>
      </c>
      <c r="AI91" s="320"/>
      <c r="AJ91" s="313">
        <f t="shared" si="207"/>
        <v>8566.9120000000039</v>
      </c>
      <c r="AK91" s="309">
        <f t="shared" si="208"/>
        <v>0</v>
      </c>
      <c r="AL91" s="314">
        <f t="shared" si="209"/>
        <v>0</v>
      </c>
      <c r="AM91" s="320"/>
      <c r="AN91" s="338"/>
      <c r="AO91" s="340">
        <f t="shared" si="186"/>
        <v>0.1293806030969846</v>
      </c>
      <c r="AP91" s="320"/>
      <c r="AQ91" s="313">
        <f t="shared" si="210"/>
        <v>0</v>
      </c>
      <c r="AR91" s="309">
        <v>0</v>
      </c>
      <c r="AS91" s="314">
        <v>0</v>
      </c>
      <c r="AT91" s="320"/>
      <c r="AU91" s="310"/>
      <c r="AV91" s="154"/>
      <c r="AW91" s="320"/>
    </row>
    <row r="92" spans="1:49" x14ac:dyDescent="0.2">
      <c r="A92" s="86">
        <f t="shared" si="185"/>
        <v>85</v>
      </c>
      <c r="B92" s="725"/>
      <c r="C92" s="726" t="s">
        <v>9</v>
      </c>
      <c r="D92" s="162"/>
      <c r="E92" s="122">
        <f>'Rates in Detail'!R78-'Rates in Detail'!N78</f>
        <v>2.7700000000000016E-3</v>
      </c>
      <c r="F92" s="122">
        <f>'Rates in Detail'!V78</f>
        <v>-3.8999999999999999E-4</v>
      </c>
      <c r="G92" s="157"/>
      <c r="H92" s="162"/>
      <c r="I92" s="373">
        <f>'Rev Req Proof Yr1'!H92</f>
        <v>1.839E-2</v>
      </c>
      <c r="J92" s="774">
        <f t="shared" si="187"/>
        <v>2.1160000000000002E-2</v>
      </c>
      <c r="K92" s="162"/>
      <c r="L92" s="155"/>
      <c r="M92" s="156"/>
      <c r="N92" s="122"/>
      <c r="O92" s="122"/>
      <c r="P92" s="122"/>
      <c r="Q92" s="774"/>
      <c r="R92" s="162"/>
      <c r="S92" s="298">
        <f>'Rev Req Proof Yr1'!R92</f>
        <v>0</v>
      </c>
      <c r="T92" s="299"/>
      <c r="U92" s="157"/>
      <c r="V92" s="158"/>
      <c r="W92" s="162"/>
      <c r="X92" s="313">
        <f t="shared" si="200"/>
        <v>0</v>
      </c>
      <c r="Y92" s="309">
        <f t="shared" si="201"/>
        <v>0</v>
      </c>
      <c r="Z92" s="314">
        <f t="shared" si="202"/>
        <v>0</v>
      </c>
      <c r="AA92" s="320"/>
      <c r="AB92" s="313">
        <f t="shared" si="203"/>
        <v>0</v>
      </c>
      <c r="AC92" s="309">
        <f t="shared" si="204"/>
        <v>0</v>
      </c>
      <c r="AD92" s="314">
        <f t="shared" si="205"/>
        <v>0</v>
      </c>
      <c r="AE92" s="320"/>
      <c r="AF92" s="313">
        <f t="shared" si="206"/>
        <v>0</v>
      </c>
      <c r="AG92" s="309">
        <v>0</v>
      </c>
      <c r="AH92" s="314">
        <v>0</v>
      </c>
      <c r="AI92" s="320"/>
      <c r="AJ92" s="313">
        <f t="shared" si="207"/>
        <v>0</v>
      </c>
      <c r="AK92" s="309">
        <f t="shared" si="208"/>
        <v>0</v>
      </c>
      <c r="AL92" s="314">
        <f t="shared" si="209"/>
        <v>0</v>
      </c>
      <c r="AM92" s="320"/>
      <c r="AN92" s="338"/>
      <c r="AO92" s="340" t="e">
        <f t="shared" si="186"/>
        <v>#DIV/0!</v>
      </c>
      <c r="AP92" s="320"/>
      <c r="AQ92" s="313">
        <f t="shared" si="210"/>
        <v>0</v>
      </c>
      <c r="AR92" s="309">
        <v>0</v>
      </c>
      <c r="AS92" s="314">
        <v>0</v>
      </c>
      <c r="AT92" s="320"/>
      <c r="AU92" s="310"/>
      <c r="AV92" s="154"/>
      <c r="AW92" s="320"/>
    </row>
    <row r="93" spans="1:49" x14ac:dyDescent="0.2">
      <c r="A93" s="86">
        <f t="shared" si="185"/>
        <v>86</v>
      </c>
      <c r="B93" s="723"/>
      <c r="C93" s="742" t="s">
        <v>78</v>
      </c>
      <c r="D93" s="163"/>
      <c r="E93" s="123"/>
      <c r="F93" s="123"/>
      <c r="G93" s="153"/>
      <c r="H93" s="163"/>
      <c r="I93" s="368"/>
      <c r="J93" s="773"/>
      <c r="K93" s="162"/>
      <c r="L93" s="155"/>
      <c r="M93" s="156"/>
      <c r="N93" s="122"/>
      <c r="O93" s="122"/>
      <c r="P93" s="122"/>
      <c r="Q93" s="774"/>
      <c r="R93" s="162"/>
      <c r="S93" s="298"/>
      <c r="T93" s="157"/>
      <c r="U93" s="157"/>
      <c r="V93" s="158"/>
      <c r="W93" s="162"/>
      <c r="X93" s="315">
        <f>SUM(X87:X92)</f>
        <v>695280.07319999998</v>
      </c>
      <c r="Y93" s="316">
        <f>SUM(Y87:Y92)</f>
        <v>130200</v>
      </c>
      <c r="Z93" s="317">
        <f>SUM(Z87:Z92)</f>
        <v>0</v>
      </c>
      <c r="AA93" s="320"/>
      <c r="AB93" s="315">
        <f>SUM(AB87:AB92)</f>
        <v>799890.20797999995</v>
      </c>
      <c r="AC93" s="316">
        <f>SUM(AC87:AC92)</f>
        <v>130200</v>
      </c>
      <c r="AD93" s="317">
        <f>SUM(AD87:AD92)</f>
        <v>0</v>
      </c>
      <c r="AE93" s="320"/>
      <c r="AF93" s="315">
        <f>SUM(AF87:AF92)</f>
        <v>-14641.913430000001</v>
      </c>
      <c r="AG93" s="316">
        <f>SUM(AG87:AG92)</f>
        <v>0</v>
      </c>
      <c r="AH93" s="317">
        <f>SUM(AH87:AH92)</f>
        <v>0</v>
      </c>
      <c r="AI93" s="320"/>
      <c r="AJ93" s="315">
        <f>SUM(AJ87:AJ92)</f>
        <v>89968.221350000036</v>
      </c>
      <c r="AK93" s="316">
        <f>SUM(AK87:AK92)</f>
        <v>0</v>
      </c>
      <c r="AL93" s="317">
        <f>SUM(AL87:AL92)</f>
        <v>0</v>
      </c>
      <c r="AM93" s="320"/>
      <c r="AN93" s="338">
        <f>SUM(AJ93:AL93)/SUM(X93:Z93)</f>
        <v>0.10898896808161018</v>
      </c>
      <c r="AO93" s="339">
        <f t="shared" si="186"/>
        <v>0.12939853278970692</v>
      </c>
      <c r="AP93" s="320"/>
      <c r="AQ93" s="315">
        <f>SUM(AQ87:AQ92)</f>
        <v>0</v>
      </c>
      <c r="AR93" s="316">
        <f>SUM(AR87:AR92)</f>
        <v>0</v>
      </c>
      <c r="AS93" s="317">
        <f>SUM(AS87:AS92)</f>
        <v>0</v>
      </c>
      <c r="AT93" s="320"/>
      <c r="AU93" s="310"/>
      <c r="AV93" s="154"/>
      <c r="AW93" s="320"/>
    </row>
    <row r="94" spans="1:49" x14ac:dyDescent="0.2">
      <c r="A94" s="86">
        <f t="shared" si="185"/>
        <v>87</v>
      </c>
      <c r="B94" s="723" t="str">
        <f>'WA Volumes &amp; Revenues'!B81</f>
        <v>43 Firm Transpt</v>
      </c>
      <c r="C94" s="723" t="s">
        <v>283</v>
      </c>
      <c r="D94" s="162"/>
      <c r="E94" s="392">
        <f>'Rates in Detail'!R79-'Rates in Detail'!N79</f>
        <v>0</v>
      </c>
      <c r="F94" s="392">
        <f>'Rates in Detail'!V79</f>
        <v>0</v>
      </c>
      <c r="G94" s="164"/>
      <c r="H94" s="162"/>
      <c r="I94" s="393">
        <f>'Rev Req Proof Yr1'!H94</f>
        <v>4.9100000000000003E-3</v>
      </c>
      <c r="J94" s="775">
        <f t="shared" si="187"/>
        <v>4.9100000000000003E-3</v>
      </c>
      <c r="K94" s="162"/>
      <c r="L94" s="155">
        <f>'Rev Req Proof Yr1'!K94</f>
        <v>38000</v>
      </c>
      <c r="M94" s="156">
        <f>'Rev Req Proof Yr1'!L94</f>
        <v>38000</v>
      </c>
      <c r="N94" s="122">
        <f>'Rev Req Proof Yr1'!M94</f>
        <v>0.15748000000000001</v>
      </c>
      <c r="O94" s="122">
        <f>'Rev Req Proof Yr1'!N94</f>
        <v>0</v>
      </c>
      <c r="P94" s="122">
        <f>'Rev Req Proof Yr1'!O94</f>
        <v>0</v>
      </c>
      <c r="Q94" s="774">
        <f>'Rev Req Proof Yr1'!P94</f>
        <v>0</v>
      </c>
      <c r="R94" s="162"/>
      <c r="S94" s="298">
        <f>'Rev Req Proof Yr1'!R94</f>
        <v>0</v>
      </c>
      <c r="T94" s="299"/>
      <c r="U94" s="300">
        <f>'Rev Req Proof Yr1'!T94</f>
        <v>0</v>
      </c>
      <c r="V94" s="301">
        <f>'Rev Req Proof Yr1'!U94</f>
        <v>0</v>
      </c>
      <c r="W94" s="162"/>
      <c r="X94" s="306">
        <f t="shared" ref="X94:X96" si="211">(I94*S94)</f>
        <v>0</v>
      </c>
      <c r="Y94" s="307">
        <f t="shared" ref="Y94:Y96" si="212">(L94*U94*12)</f>
        <v>0</v>
      </c>
      <c r="Z94" s="308">
        <f t="shared" ref="Z94:Z96" si="213">(T94*(N94+P94))*12</f>
        <v>0</v>
      </c>
      <c r="AA94" s="321"/>
      <c r="AB94" s="306">
        <f t="shared" ref="AB94:AB96" si="214">(J94*S94)</f>
        <v>0</v>
      </c>
      <c r="AC94" s="307">
        <f t="shared" ref="AC94:AC96" si="215">(M94*U94*12)</f>
        <v>0</v>
      </c>
      <c r="AD94" s="308">
        <f t="shared" ref="AD94:AD96" si="216">(T94*(O94+Q94))*12</f>
        <v>0</v>
      </c>
      <c r="AE94" s="321"/>
      <c r="AF94" s="306">
        <f t="shared" ref="AF94:AF96" si="217">(F94*S94)</f>
        <v>0</v>
      </c>
      <c r="AG94" s="307">
        <v>0</v>
      </c>
      <c r="AH94" s="308">
        <v>0</v>
      </c>
      <c r="AI94" s="321"/>
      <c r="AJ94" s="306">
        <f t="shared" ref="AJ94:AJ96" si="218">AB94-X94+AF94</f>
        <v>0</v>
      </c>
      <c r="AK94" s="307">
        <f t="shared" ref="AK94:AK96" si="219">AC94-Y94-AG94</f>
        <v>0</v>
      </c>
      <c r="AL94" s="308">
        <f t="shared" ref="AL94:AL96" si="220">AD94-Z94-AH94</f>
        <v>0</v>
      </c>
      <c r="AM94" s="320"/>
      <c r="AN94" s="338"/>
      <c r="AO94" s="339"/>
      <c r="AP94" s="320"/>
      <c r="AQ94" s="306">
        <f t="shared" ref="AQ94:AQ96" si="221">(G94*S94)</f>
        <v>0</v>
      </c>
      <c r="AR94" s="307">
        <v>0</v>
      </c>
      <c r="AS94" s="308">
        <v>0</v>
      </c>
      <c r="AT94" s="320"/>
      <c r="AU94" s="154"/>
      <c r="AV94" s="154"/>
      <c r="AW94" s="320"/>
    </row>
    <row r="95" spans="1:49" x14ac:dyDescent="0.2">
      <c r="A95" s="86">
        <f t="shared" si="185"/>
        <v>88</v>
      </c>
      <c r="B95" s="723" t="str">
        <f>'WA Volumes &amp; Revenues'!B82</f>
        <v>43 Interr Transpt</v>
      </c>
      <c r="C95" s="724" t="s">
        <v>283</v>
      </c>
      <c r="D95" s="162"/>
      <c r="E95" s="392">
        <f>'Rates in Detail'!R80-'Rates in Detail'!N80</f>
        <v>0</v>
      </c>
      <c r="F95" s="392">
        <f>'Rates in Detail'!V80</f>
        <v>0</v>
      </c>
      <c r="G95" s="164"/>
      <c r="H95" s="162"/>
      <c r="I95" s="396">
        <f>'Rev Req Proof Yr1'!H95</f>
        <v>4.9100000000000003E-3</v>
      </c>
      <c r="J95" s="776">
        <f t="shared" si="187"/>
        <v>4.9100000000000003E-3</v>
      </c>
      <c r="K95" s="162"/>
      <c r="L95" s="155">
        <f>'Rev Req Proof Yr1'!K95</f>
        <v>38000</v>
      </c>
      <c r="M95" s="156">
        <f>'Rev Req Proof Yr1'!L95</f>
        <v>38000</v>
      </c>
      <c r="N95" s="122">
        <f>'Rev Req Proof Yr1'!M95</f>
        <v>0</v>
      </c>
      <c r="O95" s="122">
        <f>'Rev Req Proof Yr1'!N95</f>
        <v>0</v>
      </c>
      <c r="P95" s="122">
        <f>'Rev Req Proof Yr1'!O95</f>
        <v>0</v>
      </c>
      <c r="Q95" s="774">
        <f>'Rev Req Proof Yr1'!P95</f>
        <v>0</v>
      </c>
      <c r="R95" s="162"/>
      <c r="S95" s="298">
        <f>'Rev Req Proof Yr1'!R95</f>
        <v>0</v>
      </c>
      <c r="T95" s="299"/>
      <c r="U95" s="300">
        <f>'Rev Req Proof Yr1'!T95</f>
        <v>0</v>
      </c>
      <c r="V95" s="301">
        <f>'Rev Req Proof Yr1'!U95</f>
        <v>0</v>
      </c>
      <c r="W95" s="162"/>
      <c r="X95" s="322">
        <f t="shared" si="211"/>
        <v>0</v>
      </c>
      <c r="Y95" s="321">
        <f t="shared" si="212"/>
        <v>0</v>
      </c>
      <c r="Z95" s="323">
        <f t="shared" si="213"/>
        <v>0</v>
      </c>
      <c r="AA95" s="320"/>
      <c r="AB95" s="322">
        <f t="shared" si="214"/>
        <v>0</v>
      </c>
      <c r="AC95" s="321">
        <f t="shared" si="215"/>
        <v>0</v>
      </c>
      <c r="AD95" s="323">
        <f t="shared" si="216"/>
        <v>0</v>
      </c>
      <c r="AE95" s="320"/>
      <c r="AF95" s="322">
        <f t="shared" si="217"/>
        <v>0</v>
      </c>
      <c r="AG95" s="321">
        <v>0</v>
      </c>
      <c r="AH95" s="323">
        <v>0</v>
      </c>
      <c r="AI95" s="320"/>
      <c r="AJ95" s="322">
        <f t="shared" si="218"/>
        <v>0</v>
      </c>
      <c r="AK95" s="321">
        <f t="shared" si="219"/>
        <v>0</v>
      </c>
      <c r="AL95" s="323">
        <f t="shared" si="220"/>
        <v>0</v>
      </c>
      <c r="AM95" s="320"/>
      <c r="AN95" s="320"/>
      <c r="AO95" s="320"/>
      <c r="AP95" s="320"/>
      <c r="AQ95" s="322">
        <f t="shared" si="221"/>
        <v>0</v>
      </c>
      <c r="AR95" s="321">
        <v>0</v>
      </c>
      <c r="AS95" s="323">
        <v>0</v>
      </c>
      <c r="AT95" s="320"/>
      <c r="AU95" s="154"/>
      <c r="AV95" s="154"/>
      <c r="AW95" s="320"/>
    </row>
    <row r="96" spans="1:49" ht="13.5" thickBot="1" x14ac:dyDescent="0.25">
      <c r="A96" s="86">
        <f t="shared" si="185"/>
        <v>89</v>
      </c>
      <c r="B96" s="779" t="str">
        <f>'WA Volumes &amp; Revenues'!B83</f>
        <v>Special Contract</v>
      </c>
      <c r="C96" s="780" t="s">
        <v>283</v>
      </c>
      <c r="D96" s="166"/>
      <c r="E96" s="836">
        <f>'Rates in Detail'!R81-'Rates in Detail'!N81</f>
        <v>0</v>
      </c>
      <c r="F96" s="836">
        <f>'Rates in Detail'!V81</f>
        <v>0</v>
      </c>
      <c r="G96" s="166"/>
      <c r="H96" s="782"/>
      <c r="I96" s="777">
        <f>'Rev Req Proof Yr1'!H96</f>
        <v>0</v>
      </c>
      <c r="J96" s="778">
        <f t="shared" si="187"/>
        <v>0</v>
      </c>
      <c r="K96" s="162"/>
      <c r="L96" s="785">
        <f>'Rev Req Proof Yr1'!K96</f>
        <v>0</v>
      </c>
      <c r="M96" s="786">
        <f>'Rev Req Proof Yr1'!L96</f>
        <v>0</v>
      </c>
      <c r="N96" s="795">
        <f>'Rev Req Proof Yr1'!M96</f>
        <v>0</v>
      </c>
      <c r="O96" s="795">
        <f>'Rev Req Proof Yr1'!N96</f>
        <v>0</v>
      </c>
      <c r="P96" s="795">
        <f>'Rev Req Proof Yr1'!O96</f>
        <v>0</v>
      </c>
      <c r="Q96" s="778">
        <f>'Rev Req Proof Yr1'!P96</f>
        <v>0</v>
      </c>
      <c r="R96" s="162"/>
      <c r="S96" s="811">
        <f>'Rev Req Proof Yr1'!R96</f>
        <v>2895114</v>
      </c>
      <c r="T96" s="805"/>
      <c r="U96" s="801">
        <f>'Rev Req Proof Yr1'!T96</f>
        <v>1</v>
      </c>
      <c r="V96" s="802">
        <f>'Rev Req Proof Yr1'!U96</f>
        <v>241259.5</v>
      </c>
      <c r="W96" s="162"/>
      <c r="X96" s="324">
        <f t="shared" si="211"/>
        <v>0</v>
      </c>
      <c r="Y96" s="325">
        <f t="shared" si="212"/>
        <v>0</v>
      </c>
      <c r="Z96" s="326">
        <f t="shared" si="213"/>
        <v>0</v>
      </c>
      <c r="AA96" s="320"/>
      <c r="AB96" s="324">
        <f t="shared" si="214"/>
        <v>0</v>
      </c>
      <c r="AC96" s="325">
        <f t="shared" si="215"/>
        <v>0</v>
      </c>
      <c r="AD96" s="326">
        <f t="shared" si="216"/>
        <v>0</v>
      </c>
      <c r="AE96" s="320"/>
      <c r="AF96" s="324">
        <f t="shared" si="217"/>
        <v>0</v>
      </c>
      <c r="AG96" s="325">
        <v>0</v>
      </c>
      <c r="AH96" s="326">
        <v>0</v>
      </c>
      <c r="AI96" s="320"/>
      <c r="AJ96" s="324">
        <f t="shared" si="218"/>
        <v>0</v>
      </c>
      <c r="AK96" s="325">
        <f t="shared" si="219"/>
        <v>0</v>
      </c>
      <c r="AL96" s="326">
        <f t="shared" si="220"/>
        <v>0</v>
      </c>
      <c r="AM96" s="320"/>
      <c r="AN96" s="320"/>
      <c r="AO96" s="320"/>
      <c r="AP96" s="320"/>
      <c r="AQ96" s="324">
        <f t="shared" si="221"/>
        <v>0</v>
      </c>
      <c r="AR96" s="325">
        <v>0</v>
      </c>
      <c r="AS96" s="326">
        <v>0</v>
      </c>
      <c r="AT96" s="320"/>
      <c r="AU96" s="162"/>
      <c r="AV96" s="162"/>
      <c r="AW96" s="320"/>
    </row>
    <row r="97" spans="1:49" x14ac:dyDescent="0.2">
      <c r="A97" s="86">
        <f t="shared" si="185"/>
        <v>90</v>
      </c>
    </row>
    <row r="98" spans="1:49" x14ac:dyDescent="0.2">
      <c r="A98" s="86">
        <f t="shared" si="185"/>
        <v>91</v>
      </c>
      <c r="B98" s="168" t="s">
        <v>58</v>
      </c>
      <c r="AT98" s="55"/>
      <c r="AU98" s="55"/>
    </row>
    <row r="99" spans="1:49" x14ac:dyDescent="0.2">
      <c r="A99" s="86">
        <f t="shared" si="18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65"/>
      <c r="AN99" s="765"/>
      <c r="AO99" s="765"/>
      <c r="AP99" s="765"/>
      <c r="AQ99" s="798"/>
      <c r="AR99" s="798"/>
      <c r="AS99" s="799"/>
      <c r="AT99" s="837"/>
      <c r="AU99" s="55"/>
      <c r="AW99" s="55"/>
    </row>
    <row r="100" spans="1:49" x14ac:dyDescent="0.2">
      <c r="A100" s="86">
        <f t="shared" si="185"/>
        <v>93</v>
      </c>
      <c r="B100" s="169"/>
      <c r="S100" s="327"/>
      <c r="T100" s="327"/>
      <c r="U100" s="327"/>
      <c r="AT100" s="55"/>
      <c r="AU100" s="55"/>
    </row>
    <row r="101" spans="1:49" x14ac:dyDescent="0.2">
      <c r="A101" s="86">
        <f t="shared" si="18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800"/>
      <c r="AT101" s="55"/>
      <c r="AU101" s="55"/>
      <c r="AW101" s="55"/>
    </row>
    <row r="102" spans="1:49" x14ac:dyDescent="0.2">
      <c r="A102" s="86">
        <f t="shared" si="18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765"/>
      <c r="AQ102" s="765"/>
      <c r="AR102" s="765"/>
      <c r="AS102" s="800"/>
      <c r="AT102" s="55"/>
      <c r="AU102" s="55"/>
      <c r="AW102" s="55"/>
    </row>
    <row r="103" spans="1:49" x14ac:dyDescent="0.2">
      <c r="A103" s="86"/>
      <c r="B103" s="169"/>
      <c r="AT103" s="55"/>
      <c r="AU103" s="55"/>
    </row>
    <row r="104" spans="1:49" x14ac:dyDescent="0.2">
      <c r="A104" s="86"/>
      <c r="B104" s="169"/>
    </row>
    <row r="105" spans="1:49" x14ac:dyDescent="0.2">
      <c r="A105" s="86"/>
      <c r="B105" s="169"/>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U14:AW14"/>
    <mergeCell ref="AF10:AH10"/>
    <mergeCell ref="AU2:AV2"/>
    <mergeCell ref="I7:J7"/>
    <mergeCell ref="L7:Q7"/>
    <mergeCell ref="S7:V7"/>
    <mergeCell ref="X10:Z10"/>
    <mergeCell ref="AB10:AD10"/>
    <mergeCell ref="AJ10:AL10"/>
    <mergeCell ref="AQ10:AS10"/>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X24" sqref="AX24"/>
    </sheetView>
  </sheetViews>
  <sheetFormatPr defaultColWidth="9.33203125" defaultRowHeight="12.75"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14.83203125" style="56" hidden="1" customWidth="1"/>
    <col min="8" max="8" width="2.83203125" style="56" customWidth="1"/>
    <col min="9" max="10" width="15.83203125" style="56" customWidth="1"/>
    <col min="11" max="11" width="2.83203125" style="56" customWidth="1"/>
    <col min="12" max="17" width="15.83203125" style="56" customWidth="1"/>
    <col min="18" max="18" width="2.83203125" style="56" customWidth="1"/>
    <col min="19" max="19" width="17.1640625" style="56" customWidth="1"/>
    <col min="20"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8" width="15.83203125" style="56" customWidth="1"/>
    <col min="39" max="39" width="2.83203125" style="56" customWidth="1"/>
    <col min="40" max="40" width="15.6640625" style="56" hidden="1" customWidth="1"/>
    <col min="41" max="41" width="15.83203125" style="56" hidden="1" customWidth="1"/>
    <col min="42" max="42" width="2.83203125" style="56" customWidth="1"/>
    <col min="43" max="45" width="15.83203125" style="56" customWidth="1"/>
    <col min="46" max="46" width="2.83203125" style="56" customWidth="1"/>
    <col min="47" max="47" width="23.83203125" style="56" customWidth="1"/>
    <col min="48" max="48" width="15.33203125" style="56" customWidth="1"/>
    <col min="49" max="49" width="2.83203125" style="56" customWidth="1"/>
    <col min="50" max="50" width="9.33203125" style="55" customWidth="1"/>
    <col min="51" max="51" width="16.83203125" style="55" customWidth="1"/>
    <col min="52" max="52" width="18.5" style="55" customWidth="1"/>
    <col min="53" max="16384" width="9.33203125" style="55"/>
  </cols>
  <sheetData>
    <row r="1" spans="1:52" ht="15.75" thickBot="1" x14ac:dyDescent="0.3">
      <c r="A1" s="173" t="str">
        <f>+'WA Volumes &amp; Revenues'!A1</f>
        <v>NW Natural</v>
      </c>
    </row>
    <row r="2" spans="1:52" ht="15.75" thickBot="1" x14ac:dyDescent="0.3">
      <c r="A2" s="173" t="str">
        <f>+'WA Volumes &amp; Revenues'!A2</f>
        <v>Rates &amp; Regulatory Affairs</v>
      </c>
      <c r="E2" s="140"/>
      <c r="F2" s="140"/>
      <c r="G2" s="140"/>
      <c r="U2" s="265"/>
      <c r="X2" s="266" t="s">
        <v>114</v>
      </c>
      <c r="Y2" s="267" t="s">
        <v>115</v>
      </c>
      <c r="Z2" s="268" t="s">
        <v>99</v>
      </c>
      <c r="AB2" s="266" t="s">
        <v>114</v>
      </c>
      <c r="AC2" s="267" t="s">
        <v>115</v>
      </c>
      <c r="AD2" s="268" t="s">
        <v>99</v>
      </c>
      <c r="AF2" s="266" t="s">
        <v>114</v>
      </c>
      <c r="AG2" s="267" t="s">
        <v>115</v>
      </c>
      <c r="AH2" s="268" t="s">
        <v>99</v>
      </c>
      <c r="AJ2" s="266" t="s">
        <v>114</v>
      </c>
      <c r="AK2" s="267" t="s">
        <v>115</v>
      </c>
      <c r="AL2" s="268" t="s">
        <v>99</v>
      </c>
      <c r="AO2" s="145"/>
      <c r="AQ2" s="266" t="s">
        <v>114</v>
      </c>
      <c r="AR2" s="267" t="s">
        <v>115</v>
      </c>
      <c r="AS2" s="268" t="s">
        <v>99</v>
      </c>
      <c r="AU2" s="1583" t="s">
        <v>279</v>
      </c>
      <c r="AV2" s="1584"/>
    </row>
    <row r="3" spans="1:52" ht="15" x14ac:dyDescent="0.25">
      <c r="A3" s="173" t="str">
        <f>+'WA Volumes &amp; Revenues'!A3</f>
        <v>Test Year Ending September 30, 2020</v>
      </c>
      <c r="E3" s="140"/>
      <c r="F3" s="140"/>
      <c r="G3" s="140"/>
      <c r="U3" s="352"/>
      <c r="X3" s="269">
        <f>SUM(X14:X19)+X22+X28+X31+X37+X44+X51+X58+X65+X72+X79+X94+X93+X25+X34+X86+X95+X96</f>
        <v>43542835.679936796</v>
      </c>
      <c r="Y3" s="270">
        <f>SUM(Y14:Y19)+Y22+Y28+Y31+Y37+Y44+Y51+Y58+Y65+Y72+Y79+Y94+Y93+Y25+Y34+Y86+Y95+Y96</f>
        <v>10678018</v>
      </c>
      <c r="Z3" s="271">
        <f>SUM(Z14:Z19)+Z22+Z28+Z31+Z37+Z44+Z51+Z58+Z65+Z72+Z79+Z94+Z93+Z25+Z34+Z86+Z95+Z96</f>
        <v>141275.86116</v>
      </c>
      <c r="AB3" s="269">
        <f t="shared" ref="AB3:AD3" si="0">SUM(AB14:AB19)+AB22+AB28+AB31+AB37+AB44+AB51+AB58+AB65+AB72+AB79+AB94+AB93+AB25+AB34+AB86+AB95+AB96</f>
        <v>46693023.956143141</v>
      </c>
      <c r="AC3" s="270">
        <f t="shared" si="0"/>
        <v>10678018</v>
      </c>
      <c r="AD3" s="271">
        <f t="shared" si="0"/>
        <v>141275.86116</v>
      </c>
      <c r="AF3" s="269">
        <f t="shared" ref="AF3:AH3" si="1">SUM(AF14:AF19)+AF22+AF28+AF31+AF37+AF44+AF51+AF58+AF65+AF72+AF79+AF94+AF93+AF25+AF34+AF86+AF95+AF96</f>
        <v>-44306.090475598678</v>
      </c>
      <c r="AG3" s="270">
        <f t="shared" si="1"/>
        <v>0</v>
      </c>
      <c r="AH3" s="271">
        <f t="shared" si="1"/>
        <v>0</v>
      </c>
      <c r="AJ3" s="269">
        <f t="shared" ref="AJ3:AL3" si="2">SUM(AJ14:AJ19)+AJ22+AJ28+AJ31+AJ37+AJ44+AJ51+AJ58+AJ65+AJ72+AJ79+AJ94+AJ93+AJ25+AJ34+AJ86+AJ95+AJ96</f>
        <v>3105882.1857307479</v>
      </c>
      <c r="AK3" s="270">
        <f t="shared" si="2"/>
        <v>0</v>
      </c>
      <c r="AL3" s="271">
        <f t="shared" si="2"/>
        <v>0</v>
      </c>
      <c r="AO3" s="270"/>
      <c r="AQ3" s="269">
        <f t="shared" ref="AQ3:AS3" si="3">SUM(AQ14:AQ19)+AQ22+AQ28+AQ31+AQ37+AQ44+AQ51+AQ58+AQ65+AQ72+AQ79+AQ94+AQ93+AQ25+AQ34+AQ86+AQ95+AQ96</f>
        <v>0</v>
      </c>
      <c r="AR3" s="270">
        <f t="shared" si="3"/>
        <v>0</v>
      </c>
      <c r="AS3" s="271">
        <f t="shared" si="3"/>
        <v>0</v>
      </c>
      <c r="AU3" s="56" t="s">
        <v>100</v>
      </c>
      <c r="AV3" s="272">
        <f>AJ3</f>
        <v>3105882.1857307479</v>
      </c>
      <c r="AY3" s="272">
        <f>'Rate Spread Proposal'!D28</f>
        <v>3150116.0024598953</v>
      </c>
      <c r="AZ3" s="55" t="s">
        <v>178</v>
      </c>
    </row>
    <row r="4" spans="1:52" ht="15" x14ac:dyDescent="0.25">
      <c r="A4" s="173" t="s">
        <v>643</v>
      </c>
      <c r="D4" s="140"/>
      <c r="E4" s="140"/>
      <c r="F4" s="140"/>
      <c r="G4" s="140"/>
      <c r="H4" s="140"/>
      <c r="I4" s="140"/>
      <c r="K4" s="140"/>
      <c r="L4" s="140"/>
      <c r="M4" s="140"/>
      <c r="R4" s="140"/>
      <c r="U4" s="352"/>
      <c r="W4" s="140"/>
      <c r="X4" s="273"/>
      <c r="Y4" s="55"/>
      <c r="Z4" s="274" t="s">
        <v>78</v>
      </c>
      <c r="AA4" s="140"/>
      <c r="AB4" s="273"/>
      <c r="AC4" s="55"/>
      <c r="AD4" s="274" t="s">
        <v>78</v>
      </c>
      <c r="AE4" s="140"/>
      <c r="AF4" s="273"/>
      <c r="AG4" s="55"/>
      <c r="AH4" s="274" t="s">
        <v>78</v>
      </c>
      <c r="AI4" s="140"/>
      <c r="AJ4" s="273"/>
      <c r="AK4" s="55"/>
      <c r="AL4" s="274" t="s">
        <v>78</v>
      </c>
      <c r="AM4" s="140"/>
      <c r="AN4" s="140"/>
      <c r="AO4" s="145"/>
      <c r="AP4" s="140"/>
      <c r="AQ4" s="273"/>
      <c r="AR4" s="55"/>
      <c r="AS4" s="274" t="s">
        <v>78</v>
      </c>
      <c r="AT4" s="140"/>
      <c r="AU4" s="56" t="s">
        <v>101</v>
      </c>
      <c r="AV4" s="272">
        <f>AK3</f>
        <v>0</v>
      </c>
      <c r="AY4" s="272">
        <f>'Allocation = % of Margin'!V10</f>
        <v>-44544</v>
      </c>
      <c r="AZ4" s="299" t="s">
        <v>482</v>
      </c>
    </row>
    <row r="5" spans="1:52" ht="13.5" thickBot="1" x14ac:dyDescent="0.25">
      <c r="E5" s="140"/>
      <c r="F5" s="140"/>
      <c r="G5" s="140"/>
      <c r="X5" s="275"/>
      <c r="Y5" s="276"/>
      <c r="Z5" s="277">
        <f>SUM(X3:Z3)</f>
        <v>54362129.541096799</v>
      </c>
      <c r="AB5" s="275"/>
      <c r="AC5" s="276"/>
      <c r="AD5" s="277">
        <f>SUM(AB3:AD3)</f>
        <v>57512317.817303143</v>
      </c>
      <c r="AF5" s="275"/>
      <c r="AG5" s="276"/>
      <c r="AH5" s="277">
        <f>SUM(AF3:AH3)</f>
        <v>-44306.090475598678</v>
      </c>
      <c r="AJ5" s="555"/>
      <c r="AK5" s="556"/>
      <c r="AL5" s="557">
        <f>SUM(AJ3:AL3)</f>
        <v>3105882.1857307479</v>
      </c>
      <c r="AO5" s="270"/>
      <c r="AQ5" s="275"/>
      <c r="AR5" s="276"/>
      <c r="AS5" s="277">
        <f>SUM(AQ3:AS3)</f>
        <v>0</v>
      </c>
      <c r="AU5" s="56" t="s">
        <v>102</v>
      </c>
      <c r="AV5" s="272">
        <f>AL3</f>
        <v>0</v>
      </c>
      <c r="AY5" s="272"/>
    </row>
    <row r="6" spans="1:52" ht="15.75" thickBot="1" x14ac:dyDescent="0.3">
      <c r="A6" s="132"/>
      <c r="E6" s="140"/>
      <c r="F6" s="140"/>
      <c r="G6" s="140"/>
      <c r="X6" s="55"/>
      <c r="Y6" s="55"/>
      <c r="Z6" s="270"/>
      <c r="AB6" s="55"/>
      <c r="AC6" s="55"/>
      <c r="AD6" s="270"/>
      <c r="AF6" s="55"/>
      <c r="AG6" s="55"/>
      <c r="AH6" s="270"/>
      <c r="AJ6" s="55"/>
      <c r="AK6" s="55"/>
      <c r="AL6" s="270"/>
      <c r="AO6" s="270"/>
      <c r="AQ6" s="55"/>
      <c r="AR6" s="55"/>
      <c r="AS6" s="270"/>
      <c r="AV6" s="272"/>
      <c r="AY6" s="272"/>
    </row>
    <row r="7" spans="1:52" ht="13.5" thickBot="1" x14ac:dyDescent="0.25">
      <c r="E7" s="140"/>
      <c r="F7" s="140"/>
      <c r="G7" s="140"/>
      <c r="I7" s="1585" t="s">
        <v>123</v>
      </c>
      <c r="J7" s="1586"/>
      <c r="L7" s="1585" t="s">
        <v>125</v>
      </c>
      <c r="M7" s="1587"/>
      <c r="N7" s="1587"/>
      <c r="O7" s="1587"/>
      <c r="P7" s="1587"/>
      <c r="Q7" s="1586"/>
      <c r="S7" s="1585" t="s">
        <v>124</v>
      </c>
      <c r="T7" s="1587"/>
      <c r="U7" s="1587"/>
      <c r="V7" s="1586"/>
      <c r="X7" s="844"/>
      <c r="AC7" s="842" t="str">
        <f>J9</f>
        <v>UG-20XXXX</v>
      </c>
      <c r="AD7" s="280"/>
      <c r="AG7" s="842" t="str">
        <f>F8</f>
        <v>UG-20XXXX</v>
      </c>
      <c r="AH7" s="280"/>
      <c r="AS7" s="280"/>
      <c r="AU7" s="56" t="s">
        <v>103</v>
      </c>
      <c r="AV7" s="281">
        <f>SUM(AV3:AV5)</f>
        <v>3105882.1857307479</v>
      </c>
      <c r="AY7" s="272"/>
    </row>
    <row r="8" spans="1:52" x14ac:dyDescent="0.2">
      <c r="A8" s="86">
        <v>1</v>
      </c>
      <c r="D8" s="142"/>
      <c r="E8" s="518" t="s">
        <v>557</v>
      </c>
      <c r="F8" s="518" t="str">
        <f>E8</f>
        <v>UG-20XXXX</v>
      </c>
      <c r="G8" s="518" t="str">
        <f>E8</f>
        <v>UG-20XXXX</v>
      </c>
      <c r="H8" s="142"/>
      <c r="I8" s="148"/>
      <c r="J8" s="297"/>
      <c r="K8" s="142"/>
      <c r="L8" s="329" t="s">
        <v>17</v>
      </c>
      <c r="M8" s="330" t="s">
        <v>20</v>
      </c>
      <c r="N8" s="330" t="s">
        <v>17</v>
      </c>
      <c r="O8" s="330" t="s">
        <v>20</v>
      </c>
      <c r="P8" s="330" t="s">
        <v>17</v>
      </c>
      <c r="Q8" s="331" t="s">
        <v>20</v>
      </c>
      <c r="R8" s="142"/>
      <c r="S8" s="141"/>
      <c r="T8" s="282"/>
      <c r="U8" s="282"/>
      <c r="V8" s="283"/>
      <c r="W8" s="142"/>
      <c r="X8" s="278"/>
      <c r="Y8" s="838" t="s">
        <v>126</v>
      </c>
      <c r="Z8" s="278"/>
      <c r="AA8" s="145"/>
      <c r="AB8" s="278"/>
      <c r="AC8" s="840" t="s">
        <v>413</v>
      </c>
      <c r="AD8" s="278"/>
      <c r="AE8" s="145"/>
      <c r="AF8" s="278"/>
      <c r="AG8" s="841" t="s">
        <v>414</v>
      </c>
      <c r="AH8" s="278"/>
      <c r="AI8" s="142"/>
      <c r="AK8" s="841" t="s">
        <v>385</v>
      </c>
      <c r="AM8" s="142"/>
      <c r="AN8" s="142"/>
      <c r="AP8" s="142"/>
      <c r="AQ8" s="278"/>
      <c r="AR8" s="1253" t="s">
        <v>530</v>
      </c>
      <c r="AS8" s="278"/>
      <c r="AT8" s="145"/>
      <c r="AU8" s="56" t="s">
        <v>104</v>
      </c>
      <c r="AV8" s="272"/>
      <c r="AY8" s="272"/>
    </row>
    <row r="9" spans="1:52" ht="13.5" thickBot="1" x14ac:dyDescent="0.25">
      <c r="A9" s="86">
        <f>+A8+1</f>
        <v>2</v>
      </c>
      <c r="D9" s="143"/>
      <c r="E9" s="144" t="s">
        <v>189</v>
      </c>
      <c r="F9" s="144" t="s">
        <v>189</v>
      </c>
      <c r="G9" s="144" t="s">
        <v>382</v>
      </c>
      <c r="H9" s="143"/>
      <c r="I9" s="423" t="s">
        <v>118</v>
      </c>
      <c r="J9" s="1015" t="str">
        <f>E8</f>
        <v>UG-20XXXX</v>
      </c>
      <c r="K9" s="143"/>
      <c r="L9" s="332" t="str">
        <f>I9</f>
        <v>CURRENT</v>
      </c>
      <c r="M9" s="497" t="str">
        <f>E8</f>
        <v>UG-20XXXX</v>
      </c>
      <c r="N9" s="143" t="str">
        <f>L9</f>
        <v>CURRENT</v>
      </c>
      <c r="O9" s="497" t="str">
        <f>E8</f>
        <v>UG-20XXXX</v>
      </c>
      <c r="P9" s="143" t="str">
        <f>L9</f>
        <v>CURRENT</v>
      </c>
      <c r="Q9" s="1015" t="str">
        <f>E8</f>
        <v>UG-20XXXX</v>
      </c>
      <c r="R9" s="143"/>
      <c r="S9" s="1016" t="str">
        <f>J9</f>
        <v>UG-20XXXX</v>
      </c>
      <c r="T9" s="1017" t="str">
        <f>S9</f>
        <v>UG-20XXXX</v>
      </c>
      <c r="U9" s="1017" t="str">
        <f>T9</f>
        <v>UG-20XXXX</v>
      </c>
      <c r="V9" s="1018" t="str">
        <f>U9</f>
        <v>UG-20XXXX</v>
      </c>
      <c r="W9" s="143"/>
      <c r="X9" s="278"/>
      <c r="Y9" s="278"/>
      <c r="Z9" s="278"/>
      <c r="AA9" s="145"/>
      <c r="AB9" s="278"/>
      <c r="AC9" s="279"/>
      <c r="AD9" s="278"/>
      <c r="AE9" s="145"/>
      <c r="AF9" s="278"/>
      <c r="AG9" s="279"/>
      <c r="AH9" s="278"/>
      <c r="AI9" s="143"/>
      <c r="AJ9" s="278"/>
      <c r="AK9" s="278"/>
      <c r="AL9" s="278"/>
      <c r="AM9" s="143"/>
      <c r="AN9" s="143"/>
      <c r="AO9" s="278"/>
      <c r="AP9" s="143"/>
      <c r="AQ9" s="278"/>
      <c r="AR9" s="279"/>
      <c r="AS9" s="278"/>
      <c r="AT9" s="145"/>
      <c r="AU9" s="604" t="s">
        <v>253</v>
      </c>
      <c r="AV9" s="272">
        <f>AS5</f>
        <v>0</v>
      </c>
      <c r="AY9" s="272"/>
    </row>
    <row r="10" spans="1:52" ht="13.5" thickBot="1" x14ac:dyDescent="0.25">
      <c r="A10" s="86">
        <f t="shared" ref="A10:A73" si="4">+A9+1</f>
        <v>3</v>
      </c>
      <c r="D10" s="145"/>
      <c r="E10" s="59" t="s">
        <v>90</v>
      </c>
      <c r="F10" s="59" t="s">
        <v>190</v>
      </c>
      <c r="G10" s="1222" t="s">
        <v>375</v>
      </c>
      <c r="H10" s="145"/>
      <c r="I10" s="423" t="s">
        <v>105</v>
      </c>
      <c r="J10" s="424" t="s">
        <v>105</v>
      </c>
      <c r="K10" s="145"/>
      <c r="L10" s="289" t="s">
        <v>83</v>
      </c>
      <c r="M10" s="425" t="s">
        <v>83</v>
      </c>
      <c r="N10" s="145" t="s">
        <v>108</v>
      </c>
      <c r="O10" s="425" t="s">
        <v>108</v>
      </c>
      <c r="P10" s="145" t="s">
        <v>109</v>
      </c>
      <c r="Q10" s="424" t="s">
        <v>109</v>
      </c>
      <c r="R10" s="145"/>
      <c r="S10" s="284" t="s">
        <v>110</v>
      </c>
      <c r="T10" s="278" t="s">
        <v>110</v>
      </c>
      <c r="U10" s="278" t="s">
        <v>120</v>
      </c>
      <c r="V10" s="285" t="s">
        <v>70</v>
      </c>
      <c r="W10" s="145"/>
      <c r="X10" s="1580" t="s">
        <v>116</v>
      </c>
      <c r="Y10" s="1581"/>
      <c r="Z10" s="1582"/>
      <c r="AA10" s="143"/>
      <c r="AB10" s="1580" t="s">
        <v>117</v>
      </c>
      <c r="AC10" s="1581"/>
      <c r="AD10" s="1582"/>
      <c r="AE10" s="143"/>
      <c r="AF10" s="1580" t="s">
        <v>191</v>
      </c>
      <c r="AG10" s="1581"/>
      <c r="AH10" s="1582"/>
      <c r="AI10" s="145"/>
      <c r="AJ10" s="1580" t="s">
        <v>107</v>
      </c>
      <c r="AK10" s="1581"/>
      <c r="AL10" s="1582"/>
      <c r="AM10" s="145"/>
      <c r="AN10" s="58" t="s">
        <v>136</v>
      </c>
      <c r="AO10" s="58" t="s">
        <v>114</v>
      </c>
      <c r="AP10" s="145"/>
      <c r="AQ10" s="1580" t="s">
        <v>117</v>
      </c>
      <c r="AR10" s="1581"/>
      <c r="AS10" s="1582"/>
      <c r="AT10" s="143"/>
      <c r="AU10" s="60" t="s">
        <v>91</v>
      </c>
      <c r="AV10" s="281">
        <f>AV7+AV9</f>
        <v>3105882.1857307479</v>
      </c>
      <c r="AY10" s="272"/>
    </row>
    <row r="11" spans="1:52" s="57" customFormat="1" ht="15.75" thickBot="1" x14ac:dyDescent="0.4">
      <c r="A11" s="86">
        <f t="shared" si="4"/>
        <v>4</v>
      </c>
      <c r="B11" s="147"/>
      <c r="C11" s="147"/>
      <c r="D11" s="145"/>
      <c r="E11" s="172" t="s">
        <v>98</v>
      </c>
      <c r="F11" s="172" t="s">
        <v>98</v>
      </c>
      <c r="G11" s="1223"/>
      <c r="H11" s="145"/>
      <c r="I11" s="426" t="s">
        <v>106</v>
      </c>
      <c r="J11" s="427" t="s">
        <v>106</v>
      </c>
      <c r="K11" s="145"/>
      <c r="L11" s="333" t="s">
        <v>71</v>
      </c>
      <c r="M11" s="428" t="s">
        <v>71</v>
      </c>
      <c r="N11" s="334" t="s">
        <v>71</v>
      </c>
      <c r="O11" s="428" t="s">
        <v>71</v>
      </c>
      <c r="P11" s="334" t="s">
        <v>71</v>
      </c>
      <c r="Q11" s="427" t="s">
        <v>71</v>
      </c>
      <c r="R11" s="145"/>
      <c r="S11" s="286" t="s">
        <v>111</v>
      </c>
      <c r="T11" s="287" t="s">
        <v>113</v>
      </c>
      <c r="U11" s="287" t="s">
        <v>75</v>
      </c>
      <c r="V11" s="288" t="s">
        <v>112</v>
      </c>
      <c r="W11" s="145"/>
      <c r="X11" s="289" t="s">
        <v>114</v>
      </c>
      <c r="Y11" s="145" t="s">
        <v>115</v>
      </c>
      <c r="Z11" s="274" t="s">
        <v>99</v>
      </c>
      <c r="AA11" s="58"/>
      <c r="AB11" s="289" t="s">
        <v>114</v>
      </c>
      <c r="AC11" s="145" t="s">
        <v>115</v>
      </c>
      <c r="AD11" s="274" t="s">
        <v>99</v>
      </c>
      <c r="AE11" s="58"/>
      <c r="AF11" s="289" t="s">
        <v>114</v>
      </c>
      <c r="AG11" s="145" t="s">
        <v>115</v>
      </c>
      <c r="AH11" s="274" t="s">
        <v>99</v>
      </c>
      <c r="AI11" s="145"/>
      <c r="AJ11" s="289" t="s">
        <v>114</v>
      </c>
      <c r="AK11" s="145" t="s">
        <v>115</v>
      </c>
      <c r="AL11" s="274" t="s">
        <v>99</v>
      </c>
      <c r="AM11" s="145"/>
      <c r="AN11" s="58" t="s">
        <v>27</v>
      </c>
      <c r="AO11" s="58" t="s">
        <v>27</v>
      </c>
      <c r="AP11" s="145"/>
      <c r="AQ11" s="289" t="s">
        <v>114</v>
      </c>
      <c r="AR11" s="145" t="s">
        <v>115</v>
      </c>
      <c r="AS11" s="274" t="s">
        <v>99</v>
      </c>
      <c r="AT11" s="58"/>
      <c r="AU11" s="278"/>
      <c r="AV11" s="278"/>
      <c r="AW11" s="145"/>
      <c r="AY11" s="948"/>
      <c r="AZ11" s="843"/>
    </row>
    <row r="12" spans="1:52" s="57" customFormat="1" x14ac:dyDescent="0.2">
      <c r="A12" s="86">
        <f t="shared" si="4"/>
        <v>5</v>
      </c>
      <c r="B12" s="56"/>
      <c r="C12" s="56"/>
      <c r="D12" s="58"/>
      <c r="E12" s="150"/>
      <c r="F12" s="150"/>
      <c r="G12" s="150"/>
      <c r="H12" s="58"/>
      <c r="I12" s="151"/>
      <c r="J12" s="149"/>
      <c r="K12" s="58"/>
      <c r="L12" s="335"/>
      <c r="M12" s="336"/>
      <c r="N12" s="336"/>
      <c r="O12" s="336"/>
      <c r="P12" s="336"/>
      <c r="Q12" s="337"/>
      <c r="R12" s="58"/>
      <c r="S12" s="290"/>
      <c r="T12" s="146"/>
      <c r="U12" s="146"/>
      <c r="V12" s="291"/>
      <c r="W12" s="58"/>
      <c r="X12" s="151"/>
      <c r="Z12" s="149"/>
      <c r="AB12" s="151"/>
      <c r="AD12" s="149"/>
      <c r="AF12" s="151"/>
      <c r="AH12" s="149"/>
      <c r="AI12" s="58"/>
      <c r="AJ12" s="151"/>
      <c r="AL12" s="149"/>
      <c r="AM12" s="58"/>
      <c r="AN12" s="58" t="s">
        <v>128</v>
      </c>
      <c r="AO12" s="58" t="s">
        <v>128</v>
      </c>
      <c r="AP12" s="58"/>
      <c r="AQ12" s="151"/>
      <c r="AS12" s="149"/>
      <c r="AU12" s="145"/>
      <c r="AV12" s="292">
        <f>AY12</f>
        <v>3105572.0024598953</v>
      </c>
      <c r="AW12" s="293" t="s">
        <v>157</v>
      </c>
      <c r="AY12" s="272">
        <f>SUM(AY3:AY11)</f>
        <v>3105572.0024598953</v>
      </c>
      <c r="AZ12" s="55"/>
    </row>
    <row r="13" spans="1:52" s="57" customFormat="1" ht="13.5" thickBot="1" x14ac:dyDescent="0.25">
      <c r="A13" s="86">
        <f t="shared" si="4"/>
        <v>6</v>
      </c>
      <c r="B13" s="771" t="s">
        <v>2</v>
      </c>
      <c r="C13" s="771" t="s">
        <v>3</v>
      </c>
      <c r="D13" s="294"/>
      <c r="E13" s="294" t="s">
        <v>35</v>
      </c>
      <c r="F13" s="294" t="s">
        <v>36</v>
      </c>
      <c r="G13" s="294" t="s">
        <v>36</v>
      </c>
      <c r="H13" s="294"/>
      <c r="I13" s="295" t="s">
        <v>13</v>
      </c>
      <c r="J13" s="296" t="s">
        <v>37</v>
      </c>
      <c r="K13" s="294"/>
      <c r="L13" s="295" t="s">
        <v>38</v>
      </c>
      <c r="M13" s="294" t="s">
        <v>39</v>
      </c>
      <c r="N13" s="294" t="s">
        <v>40</v>
      </c>
      <c r="O13" s="294" t="s">
        <v>41</v>
      </c>
      <c r="P13" s="294" t="s">
        <v>42</v>
      </c>
      <c r="Q13" s="296" t="s">
        <v>129</v>
      </c>
      <c r="R13" s="294"/>
      <c r="S13" s="295" t="s">
        <v>130</v>
      </c>
      <c r="T13" s="294" t="s">
        <v>43</v>
      </c>
      <c r="U13" s="294" t="s">
        <v>131</v>
      </c>
      <c r="V13" s="296" t="s">
        <v>132</v>
      </c>
      <c r="W13" s="58"/>
      <c r="X13" s="148" t="s">
        <v>133</v>
      </c>
      <c r="Y13" s="58" t="s">
        <v>134</v>
      </c>
      <c r="Z13" s="297" t="s">
        <v>135</v>
      </c>
      <c r="AA13" s="58"/>
      <c r="AB13" s="148" t="s">
        <v>89</v>
      </c>
      <c r="AC13" s="58" t="s">
        <v>92</v>
      </c>
      <c r="AD13" s="297" t="s">
        <v>93</v>
      </c>
      <c r="AE13" s="58"/>
      <c r="AF13" s="148" t="s">
        <v>94</v>
      </c>
      <c r="AG13" s="58" t="s">
        <v>186</v>
      </c>
      <c r="AH13" s="297" t="s">
        <v>232</v>
      </c>
      <c r="AI13" s="58"/>
      <c r="AJ13" s="148" t="s">
        <v>227</v>
      </c>
      <c r="AK13" s="58" t="s">
        <v>233</v>
      </c>
      <c r="AL13" s="297" t="s">
        <v>234</v>
      </c>
      <c r="AM13" s="58"/>
      <c r="AN13" s="58" t="s">
        <v>127</v>
      </c>
      <c r="AO13" s="58" t="s">
        <v>127</v>
      </c>
      <c r="AP13" s="58"/>
      <c r="AQ13" s="148" t="s">
        <v>94</v>
      </c>
      <c r="AR13" s="58" t="s">
        <v>186</v>
      </c>
      <c r="AS13" s="297" t="s">
        <v>232</v>
      </c>
      <c r="AT13" s="58"/>
      <c r="AV13" s="931">
        <f>AV12-AV10</f>
        <v>-310.18327085254714</v>
      </c>
      <c r="AW13" s="293" t="s">
        <v>168</v>
      </c>
      <c r="AY13" s="651">
        <f>SUM(AY3,AY4,AY5,AY6)</f>
        <v>3105572.0024598953</v>
      </c>
      <c r="AZ13" s="610" t="s">
        <v>267</v>
      </c>
    </row>
    <row r="14" spans="1:52" ht="12.95" customHeight="1" x14ac:dyDescent="0.2">
      <c r="A14" s="86">
        <f t="shared" si="4"/>
        <v>7</v>
      </c>
      <c r="B14" s="723" t="str">
        <f>'WA Volumes &amp; Revenues'!B15</f>
        <v>1R</v>
      </c>
      <c r="C14" s="723" t="s">
        <v>283</v>
      </c>
      <c r="D14" s="154"/>
      <c r="E14" s="123">
        <f>'Rates in Detail'!Y13</f>
        <v>6.2010000000000003E-2</v>
      </c>
      <c r="F14" s="123">
        <f>'Rates in Detail'!Z13</f>
        <v>-8.8000000000000003E-4</v>
      </c>
      <c r="G14" s="153"/>
      <c r="H14" s="154"/>
      <c r="I14" s="368">
        <f>'Rev Req Proof Yr2'!H14</f>
        <v>0.79967999999999995</v>
      </c>
      <c r="J14" s="773">
        <f>I14+E14</f>
        <v>0.86168999999999996</v>
      </c>
      <c r="K14" s="154"/>
      <c r="L14" s="155">
        <f>'Rev Req Proof Yr1'!K14</f>
        <v>5.5</v>
      </c>
      <c r="M14" s="156">
        <f>'Rev Req Proof Yr1'!L14</f>
        <v>5.5</v>
      </c>
      <c r="N14" s="122">
        <f>'Rev Req Proof Yr1'!M14</f>
        <v>0</v>
      </c>
      <c r="O14" s="122">
        <f>'Rev Req Proof Yr1'!N14</f>
        <v>0</v>
      </c>
      <c r="P14" s="122">
        <f>'Rev Req Proof Yr1'!O14</f>
        <v>0</v>
      </c>
      <c r="Q14" s="774">
        <f>'Rev Req Proof Yr1'!P14</f>
        <v>0</v>
      </c>
      <c r="R14" s="154"/>
      <c r="S14" s="298">
        <f>'Rev Req Proof Yr1'!R14</f>
        <v>214704.20066131229</v>
      </c>
      <c r="T14" s="299"/>
      <c r="U14" s="300">
        <f>'Rev Req Proof Yr1'!T14</f>
        <v>911</v>
      </c>
      <c r="V14" s="301">
        <f>'Rev Req Proof Yr1'!U14</f>
        <v>19.639970000000002</v>
      </c>
      <c r="W14" s="154"/>
      <c r="X14" s="302">
        <f>(I14*S14)</f>
        <v>171694.65518483819</v>
      </c>
      <c r="Y14" s="303">
        <f>(L14*U14*12)</f>
        <v>60126</v>
      </c>
      <c r="Z14" s="304">
        <f t="shared" ref="Z14:Z21" si="5">(T14*(N14+P14))*12</f>
        <v>0</v>
      </c>
      <c r="AA14" s="305"/>
      <c r="AB14" s="302">
        <f>(J14*S14)</f>
        <v>185008.46266784618</v>
      </c>
      <c r="AC14" s="303">
        <f>(M14*U14*12)</f>
        <v>60126</v>
      </c>
      <c r="AD14" s="304">
        <f t="shared" ref="AD14:AD21" si="6">(T14*(O14+Q14))*12</f>
        <v>0</v>
      </c>
      <c r="AE14" s="305"/>
      <c r="AF14" s="302">
        <f>(F14*S14)</f>
        <v>-188.93969658195482</v>
      </c>
      <c r="AG14" s="303">
        <v>0</v>
      </c>
      <c r="AH14" s="304">
        <v>0</v>
      </c>
      <c r="AI14" s="305"/>
      <c r="AJ14" s="302">
        <f t="shared" ref="AJ14:AJ21" si="7">AB14-X14+AF14</f>
        <v>13124.867786426032</v>
      </c>
      <c r="AK14" s="303">
        <f t="shared" ref="AK14:AL21" si="8">AC14-Y14-AG14</f>
        <v>0</v>
      </c>
      <c r="AL14" s="304">
        <f t="shared" si="8"/>
        <v>0</v>
      </c>
      <c r="AM14" s="305"/>
      <c r="AN14" s="338"/>
      <c r="AO14" s="339"/>
      <c r="AP14" s="305"/>
      <c r="AQ14" s="302">
        <f t="shared" ref="AQ14:AQ21" si="9">(G14*S14)</f>
        <v>0</v>
      </c>
      <c r="AR14" s="303">
        <v>0</v>
      </c>
      <c r="AS14" s="304">
        <v>0</v>
      </c>
      <c r="AT14" s="305"/>
      <c r="AU14" s="1589"/>
      <c r="AV14" s="1589"/>
      <c r="AW14" s="1589"/>
      <c r="AY14" s="652"/>
      <c r="AZ14" s="139"/>
    </row>
    <row r="15" spans="1:52" x14ac:dyDescent="0.2">
      <c r="A15" s="86">
        <f t="shared" si="4"/>
        <v>8</v>
      </c>
      <c r="B15" s="723" t="str">
        <f>'WA Volumes &amp; Revenues'!B16</f>
        <v>1C</v>
      </c>
      <c r="C15" s="723" t="s">
        <v>283</v>
      </c>
      <c r="D15" s="157"/>
      <c r="E15" s="123">
        <f>'Rates in Detail'!Y14</f>
        <v>5.1569999999999998E-2</v>
      </c>
      <c r="F15" s="123">
        <f>'Rates in Detail'!Z14</f>
        <v>-7.2999999999999996E-4</v>
      </c>
      <c r="G15" s="153"/>
      <c r="H15" s="157"/>
      <c r="I15" s="368">
        <f>'Rev Req Proof Yr2'!H15</f>
        <v>0.83389999999999997</v>
      </c>
      <c r="J15" s="773">
        <f t="shared" ref="J15:J78" si="10">I15+E15</f>
        <v>0.88546999999999998</v>
      </c>
      <c r="K15" s="157"/>
      <c r="L15" s="155">
        <f>'Rev Req Proof Yr1'!K15</f>
        <v>7</v>
      </c>
      <c r="M15" s="156">
        <f>'Rev Req Proof Yr1'!L15</f>
        <v>7</v>
      </c>
      <c r="N15" s="122">
        <f>'Rev Req Proof Yr1'!M15</f>
        <v>0</v>
      </c>
      <c r="O15" s="122">
        <f>'Rev Req Proof Yr1'!N15</f>
        <v>0</v>
      </c>
      <c r="P15" s="122">
        <f>'Rev Req Proof Yr1'!O15</f>
        <v>0</v>
      </c>
      <c r="Q15" s="774">
        <f>'Rev Req Proof Yr1'!P15</f>
        <v>0</v>
      </c>
      <c r="R15" s="157"/>
      <c r="S15" s="298">
        <f>'Rev Req Proof Yr1'!R15</f>
        <v>46539.057144390383</v>
      </c>
      <c r="T15" s="299"/>
      <c r="U15" s="300">
        <f>'Rev Req Proof Yr1'!T15</f>
        <v>34</v>
      </c>
      <c r="V15" s="301">
        <f>'Rev Req Proof Yr1'!U15</f>
        <v>114.06632</v>
      </c>
      <c r="W15" s="157"/>
      <c r="X15" s="306">
        <f t="shared" ref="X15:X21" si="11">(I15*S15)</f>
        <v>38808.919752707137</v>
      </c>
      <c r="Y15" s="307">
        <f t="shared" ref="Y15:Y21" si="12">(L15*U15*12)</f>
        <v>2856</v>
      </c>
      <c r="Z15" s="308">
        <f t="shared" si="5"/>
        <v>0</v>
      </c>
      <c r="AA15" s="309"/>
      <c r="AB15" s="306">
        <f t="shared" ref="AB15" si="13">(J15*S15)</f>
        <v>41208.938929643351</v>
      </c>
      <c r="AC15" s="307">
        <f t="shared" ref="AC15:AC16" si="14">(M15*U15*12)</f>
        <v>2856</v>
      </c>
      <c r="AD15" s="308">
        <f t="shared" si="6"/>
        <v>0</v>
      </c>
      <c r="AE15" s="309"/>
      <c r="AF15" s="306">
        <f t="shared" ref="AF15" si="15">(F15*S15)</f>
        <v>-33.973511715404975</v>
      </c>
      <c r="AG15" s="307">
        <v>0</v>
      </c>
      <c r="AH15" s="308">
        <v>0</v>
      </c>
      <c r="AI15" s="309"/>
      <c r="AJ15" s="306">
        <f t="shared" si="7"/>
        <v>2366.0456652208086</v>
      </c>
      <c r="AK15" s="307">
        <f t="shared" si="8"/>
        <v>0</v>
      </c>
      <c r="AL15" s="308">
        <f t="shared" si="8"/>
        <v>0</v>
      </c>
      <c r="AM15" s="309"/>
      <c r="AN15" s="338"/>
      <c r="AO15" s="339"/>
      <c r="AP15" s="309"/>
      <c r="AQ15" s="306">
        <f t="shared" si="9"/>
        <v>0</v>
      </c>
      <c r="AR15" s="307">
        <v>0</v>
      </c>
      <c r="AS15" s="308">
        <v>0</v>
      </c>
      <c r="AT15" s="309"/>
      <c r="AU15" s="310"/>
      <c r="AV15" s="310"/>
      <c r="AW15" s="309"/>
    </row>
    <row r="16" spans="1:52" x14ac:dyDescent="0.2">
      <c r="A16" s="86">
        <f t="shared" si="4"/>
        <v>9</v>
      </c>
      <c r="B16" s="723" t="str">
        <f>'WA Volumes &amp; Revenues'!B17</f>
        <v>2R</v>
      </c>
      <c r="C16" s="723" t="s">
        <v>283</v>
      </c>
      <c r="D16" s="157"/>
      <c r="E16" s="123">
        <f>'Rates in Detail'!Y15</f>
        <v>3.925E-2</v>
      </c>
      <c r="F16" s="123">
        <f>'Rates in Detail'!Z15</f>
        <v>-5.5000000000000003E-4</v>
      </c>
      <c r="G16" s="159"/>
      <c r="H16" s="157"/>
      <c r="I16" s="368">
        <f>'Rev Req Proof Yr2'!H16</f>
        <v>0.53610000000000002</v>
      </c>
      <c r="J16" s="773">
        <f t="shared" si="10"/>
        <v>0.57535000000000003</v>
      </c>
      <c r="K16" s="157"/>
      <c r="L16" s="155">
        <f>'Rev Req Proof Yr1'!K16</f>
        <v>8</v>
      </c>
      <c r="M16" s="156">
        <f>'Rev Req Proof Yr1'!L16</f>
        <v>8</v>
      </c>
      <c r="N16" s="122">
        <f>'Rev Req Proof Yr1'!M16</f>
        <v>0</v>
      </c>
      <c r="O16" s="122">
        <f>'Rev Req Proof Yr1'!N16</f>
        <v>0</v>
      </c>
      <c r="P16" s="122">
        <f>'Rev Req Proof Yr1'!O16</f>
        <v>0</v>
      </c>
      <c r="Q16" s="774">
        <f>'Rev Req Proof Yr1'!P16</f>
        <v>0</v>
      </c>
      <c r="R16" s="157"/>
      <c r="S16" s="298">
        <f>'Rev Req Proof Yr1'!R16</f>
        <v>54953515.785084128</v>
      </c>
      <c r="T16" s="299"/>
      <c r="U16" s="300">
        <f>'Rev Req Proof Yr1'!T16</f>
        <v>81119</v>
      </c>
      <c r="V16" s="301">
        <f>'Rev Req Proof Yr1'!U16</f>
        <v>56.453600000000002</v>
      </c>
      <c r="W16" s="157"/>
      <c r="X16" s="306">
        <f>(I16*S16)</f>
        <v>29460579.812383603</v>
      </c>
      <c r="Y16" s="307">
        <f t="shared" si="12"/>
        <v>7787424</v>
      </c>
      <c r="Z16" s="308">
        <f t="shared" si="5"/>
        <v>0</v>
      </c>
      <c r="AA16" s="309"/>
      <c r="AB16" s="306">
        <f>(J16*S16)</f>
        <v>31617505.306948155</v>
      </c>
      <c r="AC16" s="307">
        <f t="shared" si="14"/>
        <v>7787424</v>
      </c>
      <c r="AD16" s="308">
        <f t="shared" si="6"/>
        <v>0</v>
      </c>
      <c r="AE16" s="309"/>
      <c r="AF16" s="306">
        <f>(F16*S16)</f>
        <v>-30224.433681796272</v>
      </c>
      <c r="AG16" s="307">
        <v>0</v>
      </c>
      <c r="AH16" s="308">
        <v>0</v>
      </c>
      <c r="AI16" s="309"/>
      <c r="AJ16" s="306">
        <f>AB16-X16+AF16</f>
        <v>2126701.0608827556</v>
      </c>
      <c r="AK16" s="307">
        <f t="shared" si="8"/>
        <v>0</v>
      </c>
      <c r="AL16" s="308">
        <f t="shared" si="8"/>
        <v>0</v>
      </c>
      <c r="AM16" s="309"/>
      <c r="AN16" s="338">
        <f>SUM(AJ16:AL16)/SUM(X16:Z16)</f>
        <v>5.7095705627470558E-2</v>
      </c>
      <c r="AO16" s="339">
        <f t="shared" ref="AO16:AO41" si="16">SUM(AJ16)/SUM(X16)</f>
        <v>7.2188024622271946E-2</v>
      </c>
      <c r="AP16" s="309"/>
      <c r="AQ16" s="306">
        <f t="shared" si="9"/>
        <v>0</v>
      </c>
      <c r="AR16" s="307">
        <v>0</v>
      </c>
      <c r="AS16" s="308">
        <v>0</v>
      </c>
      <c r="AT16" s="309"/>
      <c r="AU16" s="310"/>
      <c r="AV16" s="605"/>
      <c r="AW16" s="309"/>
    </row>
    <row r="17" spans="1:52" x14ac:dyDescent="0.2">
      <c r="A17" s="86">
        <f t="shared" si="4"/>
        <v>10</v>
      </c>
      <c r="B17" s="723" t="str">
        <f>'WA Volumes &amp; Revenues'!B18</f>
        <v>3 CFS</v>
      </c>
      <c r="C17" s="723" t="s">
        <v>283</v>
      </c>
      <c r="D17" s="157"/>
      <c r="E17" s="123">
        <f>'Rates in Detail'!Y16</f>
        <v>3.524E-2</v>
      </c>
      <c r="F17" s="123">
        <f>'Rates in Detail'!Z16</f>
        <v>-5.0000000000000001E-4</v>
      </c>
      <c r="G17" s="159"/>
      <c r="H17" s="157"/>
      <c r="I17" s="368">
        <f>'Rev Req Proof Yr2'!H17</f>
        <v>0.51366000000000001</v>
      </c>
      <c r="J17" s="773">
        <f t="shared" si="10"/>
        <v>0.54890000000000005</v>
      </c>
      <c r="K17" s="157"/>
      <c r="L17" s="155">
        <f>'Rev Req Proof Yr1'!K17</f>
        <v>22</v>
      </c>
      <c r="M17" s="156">
        <f>'Rev Req Proof Yr1'!L17</f>
        <v>22</v>
      </c>
      <c r="N17" s="122">
        <f>'Rev Req Proof Yr1'!M17</f>
        <v>0</v>
      </c>
      <c r="O17" s="122">
        <f>'Rev Req Proof Yr1'!N17</f>
        <v>0</v>
      </c>
      <c r="P17" s="122">
        <f>'Rev Req Proof Yr1'!O17</f>
        <v>0</v>
      </c>
      <c r="Q17" s="774">
        <f>'Rev Req Proof Yr1'!P17</f>
        <v>0</v>
      </c>
      <c r="R17" s="157"/>
      <c r="S17" s="298">
        <f>'Rev Req Proof Yr1'!R17</f>
        <v>17867210.60654201</v>
      </c>
      <c r="T17" s="299"/>
      <c r="U17" s="300">
        <f>'Rev Req Proof Yr1'!T17</f>
        <v>6318</v>
      </c>
      <c r="V17" s="301">
        <f>'Rev Req Proof Yr1'!U17</f>
        <v>235.66542999999999</v>
      </c>
      <c r="W17" s="157"/>
      <c r="X17" s="306">
        <f t="shared" si="11"/>
        <v>9177671.4001563694</v>
      </c>
      <c r="Y17" s="307">
        <f t="shared" si="12"/>
        <v>1667952</v>
      </c>
      <c r="Z17" s="308">
        <f t="shared" si="5"/>
        <v>0</v>
      </c>
      <c r="AA17" s="309"/>
      <c r="AB17" s="306">
        <f t="shared" ref="AB17:AB21" si="17">(J17*S17)</f>
        <v>9807311.9019309096</v>
      </c>
      <c r="AC17" s="307">
        <f>(M17*U17*12)</f>
        <v>1667952</v>
      </c>
      <c r="AD17" s="308">
        <f t="shared" si="6"/>
        <v>0</v>
      </c>
      <c r="AE17" s="309"/>
      <c r="AF17" s="306">
        <f t="shared" ref="AF17:AF21" si="18">(F17*S17)</f>
        <v>-8933.6053032710042</v>
      </c>
      <c r="AG17" s="307">
        <v>0</v>
      </c>
      <c r="AH17" s="308">
        <v>0</v>
      </c>
      <c r="AI17" s="309"/>
      <c r="AJ17" s="306">
        <f t="shared" si="7"/>
        <v>620706.8964712692</v>
      </c>
      <c r="AK17" s="307">
        <f t="shared" si="8"/>
        <v>0</v>
      </c>
      <c r="AL17" s="308">
        <f t="shared" si="8"/>
        <v>0</v>
      </c>
      <c r="AM17" s="309"/>
      <c r="AN17" s="338">
        <f>SUM(AJ17:AL17)/SUM(X17:Z17)</f>
        <v>5.7231094384332028E-2</v>
      </c>
      <c r="AO17" s="339">
        <f t="shared" si="16"/>
        <v>6.7632285947903256E-2</v>
      </c>
      <c r="AP17" s="309"/>
      <c r="AQ17" s="306">
        <f t="shared" si="9"/>
        <v>0</v>
      </c>
      <c r="AR17" s="307">
        <v>0</v>
      </c>
      <c r="AS17" s="308">
        <v>0</v>
      </c>
      <c r="AT17" s="309"/>
      <c r="AU17" s="310"/>
      <c r="AV17" s="310"/>
      <c r="AW17" s="309"/>
      <c r="AX17" s="653"/>
      <c r="AY17" s="474"/>
    </row>
    <row r="18" spans="1:52" x14ac:dyDescent="0.2">
      <c r="A18" s="86">
        <f t="shared" si="4"/>
        <v>11</v>
      </c>
      <c r="B18" s="723" t="str">
        <f>'WA Volumes &amp; Revenues'!B19</f>
        <v>3 IFS</v>
      </c>
      <c r="C18" s="723" t="s">
        <v>283</v>
      </c>
      <c r="D18" s="157"/>
      <c r="E18" s="123">
        <f>'Rates in Detail'!Y17</f>
        <v>3.1919999999999997E-2</v>
      </c>
      <c r="F18" s="123">
        <f>'Rates in Detail'!Z17</f>
        <v>-4.4999999999999999E-4</v>
      </c>
      <c r="G18" s="159"/>
      <c r="H18" s="157"/>
      <c r="I18" s="368">
        <f>'Rev Req Proof Yr2'!H18</f>
        <v>0.52588000000000001</v>
      </c>
      <c r="J18" s="773">
        <f t="shared" si="10"/>
        <v>0.55779999999999996</v>
      </c>
      <c r="K18" s="157"/>
      <c r="L18" s="155">
        <f>'Rev Req Proof Yr1'!K18</f>
        <v>22</v>
      </c>
      <c r="M18" s="156">
        <f>'Rev Req Proof Yr1'!L18</f>
        <v>22</v>
      </c>
      <c r="N18" s="122">
        <f>'Rev Req Proof Yr1'!M18</f>
        <v>0</v>
      </c>
      <c r="O18" s="122">
        <f>'Rev Req Proof Yr1'!N18</f>
        <v>0</v>
      </c>
      <c r="P18" s="122">
        <f>'Rev Req Proof Yr1'!O18</f>
        <v>0</v>
      </c>
      <c r="Q18" s="774">
        <f>'Rev Req Proof Yr1'!P18</f>
        <v>0</v>
      </c>
      <c r="R18" s="157"/>
      <c r="S18" s="298">
        <f>'Rev Req Proof Yr1'!R18</f>
        <v>283651.99999999994</v>
      </c>
      <c r="T18" s="299"/>
      <c r="U18" s="300">
        <f>'Rev Req Proof Yr1'!T18</f>
        <v>24.25</v>
      </c>
      <c r="V18" s="301">
        <f>'Rev Req Proof Yr1'!U18</f>
        <v>974.74914000000001</v>
      </c>
      <c r="W18" s="157"/>
      <c r="X18" s="306">
        <f t="shared" si="11"/>
        <v>149166.91375999997</v>
      </c>
      <c r="Y18" s="307">
        <f t="shared" si="12"/>
        <v>6402</v>
      </c>
      <c r="Z18" s="308">
        <f t="shared" si="5"/>
        <v>0</v>
      </c>
      <c r="AA18" s="309"/>
      <c r="AB18" s="306">
        <f t="shared" si="17"/>
        <v>158221.08559999996</v>
      </c>
      <c r="AC18" s="307">
        <f t="shared" ref="AC18:AC21" si="19">(M18*U18*12)</f>
        <v>6402</v>
      </c>
      <c r="AD18" s="308">
        <f t="shared" si="6"/>
        <v>0</v>
      </c>
      <c r="AE18" s="309"/>
      <c r="AF18" s="306">
        <f t="shared" si="18"/>
        <v>-127.64339999999997</v>
      </c>
      <c r="AG18" s="307">
        <v>0</v>
      </c>
      <c r="AH18" s="308">
        <v>0</v>
      </c>
      <c r="AI18" s="309"/>
      <c r="AJ18" s="306">
        <f t="shared" si="7"/>
        <v>8926.5284399999946</v>
      </c>
      <c r="AK18" s="307">
        <f t="shared" si="8"/>
        <v>0</v>
      </c>
      <c r="AL18" s="308">
        <f t="shared" si="8"/>
        <v>0</v>
      </c>
      <c r="AM18" s="309"/>
      <c r="AN18" s="338">
        <f>SUM(AJ18:AL18)/SUM(X18:Z18)</f>
        <v>5.7379898234496719E-2</v>
      </c>
      <c r="AO18" s="339">
        <f t="shared" si="16"/>
        <v>5.9842549631094526E-2</v>
      </c>
      <c r="AP18" s="309"/>
      <c r="AQ18" s="306">
        <f t="shared" si="9"/>
        <v>0</v>
      </c>
      <c r="AR18" s="307">
        <v>0</v>
      </c>
      <c r="AS18" s="308">
        <v>0</v>
      </c>
      <c r="AT18" s="309"/>
      <c r="AU18" s="310"/>
      <c r="AV18" s="310"/>
      <c r="AW18" s="309"/>
      <c r="AX18" s="653"/>
      <c r="AY18" s="474"/>
      <c r="AZ18" s="270"/>
    </row>
    <row r="19" spans="1:52" x14ac:dyDescent="0.2">
      <c r="A19" s="86">
        <f t="shared" si="4"/>
        <v>12</v>
      </c>
      <c r="B19" s="723" t="str">
        <f>'WA Volumes &amp; Revenues'!B20</f>
        <v>27R</v>
      </c>
      <c r="C19" s="723" t="s">
        <v>283</v>
      </c>
      <c r="D19" s="157"/>
      <c r="E19" s="123">
        <f>'Rates in Detail'!Y18</f>
        <v>2.793E-2</v>
      </c>
      <c r="F19" s="123">
        <f>'Rates in Detail'!Z18</f>
        <v>-3.8999999999999999E-4</v>
      </c>
      <c r="G19" s="159"/>
      <c r="H19" s="157"/>
      <c r="I19" s="368">
        <f>'Rev Req Proof Yr2'!H19</f>
        <v>0.29635</v>
      </c>
      <c r="J19" s="773">
        <f t="shared" si="10"/>
        <v>0.32428000000000001</v>
      </c>
      <c r="K19" s="157"/>
      <c r="L19" s="155">
        <f>'Rev Req Proof Yr1'!K19</f>
        <v>9</v>
      </c>
      <c r="M19" s="590">
        <f>'Rev Req Proof Yr1'!L19</f>
        <v>9</v>
      </c>
      <c r="N19" s="122">
        <f>'Rev Req Proof Yr1'!M19</f>
        <v>0</v>
      </c>
      <c r="O19" s="122">
        <f>'Rev Req Proof Yr1'!N19</f>
        <v>0</v>
      </c>
      <c r="P19" s="122">
        <f>'Rev Req Proof Yr1'!O19</f>
        <v>0</v>
      </c>
      <c r="Q19" s="774">
        <f>'Rev Req Proof Yr1'!P19</f>
        <v>0</v>
      </c>
      <c r="R19" s="157"/>
      <c r="S19" s="298">
        <f>'Rev Req Proof Yr1'!R19</f>
        <v>461371.76933137607</v>
      </c>
      <c r="T19" s="299"/>
      <c r="U19" s="300">
        <f>'Rev Req Proof Yr1'!T19</f>
        <v>776</v>
      </c>
      <c r="V19" s="301">
        <f>'Rev Req Proof Yr1'!U19</f>
        <v>49.545940000000002</v>
      </c>
      <c r="W19" s="157"/>
      <c r="X19" s="306">
        <f t="shared" si="11"/>
        <v>136727.52384135331</v>
      </c>
      <c r="Y19" s="307">
        <f t="shared" si="12"/>
        <v>83808</v>
      </c>
      <c r="Z19" s="308">
        <f t="shared" si="5"/>
        <v>0</v>
      </c>
      <c r="AA19" s="309"/>
      <c r="AB19" s="306">
        <f t="shared" si="17"/>
        <v>149613.63735877865</v>
      </c>
      <c r="AC19" s="307">
        <f t="shared" si="19"/>
        <v>83808</v>
      </c>
      <c r="AD19" s="308">
        <f t="shared" si="6"/>
        <v>0</v>
      </c>
      <c r="AE19" s="309"/>
      <c r="AF19" s="306">
        <f t="shared" si="18"/>
        <v>-179.93499003923665</v>
      </c>
      <c r="AG19" s="307">
        <v>0</v>
      </c>
      <c r="AH19" s="308">
        <v>0</v>
      </c>
      <c r="AI19" s="309"/>
      <c r="AJ19" s="306">
        <f t="shared" si="7"/>
        <v>12706.178527386106</v>
      </c>
      <c r="AK19" s="307">
        <f t="shared" si="8"/>
        <v>0</v>
      </c>
      <c r="AL19" s="308">
        <f t="shared" si="8"/>
        <v>0</v>
      </c>
      <c r="AM19" s="309"/>
      <c r="AN19" s="338">
        <f>SUM(AJ19:AL19)/SUM(X19:Z19)</f>
        <v>5.7615110282761305E-2</v>
      </c>
      <c r="AO19" s="339">
        <f t="shared" si="16"/>
        <v>9.2930656318542318E-2</v>
      </c>
      <c r="AP19" s="309"/>
      <c r="AQ19" s="306">
        <f t="shared" si="9"/>
        <v>0</v>
      </c>
      <c r="AR19" s="307">
        <v>0</v>
      </c>
      <c r="AS19" s="308">
        <v>0</v>
      </c>
      <c r="AT19" s="309"/>
      <c r="AU19" s="310"/>
      <c r="AV19" s="310"/>
      <c r="AW19" s="309"/>
      <c r="AX19" s="653"/>
      <c r="AY19" s="474"/>
    </row>
    <row r="20" spans="1:52" x14ac:dyDescent="0.2">
      <c r="A20" s="86">
        <f t="shared" si="4"/>
        <v>13</v>
      </c>
      <c r="B20" s="733" t="str">
        <f>'WA Volumes &amp; Revenues'!B21</f>
        <v>41C Firm Sales</v>
      </c>
      <c r="C20" s="726" t="s">
        <v>4</v>
      </c>
      <c r="D20" s="157"/>
      <c r="E20" s="122">
        <f>'Rates in Detail'!Y19</f>
        <v>2.7990000000000001E-2</v>
      </c>
      <c r="F20" s="122">
        <f>'Rates in Detail'!Z19</f>
        <v>-4.0000000000000002E-4</v>
      </c>
      <c r="G20" s="157"/>
      <c r="H20" s="157"/>
      <c r="I20" s="373">
        <f>'Rev Req Proof Yr2'!H20</f>
        <v>0.40031</v>
      </c>
      <c r="J20" s="774">
        <f t="shared" si="10"/>
        <v>0.42830000000000001</v>
      </c>
      <c r="K20" s="157"/>
      <c r="L20" s="155">
        <f>'Rev Req Proof Yr1'!K20</f>
        <v>250</v>
      </c>
      <c r="M20" s="156">
        <f>'Rev Req Proof Yr1'!L20</f>
        <v>250</v>
      </c>
      <c r="N20" s="122">
        <f>'Rev Req Proof Yr1'!M20</f>
        <v>0</v>
      </c>
      <c r="O20" s="122">
        <f>'Rev Req Proof Yr1'!N20</f>
        <v>0</v>
      </c>
      <c r="P20" s="122">
        <f>'Rev Req Proof Yr1'!O20</f>
        <v>0</v>
      </c>
      <c r="Q20" s="774">
        <f>'Rev Req Proof Yr1'!P20</f>
        <v>0</v>
      </c>
      <c r="R20" s="157"/>
      <c r="S20" s="298">
        <f>'Rev Req Proof Yr1'!R20</f>
        <v>1777065.1510316674</v>
      </c>
      <c r="T20" s="299"/>
      <c r="U20" s="300">
        <f>'Rev Req Proof Yr1'!T20</f>
        <v>91</v>
      </c>
      <c r="V20" s="301">
        <f>'Rev Req Proof Yr1'!U20</f>
        <v>3436</v>
      </c>
      <c r="W20" s="157"/>
      <c r="X20" s="313">
        <f t="shared" si="11"/>
        <v>711376.95060948678</v>
      </c>
      <c r="Y20" s="309">
        <f t="shared" si="12"/>
        <v>273000</v>
      </c>
      <c r="Z20" s="314">
        <f t="shared" si="5"/>
        <v>0</v>
      </c>
      <c r="AA20" s="309"/>
      <c r="AB20" s="313">
        <f t="shared" si="17"/>
        <v>761117.0041868632</v>
      </c>
      <c r="AC20" s="309">
        <f t="shared" si="19"/>
        <v>273000</v>
      </c>
      <c r="AD20" s="314">
        <f t="shared" si="6"/>
        <v>0</v>
      </c>
      <c r="AE20" s="309"/>
      <c r="AF20" s="313">
        <f t="shared" si="18"/>
        <v>-710.82606041266695</v>
      </c>
      <c r="AG20" s="309">
        <v>0</v>
      </c>
      <c r="AH20" s="314">
        <v>0</v>
      </c>
      <c r="AI20" s="309"/>
      <c r="AJ20" s="313">
        <f t="shared" si="7"/>
        <v>49029.227516963743</v>
      </c>
      <c r="AK20" s="309">
        <f t="shared" si="8"/>
        <v>0</v>
      </c>
      <c r="AL20" s="314">
        <f t="shared" si="8"/>
        <v>0</v>
      </c>
      <c r="AM20" s="309"/>
      <c r="AN20" s="338"/>
      <c r="AO20" s="340">
        <f t="shared" si="16"/>
        <v>6.8921585771027513E-2</v>
      </c>
      <c r="AP20" s="309"/>
      <c r="AQ20" s="313">
        <f t="shared" si="9"/>
        <v>0</v>
      </c>
      <c r="AR20" s="309">
        <v>0</v>
      </c>
      <c r="AS20" s="314">
        <v>0</v>
      </c>
      <c r="AT20" s="309"/>
      <c r="AU20" s="310"/>
      <c r="AV20" s="310"/>
      <c r="AW20" s="309"/>
      <c r="AX20" s="653"/>
      <c r="AY20" s="474"/>
    </row>
    <row r="21" spans="1:52" x14ac:dyDescent="0.2">
      <c r="A21" s="86">
        <f t="shared" si="4"/>
        <v>14</v>
      </c>
      <c r="B21" s="725"/>
      <c r="C21" s="726" t="s">
        <v>5</v>
      </c>
      <c r="D21" s="157"/>
      <c r="E21" s="122">
        <f>'Rates in Detail'!Y20</f>
        <v>2.4660000000000001E-2</v>
      </c>
      <c r="F21" s="122">
        <f>'Rates in Detail'!Z20</f>
        <v>-3.5E-4</v>
      </c>
      <c r="G21" s="157"/>
      <c r="H21" s="157"/>
      <c r="I21" s="373">
        <f>'Rev Req Proof Yr2'!H21</f>
        <v>0.35274</v>
      </c>
      <c r="J21" s="774">
        <f t="shared" si="10"/>
        <v>0.37740000000000001</v>
      </c>
      <c r="K21" s="157"/>
      <c r="L21" s="155"/>
      <c r="M21" s="156"/>
      <c r="N21" s="122"/>
      <c r="O21" s="122"/>
      <c r="P21" s="122"/>
      <c r="Q21" s="774"/>
      <c r="R21" s="157"/>
      <c r="S21" s="298">
        <f>'Rev Req Proof Yr1'!R21</f>
        <v>1974656.4658023661</v>
      </c>
      <c r="T21" s="299"/>
      <c r="U21" s="300">
        <f>'Rev Req Proof Yr1'!T21</f>
        <v>0</v>
      </c>
      <c r="V21" s="301">
        <f>'Rev Req Proof Yr1'!U21</f>
        <v>0</v>
      </c>
      <c r="W21" s="157"/>
      <c r="X21" s="313">
        <f t="shared" si="11"/>
        <v>696540.32174712664</v>
      </c>
      <c r="Y21" s="309">
        <f t="shared" si="12"/>
        <v>0</v>
      </c>
      <c r="Z21" s="314">
        <f t="shared" si="5"/>
        <v>0</v>
      </c>
      <c r="AA21" s="309"/>
      <c r="AB21" s="313">
        <f t="shared" si="17"/>
        <v>745235.35019381298</v>
      </c>
      <c r="AC21" s="309">
        <f t="shared" si="19"/>
        <v>0</v>
      </c>
      <c r="AD21" s="314">
        <f t="shared" si="6"/>
        <v>0</v>
      </c>
      <c r="AE21" s="309"/>
      <c r="AF21" s="313">
        <f t="shared" si="18"/>
        <v>-691.12976303082814</v>
      </c>
      <c r="AG21" s="309">
        <v>0</v>
      </c>
      <c r="AH21" s="314">
        <v>0</v>
      </c>
      <c r="AI21" s="309"/>
      <c r="AJ21" s="313">
        <f t="shared" si="7"/>
        <v>48003.898683655512</v>
      </c>
      <c r="AK21" s="309">
        <f t="shared" si="8"/>
        <v>0</v>
      </c>
      <c r="AL21" s="314">
        <f t="shared" si="8"/>
        <v>0</v>
      </c>
      <c r="AM21" s="309"/>
      <c r="AN21" s="338"/>
      <c r="AO21" s="340">
        <f t="shared" si="16"/>
        <v>6.8917616374666882E-2</v>
      </c>
      <c r="AP21" s="309"/>
      <c r="AQ21" s="313">
        <f t="shared" si="9"/>
        <v>0</v>
      </c>
      <c r="AR21" s="309">
        <v>0</v>
      </c>
      <c r="AS21" s="314">
        <v>0</v>
      </c>
      <c r="AT21" s="309"/>
      <c r="AU21" s="310"/>
      <c r="AV21" s="310"/>
      <c r="AW21" s="309"/>
      <c r="AX21" s="653"/>
      <c r="AY21" s="474"/>
    </row>
    <row r="22" spans="1:52" x14ac:dyDescent="0.2">
      <c r="A22" s="86">
        <f t="shared" si="4"/>
        <v>15</v>
      </c>
      <c r="B22" s="723"/>
      <c r="C22" s="742" t="s">
        <v>78</v>
      </c>
      <c r="D22" s="153"/>
      <c r="E22" s="123"/>
      <c r="F22" s="123"/>
      <c r="G22" s="153"/>
      <c r="H22" s="153"/>
      <c r="I22" s="368"/>
      <c r="J22" s="773"/>
      <c r="K22" s="157"/>
      <c r="L22" s="155"/>
      <c r="M22" s="156"/>
      <c r="N22" s="122"/>
      <c r="O22" s="122"/>
      <c r="P22" s="122"/>
      <c r="Q22" s="774"/>
      <c r="R22" s="157"/>
      <c r="S22" s="298"/>
      <c r="T22" s="299"/>
      <c r="U22" s="300"/>
      <c r="V22" s="301"/>
      <c r="W22" s="157"/>
      <c r="X22" s="315">
        <f>SUM(X20:X21)</f>
        <v>1407917.2723566135</v>
      </c>
      <c r="Y22" s="316">
        <f>SUM(Y20:Y21)</f>
        <v>273000</v>
      </c>
      <c r="Z22" s="317">
        <f t="shared" ref="Z22" si="20">SUM(Z20:Z21)</f>
        <v>0</v>
      </c>
      <c r="AA22" s="309"/>
      <c r="AB22" s="315">
        <f>SUM(AB20:AB21)</f>
        <v>1506352.3543806761</v>
      </c>
      <c r="AC22" s="316">
        <f t="shared" ref="AC22:AD22" si="21">SUM(AC20:AC21)</f>
        <v>273000</v>
      </c>
      <c r="AD22" s="317">
        <f t="shared" si="21"/>
        <v>0</v>
      </c>
      <c r="AE22" s="309"/>
      <c r="AF22" s="315">
        <f>SUM(AF20:AF21)</f>
        <v>-1401.9558234434951</v>
      </c>
      <c r="AG22" s="316">
        <f t="shared" ref="AG22:AH22" si="22">SUM(AG20:AG21)</f>
        <v>0</v>
      </c>
      <c r="AH22" s="317">
        <f t="shared" si="22"/>
        <v>0</v>
      </c>
      <c r="AI22" s="309"/>
      <c r="AJ22" s="315">
        <f>SUM(AJ20:AJ21)</f>
        <v>97033.126200619256</v>
      </c>
      <c r="AK22" s="316">
        <f t="shared" ref="AK22:AL22" si="23">SUM(AK20:AK21)</f>
        <v>0</v>
      </c>
      <c r="AL22" s="317">
        <f t="shared" si="23"/>
        <v>0</v>
      </c>
      <c r="AM22" s="309"/>
      <c r="AN22" s="338">
        <f>SUM(AJ22:AL22)/SUM(X22:Z22)</f>
        <v>5.7726294920261413E-2</v>
      </c>
      <c r="AO22" s="339">
        <f t="shared" si="16"/>
        <v>6.8919621987591884E-2</v>
      </c>
      <c r="AP22" s="309"/>
      <c r="AQ22" s="315">
        <f>SUM(AQ20:AQ21)</f>
        <v>0</v>
      </c>
      <c r="AR22" s="316">
        <f t="shared" ref="AR22:AS22" si="24">SUM(AR20:AR21)</f>
        <v>0</v>
      </c>
      <c r="AS22" s="317">
        <f t="shared" si="24"/>
        <v>0</v>
      </c>
      <c r="AT22" s="309"/>
      <c r="AU22" s="310"/>
      <c r="AV22" s="310"/>
      <c r="AW22" s="328"/>
      <c r="AX22" s="57"/>
      <c r="AY22" s="671"/>
    </row>
    <row r="23" spans="1:52" x14ac:dyDescent="0.2">
      <c r="A23" s="86">
        <f t="shared" si="4"/>
        <v>16</v>
      </c>
      <c r="B23" s="733" t="str">
        <f>'WA Volumes &amp; Revenues'!B23</f>
        <v>41I Firm Sales</v>
      </c>
      <c r="C23" s="726" t="s">
        <v>4</v>
      </c>
      <c r="D23" s="157"/>
      <c r="E23" s="122">
        <f>'Rates in Detail'!Y21</f>
        <v>2.664E-2</v>
      </c>
      <c r="F23" s="122">
        <f>'Rates in Detail'!Z21</f>
        <v>-3.8000000000000002E-4</v>
      </c>
      <c r="G23" s="157"/>
      <c r="H23" s="157"/>
      <c r="I23" s="373">
        <f>'Rev Req Proof Yr2'!H23</f>
        <v>0.39706000000000002</v>
      </c>
      <c r="J23" s="774">
        <f t="shared" si="10"/>
        <v>0.42370000000000002</v>
      </c>
      <c r="K23" s="157"/>
      <c r="L23" s="155">
        <f>'Rev Req Proof Yr1'!K23</f>
        <v>250</v>
      </c>
      <c r="M23" s="156">
        <f>'Rev Req Proof Yr1'!L23</f>
        <v>250</v>
      </c>
      <c r="N23" s="122">
        <f>'Rev Req Proof Yr1'!M23</f>
        <v>0</v>
      </c>
      <c r="O23" s="122">
        <f>'Rev Req Proof Yr1'!N23</f>
        <v>0</v>
      </c>
      <c r="P23" s="122">
        <f>'Rev Req Proof Yr1'!O23</f>
        <v>0</v>
      </c>
      <c r="Q23" s="774">
        <f>'Rev Req Proof Yr1'!P23</f>
        <v>0</v>
      </c>
      <c r="R23" s="157"/>
      <c r="S23" s="298">
        <f>'Rev Req Proof Yr1'!R23</f>
        <v>392890.20000000007</v>
      </c>
      <c r="T23" s="299"/>
      <c r="U23" s="300">
        <f>'Rev Req Proof Yr1'!T23</f>
        <v>17.833333333333332</v>
      </c>
      <c r="V23" s="301">
        <f>'Rev Req Proof Yr1'!U23</f>
        <v>4741</v>
      </c>
      <c r="W23" s="157"/>
      <c r="X23" s="313">
        <f t="shared" ref="X23:X24" si="25">(I23*S23)</f>
        <v>156000.98281200003</v>
      </c>
      <c r="Y23" s="309">
        <f t="shared" ref="Y23:Y24" si="26">(L23*U23*12)</f>
        <v>53500</v>
      </c>
      <c r="Z23" s="314">
        <f t="shared" ref="Z23:Z24" si="27">(T23*(N23+P23))*12</f>
        <v>0</v>
      </c>
      <c r="AA23" s="309"/>
      <c r="AB23" s="313">
        <f t="shared" ref="AB23:AB24" si="28">(J23*S23)</f>
        <v>166467.57774000004</v>
      </c>
      <c r="AC23" s="309">
        <f t="shared" ref="AC23:AC24" si="29">(M23*U23*12)</f>
        <v>53500</v>
      </c>
      <c r="AD23" s="314">
        <f t="shared" ref="AD23:AD24" si="30">(T23*(O23+Q23))*12</f>
        <v>0</v>
      </c>
      <c r="AE23" s="309"/>
      <c r="AF23" s="313">
        <f t="shared" ref="AF23:AF24" si="31">(F23*S23)</f>
        <v>-149.29827600000004</v>
      </c>
      <c r="AG23" s="309">
        <v>0</v>
      </c>
      <c r="AH23" s="314">
        <v>0</v>
      </c>
      <c r="AI23" s="309"/>
      <c r="AJ23" s="313">
        <f t="shared" ref="AJ23:AJ24" si="32">AB23-X23+AF23</f>
        <v>10317.296652000006</v>
      </c>
      <c r="AK23" s="309">
        <f t="shared" ref="AK23:AL24" si="33">AC23-Y23-AG23</f>
        <v>0</v>
      </c>
      <c r="AL23" s="314">
        <f t="shared" si="33"/>
        <v>0</v>
      </c>
      <c r="AM23" s="309"/>
      <c r="AN23" s="338"/>
      <c r="AO23" s="340">
        <f t="shared" ref="AO23:AO25" si="34">SUM(AJ23)/SUM(X23)</f>
        <v>6.6136100337480505E-2</v>
      </c>
      <c r="AP23" s="309"/>
      <c r="AQ23" s="313">
        <f t="shared" ref="AQ23:AQ24" si="35">(G23*S23)</f>
        <v>0</v>
      </c>
      <c r="AR23" s="309">
        <v>0</v>
      </c>
      <c r="AS23" s="314">
        <v>0</v>
      </c>
      <c r="AT23" s="309"/>
      <c r="AU23" s="310"/>
      <c r="AV23" s="310"/>
      <c r="AW23" s="309"/>
      <c r="AX23" s="653"/>
      <c r="AY23" s="474"/>
    </row>
    <row r="24" spans="1:52" x14ac:dyDescent="0.2">
      <c r="A24" s="86">
        <f t="shared" si="4"/>
        <v>17</v>
      </c>
      <c r="B24" s="725"/>
      <c r="C24" s="726" t="s">
        <v>5</v>
      </c>
      <c r="D24" s="157"/>
      <c r="E24" s="122">
        <f>'Rates in Detail'!Y22</f>
        <v>2.3470000000000001E-2</v>
      </c>
      <c r="F24" s="122">
        <f>'Rates in Detail'!Z22</f>
        <v>-3.3E-4</v>
      </c>
      <c r="G24" s="157"/>
      <c r="H24" s="157"/>
      <c r="I24" s="373">
        <f>'Rev Req Proof Yr2'!H24</f>
        <v>0.34986</v>
      </c>
      <c r="J24" s="774">
        <f t="shared" si="10"/>
        <v>0.37333</v>
      </c>
      <c r="K24" s="157"/>
      <c r="L24" s="155"/>
      <c r="M24" s="156"/>
      <c r="N24" s="122"/>
      <c r="O24" s="122"/>
      <c r="P24" s="122"/>
      <c r="Q24" s="774"/>
      <c r="R24" s="157"/>
      <c r="S24" s="298">
        <f>'Rev Req Proof Yr1'!R24</f>
        <v>621650.00000000012</v>
      </c>
      <c r="T24" s="299"/>
      <c r="U24" s="300"/>
      <c r="V24" s="301"/>
      <c r="W24" s="157"/>
      <c r="X24" s="313">
        <f t="shared" si="25"/>
        <v>217490.46900000004</v>
      </c>
      <c r="Y24" s="309">
        <f t="shared" si="26"/>
        <v>0</v>
      </c>
      <c r="Z24" s="314">
        <f t="shared" si="27"/>
        <v>0</v>
      </c>
      <c r="AA24" s="309"/>
      <c r="AB24" s="313">
        <f t="shared" si="28"/>
        <v>232080.59450000004</v>
      </c>
      <c r="AC24" s="309">
        <f t="shared" si="29"/>
        <v>0</v>
      </c>
      <c r="AD24" s="314">
        <f t="shared" si="30"/>
        <v>0</v>
      </c>
      <c r="AE24" s="309"/>
      <c r="AF24" s="313">
        <f t="shared" si="31"/>
        <v>-205.14450000000005</v>
      </c>
      <c r="AG24" s="309">
        <v>0</v>
      </c>
      <c r="AH24" s="314">
        <v>0</v>
      </c>
      <c r="AI24" s="309"/>
      <c r="AJ24" s="313">
        <f t="shared" si="32"/>
        <v>14384.980999999994</v>
      </c>
      <c r="AK24" s="309">
        <f t="shared" si="33"/>
        <v>0</v>
      </c>
      <c r="AL24" s="314">
        <f t="shared" si="33"/>
        <v>0</v>
      </c>
      <c r="AM24" s="309"/>
      <c r="AN24" s="338"/>
      <c r="AO24" s="340">
        <f t="shared" si="34"/>
        <v>6.6140742011090117E-2</v>
      </c>
      <c r="AP24" s="309"/>
      <c r="AQ24" s="313">
        <f t="shared" si="35"/>
        <v>0</v>
      </c>
      <c r="AR24" s="309">
        <v>0</v>
      </c>
      <c r="AS24" s="314">
        <v>0</v>
      </c>
      <c r="AT24" s="309"/>
      <c r="AU24" s="310"/>
      <c r="AV24" s="310"/>
      <c r="AW24" s="309"/>
      <c r="AX24" s="653"/>
      <c r="AY24" s="474"/>
    </row>
    <row r="25" spans="1:52" x14ac:dyDescent="0.2">
      <c r="A25" s="86">
        <f t="shared" si="4"/>
        <v>18</v>
      </c>
      <c r="B25" s="723"/>
      <c r="C25" s="742" t="s">
        <v>78</v>
      </c>
      <c r="D25" s="153"/>
      <c r="E25" s="123"/>
      <c r="F25" s="123"/>
      <c r="G25" s="153"/>
      <c r="H25" s="153"/>
      <c r="I25" s="368"/>
      <c r="J25" s="773"/>
      <c r="K25" s="157"/>
      <c r="L25" s="155"/>
      <c r="M25" s="156"/>
      <c r="N25" s="122"/>
      <c r="O25" s="122"/>
      <c r="P25" s="122"/>
      <c r="Q25" s="774"/>
      <c r="R25" s="157"/>
      <c r="S25" s="298"/>
      <c r="T25" s="299"/>
      <c r="U25" s="300"/>
      <c r="V25" s="301"/>
      <c r="W25" s="157"/>
      <c r="X25" s="315">
        <f>SUM(X23:X24)</f>
        <v>373491.45181200007</v>
      </c>
      <c r="Y25" s="316">
        <f t="shared" ref="Y25:Z25" si="36">SUM(Y23:Y24)</f>
        <v>53500</v>
      </c>
      <c r="Z25" s="317">
        <f t="shared" si="36"/>
        <v>0</v>
      </c>
      <c r="AA25" s="309"/>
      <c r="AB25" s="315">
        <f>SUM(AB23:AB24)</f>
        <v>398548.1722400001</v>
      </c>
      <c r="AC25" s="316">
        <f t="shared" ref="AC25:AD25" si="37">SUM(AC23:AC24)</f>
        <v>53500</v>
      </c>
      <c r="AD25" s="317">
        <f t="shared" si="37"/>
        <v>0</v>
      </c>
      <c r="AE25" s="309"/>
      <c r="AF25" s="315">
        <f>SUM(AF23:AF24)</f>
        <v>-354.44277600000009</v>
      </c>
      <c r="AG25" s="316">
        <f t="shared" ref="AG25:AH25" si="38">SUM(AG23:AG24)</f>
        <v>0</v>
      </c>
      <c r="AH25" s="317">
        <f t="shared" si="38"/>
        <v>0</v>
      </c>
      <c r="AI25" s="309"/>
      <c r="AJ25" s="315">
        <f>SUM(AJ23:AJ24)</f>
        <v>24702.277652000001</v>
      </c>
      <c r="AK25" s="316">
        <f t="shared" ref="AK25:AL25" si="39">SUM(AK23:AK24)</f>
        <v>0</v>
      </c>
      <c r="AL25" s="317">
        <f t="shared" si="39"/>
        <v>0</v>
      </c>
      <c r="AM25" s="309"/>
      <c r="AN25" s="338">
        <f>SUM(AJ25:AL25)/SUM(X25:Z25)</f>
        <v>5.7851925482752191E-2</v>
      </c>
      <c r="AO25" s="339">
        <f t="shared" si="34"/>
        <v>6.6138803263519105E-2</v>
      </c>
      <c r="AP25" s="309"/>
      <c r="AQ25" s="315">
        <f>SUM(AQ23:AQ24)</f>
        <v>0</v>
      </c>
      <c r="AR25" s="316">
        <f t="shared" ref="AR25:AS25" si="40">SUM(AR23:AR24)</f>
        <v>0</v>
      </c>
      <c r="AS25" s="317">
        <f t="shared" si="40"/>
        <v>0</v>
      </c>
      <c r="AT25" s="309"/>
      <c r="AU25" s="310"/>
      <c r="AV25" s="310"/>
      <c r="AW25" s="328"/>
      <c r="AX25" s="57"/>
      <c r="AY25" s="671"/>
    </row>
    <row r="26" spans="1:52" x14ac:dyDescent="0.2">
      <c r="A26" s="86">
        <f t="shared" si="4"/>
        <v>19</v>
      </c>
      <c r="B26" s="725" t="str">
        <f>'WA Volumes &amp; Revenues'!B25</f>
        <v>41C Interr Sales</v>
      </c>
      <c r="C26" s="726" t="s">
        <v>4</v>
      </c>
      <c r="D26" s="157"/>
      <c r="E26" s="122">
        <f>'Rates in Detail'!Y23</f>
        <v>2.1749999999999999E-2</v>
      </c>
      <c r="F26" s="122">
        <f>'Rates in Detail'!Z23</f>
        <v>-3.1E-4</v>
      </c>
      <c r="G26" s="157"/>
      <c r="H26" s="157"/>
      <c r="I26" s="373">
        <f>'Rev Req Proof Yr2'!H26</f>
        <v>0.38407000000000002</v>
      </c>
      <c r="J26" s="774">
        <f t="shared" si="10"/>
        <v>0.40582000000000001</v>
      </c>
      <c r="K26" s="157"/>
      <c r="L26" s="155">
        <f>'Rev Req Proof Yr1'!K26</f>
        <v>250</v>
      </c>
      <c r="M26" s="156">
        <f>'Rev Req Proof Yr1'!L26</f>
        <v>250</v>
      </c>
      <c r="N26" s="122">
        <f>'Rev Req Proof Yr1'!M26</f>
        <v>0</v>
      </c>
      <c r="O26" s="122">
        <f>'Rev Req Proof Yr1'!N26</f>
        <v>0</v>
      </c>
      <c r="P26" s="122">
        <f>'Rev Req Proof Yr1'!O26</f>
        <v>0</v>
      </c>
      <c r="Q26" s="774">
        <f>'Rev Req Proof Yr1'!P26</f>
        <v>0</v>
      </c>
      <c r="R26" s="157"/>
      <c r="S26" s="298">
        <f>'Rev Req Proof Yr1'!R26</f>
        <v>0</v>
      </c>
      <c r="T26" s="299"/>
      <c r="U26" s="300">
        <f>'Rev Req Proof Yr1'!T26</f>
        <v>0</v>
      </c>
      <c r="V26" s="301">
        <f>'Rev Req Proof Yr1'!U26</f>
        <v>0</v>
      </c>
      <c r="W26" s="157"/>
      <c r="X26" s="313">
        <f t="shared" ref="X26:X27" si="41">(I26*S26)</f>
        <v>0</v>
      </c>
      <c r="Y26" s="309">
        <f t="shared" ref="Y26:Y27" si="42">(L26*U26*12)</f>
        <v>0</v>
      </c>
      <c r="Z26" s="314">
        <f t="shared" ref="Z26:Z27" si="43">(T26*(N26+P26))*12</f>
        <v>0</v>
      </c>
      <c r="AA26" s="309"/>
      <c r="AB26" s="313">
        <f t="shared" ref="AB26:AB27" si="44">(J26*S26)</f>
        <v>0</v>
      </c>
      <c r="AC26" s="309">
        <f t="shared" ref="AC26:AC27" si="45">(M26*U26*12)</f>
        <v>0</v>
      </c>
      <c r="AD26" s="314">
        <f t="shared" ref="AD26:AD27" si="46">(T26*(O26+Q26))*12</f>
        <v>0</v>
      </c>
      <c r="AE26" s="309"/>
      <c r="AF26" s="313">
        <f t="shared" ref="AF26:AF27" si="47">(F26*S26)</f>
        <v>0</v>
      </c>
      <c r="AG26" s="309">
        <v>0</v>
      </c>
      <c r="AH26" s="314">
        <v>0</v>
      </c>
      <c r="AI26" s="309"/>
      <c r="AJ26" s="313">
        <f t="shared" ref="AJ26:AJ27" si="48">AB26-X26+AF26</f>
        <v>0</v>
      </c>
      <c r="AK26" s="309">
        <f t="shared" ref="AK26:AL27" si="49">AC26-Y26-AG26</f>
        <v>0</v>
      </c>
      <c r="AL26" s="314">
        <f t="shared" si="49"/>
        <v>0</v>
      </c>
      <c r="AM26" s="309"/>
      <c r="AN26" s="338"/>
      <c r="AO26" s="340" t="e">
        <f t="shared" si="16"/>
        <v>#DIV/0!</v>
      </c>
      <c r="AP26" s="309"/>
      <c r="AQ26" s="313">
        <f t="shared" ref="AQ26:AQ27" si="50">(G26*S26)</f>
        <v>0</v>
      </c>
      <c r="AR26" s="309">
        <v>0</v>
      </c>
      <c r="AS26" s="314">
        <v>0</v>
      </c>
      <c r="AT26" s="309"/>
      <c r="AU26" s="310"/>
      <c r="AV26" s="310"/>
      <c r="AW26" s="309"/>
      <c r="AX26" s="653"/>
      <c r="AY26" s="474"/>
    </row>
    <row r="27" spans="1:52" x14ac:dyDescent="0.2">
      <c r="A27" s="86">
        <f t="shared" si="4"/>
        <v>20</v>
      </c>
      <c r="B27" s="725"/>
      <c r="C27" s="726" t="s">
        <v>5</v>
      </c>
      <c r="D27" s="157"/>
      <c r="E27" s="122">
        <f>'Rates in Detail'!Y24</f>
        <v>1.917E-2</v>
      </c>
      <c r="F27" s="122">
        <f>'Rates in Detail'!Z24</f>
        <v>-2.7E-4</v>
      </c>
      <c r="G27" s="157"/>
      <c r="H27" s="157"/>
      <c r="I27" s="373">
        <f>'Rev Req Proof Yr2'!H27</f>
        <v>0.33839000000000002</v>
      </c>
      <c r="J27" s="774">
        <f t="shared" si="10"/>
        <v>0.35756000000000004</v>
      </c>
      <c r="K27" s="157"/>
      <c r="L27" s="155"/>
      <c r="M27" s="156"/>
      <c r="N27" s="122"/>
      <c r="O27" s="122"/>
      <c r="P27" s="122"/>
      <c r="Q27" s="774"/>
      <c r="R27" s="157"/>
      <c r="S27" s="298">
        <f>'Rev Req Proof Yr1'!R27</f>
        <v>0</v>
      </c>
      <c r="T27" s="299"/>
      <c r="U27" s="300"/>
      <c r="V27" s="301"/>
      <c r="W27" s="157"/>
      <c r="X27" s="313">
        <f t="shared" si="41"/>
        <v>0</v>
      </c>
      <c r="Y27" s="309">
        <f t="shared" si="42"/>
        <v>0</v>
      </c>
      <c r="Z27" s="314">
        <f t="shared" si="43"/>
        <v>0</v>
      </c>
      <c r="AA27" s="309"/>
      <c r="AB27" s="313">
        <f t="shared" si="44"/>
        <v>0</v>
      </c>
      <c r="AC27" s="309">
        <f t="shared" si="45"/>
        <v>0</v>
      </c>
      <c r="AD27" s="314">
        <f t="shared" si="46"/>
        <v>0</v>
      </c>
      <c r="AE27" s="309"/>
      <c r="AF27" s="313">
        <f t="shared" si="47"/>
        <v>0</v>
      </c>
      <c r="AG27" s="309">
        <v>0</v>
      </c>
      <c r="AH27" s="314">
        <v>0</v>
      </c>
      <c r="AI27" s="309"/>
      <c r="AJ27" s="313">
        <f t="shared" si="48"/>
        <v>0</v>
      </c>
      <c r="AK27" s="309">
        <f t="shared" si="49"/>
        <v>0</v>
      </c>
      <c r="AL27" s="314">
        <f t="shared" si="49"/>
        <v>0</v>
      </c>
      <c r="AM27" s="309"/>
      <c r="AN27" s="338"/>
      <c r="AO27" s="340" t="e">
        <f t="shared" si="16"/>
        <v>#DIV/0!</v>
      </c>
      <c r="AP27" s="309"/>
      <c r="AQ27" s="313">
        <f t="shared" si="50"/>
        <v>0</v>
      </c>
      <c r="AR27" s="309">
        <v>0</v>
      </c>
      <c r="AS27" s="314">
        <v>0</v>
      </c>
      <c r="AT27" s="309"/>
      <c r="AU27" s="310"/>
      <c r="AX27" s="653"/>
      <c r="AY27" s="474"/>
    </row>
    <row r="28" spans="1:52" x14ac:dyDescent="0.2">
      <c r="A28" s="86">
        <f t="shared" si="4"/>
        <v>21</v>
      </c>
      <c r="B28" s="723"/>
      <c r="C28" s="742" t="s">
        <v>78</v>
      </c>
      <c r="D28" s="153"/>
      <c r="E28" s="123"/>
      <c r="F28" s="123"/>
      <c r="G28" s="153"/>
      <c r="H28" s="153"/>
      <c r="I28" s="368"/>
      <c r="J28" s="773"/>
      <c r="K28" s="157"/>
      <c r="L28" s="155"/>
      <c r="M28" s="156"/>
      <c r="N28" s="122"/>
      <c r="O28" s="122"/>
      <c r="P28" s="122"/>
      <c r="Q28" s="774"/>
      <c r="R28" s="157"/>
      <c r="S28" s="298"/>
      <c r="T28" s="299"/>
      <c r="U28" s="300"/>
      <c r="V28" s="301"/>
      <c r="W28" s="157"/>
      <c r="X28" s="315">
        <f>SUM(X26:X27)</f>
        <v>0</v>
      </c>
      <c r="Y28" s="316">
        <f t="shared" ref="Y28:Z28" si="51">SUM(Y26:Y27)</f>
        <v>0</v>
      </c>
      <c r="Z28" s="317">
        <f t="shared" si="51"/>
        <v>0</v>
      </c>
      <c r="AA28" s="309"/>
      <c r="AB28" s="315">
        <f>SUM(AB26:AB27)</f>
        <v>0</v>
      </c>
      <c r="AC28" s="316">
        <f t="shared" ref="AC28:AD28" si="52">SUM(AC26:AC27)</f>
        <v>0</v>
      </c>
      <c r="AD28" s="317">
        <f t="shared" si="52"/>
        <v>0</v>
      </c>
      <c r="AE28" s="309"/>
      <c r="AF28" s="315">
        <f>SUM(AF26:AF27)</f>
        <v>0</v>
      </c>
      <c r="AG28" s="316">
        <f t="shared" ref="AG28:AH28" si="53">SUM(AG26:AG27)</f>
        <v>0</v>
      </c>
      <c r="AH28" s="317">
        <f t="shared" si="53"/>
        <v>0</v>
      </c>
      <c r="AI28" s="309"/>
      <c r="AJ28" s="315">
        <f>SUM(AJ26:AJ27)</f>
        <v>0</v>
      </c>
      <c r="AK28" s="316">
        <f t="shared" ref="AK28:AL28" si="54">SUM(AK26:AK27)</f>
        <v>0</v>
      </c>
      <c r="AL28" s="317">
        <f t="shared" si="54"/>
        <v>0</v>
      </c>
      <c r="AM28" s="309"/>
      <c r="AN28" s="338" t="e">
        <f>SUM(AJ28:AL28)/SUM(X28:Z28)</f>
        <v>#DIV/0!</v>
      </c>
      <c r="AO28" s="339" t="e">
        <f t="shared" si="16"/>
        <v>#DIV/0!</v>
      </c>
      <c r="AP28" s="309"/>
      <c r="AQ28" s="315">
        <f>SUM(AQ26:AQ27)</f>
        <v>0</v>
      </c>
      <c r="AR28" s="316">
        <f t="shared" ref="AR28:AS28" si="55">SUM(AR26:AR27)</f>
        <v>0</v>
      </c>
      <c r="AS28" s="317">
        <f t="shared" si="55"/>
        <v>0</v>
      </c>
      <c r="AT28" s="309"/>
      <c r="AU28" s="310"/>
      <c r="AV28" s="310"/>
      <c r="AW28" s="309"/>
      <c r="AX28" s="653"/>
      <c r="AY28" s="474"/>
    </row>
    <row r="29" spans="1:52" x14ac:dyDescent="0.2">
      <c r="A29" s="86">
        <f t="shared" si="4"/>
        <v>22</v>
      </c>
      <c r="B29" s="725" t="str">
        <f>'WA Volumes &amp; Revenues'!B27</f>
        <v>41I Interr Sales</v>
      </c>
      <c r="C29" s="726" t="s">
        <v>4</v>
      </c>
      <c r="D29" s="157"/>
      <c r="E29" s="122">
        <f>'Rates in Detail'!Y25</f>
        <v>2.1749999999999999E-2</v>
      </c>
      <c r="F29" s="122">
        <f>'Rates in Detail'!Z25</f>
        <v>-3.1E-4</v>
      </c>
      <c r="G29" s="157"/>
      <c r="H29" s="157"/>
      <c r="I29" s="373">
        <f>'Rev Req Proof Yr2'!H29</f>
        <v>0.38407000000000002</v>
      </c>
      <c r="J29" s="774">
        <f t="shared" si="10"/>
        <v>0.40582000000000001</v>
      </c>
      <c r="K29" s="157"/>
      <c r="L29" s="155">
        <f>'Rev Req Proof Yr1'!K29</f>
        <v>250</v>
      </c>
      <c r="M29" s="156">
        <f>'Rev Req Proof Yr1'!L29</f>
        <v>250</v>
      </c>
      <c r="N29" s="122">
        <f>'Rev Req Proof Yr1'!M29</f>
        <v>0</v>
      </c>
      <c r="O29" s="122">
        <f>'Rev Req Proof Yr1'!N29</f>
        <v>0</v>
      </c>
      <c r="P29" s="122">
        <f>'Rev Req Proof Yr1'!O29</f>
        <v>0</v>
      </c>
      <c r="Q29" s="774">
        <f>'Rev Req Proof Yr1'!P29</f>
        <v>0</v>
      </c>
      <c r="R29" s="157"/>
      <c r="S29" s="298">
        <f>'Rev Req Proof Yr1'!R29</f>
        <v>0</v>
      </c>
      <c r="T29" s="299"/>
      <c r="U29" s="300">
        <f>'Rev Req Proof Yr1'!T29</f>
        <v>0</v>
      </c>
      <c r="V29" s="301">
        <f>'Rev Req Proof Yr1'!U29</f>
        <v>0</v>
      </c>
      <c r="W29" s="157"/>
      <c r="X29" s="313">
        <f t="shared" ref="X29:X30" si="56">(I29*S29)</f>
        <v>0</v>
      </c>
      <c r="Y29" s="309">
        <f t="shared" ref="Y29:Y30" si="57">(L29*U29*12)</f>
        <v>0</v>
      </c>
      <c r="Z29" s="314">
        <f t="shared" ref="Z29:Z30" si="58">(T29*(N29+P29))*12</f>
        <v>0</v>
      </c>
      <c r="AA29" s="309"/>
      <c r="AB29" s="313">
        <f t="shared" ref="AB29:AB30" si="59">(J29*S29)</f>
        <v>0</v>
      </c>
      <c r="AC29" s="309">
        <f t="shared" ref="AC29:AC30" si="60">(M29*U29*12)</f>
        <v>0</v>
      </c>
      <c r="AD29" s="314">
        <f t="shared" ref="AD29:AD30" si="61">(T29*(O29+Q29))*12</f>
        <v>0</v>
      </c>
      <c r="AE29" s="309"/>
      <c r="AF29" s="313">
        <f t="shared" ref="AF29:AF30" si="62">(F29*S29)</f>
        <v>0</v>
      </c>
      <c r="AG29" s="309">
        <v>0</v>
      </c>
      <c r="AH29" s="314">
        <v>0</v>
      </c>
      <c r="AI29" s="309"/>
      <c r="AJ29" s="313">
        <f t="shared" ref="AJ29:AJ30" si="63">AB29-X29+AF29</f>
        <v>0</v>
      </c>
      <c r="AK29" s="309">
        <f t="shared" ref="AK29:AL30" si="64">AC29-Y29-AG29</f>
        <v>0</v>
      </c>
      <c r="AL29" s="314">
        <f t="shared" si="64"/>
        <v>0</v>
      </c>
      <c r="AM29" s="309"/>
      <c r="AN29" s="338"/>
      <c r="AO29" s="340" t="e">
        <f t="shared" si="16"/>
        <v>#DIV/0!</v>
      </c>
      <c r="AP29" s="309"/>
      <c r="AQ29" s="313">
        <f t="shared" ref="AQ29:AQ30" si="65">(G29*S29)</f>
        <v>0</v>
      </c>
      <c r="AR29" s="309">
        <v>0</v>
      </c>
      <c r="AS29" s="314">
        <v>0</v>
      </c>
      <c r="AT29" s="309"/>
      <c r="AU29" s="310"/>
      <c r="AV29" s="310"/>
      <c r="AW29" s="309"/>
      <c r="AX29" s="653"/>
      <c r="AY29" s="474"/>
    </row>
    <row r="30" spans="1:52" x14ac:dyDescent="0.2">
      <c r="A30" s="86">
        <f t="shared" si="4"/>
        <v>23</v>
      </c>
      <c r="B30" s="725"/>
      <c r="C30" s="726" t="s">
        <v>5</v>
      </c>
      <c r="D30" s="157"/>
      <c r="E30" s="122">
        <f>'Rates in Detail'!Y26</f>
        <v>1.917E-2</v>
      </c>
      <c r="F30" s="122">
        <f>'Rates in Detail'!Z26</f>
        <v>-2.7E-4</v>
      </c>
      <c r="G30" s="157"/>
      <c r="H30" s="157"/>
      <c r="I30" s="373">
        <f>'Rev Req Proof Yr2'!H30</f>
        <v>0.33839000000000002</v>
      </c>
      <c r="J30" s="774">
        <f t="shared" si="10"/>
        <v>0.35756000000000004</v>
      </c>
      <c r="K30" s="157"/>
      <c r="L30" s="155"/>
      <c r="M30" s="156"/>
      <c r="N30" s="122"/>
      <c r="O30" s="122"/>
      <c r="P30" s="122"/>
      <c r="Q30" s="774"/>
      <c r="R30" s="157"/>
      <c r="S30" s="298">
        <f>'Rev Req Proof Yr1'!R30</f>
        <v>0</v>
      </c>
      <c r="T30" s="299"/>
      <c r="U30" s="300"/>
      <c r="V30" s="301"/>
      <c r="W30" s="157"/>
      <c r="X30" s="313">
        <f t="shared" si="56"/>
        <v>0</v>
      </c>
      <c r="Y30" s="309">
        <f t="shared" si="57"/>
        <v>0</v>
      </c>
      <c r="Z30" s="314">
        <f t="shared" si="58"/>
        <v>0</v>
      </c>
      <c r="AA30" s="309"/>
      <c r="AB30" s="313">
        <f t="shared" si="59"/>
        <v>0</v>
      </c>
      <c r="AC30" s="309">
        <f t="shared" si="60"/>
        <v>0</v>
      </c>
      <c r="AD30" s="314">
        <f t="shared" si="61"/>
        <v>0</v>
      </c>
      <c r="AE30" s="309"/>
      <c r="AF30" s="313">
        <f t="shared" si="62"/>
        <v>0</v>
      </c>
      <c r="AG30" s="309">
        <v>0</v>
      </c>
      <c r="AH30" s="314">
        <v>0</v>
      </c>
      <c r="AI30" s="309"/>
      <c r="AJ30" s="313">
        <f t="shared" si="63"/>
        <v>0</v>
      </c>
      <c r="AK30" s="309">
        <f t="shared" si="64"/>
        <v>0</v>
      </c>
      <c r="AL30" s="314">
        <f t="shared" si="64"/>
        <v>0</v>
      </c>
      <c r="AM30" s="309"/>
      <c r="AN30" s="338"/>
      <c r="AO30" s="340" t="e">
        <f t="shared" si="16"/>
        <v>#DIV/0!</v>
      </c>
      <c r="AP30" s="309"/>
      <c r="AQ30" s="313">
        <f t="shared" si="65"/>
        <v>0</v>
      </c>
      <c r="AR30" s="309">
        <v>0</v>
      </c>
      <c r="AS30" s="314">
        <v>0</v>
      </c>
      <c r="AT30" s="309"/>
      <c r="AU30" s="310"/>
      <c r="AV30" s="310"/>
      <c r="AW30" s="309"/>
      <c r="AX30" s="57"/>
      <c r="AY30" s="652"/>
    </row>
    <row r="31" spans="1:52" x14ac:dyDescent="0.2">
      <c r="A31" s="86">
        <f t="shared" si="4"/>
        <v>24</v>
      </c>
      <c r="B31" s="723"/>
      <c r="C31" s="742" t="s">
        <v>78</v>
      </c>
      <c r="D31" s="153"/>
      <c r="E31" s="123"/>
      <c r="F31" s="123"/>
      <c r="G31" s="153"/>
      <c r="H31" s="153"/>
      <c r="I31" s="368"/>
      <c r="J31" s="773"/>
      <c r="K31" s="157"/>
      <c r="L31" s="155"/>
      <c r="M31" s="156"/>
      <c r="N31" s="122"/>
      <c r="O31" s="122"/>
      <c r="P31" s="122"/>
      <c r="Q31" s="774"/>
      <c r="R31" s="157"/>
      <c r="S31" s="298"/>
      <c r="T31" s="299"/>
      <c r="U31" s="300"/>
      <c r="V31" s="301"/>
      <c r="W31" s="157"/>
      <c r="X31" s="315">
        <f>SUM(X29:X30)</f>
        <v>0</v>
      </c>
      <c r="Y31" s="316">
        <f t="shared" ref="Y31:Z31" si="66">SUM(Y29:Y30)</f>
        <v>0</v>
      </c>
      <c r="Z31" s="317">
        <f t="shared" si="66"/>
        <v>0</v>
      </c>
      <c r="AA31" s="309"/>
      <c r="AB31" s="315">
        <f>SUM(AB29:AB30)</f>
        <v>0</v>
      </c>
      <c r="AC31" s="316">
        <f t="shared" ref="AC31:AD31" si="67">SUM(AC29:AC30)</f>
        <v>0</v>
      </c>
      <c r="AD31" s="317">
        <f t="shared" si="67"/>
        <v>0</v>
      </c>
      <c r="AE31" s="309"/>
      <c r="AF31" s="315">
        <f>SUM(AF29:AF30)</f>
        <v>0</v>
      </c>
      <c r="AG31" s="316">
        <f t="shared" ref="AG31:AH31" si="68">SUM(AG29:AG30)</f>
        <v>0</v>
      </c>
      <c r="AH31" s="317">
        <f t="shared" si="68"/>
        <v>0</v>
      </c>
      <c r="AI31" s="309"/>
      <c r="AJ31" s="315">
        <f>SUM(AJ29:AJ30)</f>
        <v>0</v>
      </c>
      <c r="AK31" s="316">
        <f t="shared" ref="AK31:AL31" si="69">SUM(AK29:AK30)</f>
        <v>0</v>
      </c>
      <c r="AL31" s="317">
        <f t="shared" si="69"/>
        <v>0</v>
      </c>
      <c r="AM31" s="309"/>
      <c r="AN31" s="338" t="e">
        <f>SUM(AJ31:AL31)/SUM(X31:Z31)</f>
        <v>#DIV/0!</v>
      </c>
      <c r="AO31" s="339" t="e">
        <f t="shared" si="16"/>
        <v>#DIV/0!</v>
      </c>
      <c r="AP31" s="309"/>
      <c r="AQ31" s="315">
        <f>SUM(AQ29:AQ30)</f>
        <v>0</v>
      </c>
      <c r="AR31" s="316">
        <f t="shared" ref="AR31:AS31" si="70">SUM(AR29:AR30)</f>
        <v>0</v>
      </c>
      <c r="AS31" s="317">
        <f t="shared" si="70"/>
        <v>0</v>
      </c>
      <c r="AT31" s="309"/>
      <c r="AU31" s="310"/>
      <c r="AV31" s="310"/>
      <c r="AW31" s="309"/>
    </row>
    <row r="32" spans="1:52" x14ac:dyDescent="0.2">
      <c r="A32" s="86">
        <f t="shared" si="4"/>
        <v>25</v>
      </c>
      <c r="B32" s="725" t="str">
        <f>'WA Volumes &amp; Revenues'!B29</f>
        <v>41C Firm Transpt</v>
      </c>
      <c r="C32" s="726" t="s">
        <v>4</v>
      </c>
      <c r="D32" s="157"/>
      <c r="E32" s="122">
        <f>'Rates in Detail'!Y27</f>
        <v>2.9610000000000001E-2</v>
      </c>
      <c r="F32" s="122">
        <f>'Rates in Detail'!Z27</f>
        <v>-4.2000000000000002E-4</v>
      </c>
      <c r="G32" s="157"/>
      <c r="H32" s="157"/>
      <c r="I32" s="373">
        <f>'Rev Req Proof Yr2'!H32</f>
        <v>0.40671000000000002</v>
      </c>
      <c r="J32" s="774">
        <f t="shared" si="10"/>
        <v>0.43632000000000004</v>
      </c>
      <c r="K32" s="157"/>
      <c r="L32" s="155">
        <f>'Rev Req Proof Yr1'!K32</f>
        <v>500</v>
      </c>
      <c r="M32" s="156">
        <f>'Rev Req Proof Yr1'!L32</f>
        <v>500</v>
      </c>
      <c r="N32" s="122">
        <f>'Rev Req Proof Yr1'!M32</f>
        <v>0</v>
      </c>
      <c r="O32" s="122">
        <f>'Rev Req Proof Yr1'!N32</f>
        <v>0</v>
      </c>
      <c r="P32" s="122">
        <f>'Rev Req Proof Yr1'!O32</f>
        <v>0</v>
      </c>
      <c r="Q32" s="774">
        <f>'Rev Req Proof Yr1'!P32</f>
        <v>0</v>
      </c>
      <c r="R32" s="157"/>
      <c r="S32" s="298">
        <f>'Rev Req Proof Yr1'!R32</f>
        <v>168721</v>
      </c>
      <c r="T32" s="299"/>
      <c r="U32" s="300">
        <f>'Rev Req Proof Yr1'!T32</f>
        <v>7.916666666666667</v>
      </c>
      <c r="V32" s="301">
        <f>'Rev Req Proof Yr1'!U32</f>
        <v>4648</v>
      </c>
      <c r="W32" s="157"/>
      <c r="X32" s="313">
        <f t="shared" ref="X32:X33" si="71">(I32*S32)</f>
        <v>68620.51791000001</v>
      </c>
      <c r="Y32" s="309">
        <f t="shared" ref="Y32:Y33" si="72">(L32*U32*12)</f>
        <v>47500</v>
      </c>
      <c r="Z32" s="314">
        <f t="shared" ref="Z32:Z33" si="73">(T32*(N32+P32))*12</f>
        <v>0</v>
      </c>
      <c r="AA32" s="309"/>
      <c r="AB32" s="313">
        <f t="shared" ref="AB32:AB33" si="74">(J32*S32)</f>
        <v>73616.346720000001</v>
      </c>
      <c r="AC32" s="309">
        <f t="shared" ref="AC32:AC33" si="75">(M32*U32*12)</f>
        <v>47500</v>
      </c>
      <c r="AD32" s="314">
        <f t="shared" ref="AD32:AD33" si="76">(T32*(O32+Q32))*12</f>
        <v>0</v>
      </c>
      <c r="AE32" s="309"/>
      <c r="AF32" s="313">
        <f t="shared" ref="AF32:AF33" si="77">(F32*S32)</f>
        <v>-70.862819999999999</v>
      </c>
      <c r="AG32" s="309">
        <v>0</v>
      </c>
      <c r="AH32" s="314">
        <v>0</v>
      </c>
      <c r="AI32" s="309"/>
      <c r="AJ32" s="313">
        <f t="shared" ref="AJ32:AJ33" si="78">AB32-X32+AF32</f>
        <v>4924.9659899999915</v>
      </c>
      <c r="AK32" s="309">
        <f t="shared" ref="AK32:AL33" si="79">AC32-Y32-AG32</f>
        <v>0</v>
      </c>
      <c r="AL32" s="314">
        <f t="shared" si="79"/>
        <v>0</v>
      </c>
      <c r="AM32" s="309"/>
      <c r="AN32" s="338"/>
      <c r="AO32" s="340">
        <f t="shared" ref="AO32:AO34" si="80">SUM(AJ32)/SUM(X32)</f>
        <v>7.1771040790735277E-2</v>
      </c>
      <c r="AP32" s="309"/>
      <c r="AQ32" s="313">
        <f t="shared" ref="AQ32:AQ33" si="81">(G32*S32)</f>
        <v>0</v>
      </c>
      <c r="AR32" s="309">
        <v>0</v>
      </c>
      <c r="AS32" s="314">
        <v>0</v>
      </c>
      <c r="AT32" s="309"/>
      <c r="AU32" s="310"/>
      <c r="AV32" s="310"/>
      <c r="AW32" s="309"/>
      <c r="AX32" s="653"/>
      <c r="AY32" s="474"/>
    </row>
    <row r="33" spans="1:51" x14ac:dyDescent="0.2">
      <c r="A33" s="86">
        <f t="shared" si="4"/>
        <v>26</v>
      </c>
      <c r="B33" s="725"/>
      <c r="C33" s="726" t="s">
        <v>5</v>
      </c>
      <c r="D33" s="157"/>
      <c r="E33" s="122">
        <f>'Rates in Detail'!Y28</f>
        <v>2.6089999999999999E-2</v>
      </c>
      <c r="F33" s="122">
        <f>'Rates in Detail'!Z28</f>
        <v>-3.6999999999999999E-4</v>
      </c>
      <c r="G33" s="157"/>
      <c r="H33" s="157"/>
      <c r="I33" s="373">
        <f>'Rev Req Proof Yr2'!H33</f>
        <v>0.35833999999999999</v>
      </c>
      <c r="J33" s="774">
        <f t="shared" si="10"/>
        <v>0.38442999999999999</v>
      </c>
      <c r="K33" s="157"/>
      <c r="L33" s="155"/>
      <c r="M33" s="156"/>
      <c r="N33" s="122"/>
      <c r="O33" s="122"/>
      <c r="P33" s="122"/>
      <c r="Q33" s="774"/>
      <c r="R33" s="157"/>
      <c r="S33" s="298">
        <f>'Rev Req Proof Yr1'!R33</f>
        <v>272866</v>
      </c>
      <c r="T33" s="299"/>
      <c r="U33" s="300"/>
      <c r="V33" s="301"/>
      <c r="W33" s="157"/>
      <c r="X33" s="313">
        <f t="shared" si="71"/>
        <v>97778.802439999999</v>
      </c>
      <c r="Y33" s="309">
        <f t="shared" si="72"/>
        <v>0</v>
      </c>
      <c r="Z33" s="314">
        <f t="shared" si="73"/>
        <v>0</v>
      </c>
      <c r="AA33" s="309"/>
      <c r="AB33" s="313">
        <f t="shared" si="74"/>
        <v>104897.87638</v>
      </c>
      <c r="AC33" s="309">
        <f t="shared" si="75"/>
        <v>0</v>
      </c>
      <c r="AD33" s="314">
        <f t="shared" si="76"/>
        <v>0</v>
      </c>
      <c r="AE33" s="309"/>
      <c r="AF33" s="313">
        <f t="shared" si="77"/>
        <v>-100.96042</v>
      </c>
      <c r="AG33" s="309">
        <v>0</v>
      </c>
      <c r="AH33" s="314">
        <v>0</v>
      </c>
      <c r="AI33" s="309"/>
      <c r="AJ33" s="313">
        <f t="shared" si="78"/>
        <v>7018.1135200000017</v>
      </c>
      <c r="AK33" s="309">
        <f t="shared" si="79"/>
        <v>0</v>
      </c>
      <c r="AL33" s="314">
        <f t="shared" si="79"/>
        <v>0</v>
      </c>
      <c r="AM33" s="309"/>
      <c r="AN33" s="338"/>
      <c r="AO33" s="340">
        <f t="shared" si="80"/>
        <v>7.1775408829603191E-2</v>
      </c>
      <c r="AP33" s="309"/>
      <c r="AQ33" s="313">
        <f t="shared" si="81"/>
        <v>0</v>
      </c>
      <c r="AR33" s="309">
        <v>0</v>
      </c>
      <c r="AS33" s="314">
        <v>0</v>
      </c>
      <c r="AT33" s="309"/>
      <c r="AU33" s="310"/>
      <c r="AV33" s="310"/>
      <c r="AW33" s="309"/>
      <c r="AX33" s="57"/>
      <c r="AY33" s="652"/>
    </row>
    <row r="34" spans="1:51" x14ac:dyDescent="0.2">
      <c r="A34" s="86">
        <f t="shared" si="4"/>
        <v>27</v>
      </c>
      <c r="B34" s="723"/>
      <c r="C34" s="742" t="s">
        <v>78</v>
      </c>
      <c r="D34" s="153"/>
      <c r="E34" s="123"/>
      <c r="F34" s="123"/>
      <c r="G34" s="153"/>
      <c r="H34" s="153"/>
      <c r="I34" s="368"/>
      <c r="J34" s="773"/>
      <c r="K34" s="157"/>
      <c r="L34" s="155"/>
      <c r="M34" s="156"/>
      <c r="N34" s="122"/>
      <c r="O34" s="122"/>
      <c r="P34" s="122"/>
      <c r="Q34" s="774"/>
      <c r="R34" s="157"/>
      <c r="S34" s="298"/>
      <c r="T34" s="299"/>
      <c r="U34" s="300"/>
      <c r="V34" s="301"/>
      <c r="W34" s="157"/>
      <c r="X34" s="315">
        <f>SUM(X32:X33)</f>
        <v>166399.32034999999</v>
      </c>
      <c r="Y34" s="316">
        <f t="shared" ref="Y34:Z34" si="82">SUM(Y32:Y33)</f>
        <v>47500</v>
      </c>
      <c r="Z34" s="317">
        <f t="shared" si="82"/>
        <v>0</v>
      </c>
      <c r="AA34" s="309"/>
      <c r="AB34" s="315">
        <f>SUM(AB32:AB33)</f>
        <v>178514.2231</v>
      </c>
      <c r="AC34" s="316">
        <f t="shared" ref="AC34:AD34" si="83">SUM(AC32:AC33)</f>
        <v>47500</v>
      </c>
      <c r="AD34" s="317">
        <f t="shared" si="83"/>
        <v>0</v>
      </c>
      <c r="AE34" s="309"/>
      <c r="AF34" s="315">
        <f>SUM(AF32:AF33)</f>
        <v>-171.82324</v>
      </c>
      <c r="AG34" s="316">
        <f t="shared" ref="AG34:AH34" si="84">SUM(AG32:AG33)</f>
        <v>0</v>
      </c>
      <c r="AH34" s="317">
        <f t="shared" si="84"/>
        <v>0</v>
      </c>
      <c r="AI34" s="309"/>
      <c r="AJ34" s="315">
        <f>SUM(AJ32:AJ33)</f>
        <v>11943.079509999992</v>
      </c>
      <c r="AK34" s="316">
        <f t="shared" ref="AK34:AL34" si="85">SUM(AK32:AK33)</f>
        <v>0</v>
      </c>
      <c r="AL34" s="317">
        <f t="shared" si="85"/>
        <v>0</v>
      </c>
      <c r="AM34" s="309"/>
      <c r="AN34" s="338">
        <f>SUM(AJ34:AL34)/SUM(X34:Z34)</f>
        <v>5.5835051230914264E-2</v>
      </c>
      <c r="AO34" s="339">
        <f t="shared" si="80"/>
        <v>7.1773607517622254E-2</v>
      </c>
      <c r="AP34" s="309"/>
      <c r="AQ34" s="315">
        <f>SUM(AQ32:AQ33)</f>
        <v>0</v>
      </c>
      <c r="AR34" s="316">
        <f t="shared" ref="AR34:AS34" si="86">SUM(AR32:AR33)</f>
        <v>0</v>
      </c>
      <c r="AS34" s="317">
        <f t="shared" si="86"/>
        <v>0</v>
      </c>
      <c r="AT34" s="309"/>
      <c r="AU34" s="310"/>
      <c r="AV34" s="310"/>
      <c r="AW34" s="309"/>
    </row>
    <row r="35" spans="1:51" x14ac:dyDescent="0.2">
      <c r="A35" s="86">
        <f t="shared" si="4"/>
        <v>28</v>
      </c>
      <c r="B35" s="725" t="str">
        <f>'WA Volumes &amp; Revenues'!B31</f>
        <v>41I Firm Transpt</v>
      </c>
      <c r="C35" s="726" t="s">
        <v>4</v>
      </c>
      <c r="D35" s="157"/>
      <c r="E35" s="122">
        <f>'Rates in Detail'!Y29</f>
        <v>2.2020000000000001E-2</v>
      </c>
      <c r="F35" s="122">
        <f>'Rates in Detail'!Z29</f>
        <v>-3.1E-4</v>
      </c>
      <c r="G35" s="157"/>
      <c r="H35" s="157"/>
      <c r="I35" s="373">
        <f>'Rev Req Proof Yr2'!H35</f>
        <v>0.38873999999999997</v>
      </c>
      <c r="J35" s="774">
        <f t="shared" si="10"/>
        <v>0.41075999999999996</v>
      </c>
      <c r="K35" s="157"/>
      <c r="L35" s="155">
        <f>'Rev Req Proof Yr1'!K35</f>
        <v>500</v>
      </c>
      <c r="M35" s="156">
        <f>'Rev Req Proof Yr1'!L35</f>
        <v>500</v>
      </c>
      <c r="N35" s="122">
        <f>'Rev Req Proof Yr1'!M35</f>
        <v>0</v>
      </c>
      <c r="O35" s="122">
        <f>'Rev Req Proof Yr1'!N35</f>
        <v>0</v>
      </c>
      <c r="P35" s="122">
        <f>'Rev Req Proof Yr1'!O35</f>
        <v>0</v>
      </c>
      <c r="Q35" s="774">
        <f>'Rev Req Proof Yr1'!P35</f>
        <v>0</v>
      </c>
      <c r="R35" s="157"/>
      <c r="S35" s="298">
        <f>'Rev Req Proof Yr1'!R35</f>
        <v>0</v>
      </c>
      <c r="T35" s="299"/>
      <c r="U35" s="300">
        <f>'Rev Req Proof Yr1'!T35</f>
        <v>0</v>
      </c>
      <c r="V35" s="301">
        <f>'Rev Req Proof Yr1'!U35</f>
        <v>0</v>
      </c>
      <c r="W35" s="157"/>
      <c r="X35" s="313">
        <f t="shared" ref="X35:X36" si="87">(I35*S35)</f>
        <v>0</v>
      </c>
      <c r="Y35" s="309">
        <f t="shared" ref="Y35:Y36" si="88">(L35*U35*12)</f>
        <v>0</v>
      </c>
      <c r="Z35" s="314">
        <f t="shared" ref="Z35:Z36" si="89">(T35*(N35+P35))*12</f>
        <v>0</v>
      </c>
      <c r="AA35" s="309"/>
      <c r="AB35" s="313">
        <f t="shared" ref="AB35:AB36" si="90">(J35*S35)</f>
        <v>0</v>
      </c>
      <c r="AC35" s="309">
        <f t="shared" ref="AC35:AC36" si="91">(M35*U35*12)</f>
        <v>0</v>
      </c>
      <c r="AD35" s="314">
        <f t="shared" ref="AD35:AD36" si="92">(T35*(O35+Q35))*12</f>
        <v>0</v>
      </c>
      <c r="AE35" s="309"/>
      <c r="AF35" s="313">
        <f t="shared" ref="AF35:AF36" si="93">(F35*S35)</f>
        <v>0</v>
      </c>
      <c r="AG35" s="309">
        <v>0</v>
      </c>
      <c r="AH35" s="314">
        <v>0</v>
      </c>
      <c r="AI35" s="309"/>
      <c r="AJ35" s="313">
        <f t="shared" ref="AJ35:AJ36" si="94">AB35-X35+AF35</f>
        <v>0</v>
      </c>
      <c r="AK35" s="309">
        <f t="shared" ref="AK35:AL36" si="95">AC35-Y35-AG35</f>
        <v>0</v>
      </c>
      <c r="AL35" s="314">
        <f t="shared" si="95"/>
        <v>0</v>
      </c>
      <c r="AM35" s="309"/>
      <c r="AN35" s="338"/>
      <c r="AO35" s="340" t="e">
        <f t="shared" si="16"/>
        <v>#DIV/0!</v>
      </c>
      <c r="AP35" s="309"/>
      <c r="AQ35" s="313">
        <f t="shared" ref="AQ35:AQ36" si="96">(G35*S35)</f>
        <v>0</v>
      </c>
      <c r="AR35" s="309">
        <v>0</v>
      </c>
      <c r="AS35" s="314">
        <v>0</v>
      </c>
      <c r="AT35" s="309"/>
      <c r="AU35" s="310"/>
      <c r="AV35" s="310"/>
      <c r="AW35" s="309"/>
    </row>
    <row r="36" spans="1:51" x14ac:dyDescent="0.2">
      <c r="A36" s="86">
        <f t="shared" si="4"/>
        <v>29</v>
      </c>
      <c r="B36" s="725"/>
      <c r="C36" s="726" t="s">
        <v>5</v>
      </c>
      <c r="D36" s="157"/>
      <c r="E36" s="122">
        <f>'Rates in Detail'!Y30</f>
        <v>1.9400000000000001E-2</v>
      </c>
      <c r="F36" s="122">
        <f>'Rates in Detail'!Z30</f>
        <v>-2.7999999999999998E-4</v>
      </c>
      <c r="G36" s="157"/>
      <c r="H36" s="157"/>
      <c r="I36" s="373">
        <f>'Rev Req Proof Yr2'!H36</f>
        <v>0.34250999999999998</v>
      </c>
      <c r="J36" s="774">
        <f t="shared" si="10"/>
        <v>0.36190999999999995</v>
      </c>
      <c r="K36" s="157"/>
      <c r="L36" s="273"/>
      <c r="M36" s="55"/>
      <c r="N36" s="122"/>
      <c r="O36" s="122"/>
      <c r="P36" s="122"/>
      <c r="Q36" s="774"/>
      <c r="R36" s="157"/>
      <c r="S36" s="298">
        <f>'Rev Req Proof Yr1'!R36</f>
        <v>0</v>
      </c>
      <c r="T36" s="299"/>
      <c r="U36" s="300"/>
      <c r="V36" s="301"/>
      <c r="W36" s="157"/>
      <c r="X36" s="313">
        <f t="shared" si="87"/>
        <v>0</v>
      </c>
      <c r="Y36" s="309">
        <f t="shared" si="88"/>
        <v>0</v>
      </c>
      <c r="Z36" s="314">
        <f t="shared" si="89"/>
        <v>0</v>
      </c>
      <c r="AA36" s="309"/>
      <c r="AB36" s="313">
        <f t="shared" si="90"/>
        <v>0</v>
      </c>
      <c r="AC36" s="309">
        <f t="shared" si="91"/>
        <v>0</v>
      </c>
      <c r="AD36" s="314">
        <f t="shared" si="92"/>
        <v>0</v>
      </c>
      <c r="AE36" s="309"/>
      <c r="AF36" s="313">
        <f t="shared" si="93"/>
        <v>0</v>
      </c>
      <c r="AG36" s="309">
        <v>0</v>
      </c>
      <c r="AH36" s="314">
        <v>0</v>
      </c>
      <c r="AI36" s="309"/>
      <c r="AJ36" s="313">
        <f t="shared" si="94"/>
        <v>0</v>
      </c>
      <c r="AK36" s="309">
        <f t="shared" si="95"/>
        <v>0</v>
      </c>
      <c r="AL36" s="314">
        <f t="shared" si="95"/>
        <v>0</v>
      </c>
      <c r="AM36" s="309"/>
      <c r="AN36" s="338"/>
      <c r="AO36" s="340" t="e">
        <f t="shared" si="16"/>
        <v>#DIV/0!</v>
      </c>
      <c r="AP36" s="309"/>
      <c r="AQ36" s="313">
        <f t="shared" si="96"/>
        <v>0</v>
      </c>
      <c r="AR36" s="309">
        <v>0</v>
      </c>
      <c r="AS36" s="314">
        <v>0</v>
      </c>
      <c r="AT36" s="309"/>
      <c r="AU36" s="310"/>
      <c r="AV36" s="310"/>
      <c r="AW36" s="309"/>
    </row>
    <row r="37" spans="1:51" x14ac:dyDescent="0.2">
      <c r="A37" s="86">
        <f t="shared" si="4"/>
        <v>30</v>
      </c>
      <c r="B37" s="723"/>
      <c r="C37" s="742" t="s">
        <v>78</v>
      </c>
      <c r="D37" s="153"/>
      <c r="E37" s="123"/>
      <c r="F37" s="123"/>
      <c r="G37" s="153"/>
      <c r="H37" s="153"/>
      <c r="I37" s="368"/>
      <c r="J37" s="773"/>
      <c r="K37" s="157"/>
      <c r="L37" s="273"/>
      <c r="M37" s="55"/>
      <c r="N37" s="122"/>
      <c r="O37" s="122"/>
      <c r="P37" s="122"/>
      <c r="Q37" s="774"/>
      <c r="R37" s="157"/>
      <c r="S37" s="298"/>
      <c r="T37" s="299"/>
      <c r="U37" s="300"/>
      <c r="V37" s="301"/>
      <c r="W37" s="157"/>
      <c r="X37" s="315">
        <f>SUM(X35:X36)</f>
        <v>0</v>
      </c>
      <c r="Y37" s="316">
        <f t="shared" ref="Y37:Z37" si="97">SUM(Y35:Y36)</f>
        <v>0</v>
      </c>
      <c r="Z37" s="317">
        <f t="shared" si="97"/>
        <v>0</v>
      </c>
      <c r="AA37" s="309"/>
      <c r="AB37" s="315">
        <f>SUM(AB35:AB36)</f>
        <v>0</v>
      </c>
      <c r="AC37" s="316">
        <f t="shared" ref="AC37:AD37" si="98">SUM(AC35:AC36)</f>
        <v>0</v>
      </c>
      <c r="AD37" s="317">
        <f t="shared" si="98"/>
        <v>0</v>
      </c>
      <c r="AE37" s="309"/>
      <c r="AF37" s="315">
        <f>SUM(AF35:AF36)</f>
        <v>0</v>
      </c>
      <c r="AG37" s="316">
        <f t="shared" ref="AG37:AH37" si="99">SUM(AG35:AG36)</f>
        <v>0</v>
      </c>
      <c r="AH37" s="317">
        <f t="shared" si="99"/>
        <v>0</v>
      </c>
      <c r="AI37" s="309"/>
      <c r="AJ37" s="315">
        <f>SUM(AJ35:AJ36)</f>
        <v>0</v>
      </c>
      <c r="AK37" s="316">
        <f t="shared" ref="AK37:AL37" si="100">SUM(AK35:AK36)</f>
        <v>0</v>
      </c>
      <c r="AL37" s="317">
        <f t="shared" si="100"/>
        <v>0</v>
      </c>
      <c r="AM37" s="309"/>
      <c r="AN37" s="338" t="e">
        <f>SUM(AJ37:AL37)/SUM(X37:Z37)</f>
        <v>#DIV/0!</v>
      </c>
      <c r="AO37" s="339" t="e">
        <f t="shared" si="16"/>
        <v>#DIV/0!</v>
      </c>
      <c r="AP37" s="309"/>
      <c r="AQ37" s="315">
        <f>SUM(AQ35:AQ36)</f>
        <v>0</v>
      </c>
      <c r="AR37" s="316">
        <f t="shared" ref="AR37:AS37" si="101">SUM(AR35:AR36)</f>
        <v>0</v>
      </c>
      <c r="AS37" s="317">
        <f t="shared" si="101"/>
        <v>0</v>
      </c>
      <c r="AT37" s="309"/>
      <c r="AU37" s="310"/>
      <c r="AV37" s="310"/>
      <c r="AW37" s="309"/>
    </row>
    <row r="38" spans="1:51" x14ac:dyDescent="0.2">
      <c r="A38" s="86">
        <f t="shared" si="4"/>
        <v>31</v>
      </c>
      <c r="B38" s="725" t="str">
        <f>'WA Volumes &amp; Revenues'!B33</f>
        <v>42C Firm Sales</v>
      </c>
      <c r="C38" s="726" t="s">
        <v>4</v>
      </c>
      <c r="D38" s="157"/>
      <c r="E38" s="122">
        <f>'Rates in Detail'!Y31</f>
        <v>2.1080000000000002E-2</v>
      </c>
      <c r="F38" s="122">
        <f>'Rates in Detail'!Z31</f>
        <v>-2.9999999999999997E-4</v>
      </c>
      <c r="G38" s="157"/>
      <c r="H38" s="157"/>
      <c r="I38" s="373">
        <f>'Rev Req Proof Yr2'!H38</f>
        <v>0.19431999999999999</v>
      </c>
      <c r="J38" s="774">
        <f t="shared" si="10"/>
        <v>0.21539999999999998</v>
      </c>
      <c r="K38" s="157"/>
      <c r="L38" s="155">
        <f>'Rev Req Proof Yr1'!K38</f>
        <v>1300</v>
      </c>
      <c r="M38" s="156">
        <f>'Rev Req Proof Yr1'!L38</f>
        <v>1300</v>
      </c>
      <c r="N38" s="122">
        <f>'Rev Req Proof Yr1'!M38</f>
        <v>0.15748000000000001</v>
      </c>
      <c r="O38" s="122">
        <f>'Rev Req Proof Yr1'!N38</f>
        <v>0.15748000000000001</v>
      </c>
      <c r="P38" s="122">
        <f>'Rev Req Proof Yr1'!O38</f>
        <v>0.20415</v>
      </c>
      <c r="Q38" s="774">
        <f>'Rev Req Proof Yr1'!P38</f>
        <v>0.20415</v>
      </c>
      <c r="R38" s="157"/>
      <c r="S38" s="298">
        <f>'Rev Req Proof Yr1'!R38</f>
        <v>350769.66174469434</v>
      </c>
      <c r="T38" s="299">
        <f>'Rev Req Proof Yr1'!S38</f>
        <v>6761</v>
      </c>
      <c r="U38" s="300">
        <f>'Rev Req Proof Yr1'!T38</f>
        <v>5</v>
      </c>
      <c r="V38" s="301">
        <f>'Rev Req Proof Yr1'!U38</f>
        <v>11949</v>
      </c>
      <c r="W38" s="157"/>
      <c r="X38" s="313">
        <f t="shared" ref="X38:X43" si="102">(I38*S38)</f>
        <v>68161.560670228995</v>
      </c>
      <c r="Y38" s="309">
        <f t="shared" ref="Y38:Y43" si="103">(L38*U38*12)</f>
        <v>78000</v>
      </c>
      <c r="Z38" s="314">
        <f t="shared" ref="Z38:Z43" si="104">(T38*(N38+P38))*12</f>
        <v>29339.765160000003</v>
      </c>
      <c r="AA38" s="309"/>
      <c r="AB38" s="313">
        <f t="shared" ref="AB38:AB43" si="105">(J38*S38)</f>
        <v>75555.785139807151</v>
      </c>
      <c r="AC38" s="309">
        <f t="shared" ref="AC38:AC43" si="106">(M38*U38*12)</f>
        <v>78000</v>
      </c>
      <c r="AD38" s="314">
        <f t="shared" ref="AD38:AD43" si="107">(T38*(O38+Q38))*12</f>
        <v>29339.765160000003</v>
      </c>
      <c r="AE38" s="309"/>
      <c r="AF38" s="313">
        <f t="shared" ref="AF38:AF43" si="108">(F38*S38)</f>
        <v>-105.2308985234083</v>
      </c>
      <c r="AG38" s="309">
        <v>0</v>
      </c>
      <c r="AH38" s="314">
        <v>0</v>
      </c>
      <c r="AI38" s="309"/>
      <c r="AJ38" s="313">
        <f t="shared" ref="AJ38:AJ43" si="109">AB38-X38+AF38</f>
        <v>7288.993571054747</v>
      </c>
      <c r="AK38" s="309">
        <f t="shared" ref="AK38:AL43" si="110">AC38-Y38-AG38</f>
        <v>0</v>
      </c>
      <c r="AL38" s="314">
        <f t="shared" si="110"/>
        <v>0</v>
      </c>
      <c r="AM38" s="309"/>
      <c r="AN38" s="338"/>
      <c r="AO38" s="340">
        <f t="shared" si="16"/>
        <v>0.10693701111568546</v>
      </c>
      <c r="AP38" s="309"/>
      <c r="AQ38" s="313">
        <f t="shared" ref="AQ38:AQ43" si="111">(G38*S38)</f>
        <v>0</v>
      </c>
      <c r="AR38" s="309">
        <v>0</v>
      </c>
      <c r="AS38" s="314">
        <v>0</v>
      </c>
      <c r="AT38" s="309"/>
      <c r="AU38" s="310"/>
      <c r="AV38" s="310"/>
      <c r="AW38" s="309"/>
    </row>
    <row r="39" spans="1:51" x14ac:dyDescent="0.2">
      <c r="A39" s="86">
        <f t="shared" si="4"/>
        <v>32</v>
      </c>
      <c r="B39" s="725"/>
      <c r="C39" s="726" t="s">
        <v>5</v>
      </c>
      <c r="D39" s="157"/>
      <c r="E39" s="122">
        <f>'Rates in Detail'!Y32</f>
        <v>1.8859999999999998E-2</v>
      </c>
      <c r="F39" s="122">
        <f>'Rates in Detail'!Z32</f>
        <v>-2.7E-4</v>
      </c>
      <c r="G39" s="157"/>
      <c r="H39" s="157"/>
      <c r="I39" s="373">
        <f>'Rev Req Proof Yr2'!H39</f>
        <v>0.17393</v>
      </c>
      <c r="J39" s="774">
        <f t="shared" si="10"/>
        <v>0.19278999999999999</v>
      </c>
      <c r="K39" s="157"/>
      <c r="L39" s="155"/>
      <c r="M39" s="156"/>
      <c r="N39" s="122"/>
      <c r="O39" s="122"/>
      <c r="P39" s="122"/>
      <c r="Q39" s="774"/>
      <c r="R39" s="157"/>
      <c r="S39" s="298">
        <f>'Rev Req Proof Yr1'!R39</f>
        <v>303088.75426472601</v>
      </c>
      <c r="T39" s="299"/>
      <c r="U39" s="300"/>
      <c r="V39" s="301"/>
      <c r="W39" s="157"/>
      <c r="X39" s="313">
        <f t="shared" si="102"/>
        <v>52716.227029263799</v>
      </c>
      <c r="Y39" s="309">
        <f t="shared" si="103"/>
        <v>0</v>
      </c>
      <c r="Z39" s="314">
        <f t="shared" si="104"/>
        <v>0</v>
      </c>
      <c r="AA39" s="309"/>
      <c r="AB39" s="313">
        <f t="shared" si="105"/>
        <v>58432.480934696527</v>
      </c>
      <c r="AC39" s="309">
        <f t="shared" si="106"/>
        <v>0</v>
      </c>
      <c r="AD39" s="314">
        <f t="shared" si="107"/>
        <v>0</v>
      </c>
      <c r="AE39" s="309"/>
      <c r="AF39" s="313">
        <f t="shared" si="108"/>
        <v>-81.833963651476026</v>
      </c>
      <c r="AG39" s="309">
        <v>0</v>
      </c>
      <c r="AH39" s="314">
        <v>0</v>
      </c>
      <c r="AI39" s="309"/>
      <c r="AJ39" s="313">
        <f t="shared" si="109"/>
        <v>5634.4199417812524</v>
      </c>
      <c r="AK39" s="309">
        <f t="shared" si="110"/>
        <v>0</v>
      </c>
      <c r="AL39" s="314">
        <f t="shared" si="110"/>
        <v>0</v>
      </c>
      <c r="AM39" s="309"/>
      <c r="AN39" s="338"/>
      <c r="AO39" s="340">
        <f t="shared" si="16"/>
        <v>0.10688207899729768</v>
      </c>
      <c r="AP39" s="309"/>
      <c r="AQ39" s="313">
        <f t="shared" si="111"/>
        <v>0</v>
      </c>
      <c r="AR39" s="309">
        <v>0</v>
      </c>
      <c r="AS39" s="314">
        <v>0</v>
      </c>
      <c r="AT39" s="309"/>
      <c r="AU39" s="310"/>
      <c r="AV39" s="310"/>
      <c r="AW39" s="309"/>
    </row>
    <row r="40" spans="1:51" x14ac:dyDescent="0.2">
      <c r="A40" s="86">
        <f t="shared" si="4"/>
        <v>33</v>
      </c>
      <c r="B40" s="725"/>
      <c r="C40" s="726" t="s">
        <v>6</v>
      </c>
      <c r="D40" s="157"/>
      <c r="E40" s="122">
        <f>'Rates in Detail'!Y33</f>
        <v>1.447E-2</v>
      </c>
      <c r="F40" s="122">
        <f>'Rates in Detail'!Z33</f>
        <v>-2.0000000000000001E-4</v>
      </c>
      <c r="G40" s="157"/>
      <c r="H40" s="157"/>
      <c r="I40" s="373">
        <f>'Rev Req Proof Yr2'!H40</f>
        <v>0.13341</v>
      </c>
      <c r="J40" s="774">
        <f t="shared" si="10"/>
        <v>0.14788000000000001</v>
      </c>
      <c r="K40" s="157"/>
      <c r="L40" s="273"/>
      <c r="M40" s="55"/>
      <c r="N40" s="122"/>
      <c r="O40" s="122"/>
      <c r="P40" s="122"/>
      <c r="Q40" s="774"/>
      <c r="R40" s="157"/>
      <c r="S40" s="298">
        <f>'Rev Req Proof Yr1'!R40</f>
        <v>59441.942130257296</v>
      </c>
      <c r="T40" s="299"/>
      <c r="U40" s="300"/>
      <c r="V40" s="301"/>
      <c r="W40" s="157"/>
      <c r="X40" s="313">
        <f t="shared" si="102"/>
        <v>7930.1494995976254</v>
      </c>
      <c r="Y40" s="309">
        <f t="shared" si="103"/>
        <v>0</v>
      </c>
      <c r="Z40" s="314">
        <f t="shared" si="104"/>
        <v>0</v>
      </c>
      <c r="AA40" s="309"/>
      <c r="AB40" s="313">
        <f t="shared" si="105"/>
        <v>8790.2744022224488</v>
      </c>
      <c r="AC40" s="309">
        <f t="shared" si="106"/>
        <v>0</v>
      </c>
      <c r="AD40" s="314">
        <f t="shared" si="107"/>
        <v>0</v>
      </c>
      <c r="AE40" s="309"/>
      <c r="AF40" s="313">
        <f t="shared" si="108"/>
        <v>-11.88838842605146</v>
      </c>
      <c r="AG40" s="309">
        <v>0</v>
      </c>
      <c r="AH40" s="314">
        <v>0</v>
      </c>
      <c r="AI40" s="309"/>
      <c r="AJ40" s="313">
        <f t="shared" si="109"/>
        <v>848.23651419877183</v>
      </c>
      <c r="AK40" s="309">
        <f t="shared" si="110"/>
        <v>0</v>
      </c>
      <c r="AL40" s="314">
        <f t="shared" si="110"/>
        <v>0</v>
      </c>
      <c r="AM40" s="309"/>
      <c r="AN40" s="338"/>
      <c r="AO40" s="340">
        <f t="shared" si="16"/>
        <v>0.1069634959898059</v>
      </c>
      <c r="AP40" s="309"/>
      <c r="AQ40" s="313">
        <f t="shared" si="111"/>
        <v>0</v>
      </c>
      <c r="AR40" s="309">
        <v>0</v>
      </c>
      <c r="AS40" s="314">
        <v>0</v>
      </c>
      <c r="AT40" s="309"/>
      <c r="AU40" s="310"/>
      <c r="AV40" s="310"/>
      <c r="AW40" s="309"/>
    </row>
    <row r="41" spans="1:51" x14ac:dyDescent="0.2">
      <c r="A41" s="86">
        <f t="shared" si="4"/>
        <v>34</v>
      </c>
      <c r="B41" s="725"/>
      <c r="C41" s="726" t="s">
        <v>7</v>
      </c>
      <c r="D41" s="157"/>
      <c r="E41" s="122">
        <f>'Rates in Detail'!Y34</f>
        <v>1.157E-2</v>
      </c>
      <c r="F41" s="122">
        <f>'Rates in Detail'!Z34</f>
        <v>-1.6000000000000001E-4</v>
      </c>
      <c r="G41" s="157"/>
      <c r="H41" s="157"/>
      <c r="I41" s="373">
        <f>'Rev Req Proof Yr2'!H41</f>
        <v>0.10671</v>
      </c>
      <c r="J41" s="774">
        <f t="shared" si="10"/>
        <v>0.11828</v>
      </c>
      <c r="K41" s="157"/>
      <c r="L41" s="155"/>
      <c r="M41" s="156"/>
      <c r="N41" s="122"/>
      <c r="O41" s="122"/>
      <c r="P41" s="122"/>
      <c r="Q41" s="774"/>
      <c r="R41" s="157"/>
      <c r="S41" s="298">
        <f>'Rev Req Proof Yr1'!R41</f>
        <v>3614.6071898605187</v>
      </c>
      <c r="T41" s="299"/>
      <c r="U41" s="300"/>
      <c r="V41" s="301"/>
      <c r="W41" s="157"/>
      <c r="X41" s="313">
        <f t="shared" si="102"/>
        <v>385.71473323001595</v>
      </c>
      <c r="Y41" s="309">
        <f t="shared" si="103"/>
        <v>0</v>
      </c>
      <c r="Z41" s="314">
        <f t="shared" si="104"/>
        <v>0</v>
      </c>
      <c r="AA41" s="309"/>
      <c r="AB41" s="313">
        <f t="shared" si="105"/>
        <v>427.53573841670215</v>
      </c>
      <c r="AC41" s="309">
        <f t="shared" si="106"/>
        <v>0</v>
      </c>
      <c r="AD41" s="314">
        <f t="shared" si="107"/>
        <v>0</v>
      </c>
      <c r="AE41" s="309"/>
      <c r="AF41" s="313">
        <f t="shared" si="108"/>
        <v>-0.57833715037768307</v>
      </c>
      <c r="AG41" s="309">
        <v>0</v>
      </c>
      <c r="AH41" s="314">
        <v>0</v>
      </c>
      <c r="AI41" s="309"/>
      <c r="AJ41" s="313">
        <f t="shared" si="109"/>
        <v>41.242668036308508</v>
      </c>
      <c r="AK41" s="309">
        <f t="shared" si="110"/>
        <v>0</v>
      </c>
      <c r="AL41" s="314">
        <f t="shared" si="110"/>
        <v>0</v>
      </c>
      <c r="AM41" s="309"/>
      <c r="AN41" s="338"/>
      <c r="AO41" s="340">
        <f t="shared" si="16"/>
        <v>0.10692531159216566</v>
      </c>
      <c r="AP41" s="309"/>
      <c r="AQ41" s="313">
        <f t="shared" si="111"/>
        <v>0</v>
      </c>
      <c r="AR41" s="309">
        <v>0</v>
      </c>
      <c r="AS41" s="314">
        <v>0</v>
      </c>
      <c r="AT41" s="309"/>
      <c r="AU41" s="310"/>
      <c r="AV41" s="310"/>
      <c r="AW41" s="309"/>
    </row>
    <row r="42" spans="1:51" x14ac:dyDescent="0.2">
      <c r="A42" s="86">
        <f t="shared" si="4"/>
        <v>35</v>
      </c>
      <c r="B42" s="725"/>
      <c r="C42" s="726" t="s">
        <v>8</v>
      </c>
      <c r="D42" s="157"/>
      <c r="E42" s="122">
        <f>'Rates in Detail'!Y35</f>
        <v>7.7099999999999998E-3</v>
      </c>
      <c r="F42" s="122">
        <f>'Rates in Detail'!Z35</f>
        <v>-1.1E-4</v>
      </c>
      <c r="G42" s="157"/>
      <c r="H42" s="157"/>
      <c r="I42" s="373">
        <f>'Rev Req Proof Yr2'!H42</f>
        <v>7.1129999999999999E-2</v>
      </c>
      <c r="J42" s="774">
        <f t="shared" si="10"/>
        <v>7.8839999999999993E-2</v>
      </c>
      <c r="K42" s="157"/>
      <c r="L42" s="155"/>
      <c r="M42" s="156"/>
      <c r="N42" s="122"/>
      <c r="O42" s="122"/>
      <c r="P42" s="122"/>
      <c r="Q42" s="774"/>
      <c r="R42" s="157"/>
      <c r="S42" s="298">
        <f>'Rev Req Proof Yr1'!R42</f>
        <v>0</v>
      </c>
      <c r="T42" s="299"/>
      <c r="U42" s="300"/>
      <c r="V42" s="301"/>
      <c r="W42" s="157"/>
      <c r="X42" s="313">
        <f t="shared" si="102"/>
        <v>0</v>
      </c>
      <c r="Y42" s="309">
        <f t="shared" si="103"/>
        <v>0</v>
      </c>
      <c r="Z42" s="314">
        <f t="shared" si="104"/>
        <v>0</v>
      </c>
      <c r="AA42" s="309"/>
      <c r="AB42" s="313">
        <f t="shared" si="105"/>
        <v>0</v>
      </c>
      <c r="AC42" s="309">
        <f t="shared" si="106"/>
        <v>0</v>
      </c>
      <c r="AD42" s="314">
        <f t="shared" si="107"/>
        <v>0</v>
      </c>
      <c r="AE42" s="309"/>
      <c r="AF42" s="313">
        <f t="shared" si="108"/>
        <v>0</v>
      </c>
      <c r="AG42" s="309">
        <v>0</v>
      </c>
      <c r="AH42" s="314">
        <v>0</v>
      </c>
      <c r="AI42" s="309"/>
      <c r="AJ42" s="313">
        <f t="shared" si="109"/>
        <v>0</v>
      </c>
      <c r="AK42" s="309">
        <f t="shared" si="110"/>
        <v>0</v>
      </c>
      <c r="AL42" s="314">
        <f t="shared" si="110"/>
        <v>0</v>
      </c>
      <c r="AM42" s="309"/>
      <c r="AN42" s="338"/>
      <c r="AO42" s="340">
        <f>AO41</f>
        <v>0.10692531159216566</v>
      </c>
      <c r="AP42" s="309"/>
      <c r="AQ42" s="313">
        <f t="shared" si="111"/>
        <v>0</v>
      </c>
      <c r="AR42" s="309">
        <v>0</v>
      </c>
      <c r="AS42" s="314">
        <v>0</v>
      </c>
      <c r="AT42" s="309"/>
      <c r="AU42" s="310"/>
      <c r="AV42" s="310"/>
      <c r="AW42" s="309"/>
    </row>
    <row r="43" spans="1:51" x14ac:dyDescent="0.2">
      <c r="A43" s="86">
        <f t="shared" si="4"/>
        <v>36</v>
      </c>
      <c r="B43" s="725"/>
      <c r="C43" s="726" t="s">
        <v>9</v>
      </c>
      <c r="D43" s="157"/>
      <c r="E43" s="122">
        <f>'Rates in Detail'!Y36</f>
        <v>2.8900000000000002E-3</v>
      </c>
      <c r="F43" s="122">
        <f>'Rates in Detail'!Z36</f>
        <v>-4.0000000000000003E-5</v>
      </c>
      <c r="G43" s="157"/>
      <c r="H43" s="157"/>
      <c r="I43" s="373">
        <f>'Rev Req Proof Yr2'!H43</f>
        <v>2.6669999999999999E-2</v>
      </c>
      <c r="J43" s="774">
        <f t="shared" si="10"/>
        <v>2.9559999999999999E-2</v>
      </c>
      <c r="K43" s="157"/>
      <c r="L43" s="273"/>
      <c r="M43" s="55"/>
      <c r="N43" s="122"/>
      <c r="O43" s="122"/>
      <c r="P43" s="122"/>
      <c r="Q43" s="774"/>
      <c r="R43" s="157"/>
      <c r="S43" s="298">
        <f>'Rev Req Proof Yr1'!R43</f>
        <v>0</v>
      </c>
      <c r="T43" s="299"/>
      <c r="U43" s="300"/>
      <c r="V43" s="301"/>
      <c r="W43" s="157"/>
      <c r="X43" s="313">
        <f t="shared" si="102"/>
        <v>0</v>
      </c>
      <c r="Y43" s="309">
        <f t="shared" si="103"/>
        <v>0</v>
      </c>
      <c r="Z43" s="314">
        <f t="shared" si="104"/>
        <v>0</v>
      </c>
      <c r="AA43" s="309"/>
      <c r="AB43" s="313">
        <f t="shared" si="105"/>
        <v>0</v>
      </c>
      <c r="AC43" s="309">
        <f t="shared" si="106"/>
        <v>0</v>
      </c>
      <c r="AD43" s="314">
        <f t="shared" si="107"/>
        <v>0</v>
      </c>
      <c r="AE43" s="309"/>
      <c r="AF43" s="313">
        <f t="shared" si="108"/>
        <v>0</v>
      </c>
      <c r="AG43" s="309">
        <v>0</v>
      </c>
      <c r="AH43" s="314">
        <v>0</v>
      </c>
      <c r="AI43" s="309"/>
      <c r="AJ43" s="313">
        <f t="shared" si="109"/>
        <v>0</v>
      </c>
      <c r="AK43" s="309">
        <f t="shared" si="110"/>
        <v>0</v>
      </c>
      <c r="AL43" s="314">
        <f t="shared" si="110"/>
        <v>0</v>
      </c>
      <c r="AM43" s="309"/>
      <c r="AN43" s="338"/>
      <c r="AO43" s="340">
        <f>AO42</f>
        <v>0.10692531159216566</v>
      </c>
      <c r="AP43" s="309"/>
      <c r="AQ43" s="313">
        <f t="shared" si="111"/>
        <v>0</v>
      </c>
      <c r="AR43" s="309">
        <v>0</v>
      </c>
      <c r="AS43" s="314">
        <v>0</v>
      </c>
      <c r="AT43" s="309"/>
      <c r="AU43" s="310"/>
      <c r="AV43" s="310"/>
      <c r="AW43" s="309"/>
    </row>
    <row r="44" spans="1:51" x14ac:dyDescent="0.2">
      <c r="A44" s="86">
        <f t="shared" si="4"/>
        <v>37</v>
      </c>
      <c r="B44" s="723"/>
      <c r="C44" s="742" t="s">
        <v>78</v>
      </c>
      <c r="D44" s="153"/>
      <c r="E44" s="123"/>
      <c r="F44" s="123"/>
      <c r="G44" s="153"/>
      <c r="H44" s="153"/>
      <c r="I44" s="368"/>
      <c r="J44" s="773"/>
      <c r="K44" s="157"/>
      <c r="L44" s="273"/>
      <c r="M44" s="55"/>
      <c r="N44" s="122"/>
      <c r="O44" s="122"/>
      <c r="P44" s="122"/>
      <c r="Q44" s="774"/>
      <c r="R44" s="157"/>
      <c r="S44" s="298"/>
      <c r="T44" s="299"/>
      <c r="U44" s="300"/>
      <c r="V44" s="301"/>
      <c r="W44" s="157"/>
      <c r="X44" s="315">
        <f>SUM(X38:X43)</f>
        <v>129193.65193232044</v>
      </c>
      <c r="Y44" s="316">
        <f>SUM(Y38:Y43)</f>
        <v>78000</v>
      </c>
      <c r="Z44" s="317">
        <f>SUM(Z38:Z43)</f>
        <v>29339.765160000003</v>
      </c>
      <c r="AA44" s="309"/>
      <c r="AB44" s="315">
        <f>SUM(AB38:AB43)</f>
        <v>143206.07621514285</v>
      </c>
      <c r="AC44" s="316">
        <f>SUM(AC38:AC43)</f>
        <v>78000</v>
      </c>
      <c r="AD44" s="317">
        <f>SUM(AD38:AD43)</f>
        <v>29339.765160000003</v>
      </c>
      <c r="AE44" s="309"/>
      <c r="AF44" s="315">
        <f>SUM(AF38:AF43)</f>
        <v>-199.53158775131345</v>
      </c>
      <c r="AG44" s="316">
        <f>SUM(AG38:AG43)</f>
        <v>0</v>
      </c>
      <c r="AH44" s="317">
        <f>SUM(AH38:AH43)</f>
        <v>0</v>
      </c>
      <c r="AI44" s="309"/>
      <c r="AJ44" s="315">
        <f>SUM(AJ38:AJ43)</f>
        <v>13812.892695071079</v>
      </c>
      <c r="AK44" s="316">
        <f>SUM(AK38:AK43)</f>
        <v>0</v>
      </c>
      <c r="AL44" s="317">
        <f>SUM(AL38:AL43)</f>
        <v>0</v>
      </c>
      <c r="AM44" s="309"/>
      <c r="AN44" s="338">
        <f>SUM(AJ44:AL44)/SUM(X44:Z44)</f>
        <v>5.8397214503013849E-2</v>
      </c>
      <c r="AO44" s="339">
        <f>SUM(AJ44)/SUM(X44)</f>
        <v>0.10691618735498799</v>
      </c>
      <c r="AP44" s="309"/>
      <c r="AQ44" s="315">
        <f>SUM(AQ38:AQ43)</f>
        <v>0</v>
      </c>
      <c r="AR44" s="316">
        <f>SUM(AR38:AR43)</f>
        <v>0</v>
      </c>
      <c r="AS44" s="317">
        <f>SUM(AS38:AS43)</f>
        <v>0</v>
      </c>
      <c r="AT44" s="309"/>
      <c r="AU44" s="310"/>
      <c r="AV44" s="310"/>
      <c r="AW44" s="309"/>
    </row>
    <row r="45" spans="1:51" x14ac:dyDescent="0.2">
      <c r="A45" s="86">
        <f t="shared" si="4"/>
        <v>38</v>
      </c>
      <c r="B45" s="725" t="str">
        <f>'WA Volumes &amp; Revenues'!B39</f>
        <v>42I Firm Sales</v>
      </c>
      <c r="C45" s="726" t="s">
        <v>4</v>
      </c>
      <c r="D45" s="157"/>
      <c r="E45" s="122">
        <f>'Rates in Detail'!Y37</f>
        <v>1.8749999999999999E-2</v>
      </c>
      <c r="F45" s="122">
        <f>'Rates in Detail'!Z37</f>
        <v>-2.7E-4</v>
      </c>
      <c r="G45" s="157"/>
      <c r="H45" s="157"/>
      <c r="I45" s="373">
        <f>'Rev Req Proof Yr2'!H45</f>
        <v>0.18443999999999999</v>
      </c>
      <c r="J45" s="774">
        <f t="shared" si="10"/>
        <v>0.20318999999999998</v>
      </c>
      <c r="K45" s="157"/>
      <c r="L45" s="155">
        <f>'Rev Req Proof Yr1'!K45</f>
        <v>1300</v>
      </c>
      <c r="M45" s="156">
        <f>'Rev Req Proof Yr1'!L45</f>
        <v>1300</v>
      </c>
      <c r="N45" s="122">
        <f>'Rev Req Proof Yr1'!M45</f>
        <v>0.15748000000000001</v>
      </c>
      <c r="O45" s="122">
        <f>'Rev Req Proof Yr1'!N45</f>
        <v>0.15748000000000001</v>
      </c>
      <c r="P45" s="122">
        <f>'Rev Req Proof Yr1'!O45</f>
        <v>0.20415</v>
      </c>
      <c r="Q45" s="774">
        <f>'Rev Req Proof Yr1'!P45</f>
        <v>0.20415</v>
      </c>
      <c r="R45" s="157"/>
      <c r="S45" s="298">
        <f>'Rev Req Proof Yr1'!R45</f>
        <v>1093724.2000000002</v>
      </c>
      <c r="T45" s="299">
        <f>'Rev Req Proof Yr1'!S45</f>
        <v>9556</v>
      </c>
      <c r="U45" s="300">
        <f>'Rev Req Proof Yr1'!T45</f>
        <v>11.916666666666666</v>
      </c>
      <c r="V45" s="301">
        <f>'Rev Req Proof Yr1'!U45</f>
        <v>12869</v>
      </c>
      <c r="W45" s="157"/>
      <c r="X45" s="313">
        <f t="shared" ref="X45:X50" si="112">(I45*S45)</f>
        <v>201726.49144800002</v>
      </c>
      <c r="Y45" s="309">
        <f t="shared" ref="Y45:Y50" si="113">(L45*U45*12)</f>
        <v>185900</v>
      </c>
      <c r="Z45" s="314">
        <f t="shared" ref="Z45:Z50" si="114">(T45*(N45+P45))*12</f>
        <v>41468.835359999997</v>
      </c>
      <c r="AA45" s="309"/>
      <c r="AB45" s="313">
        <f t="shared" ref="AB45:AB50" si="115">(J45*S45)</f>
        <v>222233.82019800003</v>
      </c>
      <c r="AC45" s="309">
        <f t="shared" ref="AC45:AC50" si="116">(M45*U45*12)</f>
        <v>185900</v>
      </c>
      <c r="AD45" s="314">
        <f t="shared" ref="AD45:AD50" si="117">(T45*(O45+Q45))*12</f>
        <v>41468.835359999997</v>
      </c>
      <c r="AE45" s="309"/>
      <c r="AF45" s="313">
        <f t="shared" ref="AF45:AF50" si="118">(F45*S45)</f>
        <v>-295.30553400000008</v>
      </c>
      <c r="AG45" s="309">
        <v>0</v>
      </c>
      <c r="AH45" s="314">
        <v>0</v>
      </c>
      <c r="AI45" s="309"/>
      <c r="AJ45" s="313">
        <f t="shared" ref="AJ45:AJ50" si="119">AB45-X45+AF45</f>
        <v>20212.023216000016</v>
      </c>
      <c r="AK45" s="309">
        <f t="shared" ref="AK45:AL50" si="120">AC45-Y45-AG45</f>
        <v>0</v>
      </c>
      <c r="AL45" s="314">
        <f t="shared" si="120"/>
        <v>0</v>
      </c>
      <c r="AM45" s="309"/>
      <c r="AN45" s="338"/>
      <c r="AO45" s="340">
        <f>SUM(AJ45)/SUM(X45)</f>
        <v>0.10019518542615492</v>
      </c>
      <c r="AP45" s="309"/>
      <c r="AQ45" s="313">
        <f t="shared" ref="AQ45:AQ50" si="121">(G45*S45)</f>
        <v>0</v>
      </c>
      <c r="AR45" s="309">
        <v>0</v>
      </c>
      <c r="AS45" s="314">
        <v>0</v>
      </c>
      <c r="AT45" s="309"/>
      <c r="AU45" s="310"/>
      <c r="AV45" s="310"/>
      <c r="AW45" s="309"/>
    </row>
    <row r="46" spans="1:51" x14ac:dyDescent="0.2">
      <c r="A46" s="86">
        <f t="shared" si="4"/>
        <v>39</v>
      </c>
      <c r="B46" s="725"/>
      <c r="C46" s="726" t="s">
        <v>5</v>
      </c>
      <c r="D46" s="157"/>
      <c r="E46" s="122">
        <f>'Rates in Detail'!Y38</f>
        <v>1.678E-2</v>
      </c>
      <c r="F46" s="122">
        <f>'Rates in Detail'!Z38</f>
        <v>-2.4000000000000001E-4</v>
      </c>
      <c r="G46" s="157"/>
      <c r="H46" s="157"/>
      <c r="I46" s="373">
        <f>'Rev Req Proof Yr2'!H46</f>
        <v>0.1651</v>
      </c>
      <c r="J46" s="774">
        <f t="shared" si="10"/>
        <v>0.18187999999999999</v>
      </c>
      <c r="K46" s="157"/>
      <c r="L46" s="155"/>
      <c r="M46" s="156"/>
      <c r="N46" s="122"/>
      <c r="O46" s="122"/>
      <c r="P46" s="122"/>
      <c r="Q46" s="774"/>
      <c r="R46" s="157"/>
      <c r="S46" s="298">
        <f>'Rev Req Proof Yr1'!R46</f>
        <v>655939.80000000005</v>
      </c>
      <c r="T46" s="299"/>
      <c r="U46" s="300"/>
      <c r="V46" s="301"/>
      <c r="W46" s="157"/>
      <c r="X46" s="313">
        <f t="shared" si="112"/>
        <v>108295.66098</v>
      </c>
      <c r="Y46" s="309">
        <f t="shared" si="113"/>
        <v>0</v>
      </c>
      <c r="Z46" s="314">
        <f t="shared" si="114"/>
        <v>0</v>
      </c>
      <c r="AA46" s="309"/>
      <c r="AB46" s="313">
        <f t="shared" si="115"/>
        <v>119302.330824</v>
      </c>
      <c r="AC46" s="309">
        <f t="shared" si="116"/>
        <v>0</v>
      </c>
      <c r="AD46" s="314">
        <f t="shared" si="117"/>
        <v>0</v>
      </c>
      <c r="AE46" s="309"/>
      <c r="AF46" s="313">
        <f t="shared" si="118"/>
        <v>-157.42555200000001</v>
      </c>
      <c r="AG46" s="309">
        <v>0</v>
      </c>
      <c r="AH46" s="314">
        <v>0</v>
      </c>
      <c r="AI46" s="309"/>
      <c r="AJ46" s="313">
        <f t="shared" si="119"/>
        <v>10849.244292000003</v>
      </c>
      <c r="AK46" s="309">
        <f t="shared" si="120"/>
        <v>0</v>
      </c>
      <c r="AL46" s="314">
        <f t="shared" si="120"/>
        <v>0</v>
      </c>
      <c r="AM46" s="309"/>
      <c r="AN46" s="338"/>
      <c r="AO46" s="340">
        <f>SUM(AJ46)/SUM(X46)</f>
        <v>0.10018170805572384</v>
      </c>
      <c r="AP46" s="309"/>
      <c r="AQ46" s="313">
        <f t="shared" si="121"/>
        <v>0</v>
      </c>
      <c r="AR46" s="309">
        <v>0</v>
      </c>
      <c r="AS46" s="314">
        <v>0</v>
      </c>
      <c r="AT46" s="309"/>
      <c r="AU46" s="310"/>
      <c r="AV46" s="310"/>
      <c r="AW46" s="309"/>
    </row>
    <row r="47" spans="1:51" x14ac:dyDescent="0.2">
      <c r="A47" s="86">
        <f t="shared" si="4"/>
        <v>40</v>
      </c>
      <c r="B47" s="725"/>
      <c r="C47" s="726" t="s">
        <v>6</v>
      </c>
      <c r="D47" s="157"/>
      <c r="E47" s="122">
        <f>'Rates in Detail'!Y39</f>
        <v>1.2869999999999999E-2</v>
      </c>
      <c r="F47" s="122">
        <f>'Rates in Detail'!Z39</f>
        <v>-1.8000000000000001E-4</v>
      </c>
      <c r="G47" s="157"/>
      <c r="H47" s="157"/>
      <c r="I47" s="373">
        <f>'Rev Req Proof Yr2'!H47</f>
        <v>0.12659999999999999</v>
      </c>
      <c r="J47" s="774">
        <f t="shared" si="10"/>
        <v>0.13946999999999998</v>
      </c>
      <c r="K47" s="157"/>
      <c r="L47" s="155"/>
      <c r="M47" s="156"/>
      <c r="N47" s="122"/>
      <c r="O47" s="122"/>
      <c r="P47" s="122"/>
      <c r="Q47" s="774"/>
      <c r="R47" s="157"/>
      <c r="S47" s="298">
        <f>'Rev Req Proof Yr1'!R47</f>
        <v>81241.3</v>
      </c>
      <c r="T47" s="299"/>
      <c r="U47" s="300"/>
      <c r="V47" s="301"/>
      <c r="W47" s="157"/>
      <c r="X47" s="313">
        <f t="shared" si="112"/>
        <v>10285.148579999999</v>
      </c>
      <c r="Y47" s="309">
        <f t="shared" si="113"/>
        <v>0</v>
      </c>
      <c r="Z47" s="314">
        <f t="shared" si="114"/>
        <v>0</v>
      </c>
      <c r="AA47" s="309"/>
      <c r="AB47" s="313">
        <f t="shared" si="115"/>
        <v>11330.724111</v>
      </c>
      <c r="AC47" s="309">
        <f t="shared" si="116"/>
        <v>0</v>
      </c>
      <c r="AD47" s="314">
        <f t="shared" si="117"/>
        <v>0</v>
      </c>
      <c r="AE47" s="309"/>
      <c r="AF47" s="313">
        <f t="shared" si="118"/>
        <v>-14.623434000000001</v>
      </c>
      <c r="AG47" s="309">
        <v>0</v>
      </c>
      <c r="AH47" s="314">
        <v>0</v>
      </c>
      <c r="AI47" s="309"/>
      <c r="AJ47" s="313">
        <f t="shared" si="119"/>
        <v>1030.9520970000003</v>
      </c>
      <c r="AK47" s="309">
        <f t="shared" si="120"/>
        <v>0</v>
      </c>
      <c r="AL47" s="314">
        <f t="shared" si="120"/>
        <v>0</v>
      </c>
      <c r="AM47" s="309"/>
      <c r="AN47" s="338"/>
      <c r="AO47" s="340">
        <f>SUM(AJ47)/SUM(X47)</f>
        <v>0.10023696682464459</v>
      </c>
      <c r="AP47" s="309"/>
      <c r="AQ47" s="313">
        <f t="shared" si="121"/>
        <v>0</v>
      </c>
      <c r="AR47" s="309">
        <v>0</v>
      </c>
      <c r="AS47" s="314">
        <v>0</v>
      </c>
      <c r="AT47" s="309"/>
      <c r="AU47" s="310"/>
      <c r="AV47" s="310"/>
      <c r="AW47" s="309"/>
    </row>
    <row r="48" spans="1:51" x14ac:dyDescent="0.2">
      <c r="A48" s="86">
        <f t="shared" si="4"/>
        <v>41</v>
      </c>
      <c r="B48" s="725"/>
      <c r="C48" s="726" t="s">
        <v>7</v>
      </c>
      <c r="D48" s="157"/>
      <c r="E48" s="122">
        <f>'Rates in Detail'!Y40</f>
        <v>1.03E-2</v>
      </c>
      <c r="F48" s="122">
        <f>'Rates in Detail'!Z40</f>
        <v>-1.4999999999999999E-4</v>
      </c>
      <c r="G48" s="157"/>
      <c r="H48" s="157"/>
      <c r="I48" s="373">
        <f>'Rev Req Proof Yr2'!H48</f>
        <v>0.10129000000000001</v>
      </c>
      <c r="J48" s="774">
        <f t="shared" si="10"/>
        <v>0.11159000000000001</v>
      </c>
      <c r="K48" s="157"/>
      <c r="L48" s="155"/>
      <c r="M48" s="156"/>
      <c r="N48" s="122"/>
      <c r="O48" s="122"/>
      <c r="P48" s="122"/>
      <c r="Q48" s="774"/>
      <c r="R48" s="157"/>
      <c r="S48" s="298">
        <f>'Rev Req Proof Yr1'!R48</f>
        <v>9320.1</v>
      </c>
      <c r="T48" s="299"/>
      <c r="U48" s="300"/>
      <c r="V48" s="301"/>
      <c r="W48" s="157"/>
      <c r="X48" s="313">
        <f t="shared" si="112"/>
        <v>944.03292900000008</v>
      </c>
      <c r="Y48" s="309">
        <f t="shared" si="113"/>
        <v>0</v>
      </c>
      <c r="Z48" s="314">
        <f t="shared" si="114"/>
        <v>0</v>
      </c>
      <c r="AA48" s="309"/>
      <c r="AB48" s="313">
        <f t="shared" si="115"/>
        <v>1040.0299590000002</v>
      </c>
      <c r="AC48" s="309">
        <f t="shared" si="116"/>
        <v>0</v>
      </c>
      <c r="AD48" s="314">
        <f t="shared" si="117"/>
        <v>0</v>
      </c>
      <c r="AE48" s="309"/>
      <c r="AF48" s="313">
        <f t="shared" si="118"/>
        <v>-1.398015</v>
      </c>
      <c r="AG48" s="309">
        <v>0</v>
      </c>
      <c r="AH48" s="314">
        <v>0</v>
      </c>
      <c r="AI48" s="309"/>
      <c r="AJ48" s="313">
        <f t="shared" si="119"/>
        <v>94.599015000000108</v>
      </c>
      <c r="AK48" s="309">
        <f t="shared" si="120"/>
        <v>0</v>
      </c>
      <c r="AL48" s="314">
        <f t="shared" si="120"/>
        <v>0</v>
      </c>
      <c r="AM48" s="309"/>
      <c r="AN48" s="338"/>
      <c r="AO48" s="340">
        <f>SUM(AJ48)/SUM(X48)</f>
        <v>0.10020732550103674</v>
      </c>
      <c r="AP48" s="309"/>
      <c r="AQ48" s="313">
        <f t="shared" si="121"/>
        <v>0</v>
      </c>
      <c r="AR48" s="309">
        <v>0</v>
      </c>
      <c r="AS48" s="314">
        <v>0</v>
      </c>
      <c r="AT48" s="309"/>
      <c r="AU48" s="310"/>
      <c r="AV48" s="310"/>
      <c r="AW48" s="309"/>
    </row>
    <row r="49" spans="1:49" x14ac:dyDescent="0.2">
      <c r="A49" s="86">
        <f t="shared" si="4"/>
        <v>42</v>
      </c>
      <c r="B49" s="725"/>
      <c r="C49" s="726" t="s">
        <v>8</v>
      </c>
      <c r="D49" s="157"/>
      <c r="E49" s="122">
        <f>'Rates in Detail'!Y41</f>
        <v>6.8700000000000002E-3</v>
      </c>
      <c r="F49" s="122">
        <f>'Rates in Detail'!Z41</f>
        <v>-1E-4</v>
      </c>
      <c r="G49" s="157"/>
      <c r="H49" s="157"/>
      <c r="I49" s="373">
        <f>'Rev Req Proof Yr2'!H49</f>
        <v>6.7540000000000003E-2</v>
      </c>
      <c r="J49" s="774">
        <f t="shared" si="10"/>
        <v>7.4410000000000004E-2</v>
      </c>
      <c r="K49" s="157"/>
      <c r="L49" s="155"/>
      <c r="M49" s="156"/>
      <c r="N49" s="122"/>
      <c r="O49" s="122"/>
      <c r="P49" s="122"/>
      <c r="Q49" s="774"/>
      <c r="R49" s="157"/>
      <c r="S49" s="298">
        <f>'Rev Req Proof Yr1'!R49</f>
        <v>0</v>
      </c>
      <c r="T49" s="299"/>
      <c r="U49" s="300"/>
      <c r="V49" s="301"/>
      <c r="W49" s="157"/>
      <c r="X49" s="313">
        <f t="shared" si="112"/>
        <v>0</v>
      </c>
      <c r="Y49" s="309">
        <f t="shared" si="113"/>
        <v>0</v>
      </c>
      <c r="Z49" s="314">
        <f t="shared" si="114"/>
        <v>0</v>
      </c>
      <c r="AA49" s="309"/>
      <c r="AB49" s="313">
        <f t="shared" si="115"/>
        <v>0</v>
      </c>
      <c r="AC49" s="309">
        <f t="shared" si="116"/>
        <v>0</v>
      </c>
      <c r="AD49" s="314">
        <f t="shared" si="117"/>
        <v>0</v>
      </c>
      <c r="AE49" s="309"/>
      <c r="AF49" s="313">
        <f t="shared" si="118"/>
        <v>0</v>
      </c>
      <c r="AG49" s="309">
        <v>0</v>
      </c>
      <c r="AH49" s="314">
        <v>0</v>
      </c>
      <c r="AI49" s="309"/>
      <c r="AJ49" s="313">
        <f t="shared" si="119"/>
        <v>0</v>
      </c>
      <c r="AK49" s="309">
        <f t="shared" si="120"/>
        <v>0</v>
      </c>
      <c r="AL49" s="314">
        <f t="shared" si="120"/>
        <v>0</v>
      </c>
      <c r="AM49" s="309"/>
      <c r="AN49" s="338"/>
      <c r="AO49" s="340">
        <f>AO48</f>
        <v>0.10020732550103674</v>
      </c>
      <c r="AP49" s="309"/>
      <c r="AQ49" s="313">
        <f t="shared" si="121"/>
        <v>0</v>
      </c>
      <c r="AR49" s="309">
        <v>0</v>
      </c>
      <c r="AS49" s="314">
        <v>0</v>
      </c>
      <c r="AT49" s="309"/>
      <c r="AU49" s="310"/>
      <c r="AV49" s="310"/>
      <c r="AW49" s="309"/>
    </row>
    <row r="50" spans="1:49" x14ac:dyDescent="0.2">
      <c r="A50" s="86">
        <f t="shared" si="4"/>
        <v>43</v>
      </c>
      <c r="B50" s="725"/>
      <c r="C50" s="726" t="s">
        <v>9</v>
      </c>
      <c r="D50" s="157"/>
      <c r="E50" s="122">
        <f>'Rates in Detail'!Y42</f>
        <v>2.5699999999999998E-3</v>
      </c>
      <c r="F50" s="122">
        <f>'Rates in Detail'!Z42</f>
        <v>-4.0000000000000003E-5</v>
      </c>
      <c r="G50" s="157"/>
      <c r="H50" s="157"/>
      <c r="I50" s="373">
        <f>'Rev Req Proof Yr2'!H50</f>
        <v>2.5309999999999999E-2</v>
      </c>
      <c r="J50" s="774">
        <f t="shared" si="10"/>
        <v>2.7879999999999999E-2</v>
      </c>
      <c r="K50" s="157"/>
      <c r="L50" s="155"/>
      <c r="M50" s="156"/>
      <c r="N50" s="122"/>
      <c r="O50" s="122"/>
      <c r="P50" s="122"/>
      <c r="Q50" s="774"/>
      <c r="R50" s="157"/>
      <c r="S50" s="298">
        <f>'Rev Req Proof Yr1'!R50</f>
        <v>0</v>
      </c>
      <c r="T50" s="299"/>
      <c r="U50" s="300"/>
      <c r="V50" s="301"/>
      <c r="W50" s="157"/>
      <c r="X50" s="313">
        <f t="shared" si="112"/>
        <v>0</v>
      </c>
      <c r="Y50" s="309">
        <f t="shared" si="113"/>
        <v>0</v>
      </c>
      <c r="Z50" s="314">
        <f t="shared" si="114"/>
        <v>0</v>
      </c>
      <c r="AA50" s="309"/>
      <c r="AB50" s="313">
        <f t="shared" si="115"/>
        <v>0</v>
      </c>
      <c r="AC50" s="309">
        <f t="shared" si="116"/>
        <v>0</v>
      </c>
      <c r="AD50" s="314">
        <f t="shared" si="117"/>
        <v>0</v>
      </c>
      <c r="AE50" s="309"/>
      <c r="AF50" s="313">
        <f t="shared" si="118"/>
        <v>0</v>
      </c>
      <c r="AG50" s="309">
        <v>0</v>
      </c>
      <c r="AH50" s="314">
        <v>0</v>
      </c>
      <c r="AI50" s="309"/>
      <c r="AJ50" s="313">
        <f t="shared" si="119"/>
        <v>0</v>
      </c>
      <c r="AK50" s="309">
        <f t="shared" si="120"/>
        <v>0</v>
      </c>
      <c r="AL50" s="314">
        <f t="shared" si="120"/>
        <v>0</v>
      </c>
      <c r="AM50" s="309"/>
      <c r="AN50" s="338"/>
      <c r="AO50" s="340">
        <f>AO49</f>
        <v>0.10020732550103674</v>
      </c>
      <c r="AP50" s="309"/>
      <c r="AQ50" s="313">
        <f t="shared" si="121"/>
        <v>0</v>
      </c>
      <c r="AR50" s="309">
        <v>0</v>
      </c>
      <c r="AS50" s="314">
        <v>0</v>
      </c>
      <c r="AT50" s="309"/>
      <c r="AU50" s="310"/>
      <c r="AV50" s="310"/>
      <c r="AW50" s="309"/>
    </row>
    <row r="51" spans="1:49" x14ac:dyDescent="0.2">
      <c r="A51" s="86">
        <f t="shared" si="4"/>
        <v>44</v>
      </c>
      <c r="B51" s="723"/>
      <c r="C51" s="742" t="s">
        <v>78</v>
      </c>
      <c r="D51" s="153"/>
      <c r="E51" s="123"/>
      <c r="F51" s="123"/>
      <c r="G51" s="153"/>
      <c r="H51" s="153"/>
      <c r="I51" s="368"/>
      <c r="J51" s="773"/>
      <c r="K51" s="157"/>
      <c r="L51" s="155"/>
      <c r="M51" s="156"/>
      <c r="N51" s="122"/>
      <c r="O51" s="122"/>
      <c r="P51" s="122"/>
      <c r="Q51" s="774"/>
      <c r="R51" s="157"/>
      <c r="S51" s="298"/>
      <c r="T51" s="299"/>
      <c r="U51" s="300"/>
      <c r="V51" s="301"/>
      <c r="W51" s="157"/>
      <c r="X51" s="315">
        <f>SUM(X45:X50)</f>
        <v>321251.33393699996</v>
      </c>
      <c r="Y51" s="316">
        <f>SUM(Y45:Y50)</f>
        <v>185900</v>
      </c>
      <c r="Z51" s="317">
        <f>SUM(Z45:Z50)</f>
        <v>41468.835359999997</v>
      </c>
      <c r="AA51" s="309"/>
      <c r="AB51" s="315">
        <f>SUM(AB45:AB50)</f>
        <v>353906.90509200003</v>
      </c>
      <c r="AC51" s="316">
        <f>SUM(AC45:AC50)</f>
        <v>185900</v>
      </c>
      <c r="AD51" s="317">
        <f>SUM(AD45:AD50)</f>
        <v>41468.835359999997</v>
      </c>
      <c r="AE51" s="309"/>
      <c r="AF51" s="315">
        <f>SUM(AF45:AF50)</f>
        <v>-468.75253500000008</v>
      </c>
      <c r="AG51" s="316">
        <f>SUM(AG45:AG50)</f>
        <v>0</v>
      </c>
      <c r="AH51" s="317">
        <f>SUM(AH45:AH50)</f>
        <v>0</v>
      </c>
      <c r="AI51" s="309"/>
      <c r="AJ51" s="315">
        <f>SUM(AJ45:AJ50)</f>
        <v>32186.81862000002</v>
      </c>
      <c r="AK51" s="316">
        <f>SUM(AK45:AK50)</f>
        <v>0</v>
      </c>
      <c r="AL51" s="317">
        <f>SUM(AL45:AL50)</f>
        <v>0</v>
      </c>
      <c r="AM51" s="309"/>
      <c r="AN51" s="338">
        <f>SUM(AJ51:AL51)/SUM(X51:Z51)</f>
        <v>5.8668675381082148E-2</v>
      </c>
      <c r="AO51" s="339">
        <f t="shared" ref="AO51:AO56" si="122">SUM(AJ51)/SUM(X51)</f>
        <v>0.10019201547132602</v>
      </c>
      <c r="AP51" s="309"/>
      <c r="AQ51" s="315">
        <f>SUM(AQ45:AQ50)</f>
        <v>0</v>
      </c>
      <c r="AR51" s="316">
        <f>SUM(AR45:AR50)</f>
        <v>0</v>
      </c>
      <c r="AS51" s="317">
        <f>SUM(AS45:AS50)</f>
        <v>0</v>
      </c>
      <c r="AT51" s="309"/>
      <c r="AU51" s="310"/>
      <c r="AV51" s="310"/>
      <c r="AW51" s="309"/>
    </row>
    <row r="52" spans="1:49" x14ac:dyDescent="0.2">
      <c r="A52" s="86">
        <f t="shared" si="4"/>
        <v>45</v>
      </c>
      <c r="B52" s="725" t="str">
        <f>'WA Volumes &amp; Revenues'!B45</f>
        <v>42C Firm Transpt</v>
      </c>
      <c r="C52" s="726" t="s">
        <v>4</v>
      </c>
      <c r="D52" s="157"/>
      <c r="E52" s="122">
        <f>'Rates in Detail'!Y43</f>
        <v>1.191E-2</v>
      </c>
      <c r="F52" s="122">
        <f>'Rates in Detail'!Z43</f>
        <v>-1.7000000000000001E-4</v>
      </c>
      <c r="G52" s="157"/>
      <c r="H52" s="157"/>
      <c r="I52" s="373">
        <f>'Rev Req Proof Yr2'!H52</f>
        <v>0.16156999999999999</v>
      </c>
      <c r="J52" s="774">
        <f t="shared" si="10"/>
        <v>0.17348</v>
      </c>
      <c r="K52" s="157"/>
      <c r="L52" s="155">
        <f>'Rev Req Proof Yr1'!K52</f>
        <v>1550</v>
      </c>
      <c r="M52" s="156">
        <f>'Rev Req Proof Yr1'!L52</f>
        <v>1550</v>
      </c>
      <c r="N52" s="122">
        <f>'Rev Req Proof Yr1'!M52</f>
        <v>0.15748000000000001</v>
      </c>
      <c r="O52" s="122">
        <f>'Rev Req Proof Yr1'!N52</f>
        <v>0.15748000000000001</v>
      </c>
      <c r="P52" s="122">
        <f>'Rev Req Proof Yr1'!O52</f>
        <v>0</v>
      </c>
      <c r="Q52" s="774">
        <f>'Rev Req Proof Yr1'!P52</f>
        <v>0</v>
      </c>
      <c r="R52" s="157"/>
      <c r="S52" s="298">
        <f>'Rev Req Proof Yr1'!R52</f>
        <v>480000</v>
      </c>
      <c r="T52" s="299">
        <f>'Rev Req Proof Yr1'!S52</f>
        <v>10479</v>
      </c>
      <c r="U52" s="300">
        <f>'Rev Req Proof Yr1'!T52</f>
        <v>4</v>
      </c>
      <c r="V52" s="301">
        <f>'Rev Req Proof Yr1'!U52</f>
        <v>51470</v>
      </c>
      <c r="W52" s="157"/>
      <c r="X52" s="313">
        <f t="shared" ref="X52:X57" si="123">(I52*S52)</f>
        <v>77553.599999999991</v>
      </c>
      <c r="Y52" s="309">
        <f t="shared" ref="Y52:Y57" si="124">(L52*U52*12)</f>
        <v>74400</v>
      </c>
      <c r="Z52" s="314">
        <f t="shared" ref="Z52:Z57" si="125">(T52*(N52+P52))*12</f>
        <v>19802.795040000001</v>
      </c>
      <c r="AA52" s="309"/>
      <c r="AB52" s="313">
        <f t="shared" ref="AB52:AB57" si="126">(J52*S52)</f>
        <v>83270.399999999994</v>
      </c>
      <c r="AC52" s="309">
        <f t="shared" ref="AC52:AC57" si="127">(M52*U52*12)</f>
        <v>74400</v>
      </c>
      <c r="AD52" s="314">
        <f t="shared" ref="AD52:AD57" si="128">(T52*(O52+Q52))*12</f>
        <v>19802.795040000001</v>
      </c>
      <c r="AE52" s="309"/>
      <c r="AF52" s="313">
        <f t="shared" ref="AF52:AF57" si="129">(F52*S52)</f>
        <v>-81.600000000000009</v>
      </c>
      <c r="AG52" s="309">
        <v>0</v>
      </c>
      <c r="AH52" s="314">
        <v>0</v>
      </c>
      <c r="AI52" s="309"/>
      <c r="AJ52" s="313">
        <f t="shared" ref="AJ52:AJ57" si="130">AB52-X52+AF52</f>
        <v>5635.2000000000025</v>
      </c>
      <c r="AK52" s="309">
        <f t="shared" ref="AK52:AL57" si="131">AC52-Y52-AG52</f>
        <v>0</v>
      </c>
      <c r="AL52" s="314">
        <f t="shared" si="131"/>
        <v>0</v>
      </c>
      <c r="AM52" s="309"/>
      <c r="AN52" s="338"/>
      <c r="AO52" s="340">
        <f t="shared" si="122"/>
        <v>7.2662004084916798E-2</v>
      </c>
      <c r="AP52" s="309"/>
      <c r="AQ52" s="313">
        <f t="shared" ref="AQ52:AQ57" si="132">(G52*S52)</f>
        <v>0</v>
      </c>
      <c r="AR52" s="309">
        <v>0</v>
      </c>
      <c r="AS52" s="314">
        <v>0</v>
      </c>
      <c r="AT52" s="309"/>
      <c r="AU52" s="310"/>
      <c r="AV52" s="310"/>
      <c r="AW52" s="309"/>
    </row>
    <row r="53" spans="1:49" x14ac:dyDescent="0.2">
      <c r="A53" s="86">
        <f t="shared" si="4"/>
        <v>46</v>
      </c>
      <c r="B53" s="725"/>
      <c r="C53" s="726" t="s">
        <v>5</v>
      </c>
      <c r="D53" s="157"/>
      <c r="E53" s="122">
        <f>'Rates in Detail'!Y44</f>
        <v>1.0659999999999999E-2</v>
      </c>
      <c r="F53" s="122">
        <f>'Rates in Detail'!Z44</f>
        <v>-1.4999999999999999E-4</v>
      </c>
      <c r="G53" s="157"/>
      <c r="H53" s="157"/>
      <c r="I53" s="373">
        <f>'Rev Req Proof Yr2'!H53</f>
        <v>0.14463999999999999</v>
      </c>
      <c r="J53" s="774">
        <f t="shared" si="10"/>
        <v>0.15529999999999999</v>
      </c>
      <c r="K53" s="157"/>
      <c r="L53" s="155"/>
      <c r="M53" s="156"/>
      <c r="N53" s="122"/>
      <c r="O53" s="122"/>
      <c r="P53" s="122"/>
      <c r="Q53" s="774"/>
      <c r="R53" s="157"/>
      <c r="S53" s="298">
        <f>'Rev Req Proof Yr1'!R53</f>
        <v>807846</v>
      </c>
      <c r="T53" s="299"/>
      <c r="U53" s="300"/>
      <c r="V53" s="301"/>
      <c r="W53" s="157"/>
      <c r="X53" s="313">
        <f t="shared" si="123"/>
        <v>116846.84543999999</v>
      </c>
      <c r="Y53" s="309">
        <f t="shared" si="124"/>
        <v>0</v>
      </c>
      <c r="Z53" s="314">
        <f t="shared" si="125"/>
        <v>0</v>
      </c>
      <c r="AA53" s="309"/>
      <c r="AB53" s="313">
        <f t="shared" si="126"/>
        <v>125458.4838</v>
      </c>
      <c r="AC53" s="309">
        <f t="shared" si="127"/>
        <v>0</v>
      </c>
      <c r="AD53" s="314">
        <f t="shared" si="128"/>
        <v>0</v>
      </c>
      <c r="AE53" s="309"/>
      <c r="AF53" s="313">
        <f t="shared" si="129"/>
        <v>-121.17689999999999</v>
      </c>
      <c r="AG53" s="309">
        <v>0</v>
      </c>
      <c r="AH53" s="314">
        <v>0</v>
      </c>
      <c r="AI53" s="309"/>
      <c r="AJ53" s="313">
        <f t="shared" si="130"/>
        <v>8490.4614600000114</v>
      </c>
      <c r="AK53" s="309">
        <f t="shared" si="131"/>
        <v>0</v>
      </c>
      <c r="AL53" s="314">
        <f t="shared" si="131"/>
        <v>0</v>
      </c>
      <c r="AM53" s="309"/>
      <c r="AN53" s="338"/>
      <c r="AO53" s="340">
        <f t="shared" si="122"/>
        <v>7.2663163716814264E-2</v>
      </c>
      <c r="AP53" s="309"/>
      <c r="AQ53" s="313">
        <f t="shared" si="132"/>
        <v>0</v>
      </c>
      <c r="AR53" s="309">
        <v>0</v>
      </c>
      <c r="AS53" s="314">
        <v>0</v>
      </c>
      <c r="AT53" s="309"/>
      <c r="AU53" s="310"/>
      <c r="AV53" s="310"/>
      <c r="AW53" s="309"/>
    </row>
    <row r="54" spans="1:49" x14ac:dyDescent="0.2">
      <c r="A54" s="86">
        <f t="shared" si="4"/>
        <v>47</v>
      </c>
      <c r="B54" s="725"/>
      <c r="C54" s="726" t="s">
        <v>6</v>
      </c>
      <c r="D54" s="157"/>
      <c r="E54" s="122">
        <f>'Rates in Detail'!Y45</f>
        <v>8.1799999999999998E-3</v>
      </c>
      <c r="F54" s="122">
        <f>'Rates in Detail'!Z45</f>
        <v>-1.2E-4</v>
      </c>
      <c r="G54" s="157"/>
      <c r="H54" s="157"/>
      <c r="I54" s="373">
        <f>'Rev Req Proof Yr2'!H54</f>
        <v>0.11090999999999999</v>
      </c>
      <c r="J54" s="774">
        <f t="shared" si="10"/>
        <v>0.11909</v>
      </c>
      <c r="K54" s="157"/>
      <c r="L54" s="155"/>
      <c r="M54" s="156"/>
      <c r="N54" s="122"/>
      <c r="O54" s="122"/>
      <c r="P54" s="122"/>
      <c r="Q54" s="774"/>
      <c r="R54" s="157"/>
      <c r="S54" s="298">
        <f>'Rev Req Proof Yr1'!R54</f>
        <v>583779</v>
      </c>
      <c r="T54" s="299"/>
      <c r="U54" s="300"/>
      <c r="V54" s="301"/>
      <c r="W54" s="157"/>
      <c r="X54" s="313">
        <f t="shared" si="123"/>
        <v>64746.928889999996</v>
      </c>
      <c r="Y54" s="309">
        <f t="shared" si="124"/>
        <v>0</v>
      </c>
      <c r="Z54" s="314">
        <f t="shared" si="125"/>
        <v>0</v>
      </c>
      <c r="AA54" s="309"/>
      <c r="AB54" s="313">
        <f t="shared" si="126"/>
        <v>69522.241110000003</v>
      </c>
      <c r="AC54" s="309">
        <f t="shared" si="127"/>
        <v>0</v>
      </c>
      <c r="AD54" s="314">
        <f t="shared" si="128"/>
        <v>0</v>
      </c>
      <c r="AE54" s="309"/>
      <c r="AF54" s="313">
        <f t="shared" si="129"/>
        <v>-70.053480000000008</v>
      </c>
      <c r="AG54" s="309">
        <v>0</v>
      </c>
      <c r="AH54" s="314">
        <v>0</v>
      </c>
      <c r="AI54" s="309"/>
      <c r="AJ54" s="313">
        <f t="shared" si="130"/>
        <v>4705.2587400000075</v>
      </c>
      <c r="AK54" s="309">
        <f t="shared" si="131"/>
        <v>0</v>
      </c>
      <c r="AL54" s="314">
        <f t="shared" si="131"/>
        <v>0</v>
      </c>
      <c r="AM54" s="309"/>
      <c r="AN54" s="338"/>
      <c r="AO54" s="340">
        <f t="shared" si="122"/>
        <v>7.2671535479217508E-2</v>
      </c>
      <c r="AP54" s="309"/>
      <c r="AQ54" s="313">
        <f t="shared" si="132"/>
        <v>0</v>
      </c>
      <c r="AR54" s="309">
        <v>0</v>
      </c>
      <c r="AS54" s="314">
        <v>0</v>
      </c>
      <c r="AT54" s="309"/>
      <c r="AU54" s="310"/>
      <c r="AV54" s="310"/>
      <c r="AW54" s="309"/>
    </row>
    <row r="55" spans="1:49" x14ac:dyDescent="0.2">
      <c r="A55" s="86">
        <f t="shared" si="4"/>
        <v>48</v>
      </c>
      <c r="B55" s="725"/>
      <c r="C55" s="726" t="s">
        <v>7</v>
      </c>
      <c r="D55" s="157"/>
      <c r="E55" s="122">
        <f>'Rates in Detail'!Y46</f>
        <v>6.5399999999999998E-3</v>
      </c>
      <c r="F55" s="122">
        <f>'Rates in Detail'!Z46</f>
        <v>-9.0000000000000006E-5</v>
      </c>
      <c r="G55" s="157"/>
      <c r="H55" s="157"/>
      <c r="I55" s="373">
        <f>'Rev Req Proof Yr2'!H55</f>
        <v>8.8739999999999999E-2</v>
      </c>
      <c r="J55" s="774">
        <f t="shared" si="10"/>
        <v>9.5280000000000004E-2</v>
      </c>
      <c r="K55" s="157"/>
      <c r="L55" s="155"/>
      <c r="M55" s="156"/>
      <c r="N55" s="122"/>
      <c r="O55" s="122"/>
      <c r="P55" s="122"/>
      <c r="Q55" s="774"/>
      <c r="R55" s="157"/>
      <c r="S55" s="298">
        <f>'Rev Req Proof Yr1'!R55</f>
        <v>598933</v>
      </c>
      <c r="T55" s="299"/>
      <c r="U55" s="300"/>
      <c r="V55" s="301"/>
      <c r="W55" s="157"/>
      <c r="X55" s="313">
        <f t="shared" si="123"/>
        <v>53149.314420000002</v>
      </c>
      <c r="Y55" s="309">
        <f t="shared" si="124"/>
        <v>0</v>
      </c>
      <c r="Z55" s="314">
        <f t="shared" si="125"/>
        <v>0</v>
      </c>
      <c r="AA55" s="309"/>
      <c r="AB55" s="313">
        <f t="shared" si="126"/>
        <v>57066.336240000004</v>
      </c>
      <c r="AC55" s="309">
        <f t="shared" si="127"/>
        <v>0</v>
      </c>
      <c r="AD55" s="314">
        <f t="shared" si="128"/>
        <v>0</v>
      </c>
      <c r="AE55" s="309"/>
      <c r="AF55" s="313">
        <f t="shared" si="129"/>
        <v>-53.903970000000001</v>
      </c>
      <c r="AG55" s="309">
        <v>0</v>
      </c>
      <c r="AH55" s="314">
        <v>0</v>
      </c>
      <c r="AI55" s="309"/>
      <c r="AJ55" s="313">
        <f t="shared" si="130"/>
        <v>3863.1178500000019</v>
      </c>
      <c r="AK55" s="309">
        <f t="shared" si="131"/>
        <v>0</v>
      </c>
      <c r="AL55" s="314">
        <f t="shared" si="131"/>
        <v>0</v>
      </c>
      <c r="AM55" s="309"/>
      <c r="AN55" s="338"/>
      <c r="AO55" s="340">
        <f t="shared" si="122"/>
        <v>7.2684246112238032E-2</v>
      </c>
      <c r="AP55" s="309"/>
      <c r="AQ55" s="313">
        <f t="shared" si="132"/>
        <v>0</v>
      </c>
      <c r="AR55" s="309">
        <v>0</v>
      </c>
      <c r="AS55" s="314">
        <v>0</v>
      </c>
      <c r="AT55" s="309"/>
      <c r="AU55" s="310"/>
      <c r="AV55" s="310"/>
      <c r="AW55" s="309"/>
    </row>
    <row r="56" spans="1:49" x14ac:dyDescent="0.2">
      <c r="A56" s="86">
        <f t="shared" si="4"/>
        <v>49</v>
      </c>
      <c r="B56" s="725"/>
      <c r="C56" s="726" t="s">
        <v>8</v>
      </c>
      <c r="D56" s="157"/>
      <c r="E56" s="122">
        <f>'Rates in Detail'!Y47</f>
        <v>4.3600000000000002E-3</v>
      </c>
      <c r="F56" s="122">
        <f>'Rates in Detail'!Z47</f>
        <v>-6.0000000000000002E-5</v>
      </c>
      <c r="G56" s="157"/>
      <c r="H56" s="157"/>
      <c r="I56" s="373">
        <f>'Rev Req Proof Yr2'!H56</f>
        <v>5.9159999999999997E-2</v>
      </c>
      <c r="J56" s="774">
        <f t="shared" si="10"/>
        <v>6.3519999999999993E-2</v>
      </c>
      <c r="K56" s="157"/>
      <c r="L56" s="155"/>
      <c r="M56" s="156"/>
      <c r="N56" s="122"/>
      <c r="O56" s="122"/>
      <c r="P56" s="122"/>
      <c r="Q56" s="774"/>
      <c r="R56" s="157"/>
      <c r="S56" s="298">
        <f>'Rev Req Proof Yr1'!R56</f>
        <v>0</v>
      </c>
      <c r="T56" s="299"/>
      <c r="U56" s="300"/>
      <c r="V56" s="301"/>
      <c r="W56" s="157"/>
      <c r="X56" s="313">
        <f t="shared" si="123"/>
        <v>0</v>
      </c>
      <c r="Y56" s="309">
        <f t="shared" si="124"/>
        <v>0</v>
      </c>
      <c r="Z56" s="314">
        <f t="shared" si="125"/>
        <v>0</v>
      </c>
      <c r="AA56" s="309"/>
      <c r="AB56" s="313">
        <f t="shared" si="126"/>
        <v>0</v>
      </c>
      <c r="AC56" s="309">
        <f t="shared" si="127"/>
        <v>0</v>
      </c>
      <c r="AD56" s="314">
        <f t="shared" si="128"/>
        <v>0</v>
      </c>
      <c r="AE56" s="309"/>
      <c r="AF56" s="313">
        <f t="shared" si="129"/>
        <v>0</v>
      </c>
      <c r="AG56" s="309">
        <v>0</v>
      </c>
      <c r="AH56" s="314">
        <v>0</v>
      </c>
      <c r="AI56" s="309"/>
      <c r="AJ56" s="313">
        <f t="shared" si="130"/>
        <v>0</v>
      </c>
      <c r="AK56" s="309">
        <f t="shared" si="131"/>
        <v>0</v>
      </c>
      <c r="AL56" s="314">
        <f t="shared" si="131"/>
        <v>0</v>
      </c>
      <c r="AM56" s="309"/>
      <c r="AN56" s="338"/>
      <c r="AO56" s="340" t="e">
        <f t="shared" si="122"/>
        <v>#DIV/0!</v>
      </c>
      <c r="AP56" s="309"/>
      <c r="AQ56" s="313">
        <f t="shared" si="132"/>
        <v>0</v>
      </c>
      <c r="AR56" s="309">
        <v>0</v>
      </c>
      <c r="AS56" s="314">
        <v>0</v>
      </c>
      <c r="AT56" s="309"/>
      <c r="AU56" s="310"/>
      <c r="AV56" s="310"/>
      <c r="AW56" s="309"/>
    </row>
    <row r="57" spans="1:49" x14ac:dyDescent="0.2">
      <c r="A57" s="86">
        <f t="shared" si="4"/>
        <v>50</v>
      </c>
      <c r="B57" s="725"/>
      <c r="C57" s="726" t="s">
        <v>9</v>
      </c>
      <c r="D57" s="157"/>
      <c r="E57" s="122">
        <f>'Rates in Detail'!Y48</f>
        <v>1.64E-3</v>
      </c>
      <c r="F57" s="122">
        <f>'Rates in Detail'!Z48</f>
        <v>-2.0000000000000002E-5</v>
      </c>
      <c r="G57" s="157"/>
      <c r="H57" s="157"/>
      <c r="I57" s="373">
        <f>'Rev Req Proof Yr2'!H57</f>
        <v>2.2179999999999998E-2</v>
      </c>
      <c r="J57" s="774">
        <f t="shared" si="10"/>
        <v>2.3819999999999997E-2</v>
      </c>
      <c r="K57" s="157"/>
      <c r="L57" s="155"/>
      <c r="M57" s="156"/>
      <c r="N57" s="122"/>
      <c r="O57" s="122"/>
      <c r="P57" s="122"/>
      <c r="Q57" s="774"/>
      <c r="R57" s="157"/>
      <c r="S57" s="298">
        <f>'Rev Req Proof Yr1'!R57</f>
        <v>0</v>
      </c>
      <c r="T57" s="299"/>
      <c r="U57" s="300"/>
      <c r="V57" s="301"/>
      <c r="W57" s="157"/>
      <c r="X57" s="313">
        <f t="shared" si="123"/>
        <v>0</v>
      </c>
      <c r="Y57" s="309">
        <f t="shared" si="124"/>
        <v>0</v>
      </c>
      <c r="Z57" s="314">
        <f t="shared" si="125"/>
        <v>0</v>
      </c>
      <c r="AA57" s="309"/>
      <c r="AB57" s="313">
        <f t="shared" si="126"/>
        <v>0</v>
      </c>
      <c r="AC57" s="309">
        <f t="shared" si="127"/>
        <v>0</v>
      </c>
      <c r="AD57" s="314">
        <f t="shared" si="128"/>
        <v>0</v>
      </c>
      <c r="AE57" s="309"/>
      <c r="AF57" s="313">
        <f t="shared" si="129"/>
        <v>0</v>
      </c>
      <c r="AG57" s="309">
        <v>0</v>
      </c>
      <c r="AH57" s="314">
        <v>0</v>
      </c>
      <c r="AI57" s="309"/>
      <c r="AJ57" s="313">
        <f t="shared" si="130"/>
        <v>0</v>
      </c>
      <c r="AK57" s="309">
        <f t="shared" si="131"/>
        <v>0</v>
      </c>
      <c r="AL57" s="314">
        <f t="shared" si="131"/>
        <v>0</v>
      </c>
      <c r="AM57" s="309"/>
      <c r="AN57" s="338"/>
      <c r="AO57" s="340" t="e">
        <f>AO56</f>
        <v>#DIV/0!</v>
      </c>
      <c r="AP57" s="309"/>
      <c r="AQ57" s="313">
        <f t="shared" si="132"/>
        <v>0</v>
      </c>
      <c r="AR57" s="309">
        <v>0</v>
      </c>
      <c r="AS57" s="314">
        <v>0</v>
      </c>
      <c r="AT57" s="309"/>
      <c r="AU57" s="318"/>
      <c r="AV57" s="310"/>
      <c r="AW57" s="309"/>
    </row>
    <row r="58" spans="1:49" x14ac:dyDescent="0.2">
      <c r="A58" s="86">
        <f t="shared" si="4"/>
        <v>51</v>
      </c>
      <c r="B58" s="723"/>
      <c r="C58" s="742" t="s">
        <v>78</v>
      </c>
      <c r="D58" s="153"/>
      <c r="E58" s="123"/>
      <c r="F58" s="123"/>
      <c r="G58" s="153"/>
      <c r="H58" s="153"/>
      <c r="I58" s="368"/>
      <c r="J58" s="773"/>
      <c r="K58" s="157"/>
      <c r="L58" s="155"/>
      <c r="M58" s="156"/>
      <c r="N58" s="122"/>
      <c r="O58" s="122"/>
      <c r="P58" s="122"/>
      <c r="Q58" s="774"/>
      <c r="R58" s="157"/>
      <c r="S58" s="298"/>
      <c r="T58" s="299"/>
      <c r="U58" s="300"/>
      <c r="V58" s="301"/>
      <c r="W58" s="157"/>
      <c r="X58" s="315">
        <f>SUM(X52:X57)</f>
        <v>312296.68874999997</v>
      </c>
      <c r="Y58" s="316">
        <f>SUM(Y52:Y57)</f>
        <v>74400</v>
      </c>
      <c r="Z58" s="317">
        <f>SUM(Z52:Z57)</f>
        <v>19802.795040000001</v>
      </c>
      <c r="AA58" s="309"/>
      <c r="AB58" s="315">
        <f>SUM(AB52:AB57)</f>
        <v>335317.46114999999</v>
      </c>
      <c r="AC58" s="316">
        <f>SUM(AC52:AC57)</f>
        <v>74400</v>
      </c>
      <c r="AD58" s="317">
        <f>SUM(AD52:AD57)</f>
        <v>19802.795040000001</v>
      </c>
      <c r="AE58" s="309"/>
      <c r="AF58" s="315">
        <f>SUM(AF52:AF57)</f>
        <v>-326.73435000000001</v>
      </c>
      <c r="AG58" s="316">
        <f>SUM(AG52:AG57)</f>
        <v>0</v>
      </c>
      <c r="AH58" s="317">
        <f>SUM(AH52:AH57)</f>
        <v>0</v>
      </c>
      <c r="AI58" s="309"/>
      <c r="AJ58" s="315">
        <f>SUM(AJ52:AJ57)</f>
        <v>22694.038050000025</v>
      </c>
      <c r="AK58" s="316">
        <f>SUM(AK52:AK57)</f>
        <v>0</v>
      </c>
      <c r="AL58" s="317">
        <f>SUM(AL52:AL57)</f>
        <v>0</v>
      </c>
      <c r="AM58" s="309"/>
      <c r="AN58" s="338">
        <f>SUM(AJ58:AL58)/SUM(X58:Z58)</f>
        <v>5.5827962777251397E-2</v>
      </c>
      <c r="AO58" s="339">
        <f t="shared" ref="AO58:AO70" si="133">SUM(AJ58)/SUM(X58)</f>
        <v>7.2668199399856831E-2</v>
      </c>
      <c r="AP58" s="309"/>
      <c r="AQ58" s="315">
        <f>SUM(AQ52:AQ57)</f>
        <v>0</v>
      </c>
      <c r="AR58" s="316">
        <f>SUM(AR52:AR57)</f>
        <v>0</v>
      </c>
      <c r="AS58" s="317">
        <f>SUM(AS52:AS57)</f>
        <v>0</v>
      </c>
      <c r="AT58" s="309"/>
      <c r="AU58" s="310"/>
      <c r="AV58" s="310"/>
      <c r="AW58" s="309"/>
    </row>
    <row r="59" spans="1:49" x14ac:dyDescent="0.2">
      <c r="A59" s="86">
        <f t="shared" si="4"/>
        <v>52</v>
      </c>
      <c r="B59" s="725" t="str">
        <f>'WA Volumes &amp; Revenues'!B51</f>
        <v>42I Firm Transpt</v>
      </c>
      <c r="C59" s="726" t="s">
        <v>4</v>
      </c>
      <c r="D59" s="157"/>
      <c r="E59" s="122">
        <f>'Rates in Detail'!Y49</f>
        <v>1.2070000000000001E-2</v>
      </c>
      <c r="F59" s="122">
        <f>'Rates in Detail'!Z49</f>
        <v>-1.7000000000000001E-4</v>
      </c>
      <c r="G59" s="157"/>
      <c r="H59" s="157"/>
      <c r="I59" s="373">
        <f>'Rev Req Proof Yr2'!H59</f>
        <v>0.16338</v>
      </c>
      <c r="J59" s="774">
        <f t="shared" si="10"/>
        <v>0.17544999999999999</v>
      </c>
      <c r="K59" s="157"/>
      <c r="L59" s="155">
        <f>'Rev Req Proof Yr1'!K59</f>
        <v>1550</v>
      </c>
      <c r="M59" s="156">
        <f>'Rev Req Proof Yr1'!L59</f>
        <v>1550</v>
      </c>
      <c r="N59" s="122">
        <f>'Rev Req Proof Yr1'!M59</f>
        <v>0.15748000000000001</v>
      </c>
      <c r="O59" s="122">
        <f>'Rev Req Proof Yr1'!N59</f>
        <v>0.15748000000000001</v>
      </c>
      <c r="P59" s="122">
        <f>'Rev Req Proof Yr1'!O59</f>
        <v>0</v>
      </c>
      <c r="Q59" s="774">
        <f>'Rev Req Proof Yr1'!P59</f>
        <v>0</v>
      </c>
      <c r="R59" s="157"/>
      <c r="S59" s="298">
        <f>'Rev Req Proof Yr1'!R59</f>
        <v>924395</v>
      </c>
      <c r="T59" s="299">
        <f>'Rev Req Proof Yr1'!S59</f>
        <v>26810</v>
      </c>
      <c r="U59" s="300">
        <f>'Rev Req Proof Yr1'!T59</f>
        <v>8.9166666666666661</v>
      </c>
      <c r="V59" s="301">
        <f>'Rev Req Proof Yr1'!U59</f>
        <v>63374</v>
      </c>
      <c r="W59" s="157"/>
      <c r="X59" s="313">
        <f t="shared" ref="X59:X64" si="134">(I59*S59)</f>
        <v>151027.6551</v>
      </c>
      <c r="Y59" s="309">
        <f t="shared" ref="Y59:Y64" si="135">(L59*U59*12)</f>
        <v>165850</v>
      </c>
      <c r="Z59" s="314">
        <f t="shared" ref="Z59:Z64" si="136">(T59*(N59+P59))*12</f>
        <v>50664.465600000003</v>
      </c>
      <c r="AA59" s="309"/>
      <c r="AB59" s="313">
        <f t="shared" ref="AB59:AB64" si="137">(J59*S59)</f>
        <v>162185.10274999999</v>
      </c>
      <c r="AC59" s="309">
        <f t="shared" ref="AC59:AC64" si="138">(M59*U59*12)</f>
        <v>165850</v>
      </c>
      <c r="AD59" s="314">
        <f t="shared" ref="AD59:AD64" si="139">(T59*(O59+Q59))*12</f>
        <v>50664.465600000003</v>
      </c>
      <c r="AE59" s="309"/>
      <c r="AF59" s="313">
        <f t="shared" ref="AF59:AF64" si="140">(F59*S59)</f>
        <v>-157.14715000000001</v>
      </c>
      <c r="AG59" s="309">
        <v>0</v>
      </c>
      <c r="AH59" s="314">
        <v>0</v>
      </c>
      <c r="AI59" s="309"/>
      <c r="AJ59" s="313">
        <f t="shared" ref="AJ59:AJ64" si="141">AB59-X59+AF59</f>
        <v>11000.300499999987</v>
      </c>
      <c r="AK59" s="309">
        <f t="shared" ref="AK59:AL64" si="142">AC59-Y59-AG59</f>
        <v>0</v>
      </c>
      <c r="AL59" s="314">
        <f t="shared" si="142"/>
        <v>0</v>
      </c>
      <c r="AM59" s="309"/>
      <c r="AN59" s="338"/>
      <c r="AO59" s="340">
        <f t="shared" si="133"/>
        <v>7.2836332476435214E-2</v>
      </c>
      <c r="AP59" s="309"/>
      <c r="AQ59" s="313">
        <f t="shared" ref="AQ59:AQ64" si="143">(G59*S59)</f>
        <v>0</v>
      </c>
      <c r="AR59" s="309">
        <v>0</v>
      </c>
      <c r="AS59" s="314">
        <v>0</v>
      </c>
      <c r="AT59" s="309"/>
      <c r="AU59" s="310"/>
      <c r="AV59" s="310"/>
      <c r="AW59" s="309"/>
    </row>
    <row r="60" spans="1:49" x14ac:dyDescent="0.2">
      <c r="A60" s="86">
        <f t="shared" si="4"/>
        <v>53</v>
      </c>
      <c r="B60" s="725"/>
      <c r="C60" s="726" t="s">
        <v>5</v>
      </c>
      <c r="D60" s="157"/>
      <c r="E60" s="122">
        <f>'Rates in Detail'!Y50</f>
        <v>1.0800000000000001E-2</v>
      </c>
      <c r="F60" s="122">
        <f>'Rates in Detail'!Z50</f>
        <v>-1.4999999999999999E-4</v>
      </c>
      <c r="G60" s="157"/>
      <c r="H60" s="157"/>
      <c r="I60" s="373">
        <f>'Rev Req Proof Yr2'!H60</f>
        <v>0.14624000000000001</v>
      </c>
      <c r="J60" s="774">
        <f t="shared" si="10"/>
        <v>0.15704000000000001</v>
      </c>
      <c r="K60" s="157"/>
      <c r="L60" s="155"/>
      <c r="M60" s="156"/>
      <c r="N60" s="122"/>
      <c r="O60" s="122"/>
      <c r="P60" s="122"/>
      <c r="Q60" s="774"/>
      <c r="R60" s="157"/>
      <c r="S60" s="298">
        <f>'Rev Req Proof Yr1'!R60</f>
        <v>1036796</v>
      </c>
      <c r="T60" s="299"/>
      <c r="U60" s="300"/>
      <c r="V60" s="301"/>
      <c r="W60" s="157"/>
      <c r="X60" s="313">
        <f t="shared" si="134"/>
        <v>151621.04704</v>
      </c>
      <c r="Y60" s="309">
        <f t="shared" si="135"/>
        <v>0</v>
      </c>
      <c r="Z60" s="314">
        <f t="shared" si="136"/>
        <v>0</v>
      </c>
      <c r="AA60" s="309"/>
      <c r="AB60" s="313">
        <f t="shared" si="137"/>
        <v>162818.44384000002</v>
      </c>
      <c r="AC60" s="309">
        <f t="shared" si="138"/>
        <v>0</v>
      </c>
      <c r="AD60" s="314">
        <f t="shared" si="139"/>
        <v>0</v>
      </c>
      <c r="AE60" s="309"/>
      <c r="AF60" s="313">
        <f t="shared" si="140"/>
        <v>-155.51939999999999</v>
      </c>
      <c r="AG60" s="309">
        <v>0</v>
      </c>
      <c r="AH60" s="314">
        <v>0</v>
      </c>
      <c r="AI60" s="309"/>
      <c r="AJ60" s="313">
        <f t="shared" si="141"/>
        <v>11041.877400000018</v>
      </c>
      <c r="AK60" s="309">
        <f t="shared" si="142"/>
        <v>0</v>
      </c>
      <c r="AL60" s="314">
        <f t="shared" si="142"/>
        <v>0</v>
      </c>
      <c r="AM60" s="309"/>
      <c r="AN60" s="338"/>
      <c r="AO60" s="340">
        <f t="shared" si="133"/>
        <v>7.2825492341356782E-2</v>
      </c>
      <c r="AP60" s="309"/>
      <c r="AQ60" s="313">
        <f t="shared" si="143"/>
        <v>0</v>
      </c>
      <c r="AR60" s="309">
        <v>0</v>
      </c>
      <c r="AS60" s="314">
        <v>0</v>
      </c>
      <c r="AT60" s="309"/>
      <c r="AU60" s="310"/>
      <c r="AV60" s="310"/>
      <c r="AW60" s="309"/>
    </row>
    <row r="61" spans="1:49" x14ac:dyDescent="0.2">
      <c r="A61" s="86">
        <f t="shared" si="4"/>
        <v>54</v>
      </c>
      <c r="B61" s="725"/>
      <c r="C61" s="726" t="s">
        <v>6</v>
      </c>
      <c r="D61" s="157"/>
      <c r="E61" s="122">
        <f>'Rates in Detail'!Y51</f>
        <v>8.2799999999999992E-3</v>
      </c>
      <c r="F61" s="122">
        <f>'Rates in Detail'!Z51</f>
        <v>-1.2E-4</v>
      </c>
      <c r="G61" s="157"/>
      <c r="H61" s="157"/>
      <c r="I61" s="373">
        <f>'Rev Req Proof Yr2'!H61</f>
        <v>0.11214</v>
      </c>
      <c r="J61" s="774">
        <f t="shared" si="10"/>
        <v>0.12042</v>
      </c>
      <c r="K61" s="157"/>
      <c r="L61" s="155"/>
      <c r="M61" s="156"/>
      <c r="N61" s="122"/>
      <c r="O61" s="122"/>
      <c r="P61" s="122"/>
      <c r="Q61" s="774"/>
      <c r="R61" s="157"/>
      <c r="S61" s="298">
        <f>'Rev Req Proof Yr1'!R61</f>
        <v>937215</v>
      </c>
      <c r="T61" s="299"/>
      <c r="U61" s="300"/>
      <c r="V61" s="301"/>
      <c r="W61" s="157"/>
      <c r="X61" s="313">
        <f t="shared" si="134"/>
        <v>105099.2901</v>
      </c>
      <c r="Y61" s="309">
        <f t="shared" si="135"/>
        <v>0</v>
      </c>
      <c r="Z61" s="314">
        <f t="shared" si="136"/>
        <v>0</v>
      </c>
      <c r="AA61" s="309"/>
      <c r="AB61" s="313">
        <f t="shared" si="137"/>
        <v>112859.43029999999</v>
      </c>
      <c r="AC61" s="309">
        <f t="shared" si="138"/>
        <v>0</v>
      </c>
      <c r="AD61" s="314">
        <f t="shared" si="139"/>
        <v>0</v>
      </c>
      <c r="AE61" s="309"/>
      <c r="AF61" s="313">
        <f t="shared" si="140"/>
        <v>-112.4658</v>
      </c>
      <c r="AG61" s="309">
        <v>0</v>
      </c>
      <c r="AH61" s="314">
        <v>0</v>
      </c>
      <c r="AI61" s="309"/>
      <c r="AJ61" s="313">
        <f t="shared" si="141"/>
        <v>7647.6743999999944</v>
      </c>
      <c r="AK61" s="309">
        <f t="shared" si="142"/>
        <v>0</v>
      </c>
      <c r="AL61" s="314">
        <f t="shared" si="142"/>
        <v>0</v>
      </c>
      <c r="AM61" s="309"/>
      <c r="AN61" s="338"/>
      <c r="AO61" s="340">
        <f t="shared" si="133"/>
        <v>7.2766185125735641E-2</v>
      </c>
      <c r="AP61" s="309"/>
      <c r="AQ61" s="313">
        <f t="shared" si="143"/>
        <v>0</v>
      </c>
      <c r="AR61" s="309">
        <v>0</v>
      </c>
      <c r="AS61" s="314">
        <v>0</v>
      </c>
      <c r="AT61" s="309"/>
      <c r="AU61" s="310"/>
      <c r="AV61" s="310"/>
      <c r="AW61" s="309"/>
    </row>
    <row r="62" spans="1:49" x14ac:dyDescent="0.2">
      <c r="A62" s="86">
        <f t="shared" si="4"/>
        <v>55</v>
      </c>
      <c r="B62" s="725"/>
      <c r="C62" s="726" t="s">
        <v>7</v>
      </c>
      <c r="D62" s="157"/>
      <c r="E62" s="122">
        <f>'Rates in Detail'!Y52</f>
        <v>6.6299999999999996E-3</v>
      </c>
      <c r="F62" s="122">
        <f>'Rates in Detail'!Z52</f>
        <v>-9.0000000000000006E-5</v>
      </c>
      <c r="G62" s="157"/>
      <c r="H62" s="157"/>
      <c r="I62" s="373">
        <f>'Rev Req Proof Yr2'!H62</f>
        <v>8.9730000000000004E-2</v>
      </c>
      <c r="J62" s="774">
        <f t="shared" si="10"/>
        <v>9.6360000000000001E-2</v>
      </c>
      <c r="K62" s="157"/>
      <c r="L62" s="155"/>
      <c r="M62" s="156"/>
      <c r="N62" s="122"/>
      <c r="O62" s="122"/>
      <c r="P62" s="122"/>
      <c r="Q62" s="774"/>
      <c r="R62" s="157"/>
      <c r="S62" s="298">
        <f>'Rev Req Proof Yr1'!R62</f>
        <v>2390318</v>
      </c>
      <c r="T62" s="299"/>
      <c r="U62" s="300"/>
      <c r="V62" s="301"/>
      <c r="W62" s="157"/>
      <c r="X62" s="313">
        <f t="shared" si="134"/>
        <v>214483.23414000002</v>
      </c>
      <c r="Y62" s="309">
        <f t="shared" si="135"/>
        <v>0</v>
      </c>
      <c r="Z62" s="314">
        <f t="shared" si="136"/>
        <v>0</v>
      </c>
      <c r="AA62" s="309"/>
      <c r="AB62" s="313">
        <f t="shared" si="137"/>
        <v>230331.04248</v>
      </c>
      <c r="AC62" s="309">
        <f t="shared" si="138"/>
        <v>0</v>
      </c>
      <c r="AD62" s="314">
        <f t="shared" si="139"/>
        <v>0</v>
      </c>
      <c r="AE62" s="309"/>
      <c r="AF62" s="313">
        <f t="shared" si="140"/>
        <v>-215.12862000000001</v>
      </c>
      <c r="AG62" s="309">
        <v>0</v>
      </c>
      <c r="AH62" s="314">
        <v>0</v>
      </c>
      <c r="AI62" s="309"/>
      <c r="AJ62" s="313">
        <f t="shared" si="141"/>
        <v>15632.679719999989</v>
      </c>
      <c r="AK62" s="309">
        <f t="shared" si="142"/>
        <v>0</v>
      </c>
      <c r="AL62" s="314">
        <f t="shared" si="142"/>
        <v>0</v>
      </c>
      <c r="AM62" s="309"/>
      <c r="AN62" s="338"/>
      <c r="AO62" s="340">
        <f t="shared" si="133"/>
        <v>7.2885322634570315E-2</v>
      </c>
      <c r="AP62" s="309"/>
      <c r="AQ62" s="313">
        <f t="shared" si="143"/>
        <v>0</v>
      </c>
      <c r="AR62" s="309">
        <v>0</v>
      </c>
      <c r="AS62" s="314">
        <v>0</v>
      </c>
      <c r="AT62" s="309"/>
      <c r="AU62" s="310"/>
      <c r="AV62" s="310"/>
      <c r="AW62" s="309"/>
    </row>
    <row r="63" spans="1:49" x14ac:dyDescent="0.2">
      <c r="A63" s="86">
        <f t="shared" si="4"/>
        <v>56</v>
      </c>
      <c r="B63" s="725"/>
      <c r="C63" s="726" t="s">
        <v>8</v>
      </c>
      <c r="D63" s="157"/>
      <c r="E63" s="122">
        <f>'Rates in Detail'!Y53</f>
        <v>4.4200000000000003E-3</v>
      </c>
      <c r="F63" s="122">
        <f>'Rates in Detail'!Z53</f>
        <v>-6.0000000000000002E-5</v>
      </c>
      <c r="G63" s="157"/>
      <c r="H63" s="157"/>
      <c r="I63" s="373">
        <f>'Rev Req Proof Yr2'!H63</f>
        <v>5.9810000000000002E-2</v>
      </c>
      <c r="J63" s="774">
        <f t="shared" si="10"/>
        <v>6.4230000000000009E-2</v>
      </c>
      <c r="K63" s="157"/>
      <c r="L63" s="155"/>
      <c r="M63" s="156"/>
      <c r="N63" s="122"/>
      <c r="O63" s="122"/>
      <c r="P63" s="122"/>
      <c r="Q63" s="774"/>
      <c r="R63" s="157"/>
      <c r="S63" s="298">
        <f>'Rev Req Proof Yr1'!R63</f>
        <v>1492257</v>
      </c>
      <c r="T63" s="299"/>
      <c r="U63" s="300"/>
      <c r="V63" s="301"/>
      <c r="W63" s="157"/>
      <c r="X63" s="313">
        <f t="shared" si="134"/>
        <v>89251.891170000003</v>
      </c>
      <c r="Y63" s="309">
        <f t="shared" si="135"/>
        <v>0</v>
      </c>
      <c r="Z63" s="314">
        <f t="shared" si="136"/>
        <v>0</v>
      </c>
      <c r="AA63" s="309"/>
      <c r="AB63" s="313">
        <f t="shared" si="137"/>
        <v>95847.667110000009</v>
      </c>
      <c r="AC63" s="309">
        <f t="shared" si="138"/>
        <v>0</v>
      </c>
      <c r="AD63" s="314">
        <f t="shared" si="139"/>
        <v>0</v>
      </c>
      <c r="AE63" s="309"/>
      <c r="AF63" s="313">
        <f t="shared" si="140"/>
        <v>-89.535420000000002</v>
      </c>
      <c r="AG63" s="309">
        <v>0</v>
      </c>
      <c r="AH63" s="314">
        <v>0</v>
      </c>
      <c r="AI63" s="309"/>
      <c r="AJ63" s="313">
        <f t="shared" si="141"/>
        <v>6506.2405200000067</v>
      </c>
      <c r="AK63" s="309">
        <f t="shared" si="142"/>
        <v>0</v>
      </c>
      <c r="AL63" s="314">
        <f t="shared" si="142"/>
        <v>0</v>
      </c>
      <c r="AM63" s="309"/>
      <c r="AN63" s="338"/>
      <c r="AO63" s="340">
        <f t="shared" si="133"/>
        <v>7.2897508777796424E-2</v>
      </c>
      <c r="AP63" s="309"/>
      <c r="AQ63" s="313">
        <f t="shared" si="143"/>
        <v>0</v>
      </c>
      <c r="AR63" s="309">
        <v>0</v>
      </c>
      <c r="AS63" s="314">
        <v>0</v>
      </c>
      <c r="AT63" s="309"/>
      <c r="AU63" s="310"/>
      <c r="AV63" s="310"/>
      <c r="AW63" s="309"/>
    </row>
    <row r="64" spans="1:49" x14ac:dyDescent="0.2">
      <c r="A64" s="86">
        <f t="shared" si="4"/>
        <v>57</v>
      </c>
      <c r="B64" s="725"/>
      <c r="C64" s="726" t="s">
        <v>9</v>
      </c>
      <c r="D64" s="157"/>
      <c r="E64" s="122">
        <f>'Rates in Detail'!Y54</f>
        <v>1.66E-3</v>
      </c>
      <c r="F64" s="122">
        <f>'Rates in Detail'!Z54</f>
        <v>-2.0000000000000002E-5</v>
      </c>
      <c r="G64" s="157"/>
      <c r="H64" s="157"/>
      <c r="I64" s="373">
        <f>'Rev Req Proof Yr2'!H64</f>
        <v>2.2429999999999999E-2</v>
      </c>
      <c r="J64" s="774">
        <f t="shared" si="10"/>
        <v>2.409E-2</v>
      </c>
      <c r="K64" s="157"/>
      <c r="L64" s="155"/>
      <c r="M64" s="156"/>
      <c r="N64" s="122"/>
      <c r="O64" s="122"/>
      <c r="P64" s="122"/>
      <c r="Q64" s="774"/>
      <c r="R64" s="157"/>
      <c r="S64" s="298">
        <f>'Rev Req Proof Yr1'!R64</f>
        <v>0</v>
      </c>
      <c r="T64" s="299"/>
      <c r="U64" s="300"/>
      <c r="V64" s="301"/>
      <c r="W64" s="157"/>
      <c r="X64" s="313">
        <f t="shared" si="134"/>
        <v>0</v>
      </c>
      <c r="Y64" s="309">
        <f t="shared" si="135"/>
        <v>0</v>
      </c>
      <c r="Z64" s="314">
        <f t="shared" si="136"/>
        <v>0</v>
      </c>
      <c r="AA64" s="309"/>
      <c r="AB64" s="313">
        <f t="shared" si="137"/>
        <v>0</v>
      </c>
      <c r="AC64" s="309">
        <f t="shared" si="138"/>
        <v>0</v>
      </c>
      <c r="AD64" s="314">
        <f t="shared" si="139"/>
        <v>0</v>
      </c>
      <c r="AE64" s="309"/>
      <c r="AF64" s="313">
        <f t="shared" si="140"/>
        <v>0</v>
      </c>
      <c r="AG64" s="309">
        <v>0</v>
      </c>
      <c r="AH64" s="314">
        <v>0</v>
      </c>
      <c r="AI64" s="309"/>
      <c r="AJ64" s="313">
        <f t="shared" si="141"/>
        <v>0</v>
      </c>
      <c r="AK64" s="309">
        <f t="shared" si="142"/>
        <v>0</v>
      </c>
      <c r="AL64" s="314">
        <f t="shared" si="142"/>
        <v>0</v>
      </c>
      <c r="AM64" s="309"/>
      <c r="AN64" s="338"/>
      <c r="AO64" s="340" t="e">
        <f t="shared" si="133"/>
        <v>#DIV/0!</v>
      </c>
      <c r="AP64" s="309"/>
      <c r="AQ64" s="313">
        <f t="shared" si="143"/>
        <v>0</v>
      </c>
      <c r="AR64" s="309">
        <v>0</v>
      </c>
      <c r="AS64" s="314">
        <v>0</v>
      </c>
      <c r="AT64" s="309"/>
      <c r="AU64" s="310"/>
      <c r="AV64" s="310"/>
      <c r="AW64" s="309"/>
    </row>
    <row r="65" spans="1:49" x14ac:dyDescent="0.2">
      <c r="A65" s="86">
        <f t="shared" si="4"/>
        <v>58</v>
      </c>
      <c r="B65" s="723"/>
      <c r="C65" s="742" t="s">
        <v>78</v>
      </c>
      <c r="D65" s="153"/>
      <c r="E65" s="123"/>
      <c r="F65" s="123"/>
      <c r="G65" s="153"/>
      <c r="H65" s="153"/>
      <c r="I65" s="368"/>
      <c r="J65" s="773"/>
      <c r="K65" s="157"/>
      <c r="L65" s="155"/>
      <c r="M65" s="156"/>
      <c r="N65" s="122"/>
      <c r="O65" s="122"/>
      <c r="P65" s="122"/>
      <c r="Q65" s="774"/>
      <c r="R65" s="157"/>
      <c r="S65" s="298"/>
      <c r="T65" s="299"/>
      <c r="U65" s="300"/>
      <c r="V65" s="301"/>
      <c r="W65" s="157"/>
      <c r="X65" s="315">
        <f>SUM(X59:X64)</f>
        <v>711483.11754999997</v>
      </c>
      <c r="Y65" s="316">
        <f>SUM(Y59:Y64)</f>
        <v>165850</v>
      </c>
      <c r="Z65" s="317">
        <f>SUM(Z59:Z64)</f>
        <v>50664.465600000003</v>
      </c>
      <c r="AA65" s="309"/>
      <c r="AB65" s="315">
        <f>SUM(AB59:AB64)</f>
        <v>764041.68648000015</v>
      </c>
      <c r="AC65" s="316">
        <f>SUM(AC59:AC64)</f>
        <v>165850</v>
      </c>
      <c r="AD65" s="317">
        <f>SUM(AD59:AD64)</f>
        <v>50664.465600000003</v>
      </c>
      <c r="AE65" s="309"/>
      <c r="AF65" s="315">
        <f>SUM(AF59:AF64)</f>
        <v>-729.79639000000009</v>
      </c>
      <c r="AG65" s="316">
        <f>SUM(AG59:AG64)</f>
        <v>0</v>
      </c>
      <c r="AH65" s="317">
        <f>SUM(AH59:AH64)</f>
        <v>0</v>
      </c>
      <c r="AI65" s="309"/>
      <c r="AJ65" s="315">
        <f>SUM(AJ59:AJ64)</f>
        <v>51828.772539999991</v>
      </c>
      <c r="AK65" s="316">
        <f>SUM(AK59:AK64)</f>
        <v>0</v>
      </c>
      <c r="AL65" s="317">
        <f>SUM(AL59:AL64)</f>
        <v>0</v>
      </c>
      <c r="AM65" s="309"/>
      <c r="AN65" s="338">
        <f>SUM(AJ65:AL65)/SUM(X65:Z65)</f>
        <v>5.5850115863526423E-2</v>
      </c>
      <c r="AO65" s="339">
        <f t="shared" si="133"/>
        <v>7.2846103107088389E-2</v>
      </c>
      <c r="AP65" s="309"/>
      <c r="AQ65" s="315">
        <f>SUM(AQ59:AQ64)</f>
        <v>0</v>
      </c>
      <c r="AR65" s="316">
        <f>SUM(AR59:AR64)</f>
        <v>0</v>
      </c>
      <c r="AS65" s="317">
        <f>SUM(AS59:AS64)</f>
        <v>0</v>
      </c>
      <c r="AT65" s="309"/>
      <c r="AU65" s="310"/>
      <c r="AV65" s="310"/>
      <c r="AW65" s="309"/>
    </row>
    <row r="66" spans="1:49" x14ac:dyDescent="0.2">
      <c r="A66" s="86">
        <f t="shared" si="4"/>
        <v>59</v>
      </c>
      <c r="B66" s="725" t="str">
        <f>'WA Volumes &amp; Revenues'!B57</f>
        <v>42C Interr Sales</v>
      </c>
      <c r="C66" s="726" t="s">
        <v>4</v>
      </c>
      <c r="D66" s="157"/>
      <c r="E66" s="122">
        <f>'Rates in Detail'!Y55</f>
        <v>1.252E-2</v>
      </c>
      <c r="F66" s="122">
        <f>'Rates in Detail'!Z55</f>
        <v>-1.8000000000000001E-4</v>
      </c>
      <c r="G66" s="157"/>
      <c r="H66" s="157"/>
      <c r="I66" s="373">
        <f>'Rev Req Proof Yr2'!H66</f>
        <v>0.16167999999999999</v>
      </c>
      <c r="J66" s="774">
        <f t="shared" si="10"/>
        <v>0.17419999999999999</v>
      </c>
      <c r="K66" s="157"/>
      <c r="L66" s="155">
        <f>'Rev Req Proof Yr1'!K66</f>
        <v>1300</v>
      </c>
      <c r="M66" s="156">
        <f>'Rev Req Proof Yr1'!L66</f>
        <v>1300</v>
      </c>
      <c r="N66" s="122">
        <f>'Rev Req Proof Yr1'!M66</f>
        <v>0</v>
      </c>
      <c r="O66" s="122">
        <f>'Rev Req Proof Yr1'!N66</f>
        <v>0</v>
      </c>
      <c r="P66" s="122">
        <f>'Rev Req Proof Yr1'!O66</f>
        <v>0</v>
      </c>
      <c r="Q66" s="774">
        <f>'Rev Req Proof Yr1'!P66</f>
        <v>0</v>
      </c>
      <c r="R66" s="157"/>
      <c r="S66" s="298">
        <f>'Rev Req Proof Yr1'!R66</f>
        <v>240000</v>
      </c>
      <c r="T66" s="299">
        <f>'Rev Req Proof Yr1'!S66</f>
        <v>4620</v>
      </c>
      <c r="U66" s="300">
        <f>'Rev Req Proof Yr1'!T66</f>
        <v>2</v>
      </c>
      <c r="V66" s="301">
        <f>'Rev Req Proof Yr1'!U66</f>
        <v>39322</v>
      </c>
      <c r="W66" s="157"/>
      <c r="X66" s="313">
        <f t="shared" ref="X66:X71" si="144">(I66*S66)</f>
        <v>38803.199999999997</v>
      </c>
      <c r="Y66" s="309">
        <f t="shared" ref="Y66:Y71" si="145">(L66*U66*12)</f>
        <v>31200</v>
      </c>
      <c r="Z66" s="314">
        <f t="shared" ref="Z66:Z71" si="146">(T66*(N66+P66))*12</f>
        <v>0</v>
      </c>
      <c r="AA66" s="309"/>
      <c r="AB66" s="313">
        <f t="shared" ref="AB66:AB71" si="147">(J66*S66)</f>
        <v>41808</v>
      </c>
      <c r="AC66" s="309">
        <f t="shared" ref="AC66:AC71" si="148">(M66*U66*12)</f>
        <v>31200</v>
      </c>
      <c r="AD66" s="314">
        <f t="shared" ref="AD66:AD71" si="149">(T66*(O66+Q66))*12</f>
        <v>0</v>
      </c>
      <c r="AE66" s="309"/>
      <c r="AF66" s="313">
        <f t="shared" ref="AF66:AF71" si="150">(F66*S66)</f>
        <v>-43.2</v>
      </c>
      <c r="AG66" s="309">
        <v>0</v>
      </c>
      <c r="AH66" s="314">
        <v>0</v>
      </c>
      <c r="AI66" s="309"/>
      <c r="AJ66" s="313">
        <f t="shared" ref="AJ66:AJ71" si="151">AB66-X66+AF66</f>
        <v>2961.6000000000031</v>
      </c>
      <c r="AK66" s="309">
        <f t="shared" ref="AK66:AL71" si="152">AC66-Y66-AG66</f>
        <v>0</v>
      </c>
      <c r="AL66" s="314">
        <f t="shared" si="152"/>
        <v>0</v>
      </c>
      <c r="AM66" s="309"/>
      <c r="AN66" s="338"/>
      <c r="AO66" s="340">
        <f t="shared" si="133"/>
        <v>7.6323602177140112E-2</v>
      </c>
      <c r="AP66" s="309"/>
      <c r="AQ66" s="313">
        <f t="shared" ref="AQ66:AQ71" si="153">(G66*S66)</f>
        <v>0</v>
      </c>
      <c r="AR66" s="309">
        <v>0</v>
      </c>
      <c r="AS66" s="314">
        <v>0</v>
      </c>
      <c r="AT66" s="309"/>
      <c r="AU66" s="310"/>
      <c r="AV66" s="310"/>
      <c r="AW66" s="309"/>
    </row>
    <row r="67" spans="1:49" x14ac:dyDescent="0.2">
      <c r="A67" s="86">
        <f t="shared" si="4"/>
        <v>60</v>
      </c>
      <c r="B67" s="725"/>
      <c r="C67" s="726" t="s">
        <v>5</v>
      </c>
      <c r="D67" s="157"/>
      <c r="E67" s="122">
        <f>'Rates in Detail'!Y56</f>
        <v>1.1209999999999999E-2</v>
      </c>
      <c r="F67" s="122">
        <f>'Rates in Detail'!Z56</f>
        <v>-1.6000000000000001E-4</v>
      </c>
      <c r="G67" s="157"/>
      <c r="H67" s="157"/>
      <c r="I67" s="373">
        <f>'Rev Req Proof Yr2'!H67</f>
        <v>0.14473</v>
      </c>
      <c r="J67" s="774">
        <f t="shared" si="10"/>
        <v>0.15594</v>
      </c>
      <c r="K67" s="157"/>
      <c r="L67" s="273"/>
      <c r="M67" s="55"/>
      <c r="N67" s="122"/>
      <c r="O67" s="122"/>
      <c r="P67" s="122"/>
      <c r="Q67" s="774"/>
      <c r="R67" s="157"/>
      <c r="S67" s="298">
        <f>'Rev Req Proof Yr1'!R67</f>
        <v>467511</v>
      </c>
      <c r="T67" s="299"/>
      <c r="U67" s="300"/>
      <c r="V67" s="301"/>
      <c r="W67" s="157"/>
      <c r="X67" s="313">
        <f t="shared" si="144"/>
        <v>67662.867029999994</v>
      </c>
      <c r="Y67" s="309">
        <f t="shared" si="145"/>
        <v>0</v>
      </c>
      <c r="Z67" s="314">
        <f t="shared" si="146"/>
        <v>0</v>
      </c>
      <c r="AA67" s="309"/>
      <c r="AB67" s="313">
        <f t="shared" si="147"/>
        <v>72903.665339999992</v>
      </c>
      <c r="AC67" s="309">
        <f t="shared" si="148"/>
        <v>0</v>
      </c>
      <c r="AD67" s="314">
        <f t="shared" si="149"/>
        <v>0</v>
      </c>
      <c r="AE67" s="309"/>
      <c r="AF67" s="313">
        <f t="shared" si="150"/>
        <v>-74.801760000000002</v>
      </c>
      <c r="AG67" s="309">
        <v>0</v>
      </c>
      <c r="AH67" s="314">
        <v>0</v>
      </c>
      <c r="AI67" s="309"/>
      <c r="AJ67" s="313">
        <f t="shared" si="151"/>
        <v>5165.996549999998</v>
      </c>
      <c r="AK67" s="309">
        <f t="shared" si="152"/>
        <v>0</v>
      </c>
      <c r="AL67" s="314">
        <f t="shared" si="152"/>
        <v>0</v>
      </c>
      <c r="AM67" s="309"/>
      <c r="AN67" s="338"/>
      <c r="AO67" s="340">
        <f t="shared" si="133"/>
        <v>7.6349063773923836E-2</v>
      </c>
      <c r="AP67" s="309"/>
      <c r="AQ67" s="313">
        <f t="shared" si="153"/>
        <v>0</v>
      </c>
      <c r="AR67" s="309">
        <v>0</v>
      </c>
      <c r="AS67" s="314">
        <v>0</v>
      </c>
      <c r="AT67" s="309"/>
      <c r="AU67" s="310"/>
      <c r="AV67" s="310"/>
      <c r="AW67" s="309"/>
    </row>
    <row r="68" spans="1:49" x14ac:dyDescent="0.2">
      <c r="A68" s="86">
        <f t="shared" si="4"/>
        <v>61</v>
      </c>
      <c r="B68" s="725"/>
      <c r="C68" s="726" t="s">
        <v>6</v>
      </c>
      <c r="D68" s="157"/>
      <c r="E68" s="122">
        <f>'Rates in Detail'!Y57</f>
        <v>8.5900000000000004E-3</v>
      </c>
      <c r="F68" s="122">
        <f>'Rates in Detail'!Z57</f>
        <v>-1.2E-4</v>
      </c>
      <c r="G68" s="157"/>
      <c r="H68" s="157"/>
      <c r="I68" s="373">
        <f>'Rev Req Proof Yr2'!H68</f>
        <v>0.11098</v>
      </c>
      <c r="J68" s="774">
        <f t="shared" si="10"/>
        <v>0.11957</v>
      </c>
      <c r="K68" s="157"/>
      <c r="L68" s="155"/>
      <c r="M68" s="156"/>
      <c r="N68" s="122"/>
      <c r="O68" s="122"/>
      <c r="P68" s="122"/>
      <c r="Q68" s="774"/>
      <c r="R68" s="157"/>
      <c r="S68" s="298">
        <f>'Rev Req Proof Yr1'!R68</f>
        <v>218004</v>
      </c>
      <c r="T68" s="299"/>
      <c r="U68" s="300"/>
      <c r="V68" s="301"/>
      <c r="W68" s="157"/>
      <c r="X68" s="313">
        <f t="shared" si="144"/>
        <v>24194.083919999997</v>
      </c>
      <c r="Y68" s="309">
        <f t="shared" si="145"/>
        <v>0</v>
      </c>
      <c r="Z68" s="314">
        <f t="shared" si="146"/>
        <v>0</v>
      </c>
      <c r="AA68" s="309"/>
      <c r="AB68" s="313">
        <f t="shared" si="147"/>
        <v>26066.738279999998</v>
      </c>
      <c r="AC68" s="309">
        <f t="shared" si="148"/>
        <v>0</v>
      </c>
      <c r="AD68" s="314">
        <f t="shared" si="149"/>
        <v>0</v>
      </c>
      <c r="AE68" s="309"/>
      <c r="AF68" s="313">
        <f t="shared" si="150"/>
        <v>-26.16048</v>
      </c>
      <c r="AG68" s="309">
        <v>0</v>
      </c>
      <c r="AH68" s="314">
        <v>0</v>
      </c>
      <c r="AI68" s="309"/>
      <c r="AJ68" s="313">
        <f t="shared" si="151"/>
        <v>1846.4938800000004</v>
      </c>
      <c r="AK68" s="309">
        <f t="shared" si="152"/>
        <v>0</v>
      </c>
      <c r="AL68" s="314">
        <f t="shared" si="152"/>
        <v>0</v>
      </c>
      <c r="AM68" s="309"/>
      <c r="AN68" s="338"/>
      <c r="AO68" s="340">
        <f t="shared" si="133"/>
        <v>7.6320057668048322E-2</v>
      </c>
      <c r="AP68" s="309"/>
      <c r="AQ68" s="313">
        <f t="shared" si="153"/>
        <v>0</v>
      </c>
      <c r="AR68" s="309">
        <v>0</v>
      </c>
      <c r="AS68" s="314">
        <v>0</v>
      </c>
      <c r="AT68" s="309"/>
      <c r="AU68" s="310"/>
      <c r="AV68" s="310"/>
      <c r="AW68" s="309"/>
    </row>
    <row r="69" spans="1:49" x14ac:dyDescent="0.2">
      <c r="A69" s="86">
        <f t="shared" si="4"/>
        <v>62</v>
      </c>
      <c r="B69" s="725"/>
      <c r="C69" s="726" t="s">
        <v>7</v>
      </c>
      <c r="D69" s="157"/>
      <c r="E69" s="122">
        <f>'Rates in Detail'!Y58</f>
        <v>6.8799999999999998E-3</v>
      </c>
      <c r="F69" s="122">
        <f>'Rates in Detail'!Z58</f>
        <v>-1E-4</v>
      </c>
      <c r="G69" s="157"/>
      <c r="H69" s="157"/>
      <c r="I69" s="373">
        <f>'Rev Req Proof Yr2'!H69</f>
        <v>8.8779999999999998E-2</v>
      </c>
      <c r="J69" s="774">
        <f t="shared" si="10"/>
        <v>9.5659999999999995E-2</v>
      </c>
      <c r="K69" s="157"/>
      <c r="L69" s="155"/>
      <c r="M69" s="156"/>
      <c r="N69" s="122"/>
      <c r="O69" s="122"/>
      <c r="P69" s="122"/>
      <c r="Q69" s="774"/>
      <c r="R69" s="157"/>
      <c r="S69" s="298">
        <f>'Rev Req Proof Yr1'!R69</f>
        <v>18208</v>
      </c>
      <c r="T69" s="299"/>
      <c r="U69" s="300"/>
      <c r="V69" s="301"/>
      <c r="W69" s="157"/>
      <c r="X69" s="313">
        <f t="shared" si="144"/>
        <v>1616.5062399999999</v>
      </c>
      <c r="Y69" s="309">
        <f t="shared" si="145"/>
        <v>0</v>
      </c>
      <c r="Z69" s="314">
        <f t="shared" si="146"/>
        <v>0</v>
      </c>
      <c r="AA69" s="309"/>
      <c r="AB69" s="313">
        <f t="shared" si="147"/>
        <v>1741.77728</v>
      </c>
      <c r="AC69" s="309">
        <f t="shared" si="148"/>
        <v>0</v>
      </c>
      <c r="AD69" s="314">
        <f t="shared" si="149"/>
        <v>0</v>
      </c>
      <c r="AE69" s="309"/>
      <c r="AF69" s="313">
        <f t="shared" si="150"/>
        <v>-1.8208000000000002</v>
      </c>
      <c r="AG69" s="309">
        <v>0</v>
      </c>
      <c r="AH69" s="314">
        <v>0</v>
      </c>
      <c r="AI69" s="309"/>
      <c r="AJ69" s="313">
        <f t="shared" si="151"/>
        <v>123.45024000000008</v>
      </c>
      <c r="AK69" s="309">
        <f t="shared" si="152"/>
        <v>0</v>
      </c>
      <c r="AL69" s="314">
        <f t="shared" si="152"/>
        <v>0</v>
      </c>
      <c r="AM69" s="309"/>
      <c r="AN69" s="338"/>
      <c r="AO69" s="340">
        <f t="shared" si="133"/>
        <v>7.6368551475557614E-2</v>
      </c>
      <c r="AP69" s="309"/>
      <c r="AQ69" s="313">
        <f t="shared" si="153"/>
        <v>0</v>
      </c>
      <c r="AR69" s="309">
        <v>0</v>
      </c>
      <c r="AS69" s="314">
        <v>0</v>
      </c>
      <c r="AT69" s="309"/>
      <c r="AU69" s="310"/>
      <c r="AV69" s="310"/>
      <c r="AW69" s="309"/>
    </row>
    <row r="70" spans="1:49" x14ac:dyDescent="0.2">
      <c r="A70" s="86">
        <f t="shared" si="4"/>
        <v>63</v>
      </c>
      <c r="B70" s="725"/>
      <c r="C70" s="726" t="s">
        <v>8</v>
      </c>
      <c r="D70" s="157"/>
      <c r="E70" s="122">
        <f>'Rates in Detail'!Y59</f>
        <v>4.5799999999999999E-3</v>
      </c>
      <c r="F70" s="122">
        <f>'Rates in Detail'!Z59</f>
        <v>-6.0000000000000002E-5</v>
      </c>
      <c r="G70" s="157"/>
      <c r="H70" s="157"/>
      <c r="I70" s="373">
        <f>'Rev Req Proof Yr2'!H70</f>
        <v>5.9200000000000003E-2</v>
      </c>
      <c r="J70" s="774">
        <f t="shared" si="10"/>
        <v>6.3780000000000003E-2</v>
      </c>
      <c r="K70" s="157"/>
      <c r="L70" s="155"/>
      <c r="M70" s="156"/>
      <c r="N70" s="122"/>
      <c r="O70" s="122"/>
      <c r="P70" s="122"/>
      <c r="Q70" s="774"/>
      <c r="R70" s="157"/>
      <c r="S70" s="298">
        <f>'Rev Req Proof Yr1'!R70</f>
        <v>0</v>
      </c>
      <c r="T70" s="299"/>
      <c r="U70" s="300"/>
      <c r="V70" s="301"/>
      <c r="W70" s="157"/>
      <c r="X70" s="313">
        <f t="shared" si="144"/>
        <v>0</v>
      </c>
      <c r="Y70" s="309">
        <f t="shared" si="145"/>
        <v>0</v>
      </c>
      <c r="Z70" s="314">
        <f t="shared" si="146"/>
        <v>0</v>
      </c>
      <c r="AA70" s="309"/>
      <c r="AB70" s="313">
        <f t="shared" si="147"/>
        <v>0</v>
      </c>
      <c r="AC70" s="309">
        <f t="shared" si="148"/>
        <v>0</v>
      </c>
      <c r="AD70" s="314">
        <f t="shared" si="149"/>
        <v>0</v>
      </c>
      <c r="AE70" s="309"/>
      <c r="AF70" s="313">
        <f t="shared" si="150"/>
        <v>0</v>
      </c>
      <c r="AG70" s="309">
        <v>0</v>
      </c>
      <c r="AH70" s="314">
        <v>0</v>
      </c>
      <c r="AI70" s="309"/>
      <c r="AJ70" s="313">
        <f t="shared" si="151"/>
        <v>0</v>
      </c>
      <c r="AK70" s="309">
        <f t="shared" si="152"/>
        <v>0</v>
      </c>
      <c r="AL70" s="314">
        <f t="shared" si="152"/>
        <v>0</v>
      </c>
      <c r="AM70" s="309"/>
      <c r="AN70" s="338"/>
      <c r="AO70" s="340" t="e">
        <f t="shared" si="133"/>
        <v>#DIV/0!</v>
      </c>
      <c r="AP70" s="309"/>
      <c r="AQ70" s="313">
        <f t="shared" si="153"/>
        <v>0</v>
      </c>
      <c r="AR70" s="309">
        <v>0</v>
      </c>
      <c r="AS70" s="314">
        <v>0</v>
      </c>
      <c r="AT70" s="309"/>
      <c r="AU70" s="310"/>
      <c r="AV70" s="310"/>
      <c r="AW70" s="309"/>
    </row>
    <row r="71" spans="1:49" x14ac:dyDescent="0.2">
      <c r="A71" s="86">
        <f t="shared" si="4"/>
        <v>64</v>
      </c>
      <c r="B71" s="725"/>
      <c r="C71" s="726" t="s">
        <v>9</v>
      </c>
      <c r="D71" s="157"/>
      <c r="E71" s="122">
        <f>'Rates in Detail'!Y60</f>
        <v>1.72E-3</v>
      </c>
      <c r="F71" s="122">
        <f>'Rates in Detail'!Z60</f>
        <v>-2.0000000000000002E-5</v>
      </c>
      <c r="G71" s="157"/>
      <c r="H71" s="157"/>
      <c r="I71" s="373">
        <f>'Rev Req Proof Yr2'!H71</f>
        <v>2.2210000000000001E-2</v>
      </c>
      <c r="J71" s="774">
        <f t="shared" si="10"/>
        <v>2.393E-2</v>
      </c>
      <c r="K71" s="157"/>
      <c r="L71" s="155"/>
      <c r="M71" s="156"/>
      <c r="N71" s="122"/>
      <c r="O71" s="122"/>
      <c r="P71" s="122"/>
      <c r="Q71" s="774"/>
      <c r="R71" s="157"/>
      <c r="S71" s="298">
        <f>'Rev Req Proof Yr1'!R71</f>
        <v>0</v>
      </c>
      <c r="T71" s="299"/>
      <c r="U71" s="300"/>
      <c r="V71" s="301"/>
      <c r="W71" s="157"/>
      <c r="X71" s="313">
        <f t="shared" si="144"/>
        <v>0</v>
      </c>
      <c r="Y71" s="309">
        <f t="shared" si="145"/>
        <v>0</v>
      </c>
      <c r="Z71" s="314">
        <f t="shared" si="146"/>
        <v>0</v>
      </c>
      <c r="AA71" s="309"/>
      <c r="AB71" s="313">
        <f t="shared" si="147"/>
        <v>0</v>
      </c>
      <c r="AC71" s="309">
        <f t="shared" si="148"/>
        <v>0</v>
      </c>
      <c r="AD71" s="314">
        <f t="shared" si="149"/>
        <v>0</v>
      </c>
      <c r="AE71" s="309"/>
      <c r="AF71" s="313">
        <f t="shared" si="150"/>
        <v>0</v>
      </c>
      <c r="AG71" s="309">
        <v>0</v>
      </c>
      <c r="AH71" s="314">
        <v>0</v>
      </c>
      <c r="AI71" s="309"/>
      <c r="AJ71" s="313">
        <f t="shared" si="151"/>
        <v>0</v>
      </c>
      <c r="AK71" s="309">
        <f t="shared" si="152"/>
        <v>0</v>
      </c>
      <c r="AL71" s="314">
        <f t="shared" si="152"/>
        <v>0</v>
      </c>
      <c r="AM71" s="309"/>
      <c r="AN71" s="338"/>
      <c r="AO71" s="340" t="e">
        <f>AO70</f>
        <v>#DIV/0!</v>
      </c>
      <c r="AP71" s="309"/>
      <c r="AQ71" s="313">
        <f t="shared" si="153"/>
        <v>0</v>
      </c>
      <c r="AR71" s="309">
        <v>0</v>
      </c>
      <c r="AS71" s="314">
        <v>0</v>
      </c>
      <c r="AT71" s="309"/>
      <c r="AU71" s="310"/>
      <c r="AV71" s="310"/>
      <c r="AW71" s="309"/>
    </row>
    <row r="72" spans="1:49" x14ac:dyDescent="0.2">
      <c r="A72" s="86">
        <f t="shared" si="4"/>
        <v>65</v>
      </c>
      <c r="B72" s="723"/>
      <c r="C72" s="742" t="s">
        <v>78</v>
      </c>
      <c r="D72" s="153"/>
      <c r="E72" s="123"/>
      <c r="F72" s="123"/>
      <c r="G72" s="153"/>
      <c r="H72" s="153"/>
      <c r="I72" s="368"/>
      <c r="J72" s="773"/>
      <c r="K72" s="157"/>
      <c r="L72" s="155"/>
      <c r="M72" s="156"/>
      <c r="N72" s="122"/>
      <c r="O72" s="122"/>
      <c r="P72" s="122"/>
      <c r="Q72" s="774"/>
      <c r="R72" s="157"/>
      <c r="S72" s="298"/>
      <c r="T72" s="299"/>
      <c r="U72" s="300"/>
      <c r="V72" s="301"/>
      <c r="W72" s="157"/>
      <c r="X72" s="315">
        <f>SUM(X66:X71)</f>
        <v>132276.65718999997</v>
      </c>
      <c r="Y72" s="316">
        <f>SUM(Y66:Y71)</f>
        <v>31200</v>
      </c>
      <c r="Z72" s="317">
        <f>SUM(Z66:Z71)</f>
        <v>0</v>
      </c>
      <c r="AA72" s="309"/>
      <c r="AB72" s="315">
        <f>SUM(AB66:AB71)</f>
        <v>142520.18090000001</v>
      </c>
      <c r="AC72" s="316">
        <f>SUM(AC66:AC71)</f>
        <v>31200</v>
      </c>
      <c r="AD72" s="317">
        <f>SUM(AD66:AD71)</f>
        <v>0</v>
      </c>
      <c r="AE72" s="309"/>
      <c r="AF72" s="315">
        <f>SUM(AF66:AF71)</f>
        <v>-145.98303999999999</v>
      </c>
      <c r="AG72" s="316">
        <f>SUM(AG66:AG71)</f>
        <v>0</v>
      </c>
      <c r="AH72" s="317">
        <f>SUM(AH66:AH71)</f>
        <v>0</v>
      </c>
      <c r="AI72" s="309"/>
      <c r="AJ72" s="315">
        <f>SUM(AJ66:AJ71)</f>
        <v>10097.540670000002</v>
      </c>
      <c r="AK72" s="316">
        <f>SUM(AK66:AK71)</f>
        <v>0</v>
      </c>
      <c r="AL72" s="317">
        <f>SUM(AL66:AL71)</f>
        <v>0</v>
      </c>
      <c r="AM72" s="309"/>
      <c r="AN72" s="338">
        <f>SUM(AJ72:AL72)/SUM(X72:Z72)</f>
        <v>6.1767477042695973E-2</v>
      </c>
      <c r="AO72" s="339">
        <f t="shared" ref="AO72:AO77" si="154">SUM(AJ72)/SUM(X72)</f>
        <v>7.633652743050548E-2</v>
      </c>
      <c r="AP72" s="309"/>
      <c r="AQ72" s="315">
        <f>SUM(AQ66:AQ71)</f>
        <v>0</v>
      </c>
      <c r="AR72" s="316">
        <f>SUM(AR66:AR71)</f>
        <v>0</v>
      </c>
      <c r="AS72" s="317">
        <f>SUM(AS66:AS71)</f>
        <v>0</v>
      </c>
      <c r="AT72" s="309"/>
      <c r="AU72" s="319"/>
      <c r="AV72" s="310"/>
      <c r="AW72" s="309"/>
    </row>
    <row r="73" spans="1:49" x14ac:dyDescent="0.2">
      <c r="A73" s="86">
        <f t="shared" si="4"/>
        <v>66</v>
      </c>
      <c r="B73" s="725" t="str">
        <f>'WA Volumes &amp; Revenues'!B63</f>
        <v>42I Interr Sales</v>
      </c>
      <c r="C73" s="726" t="s">
        <v>4</v>
      </c>
      <c r="D73" s="157"/>
      <c r="E73" s="122">
        <f>'Rates in Detail'!Y61</f>
        <v>1.728E-2</v>
      </c>
      <c r="F73" s="122">
        <f>'Rates in Detail'!Z61</f>
        <v>-2.4000000000000001E-4</v>
      </c>
      <c r="G73" s="157"/>
      <c r="H73" s="157"/>
      <c r="I73" s="373">
        <f>'Rev Req Proof Yr2'!H73</f>
        <v>0.18013999999999999</v>
      </c>
      <c r="J73" s="774">
        <f t="shared" si="10"/>
        <v>0.19741999999999998</v>
      </c>
      <c r="K73" s="157"/>
      <c r="L73" s="155">
        <f>'Rev Req Proof Yr1'!K73</f>
        <v>1300</v>
      </c>
      <c r="M73" s="156">
        <f>'Rev Req Proof Yr1'!L73</f>
        <v>1300</v>
      </c>
      <c r="N73" s="122">
        <f>'Rev Req Proof Yr1'!M73</f>
        <v>0</v>
      </c>
      <c r="O73" s="122">
        <f>'Rev Req Proof Yr1'!N73</f>
        <v>0</v>
      </c>
      <c r="P73" s="122">
        <f>'Rev Req Proof Yr1'!O73</f>
        <v>0</v>
      </c>
      <c r="Q73" s="774">
        <f>'Rev Req Proof Yr1'!P73</f>
        <v>0</v>
      </c>
      <c r="R73" s="157"/>
      <c r="S73" s="298">
        <f>'Rev Req Proof Yr1'!R73</f>
        <v>156740</v>
      </c>
      <c r="T73" s="299">
        <f>'Rev Req Proof Yr1'!S73</f>
        <v>2934</v>
      </c>
      <c r="U73" s="300">
        <f>'Rev Req Proof Yr1'!T73</f>
        <v>1.9166666666666701</v>
      </c>
      <c r="V73" s="301">
        <f>'Rev Req Proof Yr1'!U73</f>
        <v>13758</v>
      </c>
      <c r="W73" s="157"/>
      <c r="X73" s="313">
        <f t="shared" ref="X73:X78" si="155">(I73*S73)</f>
        <v>28235.143599999999</v>
      </c>
      <c r="Y73" s="309">
        <f t="shared" ref="Y73:Y78" si="156">(L73*U73*12)</f>
        <v>29900.000000000051</v>
      </c>
      <c r="Z73" s="314">
        <f t="shared" ref="Z73:Z78" si="157">(T73*(N73+P73))*12</f>
        <v>0</v>
      </c>
      <c r="AA73" s="309"/>
      <c r="AB73" s="313">
        <f t="shared" ref="AB73:AB78" si="158">(J73*S73)</f>
        <v>30943.610799999999</v>
      </c>
      <c r="AC73" s="309">
        <f t="shared" ref="AC73:AC78" si="159">(M73*U73*12)</f>
        <v>29900.000000000051</v>
      </c>
      <c r="AD73" s="314">
        <f t="shared" ref="AD73:AD78" si="160">(T73*(O73+Q73))*12</f>
        <v>0</v>
      </c>
      <c r="AE73" s="309"/>
      <c r="AF73" s="313">
        <f t="shared" ref="AF73:AF78" si="161">(F73*S73)</f>
        <v>-37.617600000000003</v>
      </c>
      <c r="AG73" s="309">
        <v>0</v>
      </c>
      <c r="AH73" s="314">
        <v>0</v>
      </c>
      <c r="AI73" s="309"/>
      <c r="AJ73" s="313">
        <f t="shared" ref="AJ73:AJ78" si="162">AB73-X73+AF73</f>
        <v>2670.8495999999991</v>
      </c>
      <c r="AK73" s="309">
        <f t="shared" ref="AK73:AL78" si="163">AC73-Y73-AG73</f>
        <v>0</v>
      </c>
      <c r="AL73" s="314">
        <f t="shared" si="163"/>
        <v>0</v>
      </c>
      <c r="AM73" s="309"/>
      <c r="AN73" s="338"/>
      <c r="AO73" s="340">
        <f t="shared" si="154"/>
        <v>9.4593094260019953E-2</v>
      </c>
      <c r="AP73" s="309"/>
      <c r="AQ73" s="313">
        <f t="shared" ref="AQ73:AQ78" si="164">(G73*S73)</f>
        <v>0</v>
      </c>
      <c r="AR73" s="309">
        <v>0</v>
      </c>
      <c r="AS73" s="314">
        <v>0</v>
      </c>
      <c r="AT73" s="309"/>
      <c r="AU73" s="310"/>
      <c r="AV73" s="310"/>
      <c r="AW73" s="309"/>
    </row>
    <row r="74" spans="1:49" x14ac:dyDescent="0.2">
      <c r="A74" s="86">
        <f t="shared" ref="A74:A102" si="165">+A73+1</f>
        <v>67</v>
      </c>
      <c r="B74" s="725"/>
      <c r="C74" s="726" t="s">
        <v>5</v>
      </c>
      <c r="D74" s="157"/>
      <c r="E74" s="122">
        <f>'Rates in Detail'!Y62</f>
        <v>1.546E-2</v>
      </c>
      <c r="F74" s="122">
        <f>'Rates in Detail'!Z62</f>
        <v>-2.2000000000000001E-4</v>
      </c>
      <c r="G74" s="157"/>
      <c r="H74" s="157"/>
      <c r="I74" s="373">
        <f>'Rev Req Proof Yr2'!H74</f>
        <v>0.16125999999999999</v>
      </c>
      <c r="J74" s="774">
        <f t="shared" si="10"/>
        <v>0.17671999999999999</v>
      </c>
      <c r="K74" s="157"/>
      <c r="L74" s="155"/>
      <c r="M74" s="156"/>
      <c r="N74" s="122"/>
      <c r="O74" s="122"/>
      <c r="P74" s="122"/>
      <c r="Q74" s="774"/>
      <c r="R74" s="157"/>
      <c r="S74" s="298">
        <f>'Rev Req Proof Yr1'!R74</f>
        <v>159690</v>
      </c>
      <c r="T74" s="299"/>
      <c r="U74" s="300"/>
      <c r="V74" s="301"/>
      <c r="W74" s="157"/>
      <c r="X74" s="313">
        <f t="shared" si="155"/>
        <v>25751.609399999998</v>
      </c>
      <c r="Y74" s="309">
        <f t="shared" si="156"/>
        <v>0</v>
      </c>
      <c r="Z74" s="314">
        <f t="shared" si="157"/>
        <v>0</v>
      </c>
      <c r="AA74" s="309"/>
      <c r="AB74" s="313">
        <f t="shared" si="158"/>
        <v>28220.416799999999</v>
      </c>
      <c r="AC74" s="309">
        <f t="shared" si="159"/>
        <v>0</v>
      </c>
      <c r="AD74" s="314">
        <f t="shared" si="160"/>
        <v>0</v>
      </c>
      <c r="AE74" s="309"/>
      <c r="AF74" s="313">
        <f t="shared" si="161"/>
        <v>-35.131799999999998</v>
      </c>
      <c r="AG74" s="309">
        <v>0</v>
      </c>
      <c r="AH74" s="314">
        <v>0</v>
      </c>
      <c r="AI74" s="309"/>
      <c r="AJ74" s="313">
        <f t="shared" si="162"/>
        <v>2433.6756000000014</v>
      </c>
      <c r="AK74" s="309">
        <f t="shared" si="163"/>
        <v>0</v>
      </c>
      <c r="AL74" s="314">
        <f t="shared" si="163"/>
        <v>0</v>
      </c>
      <c r="AM74" s="309"/>
      <c r="AN74" s="338"/>
      <c r="AO74" s="340">
        <f t="shared" si="154"/>
        <v>9.4505767084211892E-2</v>
      </c>
      <c r="AP74" s="309"/>
      <c r="AQ74" s="313">
        <f t="shared" si="164"/>
        <v>0</v>
      </c>
      <c r="AR74" s="309">
        <v>0</v>
      </c>
      <c r="AS74" s="314">
        <v>0</v>
      </c>
      <c r="AT74" s="309"/>
      <c r="AU74" s="310"/>
      <c r="AV74" s="310"/>
      <c r="AW74" s="309"/>
    </row>
    <row r="75" spans="1:49" x14ac:dyDescent="0.2">
      <c r="A75" s="86">
        <f t="shared" si="165"/>
        <v>68</v>
      </c>
      <c r="B75" s="725"/>
      <c r="C75" s="726" t="s">
        <v>6</v>
      </c>
      <c r="D75" s="157"/>
      <c r="E75" s="122">
        <f>'Rates in Detail'!Y63</f>
        <v>1.1860000000000001E-2</v>
      </c>
      <c r="F75" s="122">
        <f>'Rates in Detail'!Z63</f>
        <v>-1.7000000000000001E-4</v>
      </c>
      <c r="G75" s="157"/>
      <c r="H75" s="157"/>
      <c r="I75" s="373">
        <f>'Rev Req Proof Yr2'!H75</f>
        <v>0.12366000000000001</v>
      </c>
      <c r="J75" s="774">
        <f t="shared" si="10"/>
        <v>0.13552</v>
      </c>
      <c r="K75" s="157"/>
      <c r="L75" s="155"/>
      <c r="M75" s="156"/>
      <c r="N75" s="122"/>
      <c r="O75" s="122"/>
      <c r="P75" s="122"/>
      <c r="Q75" s="774"/>
      <c r="R75" s="157"/>
      <c r="S75" s="298">
        <f>'Rev Req Proof Yr1'!R75</f>
        <v>0</v>
      </c>
      <c r="T75" s="299"/>
      <c r="U75" s="300"/>
      <c r="V75" s="301"/>
      <c r="W75" s="157"/>
      <c r="X75" s="313">
        <f t="shared" si="155"/>
        <v>0</v>
      </c>
      <c r="Y75" s="309">
        <f t="shared" si="156"/>
        <v>0</v>
      </c>
      <c r="Z75" s="314">
        <f t="shared" si="157"/>
        <v>0</v>
      </c>
      <c r="AA75" s="309"/>
      <c r="AB75" s="313">
        <f t="shared" si="158"/>
        <v>0</v>
      </c>
      <c r="AC75" s="309">
        <f t="shared" si="159"/>
        <v>0</v>
      </c>
      <c r="AD75" s="314">
        <f t="shared" si="160"/>
        <v>0</v>
      </c>
      <c r="AE75" s="309"/>
      <c r="AF75" s="313">
        <f t="shared" si="161"/>
        <v>0</v>
      </c>
      <c r="AG75" s="309">
        <v>0</v>
      </c>
      <c r="AH75" s="314">
        <v>0</v>
      </c>
      <c r="AI75" s="309"/>
      <c r="AJ75" s="313">
        <f t="shared" si="162"/>
        <v>0</v>
      </c>
      <c r="AK75" s="309">
        <f t="shared" si="163"/>
        <v>0</v>
      </c>
      <c r="AL75" s="314">
        <f t="shared" si="163"/>
        <v>0</v>
      </c>
      <c r="AM75" s="309"/>
      <c r="AN75" s="338"/>
      <c r="AO75" s="340" t="e">
        <f t="shared" si="154"/>
        <v>#DIV/0!</v>
      </c>
      <c r="AP75" s="309"/>
      <c r="AQ75" s="313">
        <f t="shared" si="164"/>
        <v>0</v>
      </c>
      <c r="AR75" s="309">
        <v>0</v>
      </c>
      <c r="AS75" s="314">
        <v>0</v>
      </c>
      <c r="AT75" s="309"/>
      <c r="AU75" s="310"/>
      <c r="AV75" s="310"/>
      <c r="AW75" s="309"/>
    </row>
    <row r="76" spans="1:49" x14ac:dyDescent="0.2">
      <c r="A76" s="86">
        <f t="shared" si="165"/>
        <v>69</v>
      </c>
      <c r="B76" s="725"/>
      <c r="C76" s="726" t="s">
        <v>7</v>
      </c>
      <c r="D76" s="157"/>
      <c r="E76" s="122">
        <f>'Rates in Detail'!Y64</f>
        <v>9.4900000000000002E-3</v>
      </c>
      <c r="F76" s="122">
        <f>'Rates in Detail'!Z64</f>
        <v>-1.2999999999999999E-4</v>
      </c>
      <c r="G76" s="157"/>
      <c r="H76" s="157"/>
      <c r="I76" s="373">
        <f>'Rev Req Proof Yr2'!H76</f>
        <v>9.8930000000000004E-2</v>
      </c>
      <c r="J76" s="774">
        <f t="shared" si="10"/>
        <v>0.10842</v>
      </c>
      <c r="K76" s="157"/>
      <c r="L76" s="155"/>
      <c r="M76" s="156"/>
      <c r="N76" s="122"/>
      <c r="O76" s="122"/>
      <c r="P76" s="122"/>
      <c r="Q76" s="774"/>
      <c r="R76" s="157"/>
      <c r="S76" s="298">
        <f>'Rev Req Proof Yr1'!R76</f>
        <v>0</v>
      </c>
      <c r="T76" s="299"/>
      <c r="U76" s="300"/>
      <c r="V76" s="301"/>
      <c r="W76" s="157"/>
      <c r="X76" s="313">
        <f t="shared" si="155"/>
        <v>0</v>
      </c>
      <c r="Y76" s="309">
        <f t="shared" si="156"/>
        <v>0</v>
      </c>
      <c r="Z76" s="314">
        <f t="shared" si="157"/>
        <v>0</v>
      </c>
      <c r="AA76" s="309"/>
      <c r="AB76" s="313">
        <f t="shared" si="158"/>
        <v>0</v>
      </c>
      <c r="AC76" s="309">
        <f t="shared" si="159"/>
        <v>0</v>
      </c>
      <c r="AD76" s="314">
        <f t="shared" si="160"/>
        <v>0</v>
      </c>
      <c r="AE76" s="309"/>
      <c r="AF76" s="313">
        <f t="shared" si="161"/>
        <v>0</v>
      </c>
      <c r="AG76" s="309">
        <v>0</v>
      </c>
      <c r="AH76" s="314">
        <v>0</v>
      </c>
      <c r="AI76" s="309"/>
      <c r="AJ76" s="313">
        <f t="shared" si="162"/>
        <v>0</v>
      </c>
      <c r="AK76" s="309">
        <f t="shared" si="163"/>
        <v>0</v>
      </c>
      <c r="AL76" s="314">
        <f t="shared" si="163"/>
        <v>0</v>
      </c>
      <c r="AM76" s="309"/>
      <c r="AN76" s="338"/>
      <c r="AO76" s="340" t="e">
        <f t="shared" si="154"/>
        <v>#DIV/0!</v>
      </c>
      <c r="AP76" s="309"/>
      <c r="AQ76" s="313">
        <f t="shared" si="164"/>
        <v>0</v>
      </c>
      <c r="AR76" s="309">
        <v>0</v>
      </c>
      <c r="AS76" s="314">
        <v>0</v>
      </c>
      <c r="AT76" s="309"/>
      <c r="AU76" s="310"/>
      <c r="AV76" s="310"/>
      <c r="AW76" s="309"/>
    </row>
    <row r="77" spans="1:49" x14ac:dyDescent="0.2">
      <c r="A77" s="86">
        <f t="shared" si="165"/>
        <v>70</v>
      </c>
      <c r="B77" s="725"/>
      <c r="C77" s="726" t="s">
        <v>8</v>
      </c>
      <c r="D77" s="157"/>
      <c r="E77" s="122">
        <f>'Rates in Detail'!Y65</f>
        <v>6.3200000000000001E-3</v>
      </c>
      <c r="F77" s="122">
        <f>'Rates in Detail'!Z65</f>
        <v>-9.0000000000000006E-5</v>
      </c>
      <c r="G77" s="157"/>
      <c r="H77" s="157"/>
      <c r="I77" s="373">
        <f>'Rev Req Proof Yr2'!H77</f>
        <v>6.5949999999999995E-2</v>
      </c>
      <c r="J77" s="774">
        <f t="shared" si="10"/>
        <v>7.2270000000000001E-2</v>
      </c>
      <c r="K77" s="157"/>
      <c r="L77" s="155"/>
      <c r="M77" s="156"/>
      <c r="N77" s="122"/>
      <c r="O77" s="122"/>
      <c r="P77" s="122"/>
      <c r="Q77" s="774"/>
      <c r="R77" s="157"/>
      <c r="S77" s="298">
        <f>'Rev Req Proof Yr1'!R77</f>
        <v>0</v>
      </c>
      <c r="T77" s="299"/>
      <c r="U77" s="300"/>
      <c r="V77" s="301"/>
      <c r="W77" s="157"/>
      <c r="X77" s="313">
        <f t="shared" si="155"/>
        <v>0</v>
      </c>
      <c r="Y77" s="309">
        <f t="shared" si="156"/>
        <v>0</v>
      </c>
      <c r="Z77" s="314">
        <f t="shared" si="157"/>
        <v>0</v>
      </c>
      <c r="AA77" s="309"/>
      <c r="AB77" s="313">
        <f t="shared" si="158"/>
        <v>0</v>
      </c>
      <c r="AC77" s="309">
        <f t="shared" si="159"/>
        <v>0</v>
      </c>
      <c r="AD77" s="314">
        <f t="shared" si="160"/>
        <v>0</v>
      </c>
      <c r="AE77" s="309"/>
      <c r="AF77" s="313">
        <f t="shared" si="161"/>
        <v>0</v>
      </c>
      <c r="AG77" s="309">
        <v>0</v>
      </c>
      <c r="AH77" s="314">
        <v>0</v>
      </c>
      <c r="AI77" s="309"/>
      <c r="AJ77" s="313">
        <f t="shared" si="162"/>
        <v>0</v>
      </c>
      <c r="AK77" s="309">
        <f t="shared" si="163"/>
        <v>0</v>
      </c>
      <c r="AL77" s="314">
        <f t="shared" si="163"/>
        <v>0</v>
      </c>
      <c r="AM77" s="309"/>
      <c r="AN77" s="338"/>
      <c r="AO77" s="340" t="e">
        <f t="shared" si="154"/>
        <v>#DIV/0!</v>
      </c>
      <c r="AP77" s="309"/>
      <c r="AQ77" s="313">
        <f t="shared" si="164"/>
        <v>0</v>
      </c>
      <c r="AR77" s="309">
        <v>0</v>
      </c>
      <c r="AS77" s="314">
        <v>0</v>
      </c>
      <c r="AT77" s="309"/>
      <c r="AU77" s="310"/>
      <c r="AV77" s="310"/>
      <c r="AW77" s="309"/>
    </row>
    <row r="78" spans="1:49" x14ac:dyDescent="0.2">
      <c r="A78" s="86">
        <f t="shared" si="165"/>
        <v>71</v>
      </c>
      <c r="B78" s="725"/>
      <c r="C78" s="726" t="s">
        <v>9</v>
      </c>
      <c r="D78" s="157"/>
      <c r="E78" s="122">
        <f>'Rates in Detail'!Y66</f>
        <v>2.3700000000000001E-3</v>
      </c>
      <c r="F78" s="122">
        <f>'Rates in Detail'!Z66</f>
        <v>-3.0000000000000001E-5</v>
      </c>
      <c r="G78" s="157"/>
      <c r="H78" s="157"/>
      <c r="I78" s="373">
        <f>'Rev Req Proof Yr2'!H78</f>
        <v>2.4729999999999999E-2</v>
      </c>
      <c r="J78" s="774">
        <f t="shared" si="10"/>
        <v>2.7099999999999999E-2</v>
      </c>
      <c r="K78" s="157"/>
      <c r="L78" s="273"/>
      <c r="M78" s="55"/>
      <c r="N78" s="122"/>
      <c r="O78" s="122"/>
      <c r="P78" s="122"/>
      <c r="Q78" s="774"/>
      <c r="R78" s="157"/>
      <c r="S78" s="298">
        <f>'Rev Req Proof Yr1'!R78</f>
        <v>0</v>
      </c>
      <c r="T78" s="299"/>
      <c r="U78" s="300"/>
      <c r="V78" s="301"/>
      <c r="W78" s="157"/>
      <c r="X78" s="313">
        <f t="shared" si="155"/>
        <v>0</v>
      </c>
      <c r="Y78" s="309">
        <f t="shared" si="156"/>
        <v>0</v>
      </c>
      <c r="Z78" s="314">
        <f t="shared" si="157"/>
        <v>0</v>
      </c>
      <c r="AA78" s="309"/>
      <c r="AB78" s="313">
        <f t="shared" si="158"/>
        <v>0</v>
      </c>
      <c r="AC78" s="309">
        <f t="shared" si="159"/>
        <v>0</v>
      </c>
      <c r="AD78" s="314">
        <f t="shared" si="160"/>
        <v>0</v>
      </c>
      <c r="AE78" s="309"/>
      <c r="AF78" s="313">
        <f t="shared" si="161"/>
        <v>0</v>
      </c>
      <c r="AG78" s="309">
        <v>0</v>
      </c>
      <c r="AH78" s="314">
        <v>0</v>
      </c>
      <c r="AI78" s="309"/>
      <c r="AJ78" s="313">
        <f t="shared" si="162"/>
        <v>0</v>
      </c>
      <c r="AK78" s="309">
        <f t="shared" si="163"/>
        <v>0</v>
      </c>
      <c r="AL78" s="314">
        <f t="shared" si="163"/>
        <v>0</v>
      </c>
      <c r="AM78" s="309"/>
      <c r="AN78" s="338"/>
      <c r="AO78" s="340" t="e">
        <f>AO77</f>
        <v>#DIV/0!</v>
      </c>
      <c r="AP78" s="309"/>
      <c r="AQ78" s="313">
        <f t="shared" si="164"/>
        <v>0</v>
      </c>
      <c r="AR78" s="309">
        <v>0</v>
      </c>
      <c r="AS78" s="314">
        <v>0</v>
      </c>
      <c r="AT78" s="309"/>
      <c r="AU78" s="310"/>
      <c r="AV78" s="310"/>
      <c r="AW78" s="309"/>
    </row>
    <row r="79" spans="1:49" x14ac:dyDescent="0.2">
      <c r="A79" s="86">
        <f t="shared" si="165"/>
        <v>72</v>
      </c>
      <c r="B79" s="723"/>
      <c r="C79" s="742" t="s">
        <v>78</v>
      </c>
      <c r="D79" s="153"/>
      <c r="E79" s="123"/>
      <c r="F79" s="123"/>
      <c r="G79" s="153"/>
      <c r="H79" s="153"/>
      <c r="I79" s="368"/>
      <c r="J79" s="773"/>
      <c r="K79" s="157"/>
      <c r="L79" s="273"/>
      <c r="M79" s="55"/>
      <c r="N79" s="122"/>
      <c r="O79" s="122"/>
      <c r="P79" s="122"/>
      <c r="Q79" s="774"/>
      <c r="R79" s="157"/>
      <c r="S79" s="298"/>
      <c r="T79" s="299"/>
      <c r="U79" s="300"/>
      <c r="V79" s="301"/>
      <c r="W79" s="157"/>
      <c r="X79" s="315">
        <f>SUM(X73:X78)</f>
        <v>53986.752999999997</v>
      </c>
      <c r="Y79" s="316">
        <f>SUM(Y73:Y78)</f>
        <v>29900.000000000051</v>
      </c>
      <c r="Z79" s="317">
        <f>SUM(Z73:Z78)</f>
        <v>0</v>
      </c>
      <c r="AA79" s="309"/>
      <c r="AB79" s="315">
        <f>SUM(AB73:AB78)</f>
        <v>59164.027600000001</v>
      </c>
      <c r="AC79" s="316">
        <f>SUM(AC73:AC78)</f>
        <v>29900.000000000051</v>
      </c>
      <c r="AD79" s="317">
        <f>SUM(AD73:AD78)</f>
        <v>0</v>
      </c>
      <c r="AE79" s="309"/>
      <c r="AF79" s="315">
        <f>SUM(AF73:AF78)</f>
        <v>-72.749400000000009</v>
      </c>
      <c r="AG79" s="316">
        <f>SUM(AG73:AG78)</f>
        <v>0</v>
      </c>
      <c r="AH79" s="317">
        <f>SUM(AH73:AH78)</f>
        <v>0</v>
      </c>
      <c r="AI79" s="309"/>
      <c r="AJ79" s="315">
        <f>SUM(AJ73:AJ78)</f>
        <v>5104.5252</v>
      </c>
      <c r="AK79" s="316">
        <f>SUM(AK73:AK78)</f>
        <v>0</v>
      </c>
      <c r="AL79" s="317">
        <f>SUM(AL73:AL78)</f>
        <v>0</v>
      </c>
      <c r="AM79" s="309"/>
      <c r="AN79" s="338">
        <f>SUM(AJ79:AL79)/SUM(X79:Z79)</f>
        <v>6.0850194070570317E-2</v>
      </c>
      <c r="AO79" s="339">
        <f t="shared" ref="AO79:AO93" si="166">SUM(AJ79)/SUM(X79)</f>
        <v>9.4551439313270064E-2</v>
      </c>
      <c r="AP79" s="309"/>
      <c r="AQ79" s="315">
        <f>SUM(AQ73:AQ78)</f>
        <v>0</v>
      </c>
      <c r="AR79" s="316">
        <f>SUM(AR73:AR78)</f>
        <v>0</v>
      </c>
      <c r="AS79" s="317">
        <f>SUM(AS73:AS78)</f>
        <v>0</v>
      </c>
      <c r="AT79" s="309"/>
      <c r="AU79" s="310"/>
      <c r="AV79" s="310"/>
      <c r="AW79" s="309"/>
    </row>
    <row r="80" spans="1:49" x14ac:dyDescent="0.2">
      <c r="A80" s="86">
        <f t="shared" si="165"/>
        <v>73</v>
      </c>
      <c r="B80" s="725" t="str">
        <f>'WA Volumes &amp; Revenues'!B69</f>
        <v>42C Inter Transpt</v>
      </c>
      <c r="C80" s="726" t="s">
        <v>4</v>
      </c>
      <c r="D80" s="157"/>
      <c r="E80" s="122">
        <f>'Rates in Detail'!Y67</f>
        <v>8.4799999999999997E-3</v>
      </c>
      <c r="F80" s="122">
        <f>'Rates in Detail'!Z67</f>
        <v>-1.2E-4</v>
      </c>
      <c r="G80" s="157"/>
      <c r="H80" s="157"/>
      <c r="I80" s="373">
        <f>'Rev Req Proof Yr2'!H80</f>
        <v>0.14976</v>
      </c>
      <c r="J80" s="774">
        <f t="shared" ref="J80:J96" si="167">I80+E80</f>
        <v>0.15823999999999999</v>
      </c>
      <c r="K80" s="157"/>
      <c r="L80" s="155">
        <f>'Rev Req Proof Yr1'!K80</f>
        <v>1550</v>
      </c>
      <c r="M80" s="156">
        <f>'Rev Req Proof Yr1'!L80</f>
        <v>1550</v>
      </c>
      <c r="N80" s="122">
        <f>'Rev Req Proof Yr1'!M80</f>
        <v>0</v>
      </c>
      <c r="O80" s="122">
        <f>'Rev Req Proof Yr1'!N80</f>
        <v>0</v>
      </c>
      <c r="P80" s="122">
        <f>'Rev Req Proof Yr1'!O80</f>
        <v>0</v>
      </c>
      <c r="Q80" s="774">
        <f>'Rev Req Proof Yr1'!P80</f>
        <v>0</v>
      </c>
      <c r="R80" s="157"/>
      <c r="S80" s="298">
        <f>'Rev Req Proof Yr1'!R80</f>
        <v>0</v>
      </c>
      <c r="T80" s="299"/>
      <c r="U80" s="300">
        <f>'Rev Req Proof Yr1'!T80</f>
        <v>0</v>
      </c>
      <c r="V80" s="301">
        <f>'Rev Req Proof Yr1'!U80</f>
        <v>0</v>
      </c>
      <c r="W80" s="157"/>
      <c r="X80" s="313">
        <f t="shared" ref="X80:X85" si="168">(I80*S80)</f>
        <v>0</v>
      </c>
      <c r="Y80" s="309">
        <f t="shared" ref="Y80:Y85" si="169">(L80*U80*12)</f>
        <v>0</v>
      </c>
      <c r="Z80" s="314">
        <f t="shared" ref="Z80:Z85" si="170">(T80*(N80+P80))*12</f>
        <v>0</v>
      </c>
      <c r="AA80" s="309"/>
      <c r="AB80" s="313">
        <f t="shared" ref="AB80:AB85" si="171">(J80*S80)</f>
        <v>0</v>
      </c>
      <c r="AC80" s="309">
        <f t="shared" ref="AC80:AC85" si="172">(M80*U80*12)</f>
        <v>0</v>
      </c>
      <c r="AD80" s="314">
        <f t="shared" ref="AD80:AD85" si="173">(T80*(O80+Q80))*12</f>
        <v>0</v>
      </c>
      <c r="AE80" s="309"/>
      <c r="AF80" s="313">
        <f t="shared" ref="AF80:AF85" si="174">(F80*S80)</f>
        <v>0</v>
      </c>
      <c r="AG80" s="309">
        <v>0</v>
      </c>
      <c r="AH80" s="314">
        <v>0</v>
      </c>
      <c r="AI80" s="309"/>
      <c r="AJ80" s="313">
        <f t="shared" ref="AJ80:AJ85" si="175">AB80-X80+AF80</f>
        <v>0</v>
      </c>
      <c r="AK80" s="309">
        <f t="shared" ref="AK80:AL85" si="176">AC80-Y80-AG80</f>
        <v>0</v>
      </c>
      <c r="AL80" s="314">
        <f t="shared" si="176"/>
        <v>0</v>
      </c>
      <c r="AM80" s="309"/>
      <c r="AN80" s="338"/>
      <c r="AO80" s="340" t="e">
        <f t="shared" ref="AO80:AO84" si="177">SUM(AJ80)/SUM(X80)</f>
        <v>#DIV/0!</v>
      </c>
      <c r="AP80" s="309"/>
      <c r="AQ80" s="313">
        <f t="shared" ref="AQ80:AQ85" si="178">(G80*S80)</f>
        <v>0</v>
      </c>
      <c r="AR80" s="309">
        <v>0</v>
      </c>
      <c r="AS80" s="314">
        <v>0</v>
      </c>
      <c r="AT80" s="309"/>
      <c r="AU80" s="310"/>
      <c r="AV80" s="310"/>
      <c r="AW80" s="309"/>
    </row>
    <row r="81" spans="1:49" x14ac:dyDescent="0.2">
      <c r="A81" s="86">
        <f t="shared" si="165"/>
        <v>74</v>
      </c>
      <c r="B81" s="725"/>
      <c r="C81" s="726" t="s">
        <v>5</v>
      </c>
      <c r="D81" s="157"/>
      <c r="E81" s="122">
        <f>'Rates in Detail'!Y68</f>
        <v>7.5900000000000004E-3</v>
      </c>
      <c r="F81" s="122">
        <f>'Rates in Detail'!Z68</f>
        <v>-1.1E-4</v>
      </c>
      <c r="G81" s="157"/>
      <c r="H81" s="157"/>
      <c r="I81" s="373">
        <f>'Rev Req Proof Yr2'!H81</f>
        <v>0.13406999999999999</v>
      </c>
      <c r="J81" s="774">
        <f t="shared" si="167"/>
        <v>0.14166000000000001</v>
      </c>
      <c r="K81" s="157"/>
      <c r="L81" s="155"/>
      <c r="M81" s="156"/>
      <c r="N81" s="122"/>
      <c r="O81" s="122"/>
      <c r="P81" s="122"/>
      <c r="Q81" s="774"/>
      <c r="R81" s="157"/>
      <c r="S81" s="298">
        <f>'Rev Req Proof Yr1'!R81</f>
        <v>0</v>
      </c>
      <c r="T81" s="299"/>
      <c r="U81" s="300"/>
      <c r="V81" s="301"/>
      <c r="W81" s="157"/>
      <c r="X81" s="313">
        <f t="shared" si="168"/>
        <v>0</v>
      </c>
      <c r="Y81" s="309">
        <f t="shared" si="169"/>
        <v>0</v>
      </c>
      <c r="Z81" s="314">
        <f t="shared" si="170"/>
        <v>0</v>
      </c>
      <c r="AA81" s="309"/>
      <c r="AB81" s="313">
        <f t="shared" si="171"/>
        <v>0</v>
      </c>
      <c r="AC81" s="309">
        <f t="shared" si="172"/>
        <v>0</v>
      </c>
      <c r="AD81" s="314">
        <f t="shared" si="173"/>
        <v>0</v>
      </c>
      <c r="AE81" s="309"/>
      <c r="AF81" s="313">
        <f t="shared" si="174"/>
        <v>0</v>
      </c>
      <c r="AG81" s="309">
        <v>0</v>
      </c>
      <c r="AH81" s="314">
        <v>0</v>
      </c>
      <c r="AI81" s="309"/>
      <c r="AJ81" s="313">
        <f t="shared" si="175"/>
        <v>0</v>
      </c>
      <c r="AK81" s="309">
        <f t="shared" si="176"/>
        <v>0</v>
      </c>
      <c r="AL81" s="314">
        <f t="shared" si="176"/>
        <v>0</v>
      </c>
      <c r="AM81" s="309"/>
      <c r="AN81" s="338"/>
      <c r="AO81" s="340" t="e">
        <f t="shared" si="177"/>
        <v>#DIV/0!</v>
      </c>
      <c r="AP81" s="309"/>
      <c r="AQ81" s="313">
        <f t="shared" si="178"/>
        <v>0</v>
      </c>
      <c r="AR81" s="309">
        <v>0</v>
      </c>
      <c r="AS81" s="314">
        <v>0</v>
      </c>
      <c r="AT81" s="309"/>
      <c r="AU81" s="310"/>
      <c r="AV81" s="310"/>
      <c r="AW81" s="309"/>
    </row>
    <row r="82" spans="1:49" x14ac:dyDescent="0.2">
      <c r="A82" s="86">
        <f t="shared" si="165"/>
        <v>75</v>
      </c>
      <c r="B82" s="725"/>
      <c r="C82" s="726" t="s">
        <v>6</v>
      </c>
      <c r="D82" s="157"/>
      <c r="E82" s="122">
        <f>'Rates in Detail'!Y69</f>
        <v>5.8199999999999997E-3</v>
      </c>
      <c r="F82" s="122">
        <f>'Rates in Detail'!Z69</f>
        <v>-8.0000000000000007E-5</v>
      </c>
      <c r="G82" s="157"/>
      <c r="H82" s="157"/>
      <c r="I82" s="373">
        <f>'Rev Req Proof Yr2'!H82</f>
        <v>0.1028</v>
      </c>
      <c r="J82" s="774">
        <f t="shared" si="167"/>
        <v>0.10862000000000001</v>
      </c>
      <c r="K82" s="157"/>
      <c r="L82" s="155"/>
      <c r="M82" s="156"/>
      <c r="N82" s="122"/>
      <c r="O82" s="122"/>
      <c r="P82" s="122"/>
      <c r="Q82" s="774"/>
      <c r="R82" s="157"/>
      <c r="S82" s="298">
        <f>'Rev Req Proof Yr1'!R82</f>
        <v>0</v>
      </c>
      <c r="T82" s="299"/>
      <c r="U82" s="300"/>
      <c r="V82" s="301"/>
      <c r="W82" s="157"/>
      <c r="X82" s="313">
        <f t="shared" si="168"/>
        <v>0</v>
      </c>
      <c r="Y82" s="309">
        <f t="shared" si="169"/>
        <v>0</v>
      </c>
      <c r="Z82" s="314">
        <f t="shared" si="170"/>
        <v>0</v>
      </c>
      <c r="AA82" s="309"/>
      <c r="AB82" s="313">
        <f t="shared" si="171"/>
        <v>0</v>
      </c>
      <c r="AC82" s="309">
        <f t="shared" si="172"/>
        <v>0</v>
      </c>
      <c r="AD82" s="314">
        <f t="shared" si="173"/>
        <v>0</v>
      </c>
      <c r="AE82" s="309"/>
      <c r="AF82" s="313">
        <f t="shared" si="174"/>
        <v>0</v>
      </c>
      <c r="AG82" s="309">
        <v>0</v>
      </c>
      <c r="AH82" s="314">
        <v>0</v>
      </c>
      <c r="AI82" s="309"/>
      <c r="AJ82" s="313">
        <f t="shared" si="175"/>
        <v>0</v>
      </c>
      <c r="AK82" s="309">
        <f t="shared" si="176"/>
        <v>0</v>
      </c>
      <c r="AL82" s="314">
        <f t="shared" si="176"/>
        <v>0</v>
      </c>
      <c r="AM82" s="309"/>
      <c r="AN82" s="338"/>
      <c r="AO82" s="340" t="e">
        <f t="shared" si="177"/>
        <v>#DIV/0!</v>
      </c>
      <c r="AP82" s="309"/>
      <c r="AQ82" s="313">
        <f t="shared" si="178"/>
        <v>0</v>
      </c>
      <c r="AR82" s="309">
        <v>0</v>
      </c>
      <c r="AS82" s="314">
        <v>0</v>
      </c>
      <c r="AT82" s="309"/>
      <c r="AU82" s="310"/>
      <c r="AV82" s="310"/>
      <c r="AW82" s="309"/>
    </row>
    <row r="83" spans="1:49" x14ac:dyDescent="0.2">
      <c r="A83" s="86">
        <f t="shared" si="165"/>
        <v>76</v>
      </c>
      <c r="B83" s="725"/>
      <c r="C83" s="726" t="s">
        <v>7</v>
      </c>
      <c r="D83" s="157"/>
      <c r="E83" s="122">
        <f>'Rates in Detail'!Y70</f>
        <v>4.6600000000000001E-3</v>
      </c>
      <c r="F83" s="122">
        <f>'Rates in Detail'!Z70</f>
        <v>-6.9999999999999994E-5</v>
      </c>
      <c r="G83" s="157"/>
      <c r="H83" s="157"/>
      <c r="I83" s="373">
        <f>'Rev Req Proof Yr2'!H83</f>
        <v>8.2250000000000004E-2</v>
      </c>
      <c r="J83" s="774">
        <f t="shared" si="167"/>
        <v>8.6910000000000001E-2</v>
      </c>
      <c r="K83" s="157"/>
      <c r="L83" s="155"/>
      <c r="M83" s="156"/>
      <c r="N83" s="122"/>
      <c r="O83" s="122"/>
      <c r="P83" s="122"/>
      <c r="Q83" s="774"/>
      <c r="R83" s="157"/>
      <c r="S83" s="298">
        <f>'Rev Req Proof Yr1'!R83</f>
        <v>0</v>
      </c>
      <c r="T83" s="299"/>
      <c r="U83" s="300"/>
      <c r="V83" s="301"/>
      <c r="W83" s="157"/>
      <c r="X83" s="313">
        <f t="shared" si="168"/>
        <v>0</v>
      </c>
      <c r="Y83" s="309">
        <f t="shared" si="169"/>
        <v>0</v>
      </c>
      <c r="Z83" s="314">
        <f t="shared" si="170"/>
        <v>0</v>
      </c>
      <c r="AA83" s="309"/>
      <c r="AB83" s="313">
        <f t="shared" si="171"/>
        <v>0</v>
      </c>
      <c r="AC83" s="309">
        <f t="shared" si="172"/>
        <v>0</v>
      </c>
      <c r="AD83" s="314">
        <f t="shared" si="173"/>
        <v>0</v>
      </c>
      <c r="AE83" s="309"/>
      <c r="AF83" s="313">
        <f t="shared" si="174"/>
        <v>0</v>
      </c>
      <c r="AG83" s="309">
        <v>0</v>
      </c>
      <c r="AH83" s="314">
        <v>0</v>
      </c>
      <c r="AI83" s="309"/>
      <c r="AJ83" s="313">
        <f t="shared" si="175"/>
        <v>0</v>
      </c>
      <c r="AK83" s="309">
        <f t="shared" si="176"/>
        <v>0</v>
      </c>
      <c r="AL83" s="314">
        <f t="shared" si="176"/>
        <v>0</v>
      </c>
      <c r="AM83" s="309"/>
      <c r="AN83" s="338"/>
      <c r="AO83" s="340" t="e">
        <f t="shared" si="177"/>
        <v>#DIV/0!</v>
      </c>
      <c r="AP83" s="309"/>
      <c r="AQ83" s="313">
        <f t="shared" si="178"/>
        <v>0</v>
      </c>
      <c r="AR83" s="309">
        <v>0</v>
      </c>
      <c r="AS83" s="314">
        <v>0</v>
      </c>
      <c r="AT83" s="309"/>
      <c r="AU83" s="310"/>
      <c r="AV83" s="310"/>
      <c r="AW83" s="309"/>
    </row>
    <row r="84" spans="1:49" x14ac:dyDescent="0.2">
      <c r="A84" s="86">
        <f t="shared" si="165"/>
        <v>77</v>
      </c>
      <c r="B84" s="725"/>
      <c r="C84" s="726" t="s">
        <v>8</v>
      </c>
      <c r="D84" s="157"/>
      <c r="E84" s="122">
        <f>'Rates in Detail'!Y71</f>
        <v>3.1099999999999999E-3</v>
      </c>
      <c r="F84" s="122">
        <f>'Rates in Detail'!Z71</f>
        <v>-4.0000000000000003E-5</v>
      </c>
      <c r="G84" s="157"/>
      <c r="H84" s="157"/>
      <c r="I84" s="373">
        <f>'Rev Req Proof Yr2'!H84</f>
        <v>5.484E-2</v>
      </c>
      <c r="J84" s="774">
        <f t="shared" si="167"/>
        <v>5.7950000000000002E-2</v>
      </c>
      <c r="K84" s="157"/>
      <c r="L84" s="155"/>
      <c r="M84" s="156"/>
      <c r="N84" s="122"/>
      <c r="O84" s="122"/>
      <c r="P84" s="122"/>
      <c r="Q84" s="774"/>
      <c r="R84" s="157"/>
      <c r="S84" s="298">
        <f>'Rev Req Proof Yr1'!R84</f>
        <v>0</v>
      </c>
      <c r="T84" s="299"/>
      <c r="U84" s="300"/>
      <c r="V84" s="301"/>
      <c r="W84" s="157"/>
      <c r="X84" s="313">
        <f t="shared" si="168"/>
        <v>0</v>
      </c>
      <c r="Y84" s="309">
        <f t="shared" si="169"/>
        <v>0</v>
      </c>
      <c r="Z84" s="314">
        <f t="shared" si="170"/>
        <v>0</v>
      </c>
      <c r="AA84" s="309"/>
      <c r="AB84" s="313">
        <f t="shared" si="171"/>
        <v>0</v>
      </c>
      <c r="AC84" s="309">
        <f t="shared" si="172"/>
        <v>0</v>
      </c>
      <c r="AD84" s="314">
        <f t="shared" si="173"/>
        <v>0</v>
      </c>
      <c r="AE84" s="309"/>
      <c r="AF84" s="313">
        <f t="shared" si="174"/>
        <v>0</v>
      </c>
      <c r="AG84" s="309">
        <v>0</v>
      </c>
      <c r="AH84" s="314">
        <v>0</v>
      </c>
      <c r="AI84" s="309"/>
      <c r="AJ84" s="313">
        <f t="shared" si="175"/>
        <v>0</v>
      </c>
      <c r="AK84" s="309">
        <f t="shared" si="176"/>
        <v>0</v>
      </c>
      <c r="AL84" s="314">
        <f t="shared" si="176"/>
        <v>0</v>
      </c>
      <c r="AM84" s="309"/>
      <c r="AN84" s="338"/>
      <c r="AO84" s="340" t="e">
        <f t="shared" si="177"/>
        <v>#DIV/0!</v>
      </c>
      <c r="AP84" s="309"/>
      <c r="AQ84" s="313">
        <f t="shared" si="178"/>
        <v>0</v>
      </c>
      <c r="AR84" s="309">
        <v>0</v>
      </c>
      <c r="AS84" s="314">
        <v>0</v>
      </c>
      <c r="AT84" s="309"/>
      <c r="AU84" s="310"/>
      <c r="AV84" s="310"/>
      <c r="AW84" s="309"/>
    </row>
    <row r="85" spans="1:49" x14ac:dyDescent="0.2">
      <c r="A85" s="86">
        <f t="shared" si="165"/>
        <v>78</v>
      </c>
      <c r="B85" s="725"/>
      <c r="C85" s="726" t="s">
        <v>9</v>
      </c>
      <c r="D85" s="157"/>
      <c r="E85" s="122">
        <f>'Rates in Detail'!Y72</f>
        <v>1.16E-3</v>
      </c>
      <c r="F85" s="122">
        <f>'Rates in Detail'!Z72</f>
        <v>-2.0000000000000002E-5</v>
      </c>
      <c r="G85" s="157"/>
      <c r="H85" s="157"/>
      <c r="I85" s="373">
        <f>'Rev Req Proof Yr2'!H85</f>
        <v>2.0549999999999999E-2</v>
      </c>
      <c r="J85" s="774">
        <f t="shared" si="167"/>
        <v>2.171E-2</v>
      </c>
      <c r="K85" s="157"/>
      <c r="L85" s="273"/>
      <c r="M85" s="55"/>
      <c r="N85" s="122"/>
      <c r="O85" s="122"/>
      <c r="P85" s="122"/>
      <c r="Q85" s="774"/>
      <c r="R85" s="157"/>
      <c r="S85" s="298">
        <f>'Rev Req Proof Yr1'!R85</f>
        <v>0</v>
      </c>
      <c r="T85" s="299"/>
      <c r="U85" s="300"/>
      <c r="V85" s="301"/>
      <c r="W85" s="157"/>
      <c r="X85" s="313">
        <f t="shared" si="168"/>
        <v>0</v>
      </c>
      <c r="Y85" s="309">
        <f t="shared" si="169"/>
        <v>0</v>
      </c>
      <c r="Z85" s="314">
        <f t="shared" si="170"/>
        <v>0</v>
      </c>
      <c r="AA85" s="309"/>
      <c r="AB85" s="313">
        <f t="shared" si="171"/>
        <v>0</v>
      </c>
      <c r="AC85" s="309">
        <f t="shared" si="172"/>
        <v>0</v>
      </c>
      <c r="AD85" s="314">
        <f t="shared" si="173"/>
        <v>0</v>
      </c>
      <c r="AE85" s="309"/>
      <c r="AF85" s="313">
        <f t="shared" si="174"/>
        <v>0</v>
      </c>
      <c r="AG85" s="309">
        <v>0</v>
      </c>
      <c r="AH85" s="314">
        <v>0</v>
      </c>
      <c r="AI85" s="309"/>
      <c r="AJ85" s="313">
        <f t="shared" si="175"/>
        <v>0</v>
      </c>
      <c r="AK85" s="309">
        <f t="shared" si="176"/>
        <v>0</v>
      </c>
      <c r="AL85" s="314">
        <f t="shared" si="176"/>
        <v>0</v>
      </c>
      <c r="AM85" s="309"/>
      <c r="AN85" s="338"/>
      <c r="AO85" s="340" t="e">
        <f>AO84</f>
        <v>#DIV/0!</v>
      </c>
      <c r="AP85" s="309"/>
      <c r="AQ85" s="313">
        <f t="shared" si="178"/>
        <v>0</v>
      </c>
      <c r="AR85" s="309">
        <v>0</v>
      </c>
      <c r="AS85" s="314">
        <v>0</v>
      </c>
      <c r="AT85" s="309"/>
      <c r="AU85" s="310"/>
      <c r="AV85" s="310"/>
      <c r="AW85" s="309"/>
    </row>
    <row r="86" spans="1:49" x14ac:dyDescent="0.2">
      <c r="A86" s="86">
        <f t="shared" si="165"/>
        <v>79</v>
      </c>
      <c r="B86" s="723"/>
      <c r="C86" s="742" t="s">
        <v>78</v>
      </c>
      <c r="D86" s="153"/>
      <c r="E86" s="123"/>
      <c r="F86" s="123"/>
      <c r="G86" s="153"/>
      <c r="H86" s="153"/>
      <c r="I86" s="368"/>
      <c r="J86" s="773"/>
      <c r="K86" s="157"/>
      <c r="L86" s="273"/>
      <c r="M86" s="55"/>
      <c r="N86" s="122"/>
      <c r="O86" s="122"/>
      <c r="P86" s="122"/>
      <c r="Q86" s="774"/>
      <c r="R86" s="157"/>
      <c r="S86" s="298"/>
      <c r="T86" s="299"/>
      <c r="U86" s="300"/>
      <c r="V86" s="301"/>
      <c r="W86" s="157"/>
      <c r="X86" s="315">
        <f>SUM(X80:X85)</f>
        <v>0</v>
      </c>
      <c r="Y86" s="316">
        <f>SUM(Y80:Y85)</f>
        <v>0</v>
      </c>
      <c r="Z86" s="317">
        <f>SUM(Z80:Z85)</f>
        <v>0</v>
      </c>
      <c r="AA86" s="309"/>
      <c r="AB86" s="315">
        <f>SUM(AB80:AB85)</f>
        <v>0</v>
      </c>
      <c r="AC86" s="316">
        <f>SUM(AC80:AC85)</f>
        <v>0</v>
      </c>
      <c r="AD86" s="317">
        <f>SUM(AD80:AD85)</f>
        <v>0</v>
      </c>
      <c r="AE86" s="309"/>
      <c r="AF86" s="315">
        <f>SUM(AF80:AF85)</f>
        <v>0</v>
      </c>
      <c r="AG86" s="316">
        <f>SUM(AG80:AG85)</f>
        <v>0</v>
      </c>
      <c r="AH86" s="317">
        <f>SUM(AH80:AH85)</f>
        <v>0</v>
      </c>
      <c r="AI86" s="309"/>
      <c r="AJ86" s="315">
        <f>SUM(AJ80:AJ85)</f>
        <v>0</v>
      </c>
      <c r="AK86" s="316">
        <f>SUM(AK80:AK85)</f>
        <v>0</v>
      </c>
      <c r="AL86" s="317">
        <f>SUM(AL80:AL85)</f>
        <v>0</v>
      </c>
      <c r="AM86" s="309"/>
      <c r="AN86" s="338"/>
      <c r="AO86" s="339"/>
      <c r="AP86" s="309"/>
      <c r="AQ86" s="315">
        <f>SUM(AQ80:AQ85)</f>
        <v>0</v>
      </c>
      <c r="AR86" s="316">
        <f>SUM(AR80:AR85)</f>
        <v>0</v>
      </c>
      <c r="AS86" s="317">
        <f>SUM(AS80:AS85)</f>
        <v>0</v>
      </c>
      <c r="AT86" s="309"/>
      <c r="AU86" s="310"/>
      <c r="AV86" s="310"/>
      <c r="AW86" s="309"/>
    </row>
    <row r="87" spans="1:49" x14ac:dyDescent="0.2">
      <c r="A87" s="86">
        <f t="shared" si="165"/>
        <v>80</v>
      </c>
      <c r="B87" s="725" t="str">
        <f>'WA Volumes &amp; Revenues'!B75</f>
        <v>42I Inter Transpt</v>
      </c>
      <c r="C87" s="726" t="s">
        <v>4</v>
      </c>
      <c r="D87" s="162"/>
      <c r="E87" s="122">
        <f>'Rates in Detail'!Y73</f>
        <v>1.0160000000000001E-2</v>
      </c>
      <c r="F87" s="122">
        <f>'Rates in Detail'!Z73</f>
        <v>-1.3999999999999999E-4</v>
      </c>
      <c r="G87" s="157"/>
      <c r="H87" s="162"/>
      <c r="I87" s="373">
        <f>'Rev Req Proof Yr2'!H87</f>
        <v>0.1542</v>
      </c>
      <c r="J87" s="774">
        <f t="shared" si="167"/>
        <v>0.16436000000000001</v>
      </c>
      <c r="K87" s="162"/>
      <c r="L87" s="155">
        <f>'Rev Req Proof Yr1'!K87</f>
        <v>1550</v>
      </c>
      <c r="M87" s="156">
        <f>'Rev Req Proof Yr1'!L87</f>
        <v>1550</v>
      </c>
      <c r="N87" s="122">
        <f>'Rev Req Proof Yr1'!M87</f>
        <v>0</v>
      </c>
      <c r="O87" s="122">
        <f>'Rev Req Proof Yr1'!N87</f>
        <v>0</v>
      </c>
      <c r="P87" s="122">
        <f>'Rev Req Proof Yr1'!O87</f>
        <v>0</v>
      </c>
      <c r="Q87" s="774">
        <f>'Rev Req Proof Yr1'!P87</f>
        <v>0</v>
      </c>
      <c r="R87" s="162"/>
      <c r="S87" s="298">
        <f>'Rev Req Proof Yr1'!R87</f>
        <v>844078</v>
      </c>
      <c r="T87" s="299"/>
      <c r="U87" s="300">
        <f>'Rev Req Proof Yr1'!T87</f>
        <v>7</v>
      </c>
      <c r="V87" s="301">
        <f>'Rev Req Proof Yr1'!U87</f>
        <v>95634</v>
      </c>
      <c r="W87" s="162"/>
      <c r="X87" s="313">
        <f t="shared" ref="X87:X92" si="179">(I87*S87)</f>
        <v>130156.8276</v>
      </c>
      <c r="Y87" s="309">
        <f t="shared" ref="Y87:Y92" si="180">(L87*U87*12)</f>
        <v>130200</v>
      </c>
      <c r="Z87" s="314">
        <f t="shared" ref="Z87:Z92" si="181">(T87*(N87+P87))*12</f>
        <v>0</v>
      </c>
      <c r="AA87" s="320"/>
      <c r="AB87" s="313">
        <f t="shared" ref="AB87:AB92" si="182">(J87*S87)</f>
        <v>138732.66008</v>
      </c>
      <c r="AC87" s="309">
        <f t="shared" ref="AC87:AC92" si="183">(M87*U87*12)</f>
        <v>130200</v>
      </c>
      <c r="AD87" s="314">
        <f t="shared" ref="AD87:AD92" si="184">(T87*(O87+Q87))*12</f>
        <v>0</v>
      </c>
      <c r="AE87" s="320"/>
      <c r="AF87" s="313">
        <f t="shared" ref="AF87:AF92" si="185">(F87*S87)</f>
        <v>-118.17092</v>
      </c>
      <c r="AG87" s="309">
        <v>0</v>
      </c>
      <c r="AH87" s="314">
        <v>0</v>
      </c>
      <c r="AI87" s="320"/>
      <c r="AJ87" s="313">
        <f t="shared" ref="AJ87:AJ92" si="186">AB87-X87+AF87</f>
        <v>8457.6615599999968</v>
      </c>
      <c r="AK87" s="309">
        <f t="shared" ref="AK87:AL92" si="187">AC87-Y87-AG87</f>
        <v>0</v>
      </c>
      <c r="AL87" s="314">
        <f t="shared" si="187"/>
        <v>0</v>
      </c>
      <c r="AM87" s="320"/>
      <c r="AN87" s="338"/>
      <c r="AO87" s="340">
        <f t="shared" si="166"/>
        <v>6.4980544747081689E-2</v>
      </c>
      <c r="AP87" s="320"/>
      <c r="AQ87" s="313">
        <f t="shared" ref="AQ87:AQ92" si="188">(G87*S87)</f>
        <v>0</v>
      </c>
      <c r="AR87" s="309">
        <v>0</v>
      </c>
      <c r="AS87" s="314">
        <v>0</v>
      </c>
      <c r="AT87" s="320"/>
      <c r="AU87" s="310"/>
      <c r="AV87" s="310"/>
      <c r="AW87" s="320"/>
    </row>
    <row r="88" spans="1:49" x14ac:dyDescent="0.2">
      <c r="A88" s="86">
        <f t="shared" si="165"/>
        <v>81</v>
      </c>
      <c r="B88" s="725"/>
      <c r="C88" s="726" t="s">
        <v>5</v>
      </c>
      <c r="D88" s="162"/>
      <c r="E88" s="122">
        <f>'Rates in Detail'!Y74</f>
        <v>9.0900000000000009E-3</v>
      </c>
      <c r="F88" s="122">
        <f>'Rates in Detail'!Z74</f>
        <v>-1.2999999999999999E-4</v>
      </c>
      <c r="G88" s="157"/>
      <c r="H88" s="162"/>
      <c r="I88" s="373">
        <f>'Rev Req Proof Yr2'!H88</f>
        <v>0.13804</v>
      </c>
      <c r="J88" s="774">
        <f t="shared" si="167"/>
        <v>0.14712999999999998</v>
      </c>
      <c r="K88" s="162"/>
      <c r="L88" s="273"/>
      <c r="M88" s="55"/>
      <c r="N88" s="122"/>
      <c r="O88" s="122"/>
      <c r="P88" s="122"/>
      <c r="Q88" s="774"/>
      <c r="R88" s="162"/>
      <c r="S88" s="298">
        <f>'Rev Req Proof Yr1'!R88</f>
        <v>1445175</v>
      </c>
      <c r="T88" s="299"/>
      <c r="U88" s="157"/>
      <c r="V88" s="158"/>
      <c r="W88" s="162"/>
      <c r="X88" s="313">
        <f t="shared" si="179"/>
        <v>199491.95699999999</v>
      </c>
      <c r="Y88" s="309">
        <f t="shared" si="180"/>
        <v>0</v>
      </c>
      <c r="Z88" s="314">
        <f t="shared" si="181"/>
        <v>0</v>
      </c>
      <c r="AA88" s="320"/>
      <c r="AB88" s="313">
        <f t="shared" si="182"/>
        <v>212628.59774999999</v>
      </c>
      <c r="AC88" s="309">
        <f t="shared" si="183"/>
        <v>0</v>
      </c>
      <c r="AD88" s="314">
        <f t="shared" si="184"/>
        <v>0</v>
      </c>
      <c r="AE88" s="320"/>
      <c r="AF88" s="313">
        <f t="shared" si="185"/>
        <v>-187.87275</v>
      </c>
      <c r="AG88" s="309">
        <v>0</v>
      </c>
      <c r="AH88" s="314">
        <v>0</v>
      </c>
      <c r="AI88" s="320"/>
      <c r="AJ88" s="313">
        <f t="shared" si="186"/>
        <v>12948.767999999991</v>
      </c>
      <c r="AK88" s="309">
        <f t="shared" si="187"/>
        <v>0</v>
      </c>
      <c r="AL88" s="314">
        <f t="shared" si="187"/>
        <v>0</v>
      </c>
      <c r="AM88" s="320"/>
      <c r="AN88" s="338"/>
      <c r="AO88" s="340">
        <f t="shared" si="166"/>
        <v>6.4908722109533426E-2</v>
      </c>
      <c r="AP88" s="320"/>
      <c r="AQ88" s="313">
        <f t="shared" si="188"/>
        <v>0</v>
      </c>
      <c r="AR88" s="309">
        <v>0</v>
      </c>
      <c r="AS88" s="314">
        <v>0</v>
      </c>
      <c r="AT88" s="320"/>
      <c r="AU88" s="310"/>
      <c r="AV88" s="156"/>
      <c r="AW88" s="320"/>
    </row>
    <row r="89" spans="1:49" x14ac:dyDescent="0.2">
      <c r="A89" s="86">
        <f t="shared" si="165"/>
        <v>82</v>
      </c>
      <c r="B89" s="725"/>
      <c r="C89" s="726" t="s">
        <v>6</v>
      </c>
      <c r="D89" s="162"/>
      <c r="E89" s="122">
        <f>'Rates in Detail'!Y75</f>
        <v>6.9699999999999996E-3</v>
      </c>
      <c r="F89" s="122">
        <f>'Rates in Detail'!Z75</f>
        <v>-1E-4</v>
      </c>
      <c r="G89" s="157"/>
      <c r="H89" s="162"/>
      <c r="I89" s="373">
        <f>'Rev Req Proof Yr2'!H89</f>
        <v>0.10585</v>
      </c>
      <c r="J89" s="774">
        <f t="shared" si="167"/>
        <v>0.11282</v>
      </c>
      <c r="K89" s="162"/>
      <c r="L89" s="155"/>
      <c r="M89" s="156"/>
      <c r="N89" s="122"/>
      <c r="O89" s="122"/>
      <c r="P89" s="122"/>
      <c r="Q89" s="774"/>
      <c r="R89" s="162"/>
      <c r="S89" s="298">
        <f>'Rev Req Proof Yr1'!R89</f>
        <v>1034978</v>
      </c>
      <c r="T89" s="299"/>
      <c r="U89" s="157"/>
      <c r="V89" s="158"/>
      <c r="W89" s="162"/>
      <c r="X89" s="313">
        <f t="shared" si="179"/>
        <v>109552.4213</v>
      </c>
      <c r="Y89" s="309">
        <f t="shared" si="180"/>
        <v>0</v>
      </c>
      <c r="Z89" s="314">
        <f t="shared" si="181"/>
        <v>0</v>
      </c>
      <c r="AA89" s="320"/>
      <c r="AB89" s="313">
        <f t="shared" si="182"/>
        <v>116766.21796000001</v>
      </c>
      <c r="AC89" s="309">
        <f t="shared" si="183"/>
        <v>0</v>
      </c>
      <c r="AD89" s="314">
        <f t="shared" si="184"/>
        <v>0</v>
      </c>
      <c r="AE89" s="320"/>
      <c r="AF89" s="313">
        <f t="shared" si="185"/>
        <v>-103.4978</v>
      </c>
      <c r="AG89" s="309">
        <v>0</v>
      </c>
      <c r="AH89" s="314">
        <v>0</v>
      </c>
      <c r="AI89" s="320"/>
      <c r="AJ89" s="313">
        <f t="shared" si="186"/>
        <v>7110.2988600000072</v>
      </c>
      <c r="AK89" s="309">
        <f t="shared" si="187"/>
        <v>0</v>
      </c>
      <c r="AL89" s="314">
        <f t="shared" si="187"/>
        <v>0</v>
      </c>
      <c r="AM89" s="320"/>
      <c r="AN89" s="338"/>
      <c r="AO89" s="340">
        <f t="shared" si="166"/>
        <v>6.4903164855928258E-2</v>
      </c>
      <c r="AP89" s="320"/>
      <c r="AQ89" s="313">
        <f t="shared" si="188"/>
        <v>0</v>
      </c>
      <c r="AR89" s="309">
        <v>0</v>
      </c>
      <c r="AS89" s="314">
        <v>0</v>
      </c>
      <c r="AT89" s="320"/>
      <c r="AU89" s="310"/>
      <c r="AV89" s="156"/>
      <c r="AW89" s="320"/>
    </row>
    <row r="90" spans="1:49" x14ac:dyDescent="0.2">
      <c r="A90" s="86">
        <f t="shared" si="165"/>
        <v>83</v>
      </c>
      <c r="B90" s="725"/>
      <c r="C90" s="726" t="s">
        <v>7</v>
      </c>
      <c r="D90" s="162"/>
      <c r="E90" s="122">
        <f>'Rates in Detail'!Y76</f>
        <v>5.5799999999999999E-3</v>
      </c>
      <c r="F90" s="122">
        <f>'Rates in Detail'!Z76</f>
        <v>-8.0000000000000007E-5</v>
      </c>
      <c r="G90" s="157"/>
      <c r="H90" s="162"/>
      <c r="I90" s="373">
        <f>'Rev Req Proof Yr2'!H90</f>
        <v>8.4680000000000005E-2</v>
      </c>
      <c r="J90" s="774">
        <f t="shared" si="167"/>
        <v>9.0260000000000007E-2</v>
      </c>
      <c r="K90" s="162"/>
      <c r="L90" s="155"/>
      <c r="M90" s="156"/>
      <c r="N90" s="122"/>
      <c r="O90" s="122"/>
      <c r="P90" s="122"/>
      <c r="Q90" s="774"/>
      <c r="R90" s="162"/>
      <c r="S90" s="298">
        <f>'Rev Req Proof Yr1'!R90</f>
        <v>3359916</v>
      </c>
      <c r="T90" s="299"/>
      <c r="U90" s="157"/>
      <c r="V90" s="158"/>
      <c r="W90" s="162"/>
      <c r="X90" s="313">
        <f t="shared" si="179"/>
        <v>284517.68687999999</v>
      </c>
      <c r="Y90" s="309">
        <f t="shared" si="180"/>
        <v>0</v>
      </c>
      <c r="Z90" s="314">
        <f t="shared" si="181"/>
        <v>0</v>
      </c>
      <c r="AA90" s="320"/>
      <c r="AB90" s="313">
        <f t="shared" si="182"/>
        <v>303266.01816000004</v>
      </c>
      <c r="AC90" s="309">
        <f t="shared" si="183"/>
        <v>0</v>
      </c>
      <c r="AD90" s="314">
        <f t="shared" si="184"/>
        <v>0</v>
      </c>
      <c r="AE90" s="320"/>
      <c r="AF90" s="313">
        <f t="shared" si="185"/>
        <v>-268.79328000000004</v>
      </c>
      <c r="AG90" s="309">
        <v>0</v>
      </c>
      <c r="AH90" s="314">
        <v>0</v>
      </c>
      <c r="AI90" s="320"/>
      <c r="AJ90" s="313">
        <f t="shared" si="186"/>
        <v>18479.53800000004</v>
      </c>
      <c r="AK90" s="309">
        <f t="shared" si="187"/>
        <v>0</v>
      </c>
      <c r="AL90" s="314">
        <f t="shared" si="187"/>
        <v>0</v>
      </c>
      <c r="AM90" s="320"/>
      <c r="AN90" s="338"/>
      <c r="AO90" s="340">
        <f t="shared" si="166"/>
        <v>6.4950401511573122E-2</v>
      </c>
      <c r="AP90" s="320"/>
      <c r="AQ90" s="313">
        <f t="shared" si="188"/>
        <v>0</v>
      </c>
      <c r="AR90" s="309">
        <v>0</v>
      </c>
      <c r="AS90" s="314">
        <v>0</v>
      </c>
      <c r="AT90" s="320"/>
      <c r="AU90" s="310"/>
      <c r="AV90" s="156"/>
      <c r="AW90" s="320"/>
    </row>
    <row r="91" spans="1:49" x14ac:dyDescent="0.2">
      <c r="A91" s="86">
        <f t="shared" si="165"/>
        <v>84</v>
      </c>
      <c r="B91" s="725"/>
      <c r="C91" s="726" t="s">
        <v>8</v>
      </c>
      <c r="D91" s="162"/>
      <c r="E91" s="122">
        <f>'Rates in Detail'!Y77</f>
        <v>3.7200000000000002E-3</v>
      </c>
      <c r="F91" s="122">
        <f>'Rates in Detail'!Z77</f>
        <v>-5.0000000000000002E-5</v>
      </c>
      <c r="G91" s="157"/>
      <c r="H91" s="162"/>
      <c r="I91" s="373">
        <f>'Rev Req Proof Yr2'!H91</f>
        <v>5.6460000000000003E-2</v>
      </c>
      <c r="J91" s="774">
        <f t="shared" si="167"/>
        <v>6.0180000000000004E-2</v>
      </c>
      <c r="K91" s="162"/>
      <c r="L91" s="155"/>
      <c r="M91" s="156"/>
      <c r="N91" s="122"/>
      <c r="O91" s="122"/>
      <c r="P91" s="122"/>
      <c r="Q91" s="774"/>
      <c r="R91" s="162"/>
      <c r="S91" s="298">
        <f>'Rev Req Proof Yr1'!R91</f>
        <v>1349120</v>
      </c>
      <c r="T91" s="299"/>
      <c r="U91" s="157"/>
      <c r="V91" s="158"/>
      <c r="W91" s="162"/>
      <c r="X91" s="313">
        <f t="shared" si="179"/>
        <v>76171.315199999997</v>
      </c>
      <c r="Y91" s="309">
        <f t="shared" si="180"/>
        <v>0</v>
      </c>
      <c r="Z91" s="314">
        <f t="shared" si="181"/>
        <v>0</v>
      </c>
      <c r="AA91" s="320"/>
      <c r="AB91" s="313">
        <f t="shared" si="182"/>
        <v>81190.041600000011</v>
      </c>
      <c r="AC91" s="309">
        <f t="shared" si="183"/>
        <v>0</v>
      </c>
      <c r="AD91" s="314">
        <f t="shared" si="184"/>
        <v>0</v>
      </c>
      <c r="AE91" s="320"/>
      <c r="AF91" s="313">
        <f t="shared" si="185"/>
        <v>-67.456000000000003</v>
      </c>
      <c r="AG91" s="309">
        <v>0</v>
      </c>
      <c r="AH91" s="314">
        <v>0</v>
      </c>
      <c r="AI91" s="320"/>
      <c r="AJ91" s="313">
        <f t="shared" si="186"/>
        <v>4951.270400000014</v>
      </c>
      <c r="AK91" s="309">
        <f t="shared" si="187"/>
        <v>0</v>
      </c>
      <c r="AL91" s="314">
        <f t="shared" si="187"/>
        <v>0</v>
      </c>
      <c r="AM91" s="320"/>
      <c r="AN91" s="338"/>
      <c r="AO91" s="340">
        <f t="shared" si="166"/>
        <v>6.5001771165427033E-2</v>
      </c>
      <c r="AP91" s="320"/>
      <c r="AQ91" s="313">
        <f t="shared" si="188"/>
        <v>0</v>
      </c>
      <c r="AR91" s="309">
        <v>0</v>
      </c>
      <c r="AS91" s="314">
        <v>0</v>
      </c>
      <c r="AT91" s="320"/>
      <c r="AU91" s="310"/>
      <c r="AV91" s="154"/>
      <c r="AW91" s="320"/>
    </row>
    <row r="92" spans="1:49" x14ac:dyDescent="0.2">
      <c r="A92" s="86">
        <f t="shared" si="165"/>
        <v>85</v>
      </c>
      <c r="B92" s="725"/>
      <c r="C92" s="726" t="s">
        <v>9</v>
      </c>
      <c r="D92" s="162"/>
      <c r="E92" s="122">
        <f>'Rates in Detail'!Y78</f>
        <v>1.39E-3</v>
      </c>
      <c r="F92" s="122">
        <f>'Rates in Detail'!Z78</f>
        <v>-2.0000000000000002E-5</v>
      </c>
      <c r="G92" s="157"/>
      <c r="H92" s="162"/>
      <c r="I92" s="373">
        <f>'Rev Req Proof Yr2'!H92</f>
        <v>2.1160000000000002E-2</v>
      </c>
      <c r="J92" s="774">
        <f t="shared" si="167"/>
        <v>2.2550000000000001E-2</v>
      </c>
      <c r="K92" s="162"/>
      <c r="L92" s="155"/>
      <c r="M92" s="156"/>
      <c r="N92" s="122"/>
      <c r="O92" s="122"/>
      <c r="P92" s="122"/>
      <c r="Q92" s="774"/>
      <c r="R92" s="162"/>
      <c r="S92" s="298">
        <f>'Rev Req Proof Yr1'!R92</f>
        <v>0</v>
      </c>
      <c r="T92" s="299"/>
      <c r="U92" s="157"/>
      <c r="V92" s="158"/>
      <c r="W92" s="162"/>
      <c r="X92" s="313">
        <f t="shared" si="179"/>
        <v>0</v>
      </c>
      <c r="Y92" s="309">
        <f t="shared" si="180"/>
        <v>0</v>
      </c>
      <c r="Z92" s="314">
        <f t="shared" si="181"/>
        <v>0</v>
      </c>
      <c r="AA92" s="320"/>
      <c r="AB92" s="313">
        <f t="shared" si="182"/>
        <v>0</v>
      </c>
      <c r="AC92" s="309">
        <f t="shared" si="183"/>
        <v>0</v>
      </c>
      <c r="AD92" s="314">
        <f t="shared" si="184"/>
        <v>0</v>
      </c>
      <c r="AE92" s="320"/>
      <c r="AF92" s="313">
        <f t="shared" si="185"/>
        <v>0</v>
      </c>
      <c r="AG92" s="309">
        <v>0</v>
      </c>
      <c r="AH92" s="314">
        <v>0</v>
      </c>
      <c r="AI92" s="320"/>
      <c r="AJ92" s="313">
        <f t="shared" si="186"/>
        <v>0</v>
      </c>
      <c r="AK92" s="309">
        <f t="shared" si="187"/>
        <v>0</v>
      </c>
      <c r="AL92" s="314">
        <f t="shared" si="187"/>
        <v>0</v>
      </c>
      <c r="AM92" s="320"/>
      <c r="AN92" s="338"/>
      <c r="AO92" s="340" t="e">
        <f t="shared" si="166"/>
        <v>#DIV/0!</v>
      </c>
      <c r="AP92" s="320"/>
      <c r="AQ92" s="313">
        <f t="shared" si="188"/>
        <v>0</v>
      </c>
      <c r="AR92" s="309">
        <v>0</v>
      </c>
      <c r="AS92" s="314">
        <v>0</v>
      </c>
      <c r="AT92" s="320"/>
      <c r="AU92" s="310"/>
      <c r="AV92" s="154"/>
      <c r="AW92" s="320"/>
    </row>
    <row r="93" spans="1:49" x14ac:dyDescent="0.2">
      <c r="A93" s="86">
        <f t="shared" si="165"/>
        <v>86</v>
      </c>
      <c r="B93" s="723"/>
      <c r="C93" s="742" t="s">
        <v>78</v>
      </c>
      <c r="D93" s="163"/>
      <c r="E93" s="123"/>
      <c r="F93" s="123"/>
      <c r="G93" s="153"/>
      <c r="H93" s="163"/>
      <c r="I93" s="368"/>
      <c r="J93" s="773"/>
      <c r="K93" s="162"/>
      <c r="L93" s="155"/>
      <c r="M93" s="156"/>
      <c r="N93" s="122"/>
      <c r="O93" s="122"/>
      <c r="P93" s="122"/>
      <c r="Q93" s="774"/>
      <c r="R93" s="162"/>
      <c r="S93" s="298"/>
      <c r="T93" s="157"/>
      <c r="U93" s="157"/>
      <c r="V93" s="158"/>
      <c r="W93" s="162"/>
      <c r="X93" s="315">
        <f>SUM(X87:X92)</f>
        <v>799890.20797999995</v>
      </c>
      <c r="Y93" s="316">
        <f>SUM(Y87:Y92)</f>
        <v>130200</v>
      </c>
      <c r="Z93" s="317">
        <f>SUM(Z87:Z92)</f>
        <v>0</v>
      </c>
      <c r="AA93" s="320"/>
      <c r="AB93" s="315">
        <f>SUM(AB87:AB92)</f>
        <v>852583.53555000003</v>
      </c>
      <c r="AC93" s="316">
        <f>SUM(AC87:AC92)</f>
        <v>130200</v>
      </c>
      <c r="AD93" s="317">
        <f>SUM(AD87:AD92)</f>
        <v>0</v>
      </c>
      <c r="AE93" s="320"/>
      <c r="AF93" s="315">
        <f>SUM(AF87:AF92)</f>
        <v>-745.79075</v>
      </c>
      <c r="AG93" s="316">
        <f>SUM(AG87:AG92)</f>
        <v>0</v>
      </c>
      <c r="AH93" s="317">
        <f>SUM(AH87:AH92)</f>
        <v>0</v>
      </c>
      <c r="AI93" s="320"/>
      <c r="AJ93" s="315">
        <f>SUM(AJ87:AJ92)</f>
        <v>51947.536820000052</v>
      </c>
      <c r="AK93" s="316">
        <f>SUM(AK87:AK92)</f>
        <v>0</v>
      </c>
      <c r="AL93" s="317">
        <f>SUM(AL87:AL92)</f>
        <v>0</v>
      </c>
      <c r="AM93" s="320"/>
      <c r="AN93" s="338">
        <f>SUM(AJ93:AL93)/SUM(X93:Z93)</f>
        <v>5.5852148935984815E-2</v>
      </c>
      <c r="AO93" s="339">
        <f t="shared" si="166"/>
        <v>6.4943333849761198E-2</v>
      </c>
      <c r="AP93" s="320"/>
      <c r="AQ93" s="315">
        <f>SUM(AQ87:AQ92)</f>
        <v>0</v>
      </c>
      <c r="AR93" s="316">
        <f>SUM(AR87:AR92)</f>
        <v>0</v>
      </c>
      <c r="AS93" s="317">
        <f>SUM(AS87:AS92)</f>
        <v>0</v>
      </c>
      <c r="AT93" s="320"/>
      <c r="AU93" s="310"/>
      <c r="AV93" s="154"/>
      <c r="AW93" s="320"/>
    </row>
    <row r="94" spans="1:49" x14ac:dyDescent="0.2">
      <c r="A94" s="86">
        <f t="shared" si="165"/>
        <v>87</v>
      </c>
      <c r="B94" s="723" t="str">
        <f>'WA Volumes &amp; Revenues'!B81</f>
        <v>43 Firm Transpt</v>
      </c>
      <c r="C94" s="723" t="s">
        <v>283</v>
      </c>
      <c r="D94" s="162"/>
      <c r="E94" s="392">
        <f>'Rates in Detail'!Y79</f>
        <v>0</v>
      </c>
      <c r="F94" s="392">
        <f>'Rates in Detail'!Z79</f>
        <v>0</v>
      </c>
      <c r="G94" s="164"/>
      <c r="H94" s="162"/>
      <c r="I94" s="393">
        <f>'Rev Req Proof Yr2'!H94</f>
        <v>4.9100000000000003E-3</v>
      </c>
      <c r="J94" s="775">
        <f t="shared" si="167"/>
        <v>4.9100000000000003E-3</v>
      </c>
      <c r="K94" s="162"/>
      <c r="L94" s="155">
        <f>'Rev Req Proof Yr1'!K94</f>
        <v>38000</v>
      </c>
      <c r="M94" s="156">
        <f>'Rev Req Proof Yr1'!L94</f>
        <v>38000</v>
      </c>
      <c r="N94" s="122">
        <f>'Rev Req Proof Yr1'!M94</f>
        <v>0.15748000000000001</v>
      </c>
      <c r="O94" s="122">
        <f>'Rev Req Proof Yr1'!N94</f>
        <v>0</v>
      </c>
      <c r="P94" s="122">
        <f>'Rev Req Proof Yr1'!O94</f>
        <v>0</v>
      </c>
      <c r="Q94" s="774">
        <f>'Rev Req Proof Yr1'!P94</f>
        <v>0</v>
      </c>
      <c r="R94" s="162"/>
      <c r="S94" s="298">
        <f>'Rev Req Proof Yr1'!R94</f>
        <v>0</v>
      </c>
      <c r="T94" s="299"/>
      <c r="U94" s="300">
        <f>'Rev Req Proof Yr1'!T94</f>
        <v>0</v>
      </c>
      <c r="V94" s="301">
        <f>'Rev Req Proof Yr1'!U94</f>
        <v>0</v>
      </c>
      <c r="W94" s="162"/>
      <c r="X94" s="306">
        <f t="shared" ref="X94:X96" si="189">(I94*S94)</f>
        <v>0</v>
      </c>
      <c r="Y94" s="307">
        <f t="shared" ref="Y94:Y96" si="190">(L94*U94*12)</f>
        <v>0</v>
      </c>
      <c r="Z94" s="308">
        <f t="shared" ref="Z94:Z96" si="191">(T94*(N94+P94))*12</f>
        <v>0</v>
      </c>
      <c r="AA94" s="321"/>
      <c r="AB94" s="306">
        <f t="shared" ref="AB94:AB96" si="192">(J94*S94)</f>
        <v>0</v>
      </c>
      <c r="AC94" s="307">
        <f t="shared" ref="AC94:AC96" si="193">(M94*U94*12)</f>
        <v>0</v>
      </c>
      <c r="AD94" s="308">
        <f t="shared" ref="AD94:AD96" si="194">(T94*(O94+Q94))*12</f>
        <v>0</v>
      </c>
      <c r="AE94" s="321"/>
      <c r="AF94" s="306">
        <f t="shared" ref="AF94:AF96" si="195">(F94*S94)</f>
        <v>0</v>
      </c>
      <c r="AG94" s="307">
        <v>0</v>
      </c>
      <c r="AH94" s="308">
        <v>0</v>
      </c>
      <c r="AI94" s="321"/>
      <c r="AJ94" s="306">
        <f t="shared" ref="AJ94:AJ96" si="196">AB94-X94+AF94</f>
        <v>0</v>
      </c>
      <c r="AK94" s="307">
        <f t="shared" ref="AK94:AL96" si="197">AC94-Y94-AG94</f>
        <v>0</v>
      </c>
      <c r="AL94" s="308">
        <f t="shared" si="197"/>
        <v>0</v>
      </c>
      <c r="AM94" s="320"/>
      <c r="AN94" s="338"/>
      <c r="AO94" s="339"/>
      <c r="AP94" s="320"/>
      <c r="AQ94" s="306">
        <f t="shared" ref="AQ94:AQ96" si="198">(G94*S94)</f>
        <v>0</v>
      </c>
      <c r="AR94" s="307">
        <v>0</v>
      </c>
      <c r="AS94" s="308">
        <v>0</v>
      </c>
      <c r="AT94" s="320"/>
      <c r="AU94" s="154"/>
      <c r="AV94" s="154"/>
      <c r="AW94" s="320"/>
    </row>
    <row r="95" spans="1:49" x14ac:dyDescent="0.2">
      <c r="A95" s="86">
        <f t="shared" si="165"/>
        <v>88</v>
      </c>
      <c r="B95" s="723" t="str">
        <f>'WA Volumes &amp; Revenues'!B82</f>
        <v>43 Interr Transpt</v>
      </c>
      <c r="C95" s="724" t="s">
        <v>283</v>
      </c>
      <c r="D95" s="162"/>
      <c r="E95" s="392">
        <f>'Rates in Detail'!Y80</f>
        <v>0</v>
      </c>
      <c r="F95" s="392">
        <f>'Rates in Detail'!Z80</f>
        <v>0</v>
      </c>
      <c r="G95" s="164"/>
      <c r="H95" s="162"/>
      <c r="I95" s="396">
        <f>'Rev Req Proof Yr2'!H95</f>
        <v>4.9100000000000003E-3</v>
      </c>
      <c r="J95" s="776">
        <f t="shared" si="167"/>
        <v>4.9100000000000003E-3</v>
      </c>
      <c r="K95" s="162"/>
      <c r="L95" s="155">
        <f>'Rev Req Proof Yr1'!K95</f>
        <v>38000</v>
      </c>
      <c r="M95" s="156">
        <f>'Rev Req Proof Yr1'!L95</f>
        <v>38000</v>
      </c>
      <c r="N95" s="122">
        <f>'Rev Req Proof Yr1'!M95</f>
        <v>0</v>
      </c>
      <c r="O95" s="122">
        <f>'Rev Req Proof Yr1'!N95</f>
        <v>0</v>
      </c>
      <c r="P95" s="122">
        <f>'Rev Req Proof Yr1'!O95</f>
        <v>0</v>
      </c>
      <c r="Q95" s="774">
        <f>'Rev Req Proof Yr1'!P95</f>
        <v>0</v>
      </c>
      <c r="R95" s="162"/>
      <c r="S95" s="298">
        <f>'Rev Req Proof Yr1'!R95</f>
        <v>0</v>
      </c>
      <c r="T95" s="299"/>
      <c r="U95" s="300">
        <f>'Rev Req Proof Yr1'!T95</f>
        <v>0</v>
      </c>
      <c r="V95" s="301">
        <f>'Rev Req Proof Yr1'!U95</f>
        <v>0</v>
      </c>
      <c r="W95" s="162"/>
      <c r="X95" s="322">
        <f t="shared" si="189"/>
        <v>0</v>
      </c>
      <c r="Y95" s="321">
        <f t="shared" si="190"/>
        <v>0</v>
      </c>
      <c r="Z95" s="323">
        <f t="shared" si="191"/>
        <v>0</v>
      </c>
      <c r="AA95" s="320"/>
      <c r="AB95" s="322">
        <f t="shared" si="192"/>
        <v>0</v>
      </c>
      <c r="AC95" s="321">
        <f t="shared" si="193"/>
        <v>0</v>
      </c>
      <c r="AD95" s="323">
        <f t="shared" si="194"/>
        <v>0</v>
      </c>
      <c r="AE95" s="320"/>
      <c r="AF95" s="322">
        <f t="shared" si="195"/>
        <v>0</v>
      </c>
      <c r="AG95" s="321">
        <v>0</v>
      </c>
      <c r="AH95" s="323">
        <v>0</v>
      </c>
      <c r="AI95" s="320"/>
      <c r="AJ95" s="322">
        <f t="shared" si="196"/>
        <v>0</v>
      </c>
      <c r="AK95" s="321">
        <f t="shared" si="197"/>
        <v>0</v>
      </c>
      <c r="AL95" s="323">
        <f t="shared" si="197"/>
        <v>0</v>
      </c>
      <c r="AM95" s="320"/>
      <c r="AN95" s="320"/>
      <c r="AO95" s="320"/>
      <c r="AP95" s="320"/>
      <c r="AQ95" s="322">
        <f t="shared" si="198"/>
        <v>0</v>
      </c>
      <c r="AR95" s="321">
        <v>0</v>
      </c>
      <c r="AS95" s="323">
        <v>0</v>
      </c>
      <c r="AT95" s="320"/>
      <c r="AU95" s="154"/>
      <c r="AV95" s="154"/>
      <c r="AW95" s="320"/>
    </row>
    <row r="96" spans="1:49" ht="13.5" thickBot="1" x14ac:dyDescent="0.25">
      <c r="A96" s="86">
        <f t="shared" si="165"/>
        <v>89</v>
      </c>
      <c r="B96" s="779" t="str">
        <f>'WA Volumes &amp; Revenues'!B83</f>
        <v>Special Contract</v>
      </c>
      <c r="C96" s="780" t="s">
        <v>283</v>
      </c>
      <c r="D96" s="166"/>
      <c r="E96" s="836">
        <f>'Rates in Detail'!Y81</f>
        <v>0</v>
      </c>
      <c r="F96" s="836">
        <f>'Rates in Detail'!Z81</f>
        <v>0</v>
      </c>
      <c r="G96" s="166"/>
      <c r="H96" s="782"/>
      <c r="I96" s="777">
        <f>'Rev Req Proof Yr2'!H96</f>
        <v>0</v>
      </c>
      <c r="J96" s="778">
        <f t="shared" si="167"/>
        <v>0</v>
      </c>
      <c r="K96" s="162"/>
      <c r="L96" s="785">
        <f>'Rev Req Proof Yr1'!K96</f>
        <v>0</v>
      </c>
      <c r="M96" s="786">
        <f>'Rev Req Proof Yr1'!L96</f>
        <v>0</v>
      </c>
      <c r="N96" s="795">
        <f>'Rev Req Proof Yr1'!M96</f>
        <v>0</v>
      </c>
      <c r="O96" s="795">
        <f>'Rev Req Proof Yr1'!N96</f>
        <v>0</v>
      </c>
      <c r="P96" s="795">
        <f>'Rev Req Proof Yr1'!O96</f>
        <v>0</v>
      </c>
      <c r="Q96" s="778">
        <f>'Rev Req Proof Yr1'!P96</f>
        <v>0</v>
      </c>
      <c r="R96" s="162"/>
      <c r="S96" s="811">
        <f>'Rev Req Proof Yr1'!R96</f>
        <v>2895114</v>
      </c>
      <c r="T96" s="805"/>
      <c r="U96" s="801">
        <f>'Rev Req Proof Yr1'!T96</f>
        <v>1</v>
      </c>
      <c r="V96" s="802">
        <f>'Rev Req Proof Yr1'!U96</f>
        <v>241259.5</v>
      </c>
      <c r="W96" s="162"/>
      <c r="X96" s="324">
        <f t="shared" si="189"/>
        <v>0</v>
      </c>
      <c r="Y96" s="325">
        <f t="shared" si="190"/>
        <v>0</v>
      </c>
      <c r="Z96" s="326">
        <f t="shared" si="191"/>
        <v>0</v>
      </c>
      <c r="AA96" s="320"/>
      <c r="AB96" s="324">
        <f t="shared" si="192"/>
        <v>0</v>
      </c>
      <c r="AC96" s="325">
        <f t="shared" si="193"/>
        <v>0</v>
      </c>
      <c r="AD96" s="326">
        <f t="shared" si="194"/>
        <v>0</v>
      </c>
      <c r="AE96" s="320"/>
      <c r="AF96" s="324">
        <f t="shared" si="195"/>
        <v>0</v>
      </c>
      <c r="AG96" s="325">
        <v>0</v>
      </c>
      <c r="AH96" s="326">
        <v>0</v>
      </c>
      <c r="AI96" s="320"/>
      <c r="AJ96" s="324">
        <f t="shared" si="196"/>
        <v>0</v>
      </c>
      <c r="AK96" s="325">
        <f t="shared" si="197"/>
        <v>0</v>
      </c>
      <c r="AL96" s="326">
        <f t="shared" si="197"/>
        <v>0</v>
      </c>
      <c r="AM96" s="320"/>
      <c r="AN96" s="320"/>
      <c r="AO96" s="320"/>
      <c r="AP96" s="320"/>
      <c r="AQ96" s="324">
        <f t="shared" si="198"/>
        <v>0</v>
      </c>
      <c r="AR96" s="325">
        <v>0</v>
      </c>
      <c r="AS96" s="326">
        <v>0</v>
      </c>
      <c r="AT96" s="320"/>
      <c r="AU96" s="162"/>
      <c r="AV96" s="162"/>
      <c r="AW96" s="320"/>
    </row>
    <row r="97" spans="1:49" x14ac:dyDescent="0.2">
      <c r="A97" s="86">
        <f t="shared" si="165"/>
        <v>90</v>
      </c>
    </row>
    <row r="98" spans="1:49" x14ac:dyDescent="0.2">
      <c r="A98" s="86">
        <f t="shared" si="165"/>
        <v>91</v>
      </c>
      <c r="B98" s="168" t="s">
        <v>58</v>
      </c>
      <c r="AT98" s="55"/>
      <c r="AU98" s="55"/>
    </row>
    <row r="99" spans="1:49" x14ac:dyDescent="0.2">
      <c r="A99" s="86">
        <f t="shared" si="16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65"/>
      <c r="AN99" s="765"/>
      <c r="AO99" s="765"/>
      <c r="AP99" s="765"/>
      <c r="AQ99" s="798"/>
      <c r="AR99" s="798"/>
      <c r="AS99" s="799"/>
      <c r="AT99" s="837"/>
      <c r="AU99" s="55"/>
      <c r="AW99" s="55"/>
    </row>
    <row r="100" spans="1:49" x14ac:dyDescent="0.2">
      <c r="A100" s="86">
        <f t="shared" si="165"/>
        <v>93</v>
      </c>
      <c r="B100" s="169"/>
      <c r="S100" s="327"/>
      <c r="T100" s="327"/>
      <c r="U100" s="327"/>
      <c r="AT100" s="55"/>
      <c r="AU100" s="55"/>
    </row>
    <row r="101" spans="1:49" x14ac:dyDescent="0.2">
      <c r="A101" s="86">
        <f t="shared" si="16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800"/>
      <c r="AT101" s="55"/>
      <c r="AU101" s="55"/>
      <c r="AW101" s="55"/>
    </row>
    <row r="102" spans="1:49" x14ac:dyDescent="0.2">
      <c r="A102" s="86">
        <f t="shared" si="16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765"/>
      <c r="AQ102" s="765"/>
      <c r="AR102" s="765"/>
      <c r="AS102" s="800"/>
      <c r="AT102" s="55"/>
      <c r="AU102" s="55"/>
      <c r="AW102" s="55"/>
    </row>
    <row r="103" spans="1:49" x14ac:dyDescent="0.2">
      <c r="A103" s="86"/>
      <c r="B103" s="169"/>
      <c r="AT103" s="55"/>
      <c r="AU103" s="55"/>
    </row>
    <row r="104" spans="1:49" x14ac:dyDescent="0.2">
      <c r="A104" s="86"/>
      <c r="B104" s="169"/>
    </row>
    <row r="105" spans="1:49" x14ac:dyDescent="0.2">
      <c r="A105" s="86"/>
      <c r="B105" s="169"/>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&amp;RExh. RJW-3 Wyman WP1</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J85"/>
  <sheetViews>
    <sheetView zoomScale="80" zoomScaleNormal="80" workbookViewId="0">
      <pane xSplit="4" ySplit="12" topLeftCell="P13" activePane="bottomRight" state="frozen"/>
      <selection pane="topRight" activeCell="D1" sqref="D1"/>
      <selection pane="bottomLeft" activeCell="A13" sqref="A13"/>
      <selection pane="bottomRight" activeCell="Z3" sqref="Z3"/>
    </sheetView>
  </sheetViews>
  <sheetFormatPr defaultColWidth="9.33203125" defaultRowHeight="15" outlineLevelCol="1" x14ac:dyDescent="0.25"/>
  <cols>
    <col min="1" max="1" width="6.83203125" style="132" customWidth="1"/>
    <col min="2" max="3" width="19" style="174" customWidth="1"/>
    <col min="4" max="4" width="10.33203125" style="174" customWidth="1"/>
    <col min="5" max="5" width="11.33203125" style="174" bestFit="1" customWidth="1"/>
    <col min="6" max="6" width="14" style="174" bestFit="1" customWidth="1"/>
    <col min="7" max="7" width="10.33203125" style="174" bestFit="1" customWidth="1"/>
    <col min="8" max="8" width="10.83203125" style="174" customWidth="1"/>
    <col min="9" max="9" width="11.5" style="174" customWidth="1"/>
    <col min="10" max="10" width="14.83203125" style="174" customWidth="1"/>
    <col min="11" max="11" width="2.83203125" style="174" customWidth="1"/>
    <col min="12" max="12" width="14.83203125" style="174" customWidth="1"/>
    <col min="13" max="13" width="2.83203125" style="174" customWidth="1"/>
    <col min="14" max="14" width="15.83203125" style="174" customWidth="1"/>
    <col min="15" max="16" width="16.83203125" style="174" customWidth="1"/>
    <col min="17" max="17" width="16.83203125" style="174" hidden="1" customWidth="1" outlineLevel="1"/>
    <col min="18" max="18" width="16.83203125" style="174" customWidth="1" collapsed="1"/>
    <col min="19" max="20" width="18.83203125" style="174" customWidth="1"/>
    <col min="21" max="21" width="18.83203125" style="174" hidden="1" customWidth="1" outlineLevel="1"/>
    <col min="22" max="22" width="18.33203125" style="174" customWidth="1" collapsed="1"/>
    <col min="23" max="23" width="15.83203125" style="174" customWidth="1"/>
    <col min="24" max="24" width="3.5" style="174" customWidth="1"/>
    <col min="25" max="25" width="17" style="132" bestFit="1" customWidth="1"/>
    <col min="26" max="26" width="16.1640625" style="132" bestFit="1" customWidth="1"/>
    <col min="27" max="28" width="14.83203125" style="174" customWidth="1"/>
    <col min="29" max="29" width="4" style="174" customWidth="1"/>
    <col min="30" max="31" width="15.83203125" style="174" customWidth="1"/>
    <col min="32" max="32" width="18.1640625" style="174" customWidth="1"/>
    <col min="33" max="35" width="15.83203125" style="174" customWidth="1"/>
    <col min="36" max="36" width="5.33203125" style="174" customWidth="1"/>
    <col min="37" max="16384" width="9.33203125" style="132"/>
  </cols>
  <sheetData>
    <row r="1" spans="1:36" ht="11.1" customHeight="1" x14ac:dyDescent="0.25">
      <c r="A1" s="173" t="str">
        <f>+'WA Volumes &amp; Revenues'!A1</f>
        <v>NW Natural</v>
      </c>
      <c r="N1" s="175"/>
    </row>
    <row r="2" spans="1:36" ht="12.75" customHeight="1" x14ac:dyDescent="0.25">
      <c r="A2" s="173" t="str">
        <f>+'WA Volumes &amp; Revenues'!A2</f>
        <v>Rates &amp; Regulatory Affairs</v>
      </c>
      <c r="F2" s="176"/>
      <c r="H2" s="845"/>
      <c r="L2" s="176"/>
      <c r="N2" s="177"/>
      <c r="Q2" s="178"/>
      <c r="R2" s="176"/>
      <c r="U2" s="176"/>
      <c r="V2" s="176"/>
      <c r="W2" s="176"/>
      <c r="Y2" s="1184"/>
      <c r="Z2" s="1185"/>
      <c r="AA2" s="1186"/>
    </row>
    <row r="3" spans="1:36" ht="15" customHeight="1" thickBot="1" x14ac:dyDescent="0.3">
      <c r="A3" s="173" t="str">
        <f>+'WA Volumes &amp; Revenues'!A3</f>
        <v>Test Year Ending September 30, 2020</v>
      </c>
      <c r="F3" s="179"/>
      <c r="H3" s="176"/>
      <c r="I3" s="176"/>
      <c r="L3" s="176"/>
      <c r="N3" s="175"/>
      <c r="Q3" s="1159"/>
      <c r="R3" s="226"/>
      <c r="S3" s="226"/>
      <c r="T3" s="226"/>
      <c r="U3" s="1159"/>
      <c r="V3" s="132"/>
      <c r="W3" s="226"/>
      <c r="Y3" s="1184"/>
      <c r="Z3" s="1185"/>
      <c r="AA3" s="1186"/>
    </row>
    <row r="4" spans="1:36" ht="15.75" customHeight="1" thickBot="1" x14ac:dyDescent="0.3">
      <c r="A4" s="173" t="s">
        <v>65</v>
      </c>
      <c r="E4" s="176"/>
      <c r="F4" s="176"/>
      <c r="H4" s="176"/>
      <c r="I4" s="176"/>
      <c r="K4" s="176"/>
      <c r="L4" s="1194">
        <f>'Rate Spread Proposal'!D23/1000</f>
        <v>6718.061567838412</v>
      </c>
      <c r="M4" s="176"/>
      <c r="N4" s="176"/>
      <c r="O4" s="132"/>
      <c r="P4" s="989">
        <f>'Allocation = % of Margin'!S10/1000</f>
        <v>-462.25200000000001</v>
      </c>
      <c r="Q4" s="252"/>
      <c r="R4" s="132"/>
      <c r="S4" s="989">
        <f>'Allocation = % of Margin'!M10/1000</f>
        <v>-1477.729</v>
      </c>
      <c r="T4" s="989">
        <f>'Allocation = % of Margin'!P10/1000</f>
        <v>-875.74</v>
      </c>
      <c r="U4" s="252"/>
      <c r="V4" s="226"/>
      <c r="W4" s="226"/>
      <c r="X4" s="176"/>
      <c r="Y4" s="226"/>
      <c r="Z4" s="226"/>
      <c r="AA4" s="176"/>
      <c r="AB4" s="176"/>
      <c r="AC4" s="176"/>
      <c r="AD4" s="176"/>
      <c r="AE4" s="176"/>
    </row>
    <row r="5" spans="1:36" ht="13.5" customHeight="1" thickBot="1" x14ac:dyDescent="0.3">
      <c r="F5" s="180"/>
      <c r="L5" s="251"/>
      <c r="O5" s="1590" t="s">
        <v>119</v>
      </c>
      <c r="P5" s="1591"/>
      <c r="Q5" s="1591"/>
      <c r="R5" s="1591"/>
      <c r="S5" s="1591"/>
      <c r="T5" s="1591"/>
      <c r="U5" s="1591"/>
      <c r="V5" s="1591"/>
      <c r="W5" s="1592"/>
      <c r="Y5" s="1599" t="s">
        <v>417</v>
      </c>
      <c r="Z5" s="1600"/>
      <c r="AA5" s="1600"/>
      <c r="AB5" s="1601"/>
    </row>
    <row r="6" spans="1:36" ht="15.75" thickBot="1" x14ac:dyDescent="0.3">
      <c r="L6" s="181"/>
      <c r="N6" s="182"/>
      <c r="O6" s="1596"/>
      <c r="P6" s="1597"/>
      <c r="Q6" s="1598"/>
      <c r="R6" s="183"/>
      <c r="S6" s="184"/>
      <c r="T6" s="184"/>
      <c r="U6" s="184"/>
      <c r="V6" s="823"/>
      <c r="W6" s="676"/>
      <c r="Y6" s="182"/>
      <c r="Z6" s="958"/>
      <c r="AA6" s="182"/>
      <c r="AB6" s="991"/>
      <c r="AD6" s="1590" t="s">
        <v>121</v>
      </c>
      <c r="AE6" s="1591"/>
      <c r="AF6" s="1591"/>
      <c r="AG6" s="1591"/>
      <c r="AH6" s="1591"/>
      <c r="AI6" s="1592"/>
    </row>
    <row r="7" spans="1:36" ht="15.75" thickBot="1" x14ac:dyDescent="0.3">
      <c r="A7" s="133">
        <v>1</v>
      </c>
      <c r="E7" s="1593" t="s">
        <v>369</v>
      </c>
      <c r="F7" s="1594"/>
      <c r="G7" s="1594"/>
      <c r="H7" s="1594"/>
      <c r="I7" s="1594"/>
      <c r="J7" s="1595"/>
      <c r="K7" s="185"/>
      <c r="L7" s="951" t="s">
        <v>420</v>
      </c>
      <c r="M7" s="185"/>
      <c r="N7" s="186" t="s">
        <v>17</v>
      </c>
      <c r="O7" s="186" t="s">
        <v>20</v>
      </c>
      <c r="P7" s="187" t="s">
        <v>20</v>
      </c>
      <c r="Q7" s="187" t="s">
        <v>20</v>
      </c>
      <c r="R7" s="188" t="str">
        <f>L7</f>
        <v>Year 1</v>
      </c>
      <c r="S7" s="187" t="s">
        <v>20</v>
      </c>
      <c r="T7" s="187" t="s">
        <v>20</v>
      </c>
      <c r="U7" s="187" t="s">
        <v>20</v>
      </c>
      <c r="V7" s="1021" t="str">
        <f>L7</f>
        <v>Year 1</v>
      </c>
      <c r="W7" s="990" t="str">
        <f>L7</f>
        <v>Year 1</v>
      </c>
      <c r="X7" s="189"/>
      <c r="Y7" s="186" t="s">
        <v>419</v>
      </c>
      <c r="Z7" s="187" t="s">
        <v>20</v>
      </c>
      <c r="AA7" s="1456" t="str">
        <f>Z8</f>
        <v>Year 2</v>
      </c>
      <c r="AB7" s="992" t="str">
        <f>AA7</f>
        <v>Year 2</v>
      </c>
      <c r="AC7" s="189"/>
      <c r="AD7" s="190" t="s">
        <v>17</v>
      </c>
      <c r="AE7" s="191" t="s">
        <v>20</v>
      </c>
      <c r="AF7" s="191" t="s">
        <v>17</v>
      </c>
      <c r="AG7" s="191" t="s">
        <v>20</v>
      </c>
      <c r="AH7" s="191" t="s">
        <v>17</v>
      </c>
      <c r="AI7" s="192" t="s">
        <v>20</v>
      </c>
    </row>
    <row r="8" spans="1:36" x14ac:dyDescent="0.25">
      <c r="A8" s="133">
        <f>+A7+1</f>
        <v>2</v>
      </c>
      <c r="E8" s="186"/>
      <c r="F8" s="193"/>
      <c r="G8" s="187" t="s">
        <v>118</v>
      </c>
      <c r="H8" s="187" t="s">
        <v>118</v>
      </c>
      <c r="I8" s="187" t="s">
        <v>118</v>
      </c>
      <c r="J8" s="192">
        <f>+'Avg Bill by RS'!K9</f>
        <v>44136</v>
      </c>
      <c r="K8" s="194"/>
      <c r="L8" s="195" t="str">
        <f>'Allocation = ¢ per Therm'!D12</f>
        <v>WA GRC</v>
      </c>
      <c r="M8" s="194"/>
      <c r="N8" s="418" t="s">
        <v>18</v>
      </c>
      <c r="O8" s="1020" t="str">
        <f>L7</f>
        <v>Year 1</v>
      </c>
      <c r="P8" s="957" t="str">
        <f>O8</f>
        <v>Year 1</v>
      </c>
      <c r="Q8" s="957" t="str">
        <f>O8</f>
        <v>Year 1</v>
      </c>
      <c r="R8" s="196" t="s">
        <v>188</v>
      </c>
      <c r="S8" s="957" t="str">
        <f>O8</f>
        <v>Year 1</v>
      </c>
      <c r="T8" s="957" t="str">
        <f>P8</f>
        <v>Year 1</v>
      </c>
      <c r="U8" s="957" t="str">
        <f>P8</f>
        <v>Year 1</v>
      </c>
      <c r="V8" s="818" t="s">
        <v>21</v>
      </c>
      <c r="W8" s="677" t="s">
        <v>21</v>
      </c>
      <c r="X8" s="197"/>
      <c r="Y8" s="416" t="s">
        <v>279</v>
      </c>
      <c r="Z8" s="417" t="str">
        <f>Y7</f>
        <v>Year 2</v>
      </c>
      <c r="AA8" s="1020" t="s">
        <v>523</v>
      </c>
      <c r="AB8" s="993" t="s">
        <v>21</v>
      </c>
      <c r="AC8" s="197"/>
      <c r="AD8" s="198" t="str">
        <f>E9</f>
        <v>CURRENT</v>
      </c>
      <c r="AE8" s="957" t="str">
        <f>O8</f>
        <v>Year 1</v>
      </c>
      <c r="AF8" s="197" t="str">
        <f>E9</f>
        <v>CURRENT</v>
      </c>
      <c r="AG8" s="957" t="str">
        <f>O8</f>
        <v>Year 1</v>
      </c>
      <c r="AH8" s="197" t="str">
        <f>E9</f>
        <v>CURRENT</v>
      </c>
      <c r="AI8" s="950" t="str">
        <f>O8</f>
        <v>Year 1</v>
      </c>
      <c r="AJ8" s="199"/>
    </row>
    <row r="9" spans="1:36" x14ac:dyDescent="0.25">
      <c r="A9" s="133">
        <f t="shared" ref="A9:A72" si="0">+A8+1</f>
        <v>3</v>
      </c>
      <c r="E9" s="186" t="s">
        <v>118</v>
      </c>
      <c r="F9" s="187" t="s">
        <v>118</v>
      </c>
      <c r="G9" s="187" t="s">
        <v>138</v>
      </c>
      <c r="H9" s="187" t="s">
        <v>139</v>
      </c>
      <c r="I9" s="187" t="s">
        <v>30</v>
      </c>
      <c r="J9" s="200" t="s">
        <v>15</v>
      </c>
      <c r="K9" s="201"/>
      <c r="L9" s="202" t="s">
        <v>179</v>
      </c>
      <c r="M9" s="201"/>
      <c r="N9" s="418" t="s">
        <v>105</v>
      </c>
      <c r="O9" s="418" t="s">
        <v>179</v>
      </c>
      <c r="P9" s="933" t="s">
        <v>411</v>
      </c>
      <c r="Q9" s="1097" t="s">
        <v>375</v>
      </c>
      <c r="R9" s="196" t="s">
        <v>138</v>
      </c>
      <c r="S9" s="933" t="s">
        <v>401</v>
      </c>
      <c r="T9" s="933" t="s">
        <v>412</v>
      </c>
      <c r="U9" s="1097" t="s">
        <v>375</v>
      </c>
      <c r="V9" s="818" t="s">
        <v>381</v>
      </c>
      <c r="W9" s="677" t="s">
        <v>82</v>
      </c>
      <c r="X9" s="203"/>
      <c r="Y9" s="418" t="s">
        <v>179</v>
      </c>
      <c r="Z9" s="933" t="s">
        <v>418</v>
      </c>
      <c r="AA9" s="1457" t="s">
        <v>90</v>
      </c>
      <c r="AB9" s="994" t="s">
        <v>82</v>
      </c>
      <c r="AC9" s="203"/>
      <c r="AD9" s="204" t="s">
        <v>83</v>
      </c>
      <c r="AE9" s="791" t="s">
        <v>83</v>
      </c>
      <c r="AF9" s="203" t="s">
        <v>376</v>
      </c>
      <c r="AG9" s="791" t="s">
        <v>376</v>
      </c>
      <c r="AH9" s="203" t="s">
        <v>109</v>
      </c>
      <c r="AI9" s="792" t="s">
        <v>109</v>
      </c>
      <c r="AJ9" s="205"/>
    </row>
    <row r="10" spans="1:36" s="134" customFormat="1" ht="15.75" thickBot="1" x14ac:dyDescent="0.3">
      <c r="A10" s="133">
        <f t="shared" si="0"/>
        <v>4</v>
      </c>
      <c r="B10" s="206"/>
      <c r="C10" s="206"/>
      <c r="D10" s="206"/>
      <c r="E10" s="717" t="s">
        <v>105</v>
      </c>
      <c r="F10" s="718" t="s">
        <v>19</v>
      </c>
      <c r="G10" s="718" t="s">
        <v>370</v>
      </c>
      <c r="H10" s="718" t="s">
        <v>140</v>
      </c>
      <c r="I10" s="718" t="s">
        <v>33</v>
      </c>
      <c r="J10" s="719" t="s">
        <v>16</v>
      </c>
      <c r="K10" s="201"/>
      <c r="L10" s="207" t="s">
        <v>98</v>
      </c>
      <c r="M10" s="201"/>
      <c r="N10" s="419" t="s">
        <v>106</v>
      </c>
      <c r="O10" s="419" t="s">
        <v>105</v>
      </c>
      <c r="P10" s="420" t="s">
        <v>105</v>
      </c>
      <c r="Q10" s="1195" t="s">
        <v>105</v>
      </c>
      <c r="R10" s="208" t="s">
        <v>16</v>
      </c>
      <c r="S10" s="420" t="s">
        <v>190</v>
      </c>
      <c r="T10" s="420" t="s">
        <v>190</v>
      </c>
      <c r="U10" s="1196" t="s">
        <v>190</v>
      </c>
      <c r="V10" s="819" t="s">
        <v>16</v>
      </c>
      <c r="W10" s="678" t="s">
        <v>16</v>
      </c>
      <c r="X10" s="203"/>
      <c r="Y10" s="949" t="s">
        <v>98</v>
      </c>
      <c r="Z10" s="421" t="s">
        <v>190</v>
      </c>
      <c r="AA10" s="1458" t="s">
        <v>98</v>
      </c>
      <c r="AB10" s="995" t="s">
        <v>16</v>
      </c>
      <c r="AC10" s="203"/>
      <c r="AD10" s="672" t="s">
        <v>71</v>
      </c>
      <c r="AE10" s="793" t="s">
        <v>71</v>
      </c>
      <c r="AF10" s="673" t="s">
        <v>71</v>
      </c>
      <c r="AG10" s="793" t="s">
        <v>71</v>
      </c>
      <c r="AH10" s="673" t="s">
        <v>71</v>
      </c>
      <c r="AI10" s="794" t="s">
        <v>71</v>
      </c>
      <c r="AJ10" s="205"/>
    </row>
    <row r="11" spans="1:36" s="134" customFormat="1" x14ac:dyDescent="0.25">
      <c r="A11" s="133">
        <f t="shared" si="0"/>
        <v>5</v>
      </c>
      <c r="B11" s="174"/>
      <c r="C11" s="174"/>
      <c r="D11" s="174"/>
      <c r="E11" s="209"/>
      <c r="F11" s="210"/>
      <c r="G11" s="210"/>
      <c r="H11" s="210"/>
      <c r="I11" s="210"/>
      <c r="J11" s="211"/>
      <c r="K11" s="210"/>
      <c r="L11" s="1212" t="s">
        <v>476</v>
      </c>
      <c r="M11" s="210"/>
      <c r="N11" s="212"/>
      <c r="O11" s="212"/>
      <c r="P11" s="769" t="s">
        <v>105</v>
      </c>
      <c r="Q11" s="769" t="s">
        <v>105</v>
      </c>
      <c r="R11" s="839" t="s">
        <v>384</v>
      </c>
      <c r="S11" s="213" t="s">
        <v>190</v>
      </c>
      <c r="T11" s="213" t="s">
        <v>190</v>
      </c>
      <c r="U11" s="213" t="s">
        <v>190</v>
      </c>
      <c r="V11" s="820" t="s">
        <v>383</v>
      </c>
      <c r="W11" s="679" t="s">
        <v>184</v>
      </c>
      <c r="X11" s="210"/>
      <c r="Y11" s="209"/>
      <c r="Z11" s="210"/>
      <c r="AA11" s="209"/>
      <c r="AB11" s="996"/>
      <c r="AC11" s="210"/>
      <c r="AD11" s="212"/>
      <c r="AI11" s="211"/>
      <c r="AJ11" s="205"/>
    </row>
    <row r="12" spans="1:36" s="210" customFormat="1" x14ac:dyDescent="0.25">
      <c r="A12" s="133">
        <f t="shared" si="0"/>
        <v>6</v>
      </c>
      <c r="B12" s="715" t="s">
        <v>2</v>
      </c>
      <c r="C12" s="715"/>
      <c r="D12" s="715" t="s">
        <v>3</v>
      </c>
      <c r="E12" s="214" t="s">
        <v>35</v>
      </c>
      <c r="F12" s="215" t="s">
        <v>36</v>
      </c>
      <c r="G12" s="215" t="s">
        <v>13</v>
      </c>
      <c r="H12" s="215" t="s">
        <v>37</v>
      </c>
      <c r="I12" s="215" t="s">
        <v>38</v>
      </c>
      <c r="J12" s="216" t="s">
        <v>39</v>
      </c>
      <c r="L12" s="215" t="s">
        <v>40</v>
      </c>
      <c r="N12" s="214" t="s">
        <v>41</v>
      </c>
      <c r="O12" s="214" t="s">
        <v>42</v>
      </c>
      <c r="P12" s="215" t="s">
        <v>129</v>
      </c>
      <c r="Q12" s="215" t="s">
        <v>131</v>
      </c>
      <c r="R12" s="217" t="s">
        <v>132</v>
      </c>
      <c r="S12" s="215" t="s">
        <v>133</v>
      </c>
      <c r="T12" s="215" t="s">
        <v>134</v>
      </c>
      <c r="U12" s="215" t="s">
        <v>89</v>
      </c>
      <c r="V12" s="821" t="s">
        <v>92</v>
      </c>
      <c r="W12" s="680" t="s">
        <v>93</v>
      </c>
      <c r="Y12" s="214" t="s">
        <v>94</v>
      </c>
      <c r="Z12" s="215" t="s">
        <v>186</v>
      </c>
      <c r="AA12" s="214" t="s">
        <v>227</v>
      </c>
      <c r="AB12" s="997" t="s">
        <v>233</v>
      </c>
      <c r="AD12" s="214" t="s">
        <v>234</v>
      </c>
      <c r="AE12" s="215" t="s">
        <v>235</v>
      </c>
      <c r="AF12" s="215" t="s">
        <v>254</v>
      </c>
      <c r="AG12" s="215" t="s">
        <v>438</v>
      </c>
      <c r="AH12" s="215" t="s">
        <v>255</v>
      </c>
      <c r="AI12" s="216" t="s">
        <v>256</v>
      </c>
    </row>
    <row r="13" spans="1:36" x14ac:dyDescent="0.25">
      <c r="A13" s="133">
        <f t="shared" si="0"/>
        <v>7</v>
      </c>
      <c r="B13" s="1508" t="s">
        <v>281</v>
      </c>
      <c r="C13" s="1508" t="s">
        <v>449</v>
      </c>
      <c r="D13" s="1508" t="s">
        <v>283</v>
      </c>
      <c r="E13" s="218">
        <v>0.67652999999999996</v>
      </c>
      <c r="F13" s="219">
        <v>0.26333000000000001</v>
      </c>
      <c r="G13" s="220"/>
      <c r="H13" s="219">
        <v>0.10141</v>
      </c>
      <c r="I13" s="219">
        <v>0.11125999999999998</v>
      </c>
      <c r="J13" s="221">
        <f t="shared" ref="J13:J81" si="1">SUM(E13:I13)</f>
        <v>1.1525299999999998</v>
      </c>
      <c r="K13" s="222"/>
      <c r="L13" s="1507">
        <f>ROUND(E13*(HLOOKUP(C13,'Rate Spread Proposal'!$E$71:$AA$76,6,FALSE)),5)</f>
        <v>0.13225000000000001</v>
      </c>
      <c r="M13" s="222"/>
      <c r="N13" s="223">
        <f>(J13-F13-G13-H13)-I13</f>
        <v>0.67652999999999974</v>
      </c>
      <c r="O13" s="602">
        <f>N13+L13</f>
        <v>0.80877999999999972</v>
      </c>
      <c r="P13" s="1160">
        <f>'Allocation = % of Margin'!U14</f>
        <v>-9.1000000000000004E-3</v>
      </c>
      <c r="Q13" s="935"/>
      <c r="R13" s="812">
        <f>SUM(O13:Q13)</f>
        <v>0.79967999999999972</v>
      </c>
      <c r="S13" s="1161">
        <f>'Allocation = % of Margin'!O14</f>
        <v>-3.1189999999999999E-2</v>
      </c>
      <c r="T13" s="1160">
        <f>'Allocation = % of Margin'!R14</f>
        <v>-1.7239999999999998E-2</v>
      </c>
      <c r="U13" s="934"/>
      <c r="V13" s="822">
        <f>SUM(S13:U13)</f>
        <v>-4.8430000000000001E-2</v>
      </c>
      <c r="W13" s="824">
        <f>R13+V13+SUM(F13:I13)</f>
        <v>1.2272499999999997</v>
      </c>
      <c r="X13" s="1254"/>
      <c r="Y13" s="952">
        <f>ROUND(R13*(HLOOKUP(C13,'Rate Spread Proposal'!$E$98:$AA$103,6,FALSE)),5)</f>
        <v>6.2010000000000003E-2</v>
      </c>
      <c r="Z13" s="934">
        <f>'Allocation = % of Margin'!X14</f>
        <v>-8.8000000000000003E-4</v>
      </c>
      <c r="AA13" s="230">
        <f>SUM(Y13:Z13)</f>
        <v>6.1130000000000004E-2</v>
      </c>
      <c r="AB13" s="998">
        <f>W13+AA13-S13-T13</f>
        <v>1.3368099999999996</v>
      </c>
      <c r="AC13" s="226"/>
      <c r="AD13" s="224">
        <f>'WA Volumes &amp; Revenues'!O15</f>
        <v>5.5</v>
      </c>
      <c r="AE13" s="225">
        <f>'WA Volumes &amp; Revenues'!N15</f>
        <v>5.5</v>
      </c>
      <c r="AF13" s="228"/>
      <c r="AG13" s="226"/>
      <c r="AH13" s="228"/>
      <c r="AI13" s="227"/>
      <c r="AJ13" s="226"/>
    </row>
    <row r="14" spans="1:36" x14ac:dyDescent="0.25">
      <c r="A14" s="133">
        <f t="shared" si="0"/>
        <v>8</v>
      </c>
      <c r="B14" s="1508" t="s">
        <v>282</v>
      </c>
      <c r="C14" s="1508" t="s">
        <v>450</v>
      </c>
      <c r="D14" s="1508" t="s">
        <v>283</v>
      </c>
      <c r="E14" s="218">
        <v>0.73148999999999997</v>
      </c>
      <c r="F14" s="220">
        <f>F13</f>
        <v>0.26333000000000001</v>
      </c>
      <c r="G14" s="220"/>
      <c r="H14" s="220">
        <f>H13</f>
        <v>0.10141</v>
      </c>
      <c r="I14" s="219">
        <v>9.3060000000000004E-2</v>
      </c>
      <c r="J14" s="221">
        <f t="shared" si="1"/>
        <v>1.18929</v>
      </c>
      <c r="K14" s="226"/>
      <c r="L14" s="1507">
        <f>ROUND(E14*(HLOOKUP(C14,'Rate Spread Proposal'!$E$71:$AA$76,6,FALSE)),5)</f>
        <v>0.10997</v>
      </c>
      <c r="M14" s="226"/>
      <c r="N14" s="223">
        <f t="shared" ref="N14:N77" si="2">(J14-F14-G14-H14)-I14</f>
        <v>0.73148999999999986</v>
      </c>
      <c r="O14" s="602">
        <f t="shared" ref="O14:O77" si="3">N14+L14</f>
        <v>0.84145999999999987</v>
      </c>
      <c r="P14" s="1160">
        <f>'Allocation = % of Margin'!U15</f>
        <v>-7.5599999999999999E-3</v>
      </c>
      <c r="Q14" s="935"/>
      <c r="R14" s="812">
        <f t="shared" ref="R14:R44" si="4">SUM(O14:Q14)</f>
        <v>0.83389999999999986</v>
      </c>
      <c r="S14" s="1161">
        <f>'Allocation = % of Margin'!O15</f>
        <v>-2.5940000000000001E-2</v>
      </c>
      <c r="T14" s="1160">
        <f>'Allocation = % of Margin'!R15</f>
        <v>-1.4330000000000001E-2</v>
      </c>
      <c r="U14" s="934"/>
      <c r="V14" s="822">
        <f t="shared" ref="V14:V44" si="5">SUM(S14:U14)</f>
        <v>-4.027E-2</v>
      </c>
      <c r="W14" s="824">
        <f t="shared" ref="W14:W77" si="6">R14+V14+SUM(F14:I14)</f>
        <v>1.2514299999999998</v>
      </c>
      <c r="X14" s="1254"/>
      <c r="Y14" s="959">
        <f>ROUND(R14*(HLOOKUP(C14,'Rate Spread Proposal'!$E$98:$AA$103,6,FALSE)),5)</f>
        <v>5.1569999999999998E-2</v>
      </c>
      <c r="Z14" s="934">
        <f>'Allocation = % of Margin'!X15</f>
        <v>-7.2999999999999996E-4</v>
      </c>
      <c r="AA14" s="602">
        <f t="shared" ref="AA14:AA77" si="7">SUM(Y14:Z14)</f>
        <v>5.0839999999999996E-2</v>
      </c>
      <c r="AB14" s="998">
        <f t="shared" ref="AB14:AB77" si="8">W14+AA14-S14-T14</f>
        <v>1.3425399999999998</v>
      </c>
      <c r="AC14" s="226"/>
      <c r="AD14" s="224">
        <f>'WA Volumes &amp; Revenues'!O16</f>
        <v>7</v>
      </c>
      <c r="AE14" s="225">
        <f>'WA Volumes &amp; Revenues'!N16</f>
        <v>7</v>
      </c>
      <c r="AF14" s="228"/>
      <c r="AG14" s="226"/>
      <c r="AH14" s="228"/>
      <c r="AI14" s="227"/>
      <c r="AJ14" s="226"/>
    </row>
    <row r="15" spans="1:36" x14ac:dyDescent="0.25">
      <c r="A15" s="133">
        <f t="shared" si="0"/>
        <v>9</v>
      </c>
      <c r="B15" s="1508" t="s">
        <v>12</v>
      </c>
      <c r="C15" s="1508" t="s">
        <v>451</v>
      </c>
      <c r="D15" s="1508" t="s">
        <v>283</v>
      </c>
      <c r="E15" s="218">
        <v>0.45815999999999979</v>
      </c>
      <c r="F15" s="220">
        <f t="shared" ref="F15:F20" si="9">+$F$13</f>
        <v>0.26333000000000001</v>
      </c>
      <c r="G15" s="220"/>
      <c r="H15" s="220">
        <f>H14</f>
        <v>0.10141</v>
      </c>
      <c r="I15" s="219">
        <v>6.6579999999999986E-2</v>
      </c>
      <c r="J15" s="221">
        <f t="shared" si="1"/>
        <v>0.88947999999999972</v>
      </c>
      <c r="K15" s="226"/>
      <c r="L15" s="1507">
        <f>ROUND(E15*(HLOOKUP(C15,'Rate Spread Proposal'!$E$71:$AA$76,6,FALSE)),5)</f>
        <v>8.3699999999999997E-2</v>
      </c>
      <c r="M15" s="226"/>
      <c r="N15" s="223">
        <f t="shared" si="2"/>
        <v>0.45815999999999979</v>
      </c>
      <c r="O15" s="602">
        <f t="shared" si="3"/>
        <v>0.54185999999999979</v>
      </c>
      <c r="P15" s="1160">
        <f>'Allocation = % of Margin'!U16</f>
        <v>-5.7600000000000004E-3</v>
      </c>
      <c r="Q15" s="935"/>
      <c r="R15" s="812">
        <f t="shared" si="4"/>
        <v>0.5360999999999998</v>
      </c>
      <c r="S15" s="1161">
        <f>'Allocation = % of Margin'!O16</f>
        <v>-1.9740000000000001E-2</v>
      </c>
      <c r="T15" s="1160">
        <f>'Allocation = % of Margin'!R16</f>
        <v>-1.091E-2</v>
      </c>
      <c r="U15" s="934"/>
      <c r="V15" s="822">
        <f t="shared" si="5"/>
        <v>-3.065E-2</v>
      </c>
      <c r="W15" s="824">
        <f t="shared" si="6"/>
        <v>0.93676999999999988</v>
      </c>
      <c r="X15" s="1254"/>
      <c r="Y15" s="952">
        <f>ROUND(R15*(HLOOKUP(C15,'Rate Spread Proposal'!$E$98:$AA$103,6,FALSE)),5)</f>
        <v>3.925E-2</v>
      </c>
      <c r="Z15" s="934">
        <f>'Allocation = % of Margin'!X16</f>
        <v>-5.5000000000000003E-4</v>
      </c>
      <c r="AA15" s="230">
        <f t="shared" si="7"/>
        <v>3.8699999999999998E-2</v>
      </c>
      <c r="AB15" s="998">
        <f t="shared" si="8"/>
        <v>1.0061199999999999</v>
      </c>
      <c r="AC15" s="226"/>
      <c r="AD15" s="224">
        <f>'WA Volumes &amp; Revenues'!O17</f>
        <v>8</v>
      </c>
      <c r="AE15" s="225">
        <f>'WA Volumes &amp; Revenues'!N17</f>
        <v>8</v>
      </c>
      <c r="AF15" s="228"/>
      <c r="AG15" s="226"/>
      <c r="AH15" s="228"/>
      <c r="AI15" s="227"/>
      <c r="AJ15" s="226"/>
    </row>
    <row r="16" spans="1:36" x14ac:dyDescent="0.25">
      <c r="A16" s="133">
        <f t="shared" si="0"/>
        <v>10</v>
      </c>
      <c r="B16" s="1508" t="s">
        <v>10</v>
      </c>
      <c r="C16" s="1508" t="s">
        <v>452</v>
      </c>
      <c r="D16" s="1508" t="s">
        <v>283</v>
      </c>
      <c r="E16" s="218">
        <v>0.44368000000000019</v>
      </c>
      <c r="F16" s="220">
        <f t="shared" si="9"/>
        <v>0.26333000000000001</v>
      </c>
      <c r="G16" s="220"/>
      <c r="H16" s="220">
        <f>H15</f>
        <v>0.10141</v>
      </c>
      <c r="I16" s="219">
        <v>5.8480000000000004E-2</v>
      </c>
      <c r="J16" s="221">
        <f t="shared" si="1"/>
        <v>0.86690000000000011</v>
      </c>
      <c r="K16" s="226"/>
      <c r="L16" s="1507">
        <f>ROUND(E16*(HLOOKUP(C16,'Rate Spread Proposal'!$E$71:$AA$76,6,FALSE)),5)</f>
        <v>7.5149999999999995E-2</v>
      </c>
      <c r="M16" s="226"/>
      <c r="N16" s="223">
        <f t="shared" si="2"/>
        <v>0.44368000000000019</v>
      </c>
      <c r="O16" s="223">
        <f t="shared" si="3"/>
        <v>0.51883000000000012</v>
      </c>
      <c r="P16" s="220">
        <f>'Allocation = % of Margin'!U17</f>
        <v>-5.1700000000000001E-3</v>
      </c>
      <c r="Q16" s="937"/>
      <c r="R16" s="812">
        <f t="shared" si="4"/>
        <v>0.51366000000000012</v>
      </c>
      <c r="S16" s="1162">
        <f>'Allocation = % of Margin'!O17</f>
        <v>-1.7729999999999999E-2</v>
      </c>
      <c r="T16" s="220">
        <f>'Allocation = % of Margin'!R17</f>
        <v>-9.7999999999999997E-3</v>
      </c>
      <c r="U16" s="936"/>
      <c r="V16" s="825">
        <f t="shared" si="5"/>
        <v>-2.7529999999999999E-2</v>
      </c>
      <c r="W16" s="824">
        <f t="shared" si="6"/>
        <v>0.9093500000000001</v>
      </c>
      <c r="X16" s="1254"/>
      <c r="Y16" s="959">
        <f>ROUND(R16*(HLOOKUP(C16,'Rate Spread Proposal'!$E$98:$AA$103,6,FALSE)),5)</f>
        <v>3.524E-2</v>
      </c>
      <c r="Z16" s="936">
        <f>'Allocation = % of Margin'!X17</f>
        <v>-5.0000000000000001E-4</v>
      </c>
      <c r="AA16" s="602">
        <f t="shared" si="7"/>
        <v>3.474E-2</v>
      </c>
      <c r="AB16" s="998">
        <f t="shared" si="8"/>
        <v>0.97162000000000015</v>
      </c>
      <c r="AC16" s="226"/>
      <c r="AD16" s="224">
        <f>'WA Volumes &amp; Revenues'!O18</f>
        <v>22</v>
      </c>
      <c r="AE16" s="225">
        <f>'WA Volumes &amp; Revenues'!N18</f>
        <v>22</v>
      </c>
      <c r="AF16" s="228"/>
      <c r="AG16" s="226"/>
      <c r="AH16" s="228"/>
      <c r="AI16" s="227"/>
      <c r="AJ16" s="226"/>
    </row>
    <row r="17" spans="1:36" x14ac:dyDescent="0.25">
      <c r="A17" s="133">
        <f t="shared" si="0"/>
        <v>11</v>
      </c>
      <c r="B17" s="1508" t="s">
        <v>11</v>
      </c>
      <c r="C17" s="1508" t="s">
        <v>453</v>
      </c>
      <c r="D17" s="1508" t="s">
        <v>283</v>
      </c>
      <c r="E17" s="218">
        <v>0.46249000000000001</v>
      </c>
      <c r="F17" s="220">
        <f t="shared" si="9"/>
        <v>0.26333000000000001</v>
      </c>
      <c r="G17" s="220"/>
      <c r="H17" s="220">
        <f>H16</f>
        <v>0.10141</v>
      </c>
      <c r="I17" s="219">
        <v>-8.9999999999999802E-5</v>
      </c>
      <c r="J17" s="221">
        <f t="shared" si="1"/>
        <v>0.82713999999999999</v>
      </c>
      <c r="K17" s="226"/>
      <c r="L17" s="1507">
        <f>ROUND(E17*(HLOOKUP(C17,'Rate Spread Proposal'!$E$71:$AA$76,6,FALSE)),5)</f>
        <v>6.8080000000000002E-2</v>
      </c>
      <c r="M17" s="226"/>
      <c r="N17" s="223">
        <f t="shared" si="2"/>
        <v>0.4624899999999999</v>
      </c>
      <c r="O17" s="223">
        <f t="shared" si="3"/>
        <v>0.53056999999999988</v>
      </c>
      <c r="P17" s="220">
        <f>'Allocation = % of Margin'!U18</f>
        <v>-4.6899999999999997E-3</v>
      </c>
      <c r="Q17" s="937"/>
      <c r="R17" s="812">
        <f t="shared" si="4"/>
        <v>0.5258799999999999</v>
      </c>
      <c r="S17" s="1162">
        <f>'Allocation = % of Margin'!O18</f>
        <v>0</v>
      </c>
      <c r="T17" s="220">
        <f>'Allocation = % of Margin'!R18</f>
        <v>-8.8699999999999994E-3</v>
      </c>
      <c r="U17" s="936"/>
      <c r="V17" s="825">
        <f t="shared" si="5"/>
        <v>-8.8699999999999994E-3</v>
      </c>
      <c r="W17" s="824">
        <f t="shared" si="6"/>
        <v>0.88165999999999989</v>
      </c>
      <c r="X17" s="1254"/>
      <c r="Y17" s="959">
        <f>ROUND(R17*(HLOOKUP(C17,'Rate Spread Proposal'!$E$98:$AA$103,6,FALSE)),5)</f>
        <v>3.1919999999999997E-2</v>
      </c>
      <c r="Z17" s="936">
        <f>'Allocation = % of Margin'!X18</f>
        <v>-4.4999999999999999E-4</v>
      </c>
      <c r="AA17" s="602">
        <f t="shared" si="7"/>
        <v>3.1469999999999998E-2</v>
      </c>
      <c r="AB17" s="998">
        <f t="shared" si="8"/>
        <v>0.92199999999999993</v>
      </c>
      <c r="AC17" s="226"/>
      <c r="AD17" s="224">
        <f>'WA Volumes &amp; Revenues'!O19</f>
        <v>22</v>
      </c>
      <c r="AE17" s="225">
        <f>'WA Volumes &amp; Revenues'!N19</f>
        <v>22</v>
      </c>
      <c r="AF17" s="228"/>
      <c r="AG17" s="226"/>
      <c r="AH17" s="228"/>
      <c r="AI17" s="227"/>
      <c r="AJ17" s="226"/>
    </row>
    <row r="18" spans="1:36" x14ac:dyDescent="0.25">
      <c r="A18" s="133">
        <f t="shared" si="0"/>
        <v>12</v>
      </c>
      <c r="B18" s="1509" t="s">
        <v>470</v>
      </c>
      <c r="C18" s="1509" t="s">
        <v>470</v>
      </c>
      <c r="D18" s="1509" t="s">
        <v>283</v>
      </c>
      <c r="E18" s="218">
        <v>0.24087999999999973</v>
      </c>
      <c r="F18" s="220">
        <f t="shared" si="9"/>
        <v>0.26333000000000001</v>
      </c>
      <c r="G18" s="220"/>
      <c r="H18" s="220">
        <f>H17</f>
        <v>0.10141</v>
      </c>
      <c r="I18" s="219">
        <v>3.8710000000000001E-2</v>
      </c>
      <c r="J18" s="221">
        <f t="shared" si="1"/>
        <v>0.64432999999999974</v>
      </c>
      <c r="K18" s="226"/>
      <c r="L18" s="220">
        <f>ROUND(E18*(HLOOKUP(C18,'Rate Spread Proposal'!$E$71:$AA$76,6,FALSE)),5)</f>
        <v>5.9569999999999998E-2</v>
      </c>
      <c r="M18" s="226"/>
      <c r="N18" s="223">
        <f t="shared" si="2"/>
        <v>0.24087999999999973</v>
      </c>
      <c r="O18" s="223">
        <f t="shared" si="3"/>
        <v>0.30044999999999972</v>
      </c>
      <c r="P18" s="220">
        <f>'Allocation = % of Margin'!U19</f>
        <v>-4.1000000000000003E-3</v>
      </c>
      <c r="Q18" s="937"/>
      <c r="R18" s="812">
        <f t="shared" si="4"/>
        <v>0.29634999999999972</v>
      </c>
      <c r="S18" s="1162">
        <f>'Allocation = % of Margin'!O19</f>
        <v>-1.405E-2</v>
      </c>
      <c r="T18" s="220">
        <f>'Allocation = % of Margin'!R19</f>
        <v>-7.77E-3</v>
      </c>
      <c r="U18" s="936"/>
      <c r="V18" s="825">
        <f t="shared" si="5"/>
        <v>-2.1819999999999999E-2</v>
      </c>
      <c r="W18" s="824">
        <f t="shared" si="6"/>
        <v>0.67797999999999981</v>
      </c>
      <c r="X18" s="1254"/>
      <c r="Y18" s="959">
        <f>ROUND(R18*(HLOOKUP(C18,'Rate Spread Proposal'!$E$98:$AA$103,6,FALSE)),5)</f>
        <v>2.793E-2</v>
      </c>
      <c r="Z18" s="936">
        <f>'Allocation = % of Margin'!X19</f>
        <v>-3.8999999999999999E-4</v>
      </c>
      <c r="AA18" s="602">
        <f t="shared" si="7"/>
        <v>2.7539999999999999E-2</v>
      </c>
      <c r="AB18" s="998">
        <f t="shared" si="8"/>
        <v>0.72733999999999988</v>
      </c>
      <c r="AC18" s="226"/>
      <c r="AD18" s="224">
        <f>'WA Volumes &amp; Revenues'!O20</f>
        <v>9</v>
      </c>
      <c r="AE18" s="225">
        <f>'WA Volumes &amp; Revenues'!N20</f>
        <v>9</v>
      </c>
      <c r="AF18" s="228"/>
      <c r="AG18" s="226"/>
      <c r="AH18" s="228"/>
      <c r="AI18" s="227"/>
      <c r="AJ18" s="226"/>
    </row>
    <row r="19" spans="1:36" x14ac:dyDescent="0.25">
      <c r="A19" s="133">
        <f t="shared" si="0"/>
        <v>13</v>
      </c>
      <c r="B19" s="86" t="s">
        <v>285</v>
      </c>
      <c r="C19" s="86" t="s">
        <v>352</v>
      </c>
      <c r="D19" s="1490" t="s">
        <v>4</v>
      </c>
      <c r="E19" s="229">
        <v>0.34474000000000016</v>
      </c>
      <c r="F19" s="226">
        <f t="shared" si="9"/>
        <v>0.26333000000000001</v>
      </c>
      <c r="G19" s="226"/>
      <c r="H19" s="226"/>
      <c r="I19" s="228">
        <v>4.3429999999999996E-2</v>
      </c>
      <c r="J19" s="227">
        <f t="shared" si="1"/>
        <v>0.65150000000000008</v>
      </c>
      <c r="K19" s="226"/>
      <c r="L19" s="226">
        <f>ROUND(E19*(HLOOKUP($C$19,'Rate Spread Proposal'!$E$71:$AA$76,6,FALSE)),5)</f>
        <v>5.9679999999999997E-2</v>
      </c>
      <c r="M19" s="226"/>
      <c r="N19" s="230">
        <f t="shared" si="2"/>
        <v>0.34474000000000005</v>
      </c>
      <c r="O19" s="230">
        <f t="shared" si="3"/>
        <v>0.40442000000000006</v>
      </c>
      <c r="P19" s="226">
        <f>'Allocation = % of Margin'!U20</f>
        <v>-4.1099999999999999E-3</v>
      </c>
      <c r="Q19" s="939"/>
      <c r="R19" s="813">
        <f t="shared" si="4"/>
        <v>0.40031000000000005</v>
      </c>
      <c r="S19" s="1163">
        <f>'Allocation = % of Margin'!O20</f>
        <v>-1.4080000000000001E-2</v>
      </c>
      <c r="T19" s="226">
        <f>'Allocation = % of Margin'!R20</f>
        <v>-7.7799999999999996E-3</v>
      </c>
      <c r="U19" s="938"/>
      <c r="V19" s="826">
        <f t="shared" si="5"/>
        <v>-2.1860000000000001E-2</v>
      </c>
      <c r="W19" s="827">
        <f t="shared" si="6"/>
        <v>0.6852100000000001</v>
      </c>
      <c r="X19" s="1254"/>
      <c r="Y19" s="960">
        <f>ROUND(R19*(HLOOKUP($C$19,'Rate Spread Proposal'!$E$98:$AA$103,6,FALSE)),5)</f>
        <v>2.7990000000000001E-2</v>
      </c>
      <c r="Z19" s="938">
        <f>'Allocation = % of Margin'!X20</f>
        <v>-4.0000000000000002E-4</v>
      </c>
      <c r="AA19" s="1459">
        <f t="shared" si="7"/>
        <v>2.759E-2</v>
      </c>
      <c r="AB19" s="1461">
        <f t="shared" si="8"/>
        <v>0.73466000000000009</v>
      </c>
      <c r="AC19" s="226"/>
      <c r="AD19" s="224">
        <f>'WA Volumes &amp; Revenues'!O21</f>
        <v>250</v>
      </c>
      <c r="AE19" s="225">
        <f>'WA Volumes &amp; Revenues'!N21</f>
        <v>250</v>
      </c>
      <c r="AF19" s="228"/>
      <c r="AG19" s="226"/>
      <c r="AH19" s="228"/>
      <c r="AI19" s="227"/>
      <c r="AJ19" s="226"/>
    </row>
    <row r="20" spans="1:36" x14ac:dyDescent="0.25">
      <c r="A20" s="133">
        <f t="shared" si="0"/>
        <v>14</v>
      </c>
      <c r="B20" s="161"/>
      <c r="C20" s="161"/>
      <c r="D20" s="1491" t="s">
        <v>5</v>
      </c>
      <c r="E20" s="218">
        <v>0.30376999999999998</v>
      </c>
      <c r="F20" s="220">
        <f t="shared" si="9"/>
        <v>0.26333000000000001</v>
      </c>
      <c r="G20" s="220"/>
      <c r="H20" s="220"/>
      <c r="I20" s="219">
        <v>3.7170000000000002E-2</v>
      </c>
      <c r="J20" s="221">
        <f t="shared" si="1"/>
        <v>0.60426999999999997</v>
      </c>
      <c r="K20" s="226"/>
      <c r="L20" s="220">
        <f>ROUND(E20*(HLOOKUP($C$19,'Rate Spread Proposal'!$E$71:$AA$76,6,FALSE)),5)</f>
        <v>5.2589999999999998E-2</v>
      </c>
      <c r="M20" s="226"/>
      <c r="N20" s="223">
        <f t="shared" si="2"/>
        <v>0.30376999999999998</v>
      </c>
      <c r="O20" s="223">
        <f t="shared" si="3"/>
        <v>0.35636000000000001</v>
      </c>
      <c r="P20" s="220">
        <f>'Allocation = % of Margin'!U21</f>
        <v>-3.62E-3</v>
      </c>
      <c r="Q20" s="937"/>
      <c r="R20" s="812">
        <f t="shared" si="4"/>
        <v>0.35274</v>
      </c>
      <c r="S20" s="1162">
        <f>'Allocation = % of Margin'!O21</f>
        <v>-1.24E-2</v>
      </c>
      <c r="T20" s="220">
        <f>'Allocation = % of Margin'!R21</f>
        <v>-6.8599999999999998E-3</v>
      </c>
      <c r="U20" s="936"/>
      <c r="V20" s="825">
        <f t="shared" si="5"/>
        <v>-1.9259999999999999E-2</v>
      </c>
      <c r="W20" s="824">
        <f t="shared" si="6"/>
        <v>0.63397999999999999</v>
      </c>
      <c r="X20" s="1254"/>
      <c r="Y20" s="961">
        <f>ROUND(R20*(HLOOKUP($C$19,'Rate Spread Proposal'!$E$98:$AA$103,6,FALSE)),5)</f>
        <v>2.4660000000000001E-2</v>
      </c>
      <c r="Z20" s="936">
        <f>'Allocation = % of Margin'!X21</f>
        <v>-3.5E-4</v>
      </c>
      <c r="AA20" s="223">
        <f t="shared" si="7"/>
        <v>2.4310000000000002E-2</v>
      </c>
      <c r="AB20" s="998">
        <f t="shared" si="8"/>
        <v>0.67754999999999999</v>
      </c>
      <c r="AC20" s="226"/>
      <c r="AD20" s="224"/>
      <c r="AE20" s="225"/>
      <c r="AF20" s="228"/>
      <c r="AG20" s="226"/>
      <c r="AH20" s="228"/>
      <c r="AI20" s="227"/>
      <c r="AJ20" s="226"/>
    </row>
    <row r="21" spans="1:36" x14ac:dyDescent="0.25">
      <c r="A21" s="133">
        <f t="shared" si="0"/>
        <v>15</v>
      </c>
      <c r="B21" s="86" t="s">
        <v>293</v>
      </c>
      <c r="C21" s="86" t="s">
        <v>353</v>
      </c>
      <c r="D21" s="1490" t="s">
        <v>4</v>
      </c>
      <c r="E21" s="229">
        <v>0.34416000000000024</v>
      </c>
      <c r="F21" s="226">
        <f>F19</f>
        <v>0.26333000000000001</v>
      </c>
      <c r="G21" s="226"/>
      <c r="H21" s="226"/>
      <c r="I21" s="228">
        <v>-1.7200000000000002E-3</v>
      </c>
      <c r="J21" s="227">
        <f t="shared" si="1"/>
        <v>0.60577000000000025</v>
      </c>
      <c r="K21" s="226"/>
      <c r="L21" s="226">
        <f>ROUND(E21*(HLOOKUP($C$21,'Rate Spread Proposal'!$E$71:$AA$76,6,FALSE)),5)</f>
        <v>5.6809999999999999E-2</v>
      </c>
      <c r="M21" s="226"/>
      <c r="N21" s="230">
        <f>(J21-F21-G21-H21)-I21</f>
        <v>0.34416000000000024</v>
      </c>
      <c r="O21" s="230">
        <f t="shared" si="3"/>
        <v>0.40097000000000027</v>
      </c>
      <c r="P21" s="226">
        <f>'Allocation = % of Margin'!U22</f>
        <v>-3.9100000000000003E-3</v>
      </c>
      <c r="Q21" s="939"/>
      <c r="R21" s="813">
        <f t="shared" si="4"/>
        <v>0.39706000000000025</v>
      </c>
      <c r="S21" s="1163">
        <f>'Allocation = % of Margin'!O22</f>
        <v>0</v>
      </c>
      <c r="T21" s="226">
        <f>'Allocation = % of Margin'!R22</f>
        <v>-7.4000000000000003E-3</v>
      </c>
      <c r="U21" s="938"/>
      <c r="V21" s="826">
        <f t="shared" si="5"/>
        <v>-7.4000000000000003E-3</v>
      </c>
      <c r="W21" s="827">
        <f t="shared" si="6"/>
        <v>0.65127000000000024</v>
      </c>
      <c r="X21" s="1254"/>
      <c r="Y21" s="960">
        <f>ROUND(R21*(HLOOKUP($C$21,'Rate Spread Proposal'!$E$98:$AA$103,6,FALSE)),5)</f>
        <v>2.664E-2</v>
      </c>
      <c r="Z21" s="938">
        <f>'Allocation = % of Margin'!X22</f>
        <v>-3.8000000000000002E-4</v>
      </c>
      <c r="AA21" s="1459">
        <f t="shared" si="7"/>
        <v>2.6260000000000002E-2</v>
      </c>
      <c r="AB21" s="1461">
        <f t="shared" si="8"/>
        <v>0.68493000000000015</v>
      </c>
      <c r="AC21" s="226"/>
      <c r="AD21" s="224">
        <f>'WA Volumes &amp; Revenues'!O23</f>
        <v>250</v>
      </c>
      <c r="AE21" s="225">
        <f>'WA Volumes &amp; Revenues'!N23</f>
        <v>250</v>
      </c>
      <c r="AF21" s="228"/>
      <c r="AG21" s="226"/>
      <c r="AH21" s="228"/>
      <c r="AI21" s="227"/>
      <c r="AJ21" s="226"/>
    </row>
    <row r="22" spans="1:36" x14ac:dyDescent="0.25">
      <c r="A22" s="133">
        <f t="shared" si="0"/>
        <v>16</v>
      </c>
      <c r="B22" s="161"/>
      <c r="C22" s="161"/>
      <c r="D22" s="1491" t="s">
        <v>5</v>
      </c>
      <c r="E22" s="218">
        <v>0.30325000000000002</v>
      </c>
      <c r="F22" s="220">
        <f>F20</f>
        <v>0.26333000000000001</v>
      </c>
      <c r="G22" s="220"/>
      <c r="H22" s="220"/>
      <c r="I22" s="219">
        <v>-2.6199999999999999E-3</v>
      </c>
      <c r="J22" s="221">
        <f t="shared" si="1"/>
        <v>0.56396000000000013</v>
      </c>
      <c r="K22" s="226"/>
      <c r="L22" s="220">
        <f>ROUND(E22*(HLOOKUP($C$21,'Rate Spread Proposal'!$E$71:$AA$76,6,FALSE)),5)</f>
        <v>5.0049999999999997E-2</v>
      </c>
      <c r="M22" s="226"/>
      <c r="N22" s="223">
        <f t="shared" si="2"/>
        <v>0.30325000000000013</v>
      </c>
      <c r="O22" s="223">
        <f t="shared" si="3"/>
        <v>0.35330000000000011</v>
      </c>
      <c r="P22" s="220">
        <f>'Allocation = % of Margin'!U23</f>
        <v>-3.4399999999999999E-3</v>
      </c>
      <c r="Q22" s="937"/>
      <c r="R22" s="812">
        <f t="shared" si="4"/>
        <v>0.34986000000000012</v>
      </c>
      <c r="S22" s="1162">
        <f>'Allocation = % of Margin'!O23</f>
        <v>0</v>
      </c>
      <c r="T22" s="220">
        <f>'Allocation = % of Margin'!R23</f>
        <v>-6.5199999999999998E-3</v>
      </c>
      <c r="U22" s="936"/>
      <c r="V22" s="825">
        <f t="shared" si="5"/>
        <v>-6.5199999999999998E-3</v>
      </c>
      <c r="W22" s="824">
        <f t="shared" si="6"/>
        <v>0.60405000000000009</v>
      </c>
      <c r="X22" s="1254"/>
      <c r="Y22" s="961">
        <f>ROUND(R22*(HLOOKUP($C$21,'Rate Spread Proposal'!$E$98:$AA$103,6,FALSE)),5)</f>
        <v>2.3470000000000001E-2</v>
      </c>
      <c r="Z22" s="936">
        <f>'Allocation = % of Margin'!X23</f>
        <v>-3.3E-4</v>
      </c>
      <c r="AA22" s="223">
        <f t="shared" si="7"/>
        <v>2.3140000000000001E-2</v>
      </c>
      <c r="AB22" s="998">
        <f t="shared" si="8"/>
        <v>0.63371000000000011</v>
      </c>
      <c r="AC22" s="226"/>
      <c r="AD22" s="224"/>
      <c r="AE22" s="225"/>
      <c r="AF22" s="228"/>
      <c r="AG22" s="226"/>
      <c r="AH22" s="228"/>
      <c r="AI22" s="227"/>
      <c r="AJ22" s="226"/>
    </row>
    <row r="23" spans="1:36" x14ac:dyDescent="0.25">
      <c r="A23" s="133">
        <f t="shared" si="0"/>
        <v>17</v>
      </c>
      <c r="B23" s="86" t="s">
        <v>287</v>
      </c>
      <c r="C23" s="86" t="s">
        <v>355</v>
      </c>
      <c r="D23" s="1490" t="s">
        <v>4</v>
      </c>
      <c r="E23" s="229">
        <v>0.34372999999999987</v>
      </c>
      <c r="F23" s="226">
        <f t="shared" ref="F23:F42" si="10">+$F$13</f>
        <v>0.26333000000000001</v>
      </c>
      <c r="G23" s="226"/>
      <c r="H23" s="226"/>
      <c r="I23" s="228">
        <v>5.3189999999999994E-2</v>
      </c>
      <c r="J23" s="227">
        <f t="shared" si="1"/>
        <v>0.66024999999999989</v>
      </c>
      <c r="K23" s="226"/>
      <c r="L23" s="226">
        <f>ROUND(E23*(HLOOKUP($C$23,'Rate Spread Proposal'!$E$71:$AA$76,6,FALSE)),5)</f>
        <v>4.3560000000000001E-2</v>
      </c>
      <c r="M23" s="226"/>
      <c r="N23" s="230">
        <f t="shared" si="2"/>
        <v>0.34372999999999987</v>
      </c>
      <c r="O23" s="230">
        <f t="shared" si="3"/>
        <v>0.38728999999999986</v>
      </c>
      <c r="P23" s="226">
        <f>'Allocation = % of Margin'!U24</f>
        <v>-3.2200000000000002E-3</v>
      </c>
      <c r="Q23" s="939"/>
      <c r="R23" s="813">
        <f t="shared" si="4"/>
        <v>0.38406999999999986</v>
      </c>
      <c r="S23" s="1163">
        <f>'Allocation = % of Margin'!O24</f>
        <v>-1.404E-2</v>
      </c>
      <c r="T23" s="226">
        <f>'Allocation = % of Margin'!R24</f>
        <v>-6.1000000000000004E-3</v>
      </c>
      <c r="U23" s="938"/>
      <c r="V23" s="826">
        <f t="shared" si="5"/>
        <v>-2.0140000000000002E-2</v>
      </c>
      <c r="W23" s="827">
        <f t="shared" si="6"/>
        <v>0.68044999999999989</v>
      </c>
      <c r="X23" s="1254"/>
      <c r="Y23" s="960">
        <f>ROUND(R23*(HLOOKUP($C$23,'Rate Spread Proposal'!$E$98:$AA$103,6,FALSE)),5)</f>
        <v>2.1749999999999999E-2</v>
      </c>
      <c r="Z23" s="938">
        <f>'Allocation = % of Margin'!X24</f>
        <v>-3.1E-4</v>
      </c>
      <c r="AA23" s="1459">
        <f t="shared" si="7"/>
        <v>2.1439999999999997E-2</v>
      </c>
      <c r="AB23" s="1461">
        <f t="shared" si="8"/>
        <v>0.72202999999999995</v>
      </c>
      <c r="AC23" s="226"/>
      <c r="AD23" s="224">
        <f>'WA Volumes &amp; Revenues'!O25</f>
        <v>250</v>
      </c>
      <c r="AE23" s="225">
        <f>'WA Volumes &amp; Revenues'!N25</f>
        <v>250</v>
      </c>
      <c r="AF23" s="228"/>
      <c r="AG23" s="226"/>
      <c r="AH23" s="228"/>
      <c r="AI23" s="227"/>
      <c r="AJ23" s="226"/>
    </row>
    <row r="24" spans="1:36" x14ac:dyDescent="0.25">
      <c r="A24" s="133">
        <f t="shared" si="0"/>
        <v>18</v>
      </c>
      <c r="B24" s="161"/>
      <c r="C24" s="161"/>
      <c r="D24" s="1491" t="s">
        <v>5</v>
      </c>
      <c r="E24" s="218">
        <v>0.30284999999999984</v>
      </c>
      <c r="F24" s="220">
        <f t="shared" si="10"/>
        <v>0.26333000000000001</v>
      </c>
      <c r="G24" s="220"/>
      <c r="H24" s="220"/>
      <c r="I24" s="219">
        <v>4.6990000000000004E-2</v>
      </c>
      <c r="J24" s="221">
        <f t="shared" si="1"/>
        <v>0.61316999999999988</v>
      </c>
      <c r="K24" s="226"/>
      <c r="L24" s="220">
        <f>ROUND(E24*(HLOOKUP($C$23,'Rate Spread Proposal'!$E$71:$AA$76,6,FALSE)),5)</f>
        <v>3.8379999999999997E-2</v>
      </c>
      <c r="M24" s="226"/>
      <c r="N24" s="223">
        <f t="shared" si="2"/>
        <v>0.30284999999999984</v>
      </c>
      <c r="O24" s="223">
        <f t="shared" si="3"/>
        <v>0.34122999999999981</v>
      </c>
      <c r="P24" s="220">
        <f>'Allocation = % of Margin'!U25</f>
        <v>-2.8400000000000001E-3</v>
      </c>
      <c r="Q24" s="937"/>
      <c r="R24" s="812">
        <f t="shared" si="4"/>
        <v>0.3383899999999998</v>
      </c>
      <c r="S24" s="1162">
        <f>'Allocation = % of Margin'!O25</f>
        <v>-1.2370000000000001E-2</v>
      </c>
      <c r="T24" s="220">
        <f>'Allocation = % of Margin'!R25</f>
        <v>-5.3699999999999998E-3</v>
      </c>
      <c r="U24" s="936"/>
      <c r="V24" s="825">
        <f t="shared" si="5"/>
        <v>-1.7739999999999999E-2</v>
      </c>
      <c r="W24" s="824">
        <f t="shared" si="6"/>
        <v>0.63096999999999981</v>
      </c>
      <c r="X24" s="1254"/>
      <c r="Y24" s="952">
        <f>ROUND(R24*(HLOOKUP($C$23,'Rate Spread Proposal'!$E$98:$AA$103,6,FALSE)),5)</f>
        <v>1.917E-2</v>
      </c>
      <c r="Z24" s="936">
        <f>'Allocation = % of Margin'!X25</f>
        <v>-2.7E-4</v>
      </c>
      <c r="AA24" s="230">
        <f t="shared" si="7"/>
        <v>1.89E-2</v>
      </c>
      <c r="AB24" s="998">
        <f t="shared" si="8"/>
        <v>0.66760999999999981</v>
      </c>
      <c r="AC24" s="226"/>
      <c r="AD24" s="224"/>
      <c r="AE24" s="225"/>
      <c r="AF24" s="228"/>
      <c r="AG24" s="226"/>
      <c r="AH24" s="228"/>
      <c r="AI24" s="227"/>
      <c r="AJ24" s="226"/>
    </row>
    <row r="25" spans="1:36" x14ac:dyDescent="0.25">
      <c r="A25" s="133">
        <f t="shared" si="0"/>
        <v>19</v>
      </c>
      <c r="B25" s="86" t="s">
        <v>299</v>
      </c>
      <c r="C25" s="86" t="s">
        <v>356</v>
      </c>
      <c r="D25" s="1490" t="s">
        <v>4</v>
      </c>
      <c r="E25" s="229">
        <f>E23</f>
        <v>0.34372999999999987</v>
      </c>
      <c r="F25" s="226">
        <f t="shared" si="10"/>
        <v>0.26333000000000001</v>
      </c>
      <c r="G25" s="226"/>
      <c r="H25" s="226"/>
      <c r="I25" s="228">
        <v>8.7499999999999991E-3</v>
      </c>
      <c r="J25" s="227">
        <f>SUM(E25:I25)</f>
        <v>0.61580999999999997</v>
      </c>
      <c r="K25" s="226"/>
      <c r="L25" s="226">
        <f>ROUND(E25*(HLOOKUP($C$25,'Rate Spread Proposal'!$E$71:$AA$76,6,FALSE)),5)</f>
        <v>4.3560000000000001E-2</v>
      </c>
      <c r="M25" s="226"/>
      <c r="N25" s="230">
        <f>(J25-F25-G25-H25)-I25</f>
        <v>0.34372999999999998</v>
      </c>
      <c r="O25" s="230">
        <f>N25+L25</f>
        <v>0.38728999999999997</v>
      </c>
      <c r="P25" s="226">
        <f>'Allocation = % of Margin'!U26</f>
        <v>-3.2200000000000002E-3</v>
      </c>
      <c r="Q25" s="939"/>
      <c r="R25" s="813">
        <f>SUM(O25:Q25)</f>
        <v>0.38406999999999997</v>
      </c>
      <c r="S25" s="1163">
        <f>'Allocation = % of Margin'!O26</f>
        <v>0</v>
      </c>
      <c r="T25" s="226">
        <f>'Allocation = % of Margin'!R26</f>
        <v>-6.1000000000000004E-3</v>
      </c>
      <c r="U25" s="938"/>
      <c r="V25" s="826">
        <f>SUM(S25:U25)</f>
        <v>-6.1000000000000004E-3</v>
      </c>
      <c r="W25" s="827">
        <f>R25+V25+SUM(F25:I25)</f>
        <v>0.65005000000000002</v>
      </c>
      <c r="X25" s="1254"/>
      <c r="Y25" s="960">
        <f>ROUND(R25*(HLOOKUP($C$25,'Rate Spread Proposal'!$E$98:$AA$103,6,FALSE)),5)</f>
        <v>2.1749999999999999E-2</v>
      </c>
      <c r="Z25" s="938">
        <f>'Allocation = % of Margin'!X26</f>
        <v>-3.1E-4</v>
      </c>
      <c r="AA25" s="1459">
        <f>SUM(Y25:Z25)</f>
        <v>2.1439999999999997E-2</v>
      </c>
      <c r="AB25" s="1461">
        <f t="shared" si="8"/>
        <v>0.67759000000000003</v>
      </c>
      <c r="AC25" s="226"/>
      <c r="AD25" s="224">
        <f>'WA Volumes &amp; Revenues'!O27</f>
        <v>250</v>
      </c>
      <c r="AE25" s="225">
        <f>'WA Volumes &amp; Revenues'!N27</f>
        <v>250</v>
      </c>
      <c r="AF25" s="228"/>
      <c r="AG25" s="226"/>
      <c r="AH25" s="228"/>
      <c r="AI25" s="227"/>
      <c r="AJ25" s="226"/>
    </row>
    <row r="26" spans="1:36" x14ac:dyDescent="0.25">
      <c r="A26" s="133">
        <f t="shared" si="0"/>
        <v>20</v>
      </c>
      <c r="B26" s="161"/>
      <c r="C26" s="161"/>
      <c r="D26" s="1491" t="s">
        <v>5</v>
      </c>
      <c r="E26" s="218">
        <f>E24</f>
        <v>0.30284999999999984</v>
      </c>
      <c r="F26" s="220">
        <f t="shared" si="10"/>
        <v>0.26333000000000001</v>
      </c>
      <c r="G26" s="220"/>
      <c r="H26" s="220"/>
      <c r="I26" s="219">
        <v>7.8399999999999997E-3</v>
      </c>
      <c r="J26" s="221">
        <f t="shared" ref="J26:J28" si="11">SUM(E26:I26)</f>
        <v>0.57401999999999986</v>
      </c>
      <c r="K26" s="226"/>
      <c r="L26" s="220">
        <f>ROUND(E26*(HLOOKUP($C$25,'Rate Spread Proposal'!$E$71:$AA$76,6,FALSE)),5)</f>
        <v>3.8379999999999997E-2</v>
      </c>
      <c r="M26" s="226"/>
      <c r="N26" s="223">
        <f t="shared" si="2"/>
        <v>0.30284999999999984</v>
      </c>
      <c r="O26" s="223">
        <f t="shared" si="3"/>
        <v>0.34122999999999981</v>
      </c>
      <c r="P26" s="220">
        <f>'Allocation = % of Margin'!U27</f>
        <v>-2.8400000000000001E-3</v>
      </c>
      <c r="Q26" s="937"/>
      <c r="R26" s="812">
        <f t="shared" si="4"/>
        <v>0.3383899999999998</v>
      </c>
      <c r="S26" s="1162">
        <f>'Allocation = % of Margin'!O27</f>
        <v>0</v>
      </c>
      <c r="T26" s="220">
        <f>'Allocation = % of Margin'!R27</f>
        <v>-5.3699999999999998E-3</v>
      </c>
      <c r="U26" s="936"/>
      <c r="V26" s="825">
        <f t="shared" si="5"/>
        <v>-5.3699999999999998E-3</v>
      </c>
      <c r="W26" s="824">
        <f t="shared" si="6"/>
        <v>0.60418999999999978</v>
      </c>
      <c r="X26" s="1254"/>
      <c r="Y26" s="961">
        <f>ROUND(R26*(HLOOKUP($C$25,'Rate Spread Proposal'!$E$98:$AA$103,6,FALSE)),5)</f>
        <v>1.917E-2</v>
      </c>
      <c r="Z26" s="936">
        <f>'Allocation = % of Margin'!X27</f>
        <v>-2.7E-4</v>
      </c>
      <c r="AA26" s="223">
        <f t="shared" si="7"/>
        <v>1.89E-2</v>
      </c>
      <c r="AB26" s="998">
        <f t="shared" si="8"/>
        <v>0.6284599999999998</v>
      </c>
      <c r="AC26" s="226"/>
      <c r="AD26" s="224"/>
      <c r="AE26" s="225"/>
      <c r="AF26" s="228"/>
      <c r="AG26" s="226"/>
      <c r="AH26" s="228"/>
      <c r="AI26" s="227"/>
      <c r="AJ26" s="226"/>
    </row>
    <row r="27" spans="1:36" x14ac:dyDescent="0.25">
      <c r="A27" s="133">
        <f t="shared" si="0"/>
        <v>21</v>
      </c>
      <c r="B27" s="86" t="s">
        <v>306</v>
      </c>
      <c r="C27" s="86" t="s">
        <v>357</v>
      </c>
      <c r="D27" s="1490" t="s">
        <v>4</v>
      </c>
      <c r="E27" s="229">
        <v>0.34791</v>
      </c>
      <c r="F27" s="226">
        <v>0</v>
      </c>
      <c r="G27" s="226"/>
      <c r="H27" s="226"/>
      <c r="I27" s="228">
        <v>1.5499999999999999E-3</v>
      </c>
      <c r="J27" s="227">
        <f t="shared" si="11"/>
        <v>0.34945999999999999</v>
      </c>
      <c r="K27" s="226"/>
      <c r="L27" s="226">
        <f>ROUND(E27*(HLOOKUP($C$27,'Rate Spread Proposal'!$E$71:$AA$76,6,FALSE)),5)</f>
        <v>6.3149999999999998E-2</v>
      </c>
      <c r="M27" s="226"/>
      <c r="N27" s="230">
        <f t="shared" si="2"/>
        <v>0.34791</v>
      </c>
      <c r="O27" s="230">
        <f t="shared" si="3"/>
        <v>0.41105999999999998</v>
      </c>
      <c r="P27" s="226">
        <f>'Allocation = % of Margin'!U28</f>
        <v>-4.3499999999999997E-3</v>
      </c>
      <c r="Q27" s="939"/>
      <c r="R27" s="813">
        <f t="shared" si="4"/>
        <v>0.40670999999999996</v>
      </c>
      <c r="S27" s="1163">
        <f>'Allocation = % of Margin'!O28</f>
        <v>0</v>
      </c>
      <c r="T27" s="226">
        <f>'Allocation = % of Margin'!R28</f>
        <v>-8.2299999999999995E-3</v>
      </c>
      <c r="U27" s="938"/>
      <c r="V27" s="826">
        <f t="shared" si="5"/>
        <v>-8.2299999999999995E-3</v>
      </c>
      <c r="W27" s="827">
        <f t="shared" si="6"/>
        <v>0.40002999999999994</v>
      </c>
      <c r="X27" s="1254"/>
      <c r="Y27" s="960">
        <f>ROUND(R27*(HLOOKUP($C$27,'Rate Spread Proposal'!$E$98:$AA$103,6,FALSE)),5)</f>
        <v>2.9610000000000001E-2</v>
      </c>
      <c r="Z27" s="938">
        <f>'Allocation = % of Margin'!X28</f>
        <v>-4.2000000000000002E-4</v>
      </c>
      <c r="AA27" s="1459">
        <f t="shared" si="7"/>
        <v>2.9190000000000001E-2</v>
      </c>
      <c r="AB27" s="1461">
        <f t="shared" si="8"/>
        <v>0.43744999999999995</v>
      </c>
      <c r="AC27" s="226"/>
      <c r="AD27" s="224">
        <f>'WA Volumes &amp; Revenues'!O29</f>
        <v>500</v>
      </c>
      <c r="AE27" s="225">
        <f>'WA Volumes &amp; Revenues'!N29</f>
        <v>500</v>
      </c>
      <c r="AF27" s="228"/>
      <c r="AG27" s="226"/>
      <c r="AH27" s="228"/>
      <c r="AI27" s="227"/>
      <c r="AJ27" s="226"/>
    </row>
    <row r="28" spans="1:36" x14ac:dyDescent="0.25">
      <c r="A28" s="133">
        <f t="shared" si="0"/>
        <v>22</v>
      </c>
      <c r="B28" s="161"/>
      <c r="C28" s="161"/>
      <c r="D28" s="1491" t="s">
        <v>5</v>
      </c>
      <c r="E28" s="218">
        <v>0.30653000000000008</v>
      </c>
      <c r="F28" s="220">
        <v>0</v>
      </c>
      <c r="G28" s="220"/>
      <c r="H28" s="220"/>
      <c r="I28" s="219">
        <v>1.3600000000000001E-3</v>
      </c>
      <c r="J28" s="221">
        <f t="shared" si="11"/>
        <v>0.30789000000000011</v>
      </c>
      <c r="K28" s="226"/>
      <c r="L28" s="220">
        <f>ROUND(E28*(HLOOKUP($C$27,'Rate Spread Proposal'!$E$71:$AA$76,6,FALSE)),5)</f>
        <v>5.5640000000000002E-2</v>
      </c>
      <c r="M28" s="226"/>
      <c r="N28" s="223">
        <f t="shared" si="2"/>
        <v>0.30653000000000008</v>
      </c>
      <c r="O28" s="223">
        <f t="shared" si="3"/>
        <v>0.3621700000000001</v>
      </c>
      <c r="P28" s="220">
        <f>'Allocation = % of Margin'!U29</f>
        <v>-3.8300000000000001E-3</v>
      </c>
      <c r="Q28" s="937"/>
      <c r="R28" s="812">
        <f t="shared" si="4"/>
        <v>0.3583400000000001</v>
      </c>
      <c r="S28" s="1162">
        <f>'Allocation = % of Margin'!O29</f>
        <v>0</v>
      </c>
      <c r="T28" s="220">
        <f>'Allocation = % of Margin'!R29</f>
        <v>-7.2500000000000004E-3</v>
      </c>
      <c r="U28" s="936"/>
      <c r="V28" s="825">
        <f t="shared" si="5"/>
        <v>-7.2500000000000004E-3</v>
      </c>
      <c r="W28" s="824">
        <f t="shared" si="6"/>
        <v>0.35245000000000015</v>
      </c>
      <c r="X28" s="1254"/>
      <c r="Y28" s="961">
        <f>ROUND(R28*(HLOOKUP($C$27,'Rate Spread Proposal'!$E$98:$AA$103,6,FALSE)),5)</f>
        <v>2.6089999999999999E-2</v>
      </c>
      <c r="Z28" s="936">
        <f>'Allocation = % of Margin'!X29</f>
        <v>-3.6999999999999999E-4</v>
      </c>
      <c r="AA28" s="223">
        <f t="shared" si="7"/>
        <v>2.572E-2</v>
      </c>
      <c r="AB28" s="998">
        <f t="shared" si="8"/>
        <v>0.38542000000000015</v>
      </c>
      <c r="AC28" s="226"/>
      <c r="AD28" s="224"/>
      <c r="AE28" s="225"/>
      <c r="AF28" s="228"/>
      <c r="AG28" s="226"/>
      <c r="AH28" s="228"/>
      <c r="AI28" s="227"/>
      <c r="AJ28" s="226"/>
    </row>
    <row r="29" spans="1:36" x14ac:dyDescent="0.25">
      <c r="A29" s="133">
        <f t="shared" si="0"/>
        <v>23</v>
      </c>
      <c r="B29" s="86" t="s">
        <v>296</v>
      </c>
      <c r="C29" s="86" t="s">
        <v>358</v>
      </c>
      <c r="D29" s="1490" t="s">
        <v>4</v>
      </c>
      <c r="E29" s="229">
        <v>0.34791</v>
      </c>
      <c r="F29" s="226">
        <v>0</v>
      </c>
      <c r="G29" s="226"/>
      <c r="H29" s="231"/>
      <c r="I29" s="228">
        <f>I27</f>
        <v>1.5499999999999999E-3</v>
      </c>
      <c r="J29" s="227">
        <f t="shared" si="1"/>
        <v>0.34945999999999999</v>
      </c>
      <c r="K29" s="226"/>
      <c r="L29" s="226">
        <f>ROUND(E29*(HLOOKUP($C$29,'Rate Spread Proposal'!$E$71:$AA$76,6,FALSE)),5)</f>
        <v>4.4089999999999997E-2</v>
      </c>
      <c r="M29" s="226"/>
      <c r="N29" s="230">
        <f t="shared" si="2"/>
        <v>0.34791</v>
      </c>
      <c r="O29" s="230">
        <f t="shared" si="3"/>
        <v>0.39200000000000002</v>
      </c>
      <c r="P29" s="226">
        <f>'Allocation = % of Margin'!U30</f>
        <v>-3.2599999999999999E-3</v>
      </c>
      <c r="Q29" s="939"/>
      <c r="R29" s="813">
        <f t="shared" si="4"/>
        <v>0.38874000000000003</v>
      </c>
      <c r="S29" s="1163">
        <f>'Allocation = % of Margin'!O30</f>
        <v>0</v>
      </c>
      <c r="T29" s="226">
        <f>'Allocation = % of Margin'!R30</f>
        <v>-6.1700000000000001E-3</v>
      </c>
      <c r="U29" s="938"/>
      <c r="V29" s="826">
        <f t="shared" si="5"/>
        <v>-6.1700000000000001E-3</v>
      </c>
      <c r="W29" s="827">
        <f t="shared" si="6"/>
        <v>0.38412000000000002</v>
      </c>
      <c r="X29" s="1254"/>
      <c r="Y29" s="960">
        <f>ROUND(R29*(HLOOKUP($C$29,'Rate Spread Proposal'!$E$98:$AA$103,6,FALSE)),5)</f>
        <v>2.2020000000000001E-2</v>
      </c>
      <c r="Z29" s="938">
        <f>'Allocation = % of Margin'!X30</f>
        <v>-3.1E-4</v>
      </c>
      <c r="AA29" s="1459">
        <f t="shared" si="7"/>
        <v>2.171E-2</v>
      </c>
      <c r="AB29" s="1461">
        <f t="shared" si="8"/>
        <v>0.41200000000000003</v>
      </c>
      <c r="AC29" s="226"/>
      <c r="AD29" s="224">
        <f>'WA Volumes &amp; Revenues'!O31</f>
        <v>500</v>
      </c>
      <c r="AE29" s="225">
        <f>'WA Volumes &amp; Revenues'!N31</f>
        <v>500</v>
      </c>
      <c r="AF29" s="228"/>
      <c r="AG29" s="226"/>
      <c r="AH29" s="228"/>
      <c r="AI29" s="227"/>
      <c r="AJ29" s="226"/>
    </row>
    <row r="30" spans="1:36" x14ac:dyDescent="0.25">
      <c r="A30" s="133">
        <f t="shared" si="0"/>
        <v>24</v>
      </c>
      <c r="B30" s="161"/>
      <c r="C30" s="161"/>
      <c r="D30" s="1491" t="s">
        <v>5</v>
      </c>
      <c r="E30" s="218">
        <v>0.30653000000000008</v>
      </c>
      <c r="F30" s="220">
        <v>0</v>
      </c>
      <c r="G30" s="220"/>
      <c r="H30" s="220"/>
      <c r="I30" s="219">
        <f>I28</f>
        <v>1.3600000000000001E-3</v>
      </c>
      <c r="J30" s="221">
        <f t="shared" si="1"/>
        <v>0.30789000000000011</v>
      </c>
      <c r="K30" s="226"/>
      <c r="L30" s="220">
        <f>ROUND(E30*(HLOOKUP($C$29,'Rate Spread Proposal'!$E$71:$AA$76,6,FALSE)),5)</f>
        <v>3.8850000000000003E-2</v>
      </c>
      <c r="M30" s="226"/>
      <c r="N30" s="223">
        <f t="shared" si="2"/>
        <v>0.30653000000000008</v>
      </c>
      <c r="O30" s="223">
        <f t="shared" si="3"/>
        <v>0.34538000000000008</v>
      </c>
      <c r="P30" s="220">
        <f>'Allocation = % of Margin'!U31</f>
        <v>-2.8700000000000002E-3</v>
      </c>
      <c r="Q30" s="937"/>
      <c r="R30" s="812">
        <f t="shared" si="4"/>
        <v>0.34251000000000009</v>
      </c>
      <c r="S30" s="1162">
        <f>'Allocation = % of Margin'!O31</f>
        <v>0</v>
      </c>
      <c r="T30" s="220">
        <f>'Allocation = % of Margin'!R31</f>
        <v>-5.4400000000000004E-3</v>
      </c>
      <c r="U30" s="936"/>
      <c r="V30" s="825">
        <f t="shared" si="5"/>
        <v>-5.4400000000000004E-3</v>
      </c>
      <c r="W30" s="824">
        <f t="shared" si="6"/>
        <v>0.33843000000000012</v>
      </c>
      <c r="X30" s="1254"/>
      <c r="Y30" s="952">
        <f>ROUND(R30*(HLOOKUP($C$29,'Rate Spread Proposal'!$E$98:$AA$103,6,FALSE)),5)</f>
        <v>1.9400000000000001E-2</v>
      </c>
      <c r="Z30" s="936">
        <f>'Allocation = % of Margin'!X31</f>
        <v>-2.7999999999999998E-4</v>
      </c>
      <c r="AA30" s="230">
        <f t="shared" si="7"/>
        <v>1.9120000000000002E-2</v>
      </c>
      <c r="AB30" s="998">
        <f t="shared" si="8"/>
        <v>0.36299000000000015</v>
      </c>
      <c r="AC30" s="226"/>
      <c r="AD30" s="787"/>
      <c r="AE30" s="132"/>
      <c r="AF30" s="228"/>
      <c r="AG30" s="226"/>
      <c r="AH30" s="228"/>
      <c r="AI30" s="227"/>
      <c r="AJ30" s="226"/>
    </row>
    <row r="31" spans="1:36" x14ac:dyDescent="0.25">
      <c r="A31" s="133">
        <f t="shared" si="0"/>
        <v>25</v>
      </c>
      <c r="B31" s="133" t="str">
        <f>'WA Volumes &amp; Revenues'!B33</f>
        <v>42C Firm Sales</v>
      </c>
      <c r="C31" s="133" t="s">
        <v>359</v>
      </c>
      <c r="D31" s="1510" t="s">
        <v>4</v>
      </c>
      <c r="E31" s="229">
        <v>0.15245999999999996</v>
      </c>
      <c r="F31" s="226">
        <f t="shared" si="10"/>
        <v>0.26333000000000001</v>
      </c>
      <c r="G31" s="226"/>
      <c r="H31" s="226"/>
      <c r="I31" s="228">
        <v>1.9560000000000001E-2</v>
      </c>
      <c r="J31" s="227">
        <f t="shared" si="1"/>
        <v>0.43535000000000001</v>
      </c>
      <c r="K31" s="226"/>
      <c r="L31" s="226">
        <f>ROUND(E31*(HLOOKUP($C$31,'Rate Spread Proposal'!$E$71:$AA$76,6,FALSE)),5)</f>
        <v>4.4949999999999997E-2</v>
      </c>
      <c r="M31" s="226"/>
      <c r="N31" s="230">
        <f t="shared" si="2"/>
        <v>0.15246000000000001</v>
      </c>
      <c r="O31" s="230">
        <f t="shared" si="3"/>
        <v>0.19741</v>
      </c>
      <c r="P31" s="226">
        <f>'Allocation = % of Margin'!U32</f>
        <v>-3.0899999999999999E-3</v>
      </c>
      <c r="Q31" s="939"/>
      <c r="R31" s="813">
        <f t="shared" si="4"/>
        <v>0.19431999999999999</v>
      </c>
      <c r="S31" s="1163">
        <f>'Allocation = % of Margin'!O32</f>
        <v>-1.06E-2</v>
      </c>
      <c r="T31" s="226">
        <f>'Allocation = % of Margin'!R32</f>
        <v>-5.8599999999999998E-3</v>
      </c>
      <c r="U31" s="938"/>
      <c r="V31" s="826">
        <f t="shared" si="5"/>
        <v>-1.6459999999999999E-2</v>
      </c>
      <c r="W31" s="827">
        <f t="shared" si="6"/>
        <v>0.46074999999999999</v>
      </c>
      <c r="X31" s="1254"/>
      <c r="Y31" s="960">
        <f>ROUND(R31*(HLOOKUP($C$31,'Rate Spread Proposal'!$E$98:$AA$103,6,FALSE)),5)</f>
        <v>2.1080000000000002E-2</v>
      </c>
      <c r="Z31" s="938">
        <f>'Allocation = % of Margin'!X32</f>
        <v>-2.9999999999999997E-4</v>
      </c>
      <c r="AA31" s="1459">
        <f t="shared" si="7"/>
        <v>2.078E-2</v>
      </c>
      <c r="AB31" s="1461">
        <f t="shared" si="8"/>
        <v>0.49798999999999999</v>
      </c>
      <c r="AC31" s="226"/>
      <c r="AD31" s="224">
        <f>'WA Volumes &amp; Revenues'!O33</f>
        <v>1300</v>
      </c>
      <c r="AE31" s="225">
        <f>'WA Volumes &amp; Revenues'!N33</f>
        <v>1300</v>
      </c>
      <c r="AF31" s="228">
        <v>0.15748000000000001</v>
      </c>
      <c r="AG31" s="228">
        <v>0.15748000000000001</v>
      </c>
      <c r="AH31" s="228">
        <v>0.20415</v>
      </c>
      <c r="AI31" s="790">
        <v>0.20415</v>
      </c>
      <c r="AJ31" s="226"/>
    </row>
    <row r="32" spans="1:36" x14ac:dyDescent="0.25">
      <c r="A32" s="133">
        <f t="shared" si="0"/>
        <v>26</v>
      </c>
      <c r="B32" s="1511"/>
      <c r="C32" s="1511"/>
      <c r="D32" s="1510" t="s">
        <v>5</v>
      </c>
      <c r="E32" s="229">
        <v>0.1364699999999997</v>
      </c>
      <c r="F32" s="226">
        <f t="shared" si="10"/>
        <v>0.26333000000000001</v>
      </c>
      <c r="G32" s="226"/>
      <c r="H32" s="226"/>
      <c r="I32" s="228">
        <v>1.6539999999999999E-2</v>
      </c>
      <c r="J32" s="227">
        <f t="shared" si="1"/>
        <v>0.41633999999999971</v>
      </c>
      <c r="K32" s="226"/>
      <c r="L32" s="226">
        <f>ROUND(E32*(HLOOKUP($C$31,'Rate Spread Proposal'!$E$71:$AA$76,6,FALSE)),5)</f>
        <v>4.0230000000000002E-2</v>
      </c>
      <c r="M32" s="226"/>
      <c r="N32" s="230">
        <f t="shared" si="2"/>
        <v>0.1364699999999997</v>
      </c>
      <c r="O32" s="230">
        <f t="shared" si="3"/>
        <v>0.17669999999999969</v>
      </c>
      <c r="P32" s="226">
        <f>'Allocation = % of Margin'!U33</f>
        <v>-2.7699999999999999E-3</v>
      </c>
      <c r="Q32" s="939"/>
      <c r="R32" s="813">
        <f t="shared" si="4"/>
        <v>0.1739299999999997</v>
      </c>
      <c r="S32" s="1163">
        <f>'Allocation = % of Margin'!O33</f>
        <v>-9.4900000000000002E-3</v>
      </c>
      <c r="T32" s="226">
        <f>'Allocation = % of Margin'!R33</f>
        <v>-5.2500000000000003E-3</v>
      </c>
      <c r="U32" s="938"/>
      <c r="V32" s="826">
        <f t="shared" si="5"/>
        <v>-1.474E-2</v>
      </c>
      <c r="W32" s="827">
        <f t="shared" si="6"/>
        <v>0.43905999999999967</v>
      </c>
      <c r="X32" s="1254"/>
      <c r="Y32" s="952">
        <f>ROUND(R32*(HLOOKUP($C$31,'Rate Spread Proposal'!$E$98:$AA$103,6,FALSE)),5)</f>
        <v>1.8859999999999998E-2</v>
      </c>
      <c r="Z32" s="938">
        <f>'Allocation = % of Margin'!X33</f>
        <v>-2.7E-4</v>
      </c>
      <c r="AA32" s="230">
        <f t="shared" si="7"/>
        <v>1.8589999999999999E-2</v>
      </c>
      <c r="AB32" s="1461">
        <f t="shared" si="8"/>
        <v>0.47238999999999964</v>
      </c>
      <c r="AC32" s="226"/>
      <c r="AD32" s="224"/>
      <c r="AE32" s="225"/>
      <c r="AF32" s="228"/>
      <c r="AG32" s="226"/>
      <c r="AH32" s="228"/>
      <c r="AI32" s="227"/>
      <c r="AJ32" s="226"/>
    </row>
    <row r="33" spans="1:36" x14ac:dyDescent="0.25">
      <c r="A33" s="133">
        <f t="shared" si="0"/>
        <v>27</v>
      </c>
      <c r="B33" s="133"/>
      <c r="C33" s="133"/>
      <c r="D33" s="1510" t="s">
        <v>6</v>
      </c>
      <c r="E33" s="229">
        <v>0.1046699999999999</v>
      </c>
      <c r="F33" s="226">
        <f t="shared" si="10"/>
        <v>0.26333000000000001</v>
      </c>
      <c r="G33" s="226"/>
      <c r="H33" s="226"/>
      <c r="I33" s="228">
        <v>1.052E-2</v>
      </c>
      <c r="J33" s="227">
        <f t="shared" si="1"/>
        <v>0.37851999999999986</v>
      </c>
      <c r="K33" s="226"/>
      <c r="L33" s="226">
        <f>ROUND(E33*(HLOOKUP($C$31,'Rate Spread Proposal'!$E$71:$AA$76,6,FALSE)),5)</f>
        <v>3.0859999999999999E-2</v>
      </c>
      <c r="M33" s="226"/>
      <c r="N33" s="230">
        <f t="shared" si="2"/>
        <v>0.10466999999999985</v>
      </c>
      <c r="O33" s="230">
        <f t="shared" si="3"/>
        <v>0.13552999999999985</v>
      </c>
      <c r="P33" s="226">
        <f>'Allocation = % of Margin'!U34</f>
        <v>-2.1199999999999999E-3</v>
      </c>
      <c r="Q33" s="939"/>
      <c r="R33" s="813">
        <f t="shared" si="4"/>
        <v>0.13340999999999983</v>
      </c>
      <c r="S33" s="1163">
        <f>'Allocation = % of Margin'!O34</f>
        <v>-7.28E-3</v>
      </c>
      <c r="T33" s="226">
        <f>'Allocation = % of Margin'!R34</f>
        <v>-4.0200000000000001E-3</v>
      </c>
      <c r="U33" s="938"/>
      <c r="V33" s="826">
        <f t="shared" si="5"/>
        <v>-1.1300000000000001E-2</v>
      </c>
      <c r="W33" s="827">
        <f t="shared" si="6"/>
        <v>0.39595999999999981</v>
      </c>
      <c r="X33" s="1254"/>
      <c r="Y33" s="952">
        <f>ROUND(R33*(HLOOKUP($C$31,'Rate Spread Proposal'!$E$98:$AA$103,6,FALSE)),5)</f>
        <v>1.447E-2</v>
      </c>
      <c r="Z33" s="938">
        <f>'Allocation = % of Margin'!X34</f>
        <v>-2.0000000000000001E-4</v>
      </c>
      <c r="AA33" s="230">
        <f t="shared" si="7"/>
        <v>1.427E-2</v>
      </c>
      <c r="AB33" s="1461">
        <f t="shared" si="8"/>
        <v>0.42152999999999985</v>
      </c>
      <c r="AC33" s="226"/>
      <c r="AD33" s="787"/>
      <c r="AE33" s="132"/>
      <c r="AF33" s="228"/>
      <c r="AG33" s="226"/>
      <c r="AH33" s="228"/>
      <c r="AI33" s="227"/>
      <c r="AJ33" s="226"/>
    </row>
    <row r="34" spans="1:36" x14ac:dyDescent="0.25">
      <c r="A34" s="133">
        <f t="shared" si="0"/>
        <v>28</v>
      </c>
      <c r="B34" s="133"/>
      <c r="C34" s="133"/>
      <c r="D34" s="1510" t="s">
        <v>7</v>
      </c>
      <c r="E34" s="229">
        <v>8.3729999999999999E-2</v>
      </c>
      <c r="F34" s="226">
        <f t="shared" si="10"/>
        <v>0.26333000000000001</v>
      </c>
      <c r="G34" s="226"/>
      <c r="H34" s="226"/>
      <c r="I34" s="228">
        <v>6.550000000000002E-3</v>
      </c>
      <c r="J34" s="227">
        <f t="shared" si="1"/>
        <v>0.35361000000000004</v>
      </c>
      <c r="K34" s="226"/>
      <c r="L34" s="226">
        <f>ROUND(E34*(HLOOKUP($C$31,'Rate Spread Proposal'!$E$71:$AA$76,6,FALSE)),5)</f>
        <v>2.4680000000000001E-2</v>
      </c>
      <c r="M34" s="226"/>
      <c r="N34" s="230">
        <f t="shared" si="2"/>
        <v>8.3730000000000027E-2</v>
      </c>
      <c r="O34" s="230">
        <f t="shared" si="3"/>
        <v>0.10841000000000003</v>
      </c>
      <c r="P34" s="226">
        <f>'Allocation = % of Margin'!U35</f>
        <v>-1.6999999999999999E-3</v>
      </c>
      <c r="Q34" s="939"/>
      <c r="R34" s="813">
        <f t="shared" si="4"/>
        <v>0.10671000000000004</v>
      </c>
      <c r="S34" s="1163">
        <f>'Allocation = % of Margin'!O35</f>
        <v>-5.8199999999999997E-3</v>
      </c>
      <c r="T34" s="226">
        <f>'Allocation = % of Margin'!R35</f>
        <v>-3.2200000000000002E-3</v>
      </c>
      <c r="U34" s="938"/>
      <c r="V34" s="826">
        <f t="shared" si="5"/>
        <v>-9.0399999999999994E-3</v>
      </c>
      <c r="W34" s="827">
        <f t="shared" si="6"/>
        <v>0.36755000000000004</v>
      </c>
      <c r="X34" s="1254"/>
      <c r="Y34" s="952">
        <f>ROUND(R34*(HLOOKUP($C$31,'Rate Spread Proposal'!$E$98:$AA$103,6,FALSE)),5)</f>
        <v>1.157E-2</v>
      </c>
      <c r="Z34" s="938">
        <f>'Allocation = % of Margin'!X35</f>
        <v>-1.6000000000000001E-4</v>
      </c>
      <c r="AA34" s="230">
        <f t="shared" si="7"/>
        <v>1.141E-2</v>
      </c>
      <c r="AB34" s="1461">
        <f t="shared" si="8"/>
        <v>0.38800000000000001</v>
      </c>
      <c r="AC34" s="226"/>
      <c r="AD34" s="224"/>
      <c r="AE34" s="225"/>
      <c r="AF34" s="228"/>
      <c r="AG34" s="226"/>
      <c r="AH34" s="228"/>
      <c r="AI34" s="227"/>
      <c r="AJ34" s="226"/>
    </row>
    <row r="35" spans="1:36" x14ac:dyDescent="0.25">
      <c r="A35" s="133">
        <f t="shared" si="0"/>
        <v>29</v>
      </c>
      <c r="B35" s="133"/>
      <c r="C35" s="133"/>
      <c r="D35" s="1510" t="s">
        <v>8</v>
      </c>
      <c r="E35" s="229">
        <v>5.5809999999999992E-2</v>
      </c>
      <c r="F35" s="226">
        <f t="shared" si="10"/>
        <v>0.26333000000000001</v>
      </c>
      <c r="G35" s="226"/>
      <c r="H35" s="226"/>
      <c r="I35" s="228">
        <v>1.239999999999998E-3</v>
      </c>
      <c r="J35" s="227">
        <f t="shared" si="1"/>
        <v>0.32038</v>
      </c>
      <c r="K35" s="226"/>
      <c r="L35" s="226">
        <f>ROUND(E35*(HLOOKUP($C$31,'Rate Spread Proposal'!$E$71:$AA$76,6,FALSE)),5)</f>
        <v>1.6449999999999999E-2</v>
      </c>
      <c r="M35" s="226"/>
      <c r="N35" s="230">
        <f t="shared" si="2"/>
        <v>5.5809999999999992E-2</v>
      </c>
      <c r="O35" s="230">
        <f t="shared" si="3"/>
        <v>7.2259999999999991E-2</v>
      </c>
      <c r="P35" s="226">
        <f>'Allocation = % of Margin'!U36</f>
        <v>-1.1299999999999999E-3</v>
      </c>
      <c r="Q35" s="939"/>
      <c r="R35" s="813">
        <f t="shared" si="4"/>
        <v>7.1129999999999985E-2</v>
      </c>
      <c r="S35" s="1163">
        <f>'Allocation = % of Margin'!O36</f>
        <v>-3.8800000000000002E-3</v>
      </c>
      <c r="T35" s="226">
        <f>'Allocation = % of Margin'!R36</f>
        <v>-2.15E-3</v>
      </c>
      <c r="U35" s="938"/>
      <c r="V35" s="826">
        <f t="shared" si="5"/>
        <v>-6.0300000000000006E-3</v>
      </c>
      <c r="W35" s="827">
        <f t="shared" si="6"/>
        <v>0.32967000000000002</v>
      </c>
      <c r="X35" s="1254"/>
      <c r="Y35" s="952">
        <f>ROUND(R35*(HLOOKUP($C$31,'Rate Spread Proposal'!$E$98:$AA$103,6,FALSE)),5)</f>
        <v>7.7099999999999998E-3</v>
      </c>
      <c r="Z35" s="938">
        <f>'Allocation = % of Margin'!X36</f>
        <v>-1.1E-4</v>
      </c>
      <c r="AA35" s="230">
        <f t="shared" si="7"/>
        <v>7.6E-3</v>
      </c>
      <c r="AB35" s="1461">
        <f t="shared" si="8"/>
        <v>0.34329999999999999</v>
      </c>
      <c r="AC35" s="226"/>
      <c r="AD35" s="224"/>
      <c r="AE35" s="225"/>
      <c r="AF35" s="228"/>
      <c r="AG35" s="226"/>
      <c r="AH35" s="228"/>
      <c r="AI35" s="227"/>
      <c r="AJ35" s="226"/>
    </row>
    <row r="36" spans="1:36" x14ac:dyDescent="0.25">
      <c r="A36" s="133">
        <f t="shared" si="0"/>
        <v>30</v>
      </c>
      <c r="B36" s="1509"/>
      <c r="C36" s="1509"/>
      <c r="D36" s="1512" t="s">
        <v>9</v>
      </c>
      <c r="E36" s="218">
        <v>2.0920000000000029E-2</v>
      </c>
      <c r="F36" s="220">
        <f t="shared" si="10"/>
        <v>0.26333000000000001</v>
      </c>
      <c r="G36" s="220"/>
      <c r="H36" s="220"/>
      <c r="I36" s="219">
        <v>-5.3500000000000006E-3</v>
      </c>
      <c r="J36" s="221">
        <f t="shared" si="1"/>
        <v>0.27890000000000004</v>
      </c>
      <c r="K36" s="226"/>
      <c r="L36" s="220">
        <f>ROUND(E36*(HLOOKUP($C$31,'Rate Spread Proposal'!$E$71:$AA$76,6,FALSE)),5)</f>
        <v>6.1700000000000001E-3</v>
      </c>
      <c r="M36" s="226"/>
      <c r="N36" s="223">
        <f t="shared" si="2"/>
        <v>2.0920000000000029E-2</v>
      </c>
      <c r="O36" s="223">
        <f t="shared" si="3"/>
        <v>2.7090000000000031E-2</v>
      </c>
      <c r="P36" s="220">
        <f>'Allocation = % of Margin'!U37</f>
        <v>-4.2000000000000002E-4</v>
      </c>
      <c r="Q36" s="937"/>
      <c r="R36" s="812">
        <f t="shared" si="4"/>
        <v>2.667000000000003E-2</v>
      </c>
      <c r="S36" s="1162">
        <f>'Allocation = % of Margin'!O37</f>
        <v>-1.4499999999999999E-3</v>
      </c>
      <c r="T36" s="220">
        <f>'Allocation = % of Margin'!R37</f>
        <v>-8.0000000000000004E-4</v>
      </c>
      <c r="U36" s="936"/>
      <c r="V36" s="825">
        <f t="shared" si="5"/>
        <v>-2.2499999999999998E-3</v>
      </c>
      <c r="W36" s="824">
        <f t="shared" si="6"/>
        <v>0.28240000000000004</v>
      </c>
      <c r="X36" s="1254"/>
      <c r="Y36" s="961">
        <f>ROUND(R36*(HLOOKUP($C$31,'Rate Spread Proposal'!$E$98:$AA$103,6,FALSE)),5)</f>
        <v>2.8900000000000002E-3</v>
      </c>
      <c r="Z36" s="936">
        <f>'Allocation = % of Margin'!X37</f>
        <v>-4.0000000000000003E-5</v>
      </c>
      <c r="AA36" s="223">
        <f t="shared" si="7"/>
        <v>2.8500000000000001E-3</v>
      </c>
      <c r="AB36" s="998">
        <f t="shared" si="8"/>
        <v>0.28750000000000009</v>
      </c>
      <c r="AC36" s="226"/>
      <c r="AD36" s="787"/>
      <c r="AE36" s="132"/>
      <c r="AF36" s="228"/>
      <c r="AG36" s="226"/>
      <c r="AH36" s="228"/>
      <c r="AI36" s="227"/>
      <c r="AJ36" s="226"/>
    </row>
    <row r="37" spans="1:36" x14ac:dyDescent="0.25">
      <c r="A37" s="133">
        <f t="shared" si="0"/>
        <v>31</v>
      </c>
      <c r="B37" s="133" t="str">
        <f>'WA Volumes &amp; Revenues'!B39</f>
        <v>42I Firm Sales</v>
      </c>
      <c r="C37" s="133" t="s">
        <v>360</v>
      </c>
      <c r="D37" s="1510" t="s">
        <v>4</v>
      </c>
      <c r="E37" s="229">
        <v>0.14721000000000001</v>
      </c>
      <c r="F37" s="226">
        <f t="shared" si="10"/>
        <v>0.26333000000000001</v>
      </c>
      <c r="G37" s="226"/>
      <c r="H37" s="226"/>
      <c r="I37" s="228">
        <v>-4.6100000000000012E-3</v>
      </c>
      <c r="J37" s="227">
        <f t="shared" si="1"/>
        <v>0.40593000000000001</v>
      </c>
      <c r="K37" s="226"/>
      <c r="L37" s="226">
        <f>ROUND(E37*(HLOOKUP($C$37,'Rate Spread Proposal'!$E$71:$AA$76,6,FALSE)),5)</f>
        <v>3.9980000000000002E-2</v>
      </c>
      <c r="M37" s="226"/>
      <c r="N37" s="230">
        <f t="shared" si="2"/>
        <v>0.14721000000000001</v>
      </c>
      <c r="O37" s="230">
        <f t="shared" si="3"/>
        <v>0.18719000000000002</v>
      </c>
      <c r="P37" s="226">
        <f>'Allocation = % of Margin'!U38</f>
        <v>-2.7499999999999998E-3</v>
      </c>
      <c r="Q37" s="939"/>
      <c r="R37" s="813">
        <f t="shared" si="4"/>
        <v>0.18444000000000002</v>
      </c>
      <c r="S37" s="1163">
        <f>'Allocation = % of Margin'!O38</f>
        <v>0</v>
      </c>
      <c r="T37" s="226">
        <f>'Allocation = % of Margin'!R38</f>
        <v>-5.2100000000000002E-3</v>
      </c>
      <c r="U37" s="938"/>
      <c r="V37" s="826">
        <f t="shared" si="5"/>
        <v>-5.2100000000000002E-3</v>
      </c>
      <c r="W37" s="827">
        <f t="shared" si="6"/>
        <v>0.43795000000000006</v>
      </c>
      <c r="X37" s="1254"/>
      <c r="Y37" s="960">
        <f>ROUND(R37*(HLOOKUP($C$37,'Rate Spread Proposal'!$E$98:$AA$103,6,FALSE)),5)</f>
        <v>1.8749999999999999E-2</v>
      </c>
      <c r="Z37" s="938">
        <f>'Allocation = % of Margin'!X38</f>
        <v>-2.7E-4</v>
      </c>
      <c r="AA37" s="1459">
        <f t="shared" si="7"/>
        <v>1.848E-2</v>
      </c>
      <c r="AB37" s="1461">
        <f t="shared" si="8"/>
        <v>0.46164000000000005</v>
      </c>
      <c r="AC37" s="226"/>
      <c r="AD37" s="224">
        <f>'WA Volumes &amp; Revenues'!O39</f>
        <v>1300</v>
      </c>
      <c r="AE37" s="225">
        <f>'WA Volumes &amp; Revenues'!N39</f>
        <v>1300</v>
      </c>
      <c r="AF37" s="228">
        <v>0.15748000000000001</v>
      </c>
      <c r="AG37" s="228">
        <f>AF37</f>
        <v>0.15748000000000001</v>
      </c>
      <c r="AH37" s="228">
        <v>0.20415</v>
      </c>
      <c r="AI37" s="790">
        <f>AH37</f>
        <v>0.20415</v>
      </c>
      <c r="AJ37" s="226"/>
    </row>
    <row r="38" spans="1:36" x14ac:dyDescent="0.25">
      <c r="A38" s="133">
        <f t="shared" si="0"/>
        <v>32</v>
      </c>
      <c r="B38" s="1511"/>
      <c r="C38" s="1511"/>
      <c r="D38" s="1510" t="s">
        <v>5</v>
      </c>
      <c r="E38" s="229">
        <v>0.13177</v>
      </c>
      <c r="F38" s="226">
        <f t="shared" si="10"/>
        <v>0.26333000000000001</v>
      </c>
      <c r="G38" s="226"/>
      <c r="H38" s="226"/>
      <c r="I38" s="228">
        <v>-5.1100000000000008E-3</v>
      </c>
      <c r="J38" s="227">
        <f t="shared" si="1"/>
        <v>0.38999</v>
      </c>
      <c r="K38" s="226"/>
      <c r="L38" s="226">
        <f>ROUND(E38*(HLOOKUP($C$37,'Rate Spread Proposal'!$E$71:$AA$76,6,FALSE)),5)</f>
        <v>3.5790000000000002E-2</v>
      </c>
      <c r="M38" s="226"/>
      <c r="N38" s="230">
        <f t="shared" si="2"/>
        <v>0.13177</v>
      </c>
      <c r="O38" s="230">
        <f t="shared" si="3"/>
        <v>0.16755999999999999</v>
      </c>
      <c r="P38" s="226">
        <f>'Allocation = % of Margin'!U39</f>
        <v>-2.4599999999999999E-3</v>
      </c>
      <c r="Q38" s="939"/>
      <c r="R38" s="813">
        <f t="shared" si="4"/>
        <v>0.1651</v>
      </c>
      <c r="S38" s="1163">
        <f>'Allocation = % of Margin'!O39</f>
        <v>0</v>
      </c>
      <c r="T38" s="226">
        <f>'Allocation = % of Margin'!R39</f>
        <v>-4.6699999999999997E-3</v>
      </c>
      <c r="U38" s="938"/>
      <c r="V38" s="826">
        <f t="shared" si="5"/>
        <v>-4.6699999999999997E-3</v>
      </c>
      <c r="W38" s="827">
        <f t="shared" si="6"/>
        <v>0.41864999999999997</v>
      </c>
      <c r="X38" s="1254"/>
      <c r="Y38" s="952">
        <f>ROUND(R38*(HLOOKUP($C$37,'Rate Spread Proposal'!$E$98:$AA$103,6,FALSE)),5)</f>
        <v>1.678E-2</v>
      </c>
      <c r="Z38" s="938">
        <f>'Allocation = % of Margin'!X39</f>
        <v>-2.4000000000000001E-4</v>
      </c>
      <c r="AA38" s="230">
        <f t="shared" si="7"/>
        <v>1.6539999999999999E-2</v>
      </c>
      <c r="AB38" s="1461">
        <f t="shared" si="8"/>
        <v>0.43985999999999997</v>
      </c>
      <c r="AC38" s="226"/>
      <c r="AD38" s="224"/>
      <c r="AE38" s="225"/>
      <c r="AF38" s="228"/>
      <c r="AG38" s="226"/>
      <c r="AH38" s="228"/>
      <c r="AI38" s="227"/>
      <c r="AJ38" s="226"/>
    </row>
    <row r="39" spans="1:36" x14ac:dyDescent="0.25">
      <c r="A39" s="133">
        <f t="shared" si="0"/>
        <v>33</v>
      </c>
      <c r="B39" s="133"/>
      <c r="C39" s="133"/>
      <c r="D39" s="1510" t="s">
        <v>6</v>
      </c>
      <c r="E39" s="229">
        <v>0.10104999999999985</v>
      </c>
      <c r="F39" s="226">
        <f t="shared" si="10"/>
        <v>0.26333000000000001</v>
      </c>
      <c r="G39" s="226"/>
      <c r="H39" s="226"/>
      <c r="I39" s="228">
        <v>-6.0700000000000007E-3</v>
      </c>
      <c r="J39" s="227">
        <f t="shared" si="1"/>
        <v>0.35830999999999985</v>
      </c>
      <c r="K39" s="226"/>
      <c r="L39" s="226">
        <f>ROUND(E39*(HLOOKUP($C$37,'Rate Spread Proposal'!$E$71:$AA$76,6,FALSE)),5)</f>
        <v>2.7439999999999999E-2</v>
      </c>
      <c r="M39" s="226"/>
      <c r="N39" s="230">
        <f t="shared" si="2"/>
        <v>0.10104999999999985</v>
      </c>
      <c r="O39" s="230">
        <f t="shared" si="3"/>
        <v>0.12848999999999985</v>
      </c>
      <c r="P39" s="226">
        <f>'Allocation = % of Margin'!U40</f>
        <v>-1.89E-3</v>
      </c>
      <c r="Q39" s="939"/>
      <c r="R39" s="813">
        <f t="shared" si="4"/>
        <v>0.12659999999999985</v>
      </c>
      <c r="S39" s="1163">
        <f>'Allocation = % of Margin'!O40</f>
        <v>0</v>
      </c>
      <c r="T39" s="226">
        <f>'Allocation = % of Margin'!R40</f>
        <v>-3.5799999999999998E-3</v>
      </c>
      <c r="U39" s="938"/>
      <c r="V39" s="826">
        <f t="shared" si="5"/>
        <v>-3.5799999999999998E-3</v>
      </c>
      <c r="W39" s="827">
        <f t="shared" si="6"/>
        <v>0.38027999999999984</v>
      </c>
      <c r="X39" s="1254"/>
      <c r="Y39" s="952">
        <f>ROUND(R39*(HLOOKUP($C$37,'Rate Spread Proposal'!$E$98:$AA$103,6,FALSE)),5)</f>
        <v>1.2869999999999999E-2</v>
      </c>
      <c r="Z39" s="938">
        <f>'Allocation = % of Margin'!X40</f>
        <v>-1.8000000000000001E-4</v>
      </c>
      <c r="AA39" s="230">
        <f t="shared" si="7"/>
        <v>1.269E-2</v>
      </c>
      <c r="AB39" s="1461">
        <f t="shared" si="8"/>
        <v>0.39654999999999985</v>
      </c>
      <c r="AC39" s="226"/>
      <c r="AD39" s="224"/>
      <c r="AE39" s="225"/>
      <c r="AF39" s="228"/>
      <c r="AG39" s="226"/>
      <c r="AH39" s="228"/>
      <c r="AI39" s="227"/>
      <c r="AJ39" s="226"/>
    </row>
    <row r="40" spans="1:36" x14ac:dyDescent="0.25">
      <c r="A40" s="133">
        <f t="shared" si="0"/>
        <v>34</v>
      </c>
      <c r="B40" s="133"/>
      <c r="C40" s="133"/>
      <c r="D40" s="1510" t="s">
        <v>7</v>
      </c>
      <c r="E40" s="229">
        <v>8.0839999999999995E-2</v>
      </c>
      <c r="F40" s="226">
        <f t="shared" si="10"/>
        <v>0.26333000000000001</v>
      </c>
      <c r="G40" s="226"/>
      <c r="H40" s="226"/>
      <c r="I40" s="228">
        <v>-6.7300000000000007E-3</v>
      </c>
      <c r="J40" s="227">
        <f t="shared" si="1"/>
        <v>0.33743999999999996</v>
      </c>
      <c r="K40" s="226"/>
      <c r="L40" s="226">
        <f>ROUND(E40*(HLOOKUP($C$37,'Rate Spread Proposal'!$E$71:$AA$76,6,FALSE)),5)</f>
        <v>2.196E-2</v>
      </c>
      <c r="M40" s="226"/>
      <c r="N40" s="230">
        <f t="shared" si="2"/>
        <v>8.0839999999999954E-2</v>
      </c>
      <c r="O40" s="230">
        <f t="shared" si="3"/>
        <v>0.10279999999999995</v>
      </c>
      <c r="P40" s="226">
        <f>'Allocation = % of Margin'!U41</f>
        <v>-1.5100000000000001E-3</v>
      </c>
      <c r="Q40" s="939"/>
      <c r="R40" s="813">
        <f t="shared" si="4"/>
        <v>0.10128999999999995</v>
      </c>
      <c r="S40" s="1163">
        <f>'Allocation = % of Margin'!O41</f>
        <v>0</v>
      </c>
      <c r="T40" s="226">
        <f>'Allocation = % of Margin'!R41</f>
        <v>-2.8600000000000001E-3</v>
      </c>
      <c r="U40" s="938"/>
      <c r="V40" s="826">
        <f t="shared" si="5"/>
        <v>-2.8600000000000001E-3</v>
      </c>
      <c r="W40" s="827">
        <f t="shared" si="6"/>
        <v>0.35502999999999996</v>
      </c>
      <c r="X40" s="1254"/>
      <c r="Y40" s="952">
        <f>ROUND(R40*(HLOOKUP($C$37,'Rate Spread Proposal'!$E$98:$AA$103,6,FALSE)),5)</f>
        <v>1.03E-2</v>
      </c>
      <c r="Z40" s="938">
        <f>'Allocation = % of Margin'!X41</f>
        <v>-1.4999999999999999E-4</v>
      </c>
      <c r="AA40" s="230">
        <f t="shared" si="7"/>
        <v>1.0149999999999999E-2</v>
      </c>
      <c r="AB40" s="1461">
        <f t="shared" si="8"/>
        <v>0.36803999999999992</v>
      </c>
      <c r="AC40" s="226"/>
      <c r="AD40" s="224"/>
      <c r="AE40" s="225"/>
      <c r="AF40" s="228"/>
      <c r="AG40" s="226"/>
      <c r="AH40" s="228"/>
      <c r="AI40" s="227"/>
      <c r="AJ40" s="226"/>
    </row>
    <row r="41" spans="1:36" x14ac:dyDescent="0.25">
      <c r="A41" s="133">
        <f t="shared" si="0"/>
        <v>35</v>
      </c>
      <c r="B41" s="133"/>
      <c r="C41" s="133"/>
      <c r="D41" s="1510" t="s">
        <v>8</v>
      </c>
      <c r="E41" s="229">
        <v>5.391E-2</v>
      </c>
      <c r="F41" s="226">
        <f t="shared" si="10"/>
        <v>0.26333000000000001</v>
      </c>
      <c r="G41" s="226"/>
      <c r="H41" s="226"/>
      <c r="I41" s="228">
        <v>-7.5900000000000004E-3</v>
      </c>
      <c r="J41" s="227">
        <f t="shared" si="1"/>
        <v>0.30965000000000004</v>
      </c>
      <c r="K41" s="226"/>
      <c r="L41" s="226">
        <f>ROUND(E41*(HLOOKUP($C$37,'Rate Spread Proposal'!$E$71:$AA$76,6,FALSE)),5)</f>
        <v>1.464E-2</v>
      </c>
      <c r="M41" s="226"/>
      <c r="N41" s="230">
        <f t="shared" si="2"/>
        <v>5.3910000000000027E-2</v>
      </c>
      <c r="O41" s="230">
        <f t="shared" si="3"/>
        <v>6.8550000000000028E-2</v>
      </c>
      <c r="P41" s="226">
        <f>'Allocation = % of Margin'!U42</f>
        <v>-1.01E-3</v>
      </c>
      <c r="Q41" s="939"/>
      <c r="R41" s="813">
        <f t="shared" si="4"/>
        <v>6.7540000000000031E-2</v>
      </c>
      <c r="S41" s="1163">
        <f>'Allocation = % of Margin'!O42</f>
        <v>0</v>
      </c>
      <c r="T41" s="226">
        <f>'Allocation = % of Margin'!R42</f>
        <v>-1.91E-3</v>
      </c>
      <c r="U41" s="938"/>
      <c r="V41" s="826">
        <f t="shared" si="5"/>
        <v>-1.91E-3</v>
      </c>
      <c r="W41" s="827">
        <f t="shared" si="6"/>
        <v>0.32137000000000004</v>
      </c>
      <c r="X41" s="1254"/>
      <c r="Y41" s="952">
        <f>ROUND(R41*(HLOOKUP($C$37,'Rate Spread Proposal'!$E$98:$AA$103,6,FALSE)),5)</f>
        <v>6.8700000000000002E-3</v>
      </c>
      <c r="Z41" s="938">
        <f>'Allocation = % of Margin'!X42</f>
        <v>-1E-4</v>
      </c>
      <c r="AA41" s="230">
        <f t="shared" si="7"/>
        <v>6.77E-3</v>
      </c>
      <c r="AB41" s="1461">
        <f t="shared" si="8"/>
        <v>0.33005000000000007</v>
      </c>
      <c r="AC41" s="226"/>
      <c r="AD41" s="224"/>
      <c r="AE41" s="225"/>
      <c r="AF41" s="228"/>
      <c r="AG41" s="226"/>
      <c r="AH41" s="228"/>
      <c r="AI41" s="227"/>
      <c r="AJ41" s="226"/>
    </row>
    <row r="42" spans="1:36" x14ac:dyDescent="0.25">
      <c r="A42" s="133">
        <f t="shared" si="0"/>
        <v>36</v>
      </c>
      <c r="B42" s="1509"/>
      <c r="C42" s="1509"/>
      <c r="D42" s="1512" t="s">
        <v>9</v>
      </c>
      <c r="E42" s="218">
        <v>2.0199999999999999E-2</v>
      </c>
      <c r="F42" s="220">
        <f t="shared" si="10"/>
        <v>0.26333000000000001</v>
      </c>
      <c r="G42" s="220"/>
      <c r="H42" s="220"/>
      <c r="I42" s="219">
        <v>-8.6700000000000006E-3</v>
      </c>
      <c r="J42" s="221">
        <f t="shared" si="1"/>
        <v>0.27485999999999999</v>
      </c>
      <c r="K42" s="226"/>
      <c r="L42" s="220">
        <f>ROUND(E42*(HLOOKUP($C$37,'Rate Spread Proposal'!$E$71:$AA$76,6,FALSE)),5)</f>
        <v>5.4900000000000001E-3</v>
      </c>
      <c r="M42" s="226"/>
      <c r="N42" s="223">
        <f t="shared" si="2"/>
        <v>2.0199999999999985E-2</v>
      </c>
      <c r="O42" s="223">
        <f t="shared" si="3"/>
        <v>2.5689999999999984E-2</v>
      </c>
      <c r="P42" s="220">
        <f>'Allocation = % of Margin'!U43</f>
        <v>-3.8000000000000002E-4</v>
      </c>
      <c r="Q42" s="937"/>
      <c r="R42" s="812">
        <f t="shared" si="4"/>
        <v>2.5309999999999985E-2</v>
      </c>
      <c r="S42" s="1162">
        <f>'Allocation = % of Margin'!O43</f>
        <v>0</v>
      </c>
      <c r="T42" s="220">
        <f>'Allocation = % of Margin'!R43</f>
        <v>-7.2000000000000005E-4</v>
      </c>
      <c r="U42" s="936"/>
      <c r="V42" s="825">
        <f t="shared" si="5"/>
        <v>-7.2000000000000005E-4</v>
      </c>
      <c r="W42" s="824">
        <f t="shared" si="6"/>
        <v>0.27925</v>
      </c>
      <c r="X42" s="1254"/>
      <c r="Y42" s="961">
        <f>ROUND(R42*(HLOOKUP($C$37,'Rate Spread Proposal'!$E$98:$AA$103,6,FALSE)),5)</f>
        <v>2.5699999999999998E-3</v>
      </c>
      <c r="Z42" s="936">
        <f>'Allocation = % of Margin'!X43</f>
        <v>-4.0000000000000003E-5</v>
      </c>
      <c r="AA42" s="223">
        <f t="shared" si="7"/>
        <v>2.5299999999999997E-3</v>
      </c>
      <c r="AB42" s="998">
        <f t="shared" si="8"/>
        <v>0.28249999999999997</v>
      </c>
      <c r="AC42" s="226"/>
      <c r="AD42" s="224"/>
      <c r="AE42" s="225"/>
      <c r="AF42" s="228"/>
      <c r="AG42" s="226"/>
      <c r="AH42" s="228"/>
      <c r="AI42" s="227"/>
      <c r="AJ42" s="226"/>
    </row>
    <row r="43" spans="1:36" x14ac:dyDescent="0.25">
      <c r="A43" s="133">
        <f t="shared" si="0"/>
        <v>37</v>
      </c>
      <c r="B43" s="133" t="str">
        <f>'WA Volumes &amp; Revenues'!B45</f>
        <v>42C Firm Transpt</v>
      </c>
      <c r="C43" s="133" t="s">
        <v>361</v>
      </c>
      <c r="D43" s="1510" t="s">
        <v>4</v>
      </c>
      <c r="E43" s="229">
        <v>0.13791999999999999</v>
      </c>
      <c r="F43" s="226">
        <v>0</v>
      </c>
      <c r="G43" s="226"/>
      <c r="H43" s="226"/>
      <c r="I43" s="228">
        <v>5.9999999999999995E-4</v>
      </c>
      <c r="J43" s="227">
        <f t="shared" si="1"/>
        <v>0.13851999999999998</v>
      </c>
      <c r="K43" s="226"/>
      <c r="L43" s="226">
        <f>ROUND(E43*(HLOOKUP($C$43,'Rate Spread Proposal'!$E$71:$AA$76,6,FALSE)),5)</f>
        <v>2.5399999999999999E-2</v>
      </c>
      <c r="M43" s="226"/>
      <c r="N43" s="230">
        <f t="shared" si="2"/>
        <v>0.13791999999999999</v>
      </c>
      <c r="O43" s="230">
        <f t="shared" si="3"/>
        <v>0.16331999999999999</v>
      </c>
      <c r="P43" s="226">
        <f>'Allocation = % of Margin'!U44</f>
        <v>-1.75E-3</v>
      </c>
      <c r="Q43" s="939"/>
      <c r="R43" s="813">
        <f t="shared" si="4"/>
        <v>0.16156999999999999</v>
      </c>
      <c r="S43" s="1163">
        <f>'Allocation = % of Margin'!O44</f>
        <v>0</v>
      </c>
      <c r="T43" s="226">
        <f>'Allocation = % of Margin'!R44</f>
        <v>-3.31E-3</v>
      </c>
      <c r="U43" s="938"/>
      <c r="V43" s="826">
        <f t="shared" si="5"/>
        <v>-3.31E-3</v>
      </c>
      <c r="W43" s="827">
        <f t="shared" si="6"/>
        <v>0.15885999999999997</v>
      </c>
      <c r="X43" s="1254"/>
      <c r="Y43" s="960">
        <f>ROUND(R43*(HLOOKUP($C$43,'Rate Spread Proposal'!$E$98:$AA$103,6,FALSE)),5)</f>
        <v>1.191E-2</v>
      </c>
      <c r="Z43" s="938">
        <f>'Allocation = % of Margin'!X44</f>
        <v>-1.7000000000000001E-4</v>
      </c>
      <c r="AA43" s="1459">
        <f t="shared" si="7"/>
        <v>1.174E-2</v>
      </c>
      <c r="AB43" s="1461">
        <f t="shared" si="8"/>
        <v>0.17390999999999998</v>
      </c>
      <c r="AC43" s="226"/>
      <c r="AD43" s="224">
        <f>'WA Volumes &amp; Revenues'!O45</f>
        <v>1550</v>
      </c>
      <c r="AE43" s="225">
        <f>'WA Volumes &amp; Revenues'!N45</f>
        <v>1550</v>
      </c>
      <c r="AF43" s="228">
        <v>0.15748000000000001</v>
      </c>
      <c r="AG43" s="228">
        <f>AF43</f>
        <v>0.15748000000000001</v>
      </c>
      <c r="AH43" s="228"/>
      <c r="AI43" s="227"/>
      <c r="AJ43" s="226"/>
    </row>
    <row r="44" spans="1:36" x14ac:dyDescent="0.25">
      <c r="A44" s="133">
        <f t="shared" si="0"/>
        <v>38</v>
      </c>
      <c r="B44" s="133"/>
      <c r="C44" s="133"/>
      <c r="D44" s="1510" t="s">
        <v>5</v>
      </c>
      <c r="E44" s="229">
        <v>0.12346999999999998</v>
      </c>
      <c r="F44" s="226">
        <v>0</v>
      </c>
      <c r="G44" s="226"/>
      <c r="H44" s="226"/>
      <c r="I44" s="228">
        <v>5.2999999999999998E-4</v>
      </c>
      <c r="J44" s="227">
        <f t="shared" si="1"/>
        <v>0.12399999999999999</v>
      </c>
      <c r="K44" s="226"/>
      <c r="L44" s="226">
        <f>ROUND(E44*(HLOOKUP($C$43,'Rate Spread Proposal'!$E$71:$AA$76,6,FALSE)),5)</f>
        <v>2.274E-2</v>
      </c>
      <c r="M44" s="226"/>
      <c r="N44" s="230">
        <f t="shared" si="2"/>
        <v>0.12346999999999998</v>
      </c>
      <c r="O44" s="230">
        <f t="shared" si="3"/>
        <v>0.14620999999999998</v>
      </c>
      <c r="P44" s="226">
        <f>'Allocation = % of Margin'!U45</f>
        <v>-1.57E-3</v>
      </c>
      <c r="Q44" s="939"/>
      <c r="R44" s="813">
        <f t="shared" si="4"/>
        <v>0.14463999999999999</v>
      </c>
      <c r="S44" s="1163">
        <f>'Allocation = % of Margin'!O45</f>
        <v>0</v>
      </c>
      <c r="T44" s="226">
        <f>'Allocation = % of Margin'!R45</f>
        <v>-2.96E-3</v>
      </c>
      <c r="U44" s="938"/>
      <c r="V44" s="826">
        <f t="shared" si="5"/>
        <v>-2.96E-3</v>
      </c>
      <c r="W44" s="827">
        <f t="shared" si="6"/>
        <v>0.14221</v>
      </c>
      <c r="X44" s="1254"/>
      <c r="Y44" s="952">
        <f>ROUND(R44*(HLOOKUP($C$43,'Rate Spread Proposal'!$E$98:$AA$103,6,FALSE)),5)</f>
        <v>1.0659999999999999E-2</v>
      </c>
      <c r="Z44" s="938">
        <f>'Allocation = % of Margin'!X45</f>
        <v>-1.4999999999999999E-4</v>
      </c>
      <c r="AA44" s="230">
        <f t="shared" si="7"/>
        <v>1.0509999999999999E-2</v>
      </c>
      <c r="AB44" s="1461">
        <f t="shared" si="8"/>
        <v>0.15567999999999999</v>
      </c>
      <c r="AC44" s="226"/>
      <c r="AD44" s="224"/>
      <c r="AE44" s="225"/>
      <c r="AF44" s="228"/>
      <c r="AG44" s="226"/>
      <c r="AH44" s="228"/>
      <c r="AI44" s="227"/>
      <c r="AJ44" s="226"/>
    </row>
    <row r="45" spans="1:36" x14ac:dyDescent="0.25">
      <c r="A45" s="133">
        <f t="shared" si="0"/>
        <v>39</v>
      </c>
      <c r="B45" s="133"/>
      <c r="C45" s="133"/>
      <c r="D45" s="1510" t="s">
        <v>6</v>
      </c>
      <c r="E45" s="229">
        <v>9.4670000000000004E-2</v>
      </c>
      <c r="F45" s="226">
        <v>0</v>
      </c>
      <c r="G45" s="226"/>
      <c r="H45" s="226"/>
      <c r="I45" s="228">
        <v>4.1000000000000005E-4</v>
      </c>
      <c r="J45" s="227">
        <f t="shared" si="1"/>
        <v>9.5079999999999998E-2</v>
      </c>
      <c r="K45" s="226"/>
      <c r="L45" s="226">
        <f>ROUND(E45*(HLOOKUP($C$43,'Rate Spread Proposal'!$E$71:$AA$76,6,FALSE)),5)</f>
        <v>1.7440000000000001E-2</v>
      </c>
      <c r="M45" s="226"/>
      <c r="N45" s="230">
        <f t="shared" si="2"/>
        <v>9.4670000000000004E-2</v>
      </c>
      <c r="O45" s="230">
        <f t="shared" si="3"/>
        <v>0.11211</v>
      </c>
      <c r="P45" s="226">
        <f>'Allocation = % of Margin'!U46</f>
        <v>-1.1999999999999999E-3</v>
      </c>
      <c r="Q45" s="939"/>
      <c r="R45" s="813">
        <f t="shared" ref="R45:R76" si="12">SUM(O45:Q45)</f>
        <v>0.11090999999999999</v>
      </c>
      <c r="S45" s="1163">
        <f>'Allocation = % of Margin'!O46</f>
        <v>0</v>
      </c>
      <c r="T45" s="226">
        <f>'Allocation = % of Margin'!R46</f>
        <v>-2.2699999999999999E-3</v>
      </c>
      <c r="U45" s="938"/>
      <c r="V45" s="826">
        <f t="shared" ref="V45:V76" si="13">SUM(S45:U45)</f>
        <v>-2.2699999999999999E-3</v>
      </c>
      <c r="W45" s="827">
        <f t="shared" si="6"/>
        <v>0.10904999999999999</v>
      </c>
      <c r="X45" s="1254"/>
      <c r="Y45" s="952">
        <f>ROUND(R45*(HLOOKUP($C$43,'Rate Spread Proposal'!$E$98:$AA$103,6,FALSE)),5)</f>
        <v>8.1799999999999998E-3</v>
      </c>
      <c r="Z45" s="938">
        <f>'Allocation = % of Margin'!X46</f>
        <v>-1.2E-4</v>
      </c>
      <c r="AA45" s="230">
        <f t="shared" si="7"/>
        <v>8.0599999999999995E-3</v>
      </c>
      <c r="AB45" s="1461">
        <f t="shared" si="8"/>
        <v>0.11937999999999999</v>
      </c>
      <c r="AC45" s="226"/>
      <c r="AD45" s="224"/>
      <c r="AE45" s="225"/>
      <c r="AF45" s="228"/>
      <c r="AG45" s="226"/>
      <c r="AH45" s="228"/>
      <c r="AI45" s="227"/>
      <c r="AJ45" s="226"/>
    </row>
    <row r="46" spans="1:36" x14ac:dyDescent="0.25">
      <c r="A46" s="133">
        <f t="shared" si="0"/>
        <v>40</v>
      </c>
      <c r="B46" s="133"/>
      <c r="C46" s="133"/>
      <c r="D46" s="1510" t="s">
        <v>7</v>
      </c>
      <c r="E46" s="229">
        <v>7.5750000000000012E-2</v>
      </c>
      <c r="F46" s="226">
        <v>0</v>
      </c>
      <c r="G46" s="226"/>
      <c r="H46" s="226"/>
      <c r="I46" s="228">
        <v>3.1999999999999997E-4</v>
      </c>
      <c r="J46" s="227">
        <f t="shared" si="1"/>
        <v>7.6070000000000013E-2</v>
      </c>
      <c r="K46" s="226"/>
      <c r="L46" s="226">
        <f>ROUND(E46*(HLOOKUP($C$43,'Rate Spread Proposal'!$E$71:$AA$76,6,FALSE)),5)</f>
        <v>1.3950000000000001E-2</v>
      </c>
      <c r="M46" s="226"/>
      <c r="N46" s="230">
        <f t="shared" si="2"/>
        <v>7.5750000000000012E-2</v>
      </c>
      <c r="O46" s="230">
        <f t="shared" si="3"/>
        <v>8.9700000000000016E-2</v>
      </c>
      <c r="P46" s="226">
        <f>'Allocation = % of Margin'!U47</f>
        <v>-9.6000000000000002E-4</v>
      </c>
      <c r="Q46" s="939"/>
      <c r="R46" s="813">
        <f t="shared" si="12"/>
        <v>8.8740000000000013E-2</v>
      </c>
      <c r="S46" s="1163">
        <f>'Allocation = % of Margin'!O47</f>
        <v>0</v>
      </c>
      <c r="T46" s="226">
        <f>'Allocation = % of Margin'!R47</f>
        <v>-1.82E-3</v>
      </c>
      <c r="U46" s="938"/>
      <c r="V46" s="826">
        <f t="shared" si="13"/>
        <v>-1.82E-3</v>
      </c>
      <c r="W46" s="827">
        <f t="shared" si="6"/>
        <v>8.7240000000000012E-2</v>
      </c>
      <c r="X46" s="1254"/>
      <c r="Y46" s="952">
        <f>ROUND(R46*(HLOOKUP($C$43,'Rate Spread Proposal'!$E$98:$AA$103,6,FALSE)),5)</f>
        <v>6.5399999999999998E-3</v>
      </c>
      <c r="Z46" s="938">
        <f>'Allocation = % of Margin'!X47</f>
        <v>-9.0000000000000006E-5</v>
      </c>
      <c r="AA46" s="230">
        <f t="shared" si="7"/>
        <v>6.45E-3</v>
      </c>
      <c r="AB46" s="1461">
        <f t="shared" si="8"/>
        <v>9.5510000000000012E-2</v>
      </c>
      <c r="AC46" s="226"/>
      <c r="AD46" s="224"/>
      <c r="AE46" s="225"/>
      <c r="AF46" s="228"/>
      <c r="AG46" s="226"/>
      <c r="AH46" s="228"/>
      <c r="AI46" s="227"/>
      <c r="AJ46" s="226"/>
    </row>
    <row r="47" spans="1:36" x14ac:dyDescent="0.25">
      <c r="A47" s="133">
        <f t="shared" si="0"/>
        <v>41</v>
      </c>
      <c r="B47" s="133"/>
      <c r="C47" s="133"/>
      <c r="D47" s="1510" t="s">
        <v>8</v>
      </c>
      <c r="E47" s="229">
        <v>5.0500000000000003E-2</v>
      </c>
      <c r="F47" s="226">
        <v>0</v>
      </c>
      <c r="G47" s="226"/>
      <c r="H47" s="226"/>
      <c r="I47" s="228">
        <v>2.1000000000000001E-4</v>
      </c>
      <c r="J47" s="227">
        <f t="shared" si="1"/>
        <v>5.0710000000000005E-2</v>
      </c>
      <c r="K47" s="226"/>
      <c r="L47" s="226">
        <f>ROUND(E47*(HLOOKUP($C$43,'Rate Spread Proposal'!$E$71:$AA$76,6,FALSE)),5)</f>
        <v>9.2999999999999992E-3</v>
      </c>
      <c r="M47" s="226"/>
      <c r="N47" s="230">
        <f t="shared" si="2"/>
        <v>5.0500000000000003E-2</v>
      </c>
      <c r="O47" s="230">
        <f t="shared" si="3"/>
        <v>5.9800000000000006E-2</v>
      </c>
      <c r="P47" s="226">
        <f>'Allocation = % of Margin'!U48</f>
        <v>-6.4000000000000005E-4</v>
      </c>
      <c r="Q47" s="939"/>
      <c r="R47" s="813">
        <f t="shared" si="12"/>
        <v>5.9160000000000004E-2</v>
      </c>
      <c r="S47" s="1163">
        <f>'Allocation = % of Margin'!O48</f>
        <v>0</v>
      </c>
      <c r="T47" s="226">
        <f>'Allocation = % of Margin'!R48</f>
        <v>-1.2099999999999999E-3</v>
      </c>
      <c r="U47" s="938"/>
      <c r="V47" s="826">
        <f t="shared" si="13"/>
        <v>-1.2099999999999999E-3</v>
      </c>
      <c r="W47" s="827">
        <f t="shared" si="6"/>
        <v>5.8160000000000003E-2</v>
      </c>
      <c r="X47" s="1254"/>
      <c r="Y47" s="952">
        <f>ROUND(R47*(HLOOKUP($C$43,'Rate Spread Proposal'!$E$98:$AA$103,6,FALSE)),5)</f>
        <v>4.3600000000000002E-3</v>
      </c>
      <c r="Z47" s="938">
        <f>'Allocation = % of Margin'!X48</f>
        <v>-6.0000000000000002E-5</v>
      </c>
      <c r="AA47" s="230">
        <f t="shared" si="7"/>
        <v>4.3E-3</v>
      </c>
      <c r="AB47" s="1461">
        <f t="shared" si="8"/>
        <v>6.3670000000000004E-2</v>
      </c>
      <c r="AC47" s="226"/>
      <c r="AD47" s="224"/>
      <c r="AE47" s="225"/>
      <c r="AF47" s="228"/>
      <c r="AG47" s="226"/>
      <c r="AH47" s="228"/>
      <c r="AI47" s="227"/>
      <c r="AJ47" s="226"/>
    </row>
    <row r="48" spans="1:36" x14ac:dyDescent="0.25">
      <c r="A48" s="133">
        <f t="shared" si="0"/>
        <v>42</v>
      </c>
      <c r="B48" s="1509"/>
      <c r="C48" s="1509"/>
      <c r="D48" s="1512" t="s">
        <v>9</v>
      </c>
      <c r="E48" s="218">
        <v>1.8929999999999999E-2</v>
      </c>
      <c r="F48" s="220">
        <v>0</v>
      </c>
      <c r="G48" s="220"/>
      <c r="H48" s="220"/>
      <c r="I48" s="219">
        <v>7.9999999999999993E-5</v>
      </c>
      <c r="J48" s="221">
        <f t="shared" si="1"/>
        <v>1.9009999999999999E-2</v>
      </c>
      <c r="K48" s="226"/>
      <c r="L48" s="220">
        <f>ROUND(E48*(HLOOKUP($C$43,'Rate Spread Proposal'!$E$71:$AA$76,6,FALSE)),5)</f>
        <v>3.49E-3</v>
      </c>
      <c r="M48" s="226"/>
      <c r="N48" s="223">
        <f t="shared" si="2"/>
        <v>1.8929999999999999E-2</v>
      </c>
      <c r="O48" s="223">
        <f t="shared" si="3"/>
        <v>2.2419999999999999E-2</v>
      </c>
      <c r="P48" s="220">
        <f>'Allocation = % of Margin'!U49</f>
        <v>-2.4000000000000001E-4</v>
      </c>
      <c r="Q48" s="937"/>
      <c r="R48" s="812">
        <f t="shared" si="12"/>
        <v>2.2179999999999998E-2</v>
      </c>
      <c r="S48" s="1162">
        <f>'Allocation = % of Margin'!O49</f>
        <v>0</v>
      </c>
      <c r="T48" s="220">
        <f>'Allocation = % of Margin'!R49</f>
        <v>-4.4999999999999999E-4</v>
      </c>
      <c r="U48" s="936"/>
      <c r="V48" s="825">
        <f t="shared" si="13"/>
        <v>-4.4999999999999999E-4</v>
      </c>
      <c r="W48" s="824">
        <f t="shared" si="6"/>
        <v>2.181E-2</v>
      </c>
      <c r="X48" s="1254"/>
      <c r="Y48" s="961">
        <f>ROUND(R48*(HLOOKUP($C$43,'Rate Spread Proposal'!$E$98:$AA$103,6,FALSE)),5)</f>
        <v>1.64E-3</v>
      </c>
      <c r="Z48" s="936">
        <f>'Allocation = % of Margin'!X49</f>
        <v>-2.0000000000000002E-5</v>
      </c>
      <c r="AA48" s="223">
        <f t="shared" si="7"/>
        <v>1.6199999999999999E-3</v>
      </c>
      <c r="AB48" s="998">
        <f t="shared" si="8"/>
        <v>2.3879999999999998E-2</v>
      </c>
      <c r="AC48" s="226"/>
      <c r="AD48" s="224"/>
      <c r="AE48" s="225"/>
      <c r="AF48" s="228"/>
      <c r="AG48" s="226"/>
      <c r="AH48" s="228"/>
      <c r="AI48" s="227"/>
      <c r="AJ48" s="226"/>
    </row>
    <row r="49" spans="1:36" x14ac:dyDescent="0.25">
      <c r="A49" s="133">
        <f t="shared" si="0"/>
        <v>43</v>
      </c>
      <c r="B49" s="133" t="str">
        <f>'WA Volumes &amp; Revenues'!B51</f>
        <v>42I Firm Transpt</v>
      </c>
      <c r="C49" s="133" t="s">
        <v>362</v>
      </c>
      <c r="D49" s="1510" t="s">
        <v>4</v>
      </c>
      <c r="E49" s="229">
        <v>0.13941000000000001</v>
      </c>
      <c r="F49" s="226">
        <v>0</v>
      </c>
      <c r="G49" s="226"/>
      <c r="H49" s="226"/>
      <c r="I49" s="228">
        <v>5.8999999999999992E-4</v>
      </c>
      <c r="J49" s="227">
        <f t="shared" ref="J49:J54" si="14">SUM(E49:I49)</f>
        <v>0.14000000000000001</v>
      </c>
      <c r="K49" s="226"/>
      <c r="L49" s="226">
        <f>ROUND(E49*(HLOOKUP($C$49,'Rate Spread Proposal'!$E$71:$AA$76,6,FALSE)),5)</f>
        <v>2.5739999999999999E-2</v>
      </c>
      <c r="M49" s="226"/>
      <c r="N49" s="230">
        <f t="shared" si="2"/>
        <v>0.13941000000000001</v>
      </c>
      <c r="O49" s="230">
        <f t="shared" si="3"/>
        <v>0.16515000000000002</v>
      </c>
      <c r="P49" s="226">
        <f>'Allocation = % of Margin'!U50</f>
        <v>-1.7700000000000001E-3</v>
      </c>
      <c r="Q49" s="939"/>
      <c r="R49" s="813">
        <f t="shared" si="12"/>
        <v>0.16338000000000003</v>
      </c>
      <c r="S49" s="1163">
        <f>'Allocation = % of Margin'!O50</f>
        <v>0</v>
      </c>
      <c r="T49" s="226">
        <f>'Allocation = % of Margin'!R50</f>
        <v>-3.3600000000000001E-3</v>
      </c>
      <c r="U49" s="938"/>
      <c r="V49" s="826">
        <f t="shared" si="13"/>
        <v>-3.3600000000000001E-3</v>
      </c>
      <c r="W49" s="827">
        <f t="shared" si="6"/>
        <v>0.16061000000000003</v>
      </c>
      <c r="X49" s="1254"/>
      <c r="Y49" s="960">
        <f>ROUND(R49*(HLOOKUP($C$49,'Rate Spread Proposal'!$E$98:$AA$103,6,FALSE)),5)</f>
        <v>1.2070000000000001E-2</v>
      </c>
      <c r="Z49" s="938">
        <f>'Allocation = % of Margin'!X50</f>
        <v>-1.7000000000000001E-4</v>
      </c>
      <c r="AA49" s="1459">
        <f t="shared" si="7"/>
        <v>1.1900000000000001E-2</v>
      </c>
      <c r="AB49" s="1461">
        <f t="shared" si="8"/>
        <v>0.17587000000000003</v>
      </c>
      <c r="AC49" s="226"/>
      <c r="AD49" s="224">
        <f>'WA Volumes &amp; Revenues'!O51</f>
        <v>1550</v>
      </c>
      <c r="AE49" s="225">
        <f>'WA Volumes &amp; Revenues'!N51</f>
        <v>1550</v>
      </c>
      <c r="AF49" s="228">
        <v>0.15748000000000001</v>
      </c>
      <c r="AG49" s="228">
        <f>AF49</f>
        <v>0.15748000000000001</v>
      </c>
      <c r="AH49" s="228"/>
      <c r="AI49" s="227"/>
      <c r="AJ49" s="226"/>
    </row>
    <row r="50" spans="1:36" x14ac:dyDescent="0.25">
      <c r="A50" s="133">
        <f t="shared" si="0"/>
        <v>44</v>
      </c>
      <c r="B50" s="133"/>
      <c r="C50" s="133"/>
      <c r="D50" s="1510" t="s">
        <v>5</v>
      </c>
      <c r="E50" s="229">
        <v>0.12478999999999997</v>
      </c>
      <c r="F50" s="226">
        <v>0</v>
      </c>
      <c r="G50" s="226"/>
      <c r="H50" s="226"/>
      <c r="I50" s="228">
        <v>5.2000000000000006E-4</v>
      </c>
      <c r="J50" s="227">
        <f t="shared" si="14"/>
        <v>0.12530999999999998</v>
      </c>
      <c r="K50" s="226"/>
      <c r="L50" s="226">
        <f>ROUND(E50*(HLOOKUP($C$49,'Rate Spread Proposal'!$E$71:$AA$76,6,FALSE)),5)</f>
        <v>2.3040000000000001E-2</v>
      </c>
      <c r="M50" s="226"/>
      <c r="N50" s="230">
        <f t="shared" si="2"/>
        <v>0.12478999999999997</v>
      </c>
      <c r="O50" s="230">
        <f t="shared" si="3"/>
        <v>0.14782999999999996</v>
      </c>
      <c r="P50" s="226">
        <f>'Allocation = % of Margin'!U51</f>
        <v>-1.5900000000000001E-3</v>
      </c>
      <c r="Q50" s="939"/>
      <c r="R50" s="813">
        <f t="shared" si="12"/>
        <v>0.14623999999999995</v>
      </c>
      <c r="S50" s="1163">
        <f>'Allocation = % of Margin'!O51</f>
        <v>0</v>
      </c>
      <c r="T50" s="226">
        <f>'Allocation = % of Margin'!R51</f>
        <v>-3.0000000000000001E-3</v>
      </c>
      <c r="U50" s="938"/>
      <c r="V50" s="826">
        <f t="shared" si="13"/>
        <v>-3.0000000000000001E-3</v>
      </c>
      <c r="W50" s="827">
        <f t="shared" si="6"/>
        <v>0.14375999999999994</v>
      </c>
      <c r="X50" s="1254"/>
      <c r="Y50" s="952">
        <f>ROUND(R50*(HLOOKUP($C$49,'Rate Spread Proposal'!$E$98:$AA$103,6,FALSE)),5)</f>
        <v>1.0800000000000001E-2</v>
      </c>
      <c r="Z50" s="938">
        <f>'Allocation = % of Margin'!X51</f>
        <v>-1.4999999999999999E-4</v>
      </c>
      <c r="AA50" s="230">
        <f t="shared" si="7"/>
        <v>1.065E-2</v>
      </c>
      <c r="AB50" s="1461">
        <f t="shared" si="8"/>
        <v>0.15740999999999994</v>
      </c>
      <c r="AC50" s="226"/>
      <c r="AD50" s="224"/>
      <c r="AE50" s="225"/>
      <c r="AF50" s="228"/>
      <c r="AG50" s="226"/>
      <c r="AH50" s="228"/>
      <c r="AI50" s="227"/>
      <c r="AJ50" s="226"/>
    </row>
    <row r="51" spans="1:36" x14ac:dyDescent="0.25">
      <c r="A51" s="133">
        <f t="shared" si="0"/>
        <v>45</v>
      </c>
      <c r="B51" s="133"/>
      <c r="C51" s="133"/>
      <c r="D51" s="1510" t="s">
        <v>6</v>
      </c>
      <c r="E51" s="229">
        <v>9.5690000000000011E-2</v>
      </c>
      <c r="F51" s="226">
        <v>0</v>
      </c>
      <c r="G51" s="226"/>
      <c r="H51" s="226"/>
      <c r="I51" s="228">
        <v>4.1000000000000005E-4</v>
      </c>
      <c r="J51" s="227">
        <f t="shared" si="14"/>
        <v>9.6100000000000005E-2</v>
      </c>
      <c r="K51" s="226"/>
      <c r="L51" s="226">
        <f>ROUND(E51*(HLOOKUP($C$49,'Rate Spread Proposal'!$E$71:$AA$76,6,FALSE)),5)</f>
        <v>1.7670000000000002E-2</v>
      </c>
      <c r="M51" s="226"/>
      <c r="N51" s="230">
        <f t="shared" si="2"/>
        <v>9.5690000000000011E-2</v>
      </c>
      <c r="O51" s="230">
        <f t="shared" si="3"/>
        <v>0.11336000000000002</v>
      </c>
      <c r="P51" s="226">
        <f>'Allocation = % of Margin'!U52</f>
        <v>-1.2199999999999999E-3</v>
      </c>
      <c r="Q51" s="939"/>
      <c r="R51" s="813">
        <f t="shared" si="12"/>
        <v>0.11214000000000002</v>
      </c>
      <c r="S51" s="1163">
        <f>'Allocation = % of Margin'!O52</f>
        <v>0</v>
      </c>
      <c r="T51" s="226">
        <f>'Allocation = % of Margin'!R52</f>
        <v>-2.3E-3</v>
      </c>
      <c r="U51" s="938"/>
      <c r="V51" s="826">
        <f t="shared" si="13"/>
        <v>-2.3E-3</v>
      </c>
      <c r="W51" s="827">
        <f t="shared" si="6"/>
        <v>0.11025000000000001</v>
      </c>
      <c r="X51" s="1254"/>
      <c r="Y51" s="952">
        <f>ROUND(R51*(HLOOKUP($C$49,'Rate Spread Proposal'!$E$98:$AA$103,6,FALSE)),5)</f>
        <v>8.2799999999999992E-3</v>
      </c>
      <c r="Z51" s="938">
        <f>'Allocation = % of Margin'!X52</f>
        <v>-1.2E-4</v>
      </c>
      <c r="AA51" s="230">
        <f t="shared" si="7"/>
        <v>8.1599999999999989E-3</v>
      </c>
      <c r="AB51" s="1461">
        <f t="shared" si="8"/>
        <v>0.12071000000000001</v>
      </c>
      <c r="AC51" s="226"/>
      <c r="AD51" s="224"/>
      <c r="AE51" s="225"/>
      <c r="AF51" s="228"/>
      <c r="AG51" s="226"/>
      <c r="AH51" s="228"/>
      <c r="AI51" s="227"/>
      <c r="AJ51" s="226"/>
    </row>
    <row r="52" spans="1:36" x14ac:dyDescent="0.25">
      <c r="A52" s="133">
        <f t="shared" si="0"/>
        <v>46</v>
      </c>
      <c r="B52" s="133"/>
      <c r="C52" s="133"/>
      <c r="D52" s="1510" t="s">
        <v>7</v>
      </c>
      <c r="E52" s="229">
        <v>7.6560000000000017E-2</v>
      </c>
      <c r="F52" s="226">
        <v>0</v>
      </c>
      <c r="G52" s="226"/>
      <c r="H52" s="226"/>
      <c r="I52" s="228">
        <v>3.1999999999999997E-4</v>
      </c>
      <c r="J52" s="227">
        <f t="shared" si="14"/>
        <v>7.6880000000000018E-2</v>
      </c>
      <c r="K52" s="226"/>
      <c r="L52" s="226">
        <f>ROUND(E52*(HLOOKUP($C$49,'Rate Spread Proposal'!$E$71:$AA$76,6,FALSE)),5)</f>
        <v>1.414E-2</v>
      </c>
      <c r="M52" s="226"/>
      <c r="N52" s="230">
        <f t="shared" si="2"/>
        <v>7.6560000000000017E-2</v>
      </c>
      <c r="O52" s="230">
        <f t="shared" si="3"/>
        <v>9.0700000000000017E-2</v>
      </c>
      <c r="P52" s="226">
        <f>'Allocation = % of Margin'!U53</f>
        <v>-9.7000000000000005E-4</v>
      </c>
      <c r="Q52" s="939"/>
      <c r="R52" s="813">
        <f t="shared" si="12"/>
        <v>8.9730000000000018E-2</v>
      </c>
      <c r="S52" s="1163">
        <f>'Allocation = % of Margin'!O53</f>
        <v>0</v>
      </c>
      <c r="T52" s="226">
        <f>'Allocation = % of Margin'!R53</f>
        <v>-1.8400000000000001E-3</v>
      </c>
      <c r="U52" s="938"/>
      <c r="V52" s="826">
        <f t="shared" si="13"/>
        <v>-1.8400000000000001E-3</v>
      </c>
      <c r="W52" s="827">
        <f t="shared" si="6"/>
        <v>8.8210000000000025E-2</v>
      </c>
      <c r="X52" s="1254"/>
      <c r="Y52" s="952">
        <f>ROUND(R52*(HLOOKUP($C$49,'Rate Spread Proposal'!$E$98:$AA$103,6,FALSE)),5)</f>
        <v>6.6299999999999996E-3</v>
      </c>
      <c r="Z52" s="938">
        <f>'Allocation = % of Margin'!X53</f>
        <v>-9.0000000000000006E-5</v>
      </c>
      <c r="AA52" s="230">
        <f t="shared" si="7"/>
        <v>6.5399999999999998E-3</v>
      </c>
      <c r="AB52" s="1461">
        <f t="shared" si="8"/>
        <v>9.6590000000000023E-2</v>
      </c>
      <c r="AC52" s="226"/>
      <c r="AD52" s="224"/>
      <c r="AE52" s="225"/>
      <c r="AF52" s="228"/>
      <c r="AG52" s="226"/>
      <c r="AH52" s="228"/>
      <c r="AI52" s="227"/>
      <c r="AJ52" s="226"/>
    </row>
    <row r="53" spans="1:36" x14ac:dyDescent="0.25">
      <c r="A53" s="133">
        <f t="shared" si="0"/>
        <v>47</v>
      </c>
      <c r="B53" s="133"/>
      <c r="C53" s="133"/>
      <c r="D53" s="1510" t="s">
        <v>8</v>
      </c>
      <c r="E53" s="229">
        <v>5.1040000000000002E-2</v>
      </c>
      <c r="F53" s="226">
        <v>0</v>
      </c>
      <c r="G53" s="226"/>
      <c r="H53" s="226"/>
      <c r="I53" s="228">
        <v>2.1000000000000001E-4</v>
      </c>
      <c r="J53" s="227">
        <f t="shared" si="14"/>
        <v>5.1250000000000004E-2</v>
      </c>
      <c r="K53" s="226"/>
      <c r="L53" s="226">
        <f>ROUND(E53*(HLOOKUP($C$49,'Rate Spread Proposal'!$E$71:$AA$76,6,FALSE)),5)</f>
        <v>9.4199999999999996E-3</v>
      </c>
      <c r="M53" s="226"/>
      <c r="N53" s="230">
        <f t="shared" si="2"/>
        <v>5.1040000000000002E-2</v>
      </c>
      <c r="O53" s="230">
        <f t="shared" si="3"/>
        <v>6.046E-2</v>
      </c>
      <c r="P53" s="226">
        <f>'Allocation = % of Margin'!U54</f>
        <v>-6.4999999999999997E-4</v>
      </c>
      <c r="Q53" s="939"/>
      <c r="R53" s="813">
        <f t="shared" si="12"/>
        <v>5.9810000000000002E-2</v>
      </c>
      <c r="S53" s="1163">
        <f>'Allocation = % of Margin'!O54</f>
        <v>0</v>
      </c>
      <c r="T53" s="226">
        <f>'Allocation = % of Margin'!R54</f>
        <v>-1.23E-3</v>
      </c>
      <c r="U53" s="938"/>
      <c r="V53" s="826">
        <f t="shared" si="13"/>
        <v>-1.23E-3</v>
      </c>
      <c r="W53" s="827">
        <f t="shared" si="6"/>
        <v>5.8790000000000002E-2</v>
      </c>
      <c r="X53" s="1254"/>
      <c r="Y53" s="952">
        <f>ROUND(R53*(HLOOKUP($C$49,'Rate Spread Proposal'!$E$98:$AA$103,6,FALSE)),5)</f>
        <v>4.4200000000000003E-3</v>
      </c>
      <c r="Z53" s="938">
        <f>'Allocation = % of Margin'!X54</f>
        <v>-6.0000000000000002E-5</v>
      </c>
      <c r="AA53" s="230">
        <f t="shared" si="7"/>
        <v>4.3600000000000002E-3</v>
      </c>
      <c r="AB53" s="1461">
        <f t="shared" si="8"/>
        <v>6.4379999999999993E-2</v>
      </c>
      <c r="AC53" s="226"/>
      <c r="AD53" s="224"/>
      <c r="AE53" s="225"/>
      <c r="AF53" s="228"/>
      <c r="AG53" s="226"/>
      <c r="AH53" s="228"/>
      <c r="AI53" s="227"/>
      <c r="AJ53" s="226"/>
    </row>
    <row r="54" spans="1:36" x14ac:dyDescent="0.25">
      <c r="A54" s="133">
        <f t="shared" si="0"/>
        <v>48</v>
      </c>
      <c r="B54" s="1509"/>
      <c r="C54" s="1509"/>
      <c r="D54" s="1512" t="s">
        <v>9</v>
      </c>
      <c r="E54" s="218">
        <v>1.9140000000000001E-2</v>
      </c>
      <c r="F54" s="220">
        <v>0</v>
      </c>
      <c r="G54" s="220"/>
      <c r="H54" s="220"/>
      <c r="I54" s="219">
        <v>7.9999999999999993E-5</v>
      </c>
      <c r="J54" s="221">
        <f t="shared" si="14"/>
        <v>1.9220000000000001E-2</v>
      </c>
      <c r="K54" s="226"/>
      <c r="L54" s="220">
        <f>ROUND(E54*(HLOOKUP($C$49,'Rate Spread Proposal'!$E$71:$AA$76,6,FALSE)),5)</f>
        <v>3.5300000000000002E-3</v>
      </c>
      <c r="M54" s="226"/>
      <c r="N54" s="223">
        <f t="shared" si="2"/>
        <v>1.9140000000000001E-2</v>
      </c>
      <c r="O54" s="223">
        <f t="shared" si="3"/>
        <v>2.2670000000000003E-2</v>
      </c>
      <c r="P54" s="220">
        <f>'Allocation = % of Margin'!U55</f>
        <v>-2.4000000000000001E-4</v>
      </c>
      <c r="Q54" s="937"/>
      <c r="R54" s="812">
        <f t="shared" si="12"/>
        <v>2.2430000000000002E-2</v>
      </c>
      <c r="S54" s="1162">
        <f>'Allocation = % of Margin'!O55</f>
        <v>0</v>
      </c>
      <c r="T54" s="220">
        <f>'Allocation = % of Margin'!R55</f>
        <v>-4.6000000000000001E-4</v>
      </c>
      <c r="U54" s="936"/>
      <c r="V54" s="825">
        <f t="shared" si="13"/>
        <v>-4.6000000000000001E-4</v>
      </c>
      <c r="W54" s="824">
        <f t="shared" si="6"/>
        <v>2.2050000000000004E-2</v>
      </c>
      <c r="X54" s="1254"/>
      <c r="Y54" s="952">
        <f>ROUND(R54*(HLOOKUP($C$49,'Rate Spread Proposal'!$E$98:$AA$103,6,FALSE)),5)</f>
        <v>1.66E-3</v>
      </c>
      <c r="Z54" s="936">
        <f>'Allocation = % of Margin'!X55</f>
        <v>-2.0000000000000002E-5</v>
      </c>
      <c r="AA54" s="230">
        <f t="shared" si="7"/>
        <v>1.64E-3</v>
      </c>
      <c r="AB54" s="998">
        <f t="shared" si="8"/>
        <v>2.4150000000000001E-2</v>
      </c>
      <c r="AC54" s="226"/>
      <c r="AD54" s="224"/>
      <c r="AE54" s="225"/>
      <c r="AF54" s="228"/>
      <c r="AG54" s="226"/>
      <c r="AH54" s="228"/>
      <c r="AI54" s="227"/>
      <c r="AJ54" s="226"/>
    </row>
    <row r="55" spans="1:36" x14ac:dyDescent="0.25">
      <c r="A55" s="133">
        <f t="shared" si="0"/>
        <v>49</v>
      </c>
      <c r="B55" s="133" t="str">
        <f>'WA Volumes &amp; Revenues'!B57</f>
        <v>42C Interr Sales</v>
      </c>
      <c r="C55" s="133" t="s">
        <v>363</v>
      </c>
      <c r="D55" s="1510" t="s">
        <v>4</v>
      </c>
      <c r="E55" s="229">
        <v>0.13682000000000002</v>
      </c>
      <c r="F55" s="226">
        <f t="shared" ref="F55:F66" si="15">+$F$13</f>
        <v>0.26333000000000001</v>
      </c>
      <c r="G55" s="226"/>
      <c r="H55" s="226"/>
      <c r="I55" s="228">
        <v>2.334E-2</v>
      </c>
      <c r="J55" s="227">
        <f t="shared" si="1"/>
        <v>0.42349000000000003</v>
      </c>
      <c r="K55" s="226"/>
      <c r="L55" s="226">
        <f>ROUND(E55*(HLOOKUP($C$55,'Rate Spread Proposal'!$E$71:$AA$76,6,FALSE)),5)</f>
        <v>2.6700000000000002E-2</v>
      </c>
      <c r="M55" s="226"/>
      <c r="N55" s="230">
        <f t="shared" si="2"/>
        <v>0.13682000000000002</v>
      </c>
      <c r="O55" s="230">
        <f t="shared" si="3"/>
        <v>0.16352000000000003</v>
      </c>
      <c r="P55" s="226">
        <f>'Allocation = % of Margin'!U56</f>
        <v>-1.8400000000000001E-3</v>
      </c>
      <c r="Q55" s="939"/>
      <c r="R55" s="813">
        <f t="shared" si="12"/>
        <v>0.16168000000000002</v>
      </c>
      <c r="S55" s="1163">
        <f>'Allocation = % of Margin'!O56</f>
        <v>-6.3E-3</v>
      </c>
      <c r="T55" s="226">
        <f>'Allocation = % of Margin'!R56</f>
        <v>-3.48E-3</v>
      </c>
      <c r="U55" s="938"/>
      <c r="V55" s="826">
        <f t="shared" si="13"/>
        <v>-9.7800000000000005E-3</v>
      </c>
      <c r="W55" s="827">
        <f t="shared" si="6"/>
        <v>0.43857000000000002</v>
      </c>
      <c r="X55" s="1254"/>
      <c r="Y55" s="960">
        <f>ROUND(R55*(HLOOKUP($C$55,'Rate Spread Proposal'!$E$98:$AA$103,6,FALSE)),5)</f>
        <v>1.252E-2</v>
      </c>
      <c r="Z55" s="938">
        <f>'Allocation = % of Margin'!X56</f>
        <v>-1.8000000000000001E-4</v>
      </c>
      <c r="AA55" s="1459">
        <f t="shared" si="7"/>
        <v>1.234E-2</v>
      </c>
      <c r="AB55" s="1461">
        <f t="shared" si="8"/>
        <v>0.46068999999999999</v>
      </c>
      <c r="AC55" s="226"/>
      <c r="AD55" s="224">
        <f>'WA Volumes &amp; Revenues'!O57</f>
        <v>1300</v>
      </c>
      <c r="AE55" s="225">
        <f>'WA Volumes &amp; Revenues'!N57</f>
        <v>1300</v>
      </c>
      <c r="AF55" s="228"/>
      <c r="AG55" s="226"/>
      <c r="AH55" s="228"/>
      <c r="AI55" s="227"/>
      <c r="AJ55" s="226"/>
    </row>
    <row r="56" spans="1:36" x14ac:dyDescent="0.25">
      <c r="A56" s="133">
        <f t="shared" si="0"/>
        <v>50</v>
      </c>
      <c r="B56" s="133"/>
      <c r="C56" s="133"/>
      <c r="D56" s="1510" t="s">
        <v>5</v>
      </c>
      <c r="E56" s="229">
        <v>0.12246999999999988</v>
      </c>
      <c r="F56" s="226">
        <f t="shared" si="15"/>
        <v>0.26333000000000001</v>
      </c>
      <c r="G56" s="226"/>
      <c r="H56" s="226"/>
      <c r="I56" s="228">
        <v>2.0999999999999998E-2</v>
      </c>
      <c r="J56" s="227">
        <f t="shared" si="1"/>
        <v>0.40679999999999994</v>
      </c>
      <c r="K56" s="226"/>
      <c r="L56" s="226">
        <f>ROUND(E56*(HLOOKUP($C$55,'Rate Spread Proposal'!$E$71:$AA$76,6,FALSE)),5)</f>
        <v>2.3900000000000001E-2</v>
      </c>
      <c r="M56" s="226"/>
      <c r="N56" s="230">
        <f t="shared" si="2"/>
        <v>0.12246999999999994</v>
      </c>
      <c r="O56" s="230">
        <f t="shared" si="3"/>
        <v>0.14636999999999994</v>
      </c>
      <c r="P56" s="226">
        <f>'Allocation = % of Margin'!U57</f>
        <v>-1.64E-3</v>
      </c>
      <c r="Q56" s="939"/>
      <c r="R56" s="813">
        <f t="shared" si="12"/>
        <v>0.14472999999999994</v>
      </c>
      <c r="S56" s="1163">
        <f>'Allocation = % of Margin'!O57</f>
        <v>-5.64E-3</v>
      </c>
      <c r="T56" s="226">
        <f>'Allocation = % of Margin'!R57</f>
        <v>-3.1199999999999999E-3</v>
      </c>
      <c r="U56" s="938"/>
      <c r="V56" s="826">
        <f t="shared" si="13"/>
        <v>-8.7600000000000004E-3</v>
      </c>
      <c r="W56" s="827">
        <f t="shared" si="6"/>
        <v>0.42030000000000001</v>
      </c>
      <c r="X56" s="1254"/>
      <c r="Y56" s="952">
        <f>ROUND(R56*(HLOOKUP($C$55,'Rate Spread Proposal'!$E$98:$AA$103,6,FALSE)),5)</f>
        <v>1.1209999999999999E-2</v>
      </c>
      <c r="Z56" s="938">
        <f>'Allocation = % of Margin'!X57</f>
        <v>-1.6000000000000001E-4</v>
      </c>
      <c r="AA56" s="230">
        <f t="shared" si="7"/>
        <v>1.1049999999999999E-2</v>
      </c>
      <c r="AB56" s="1461">
        <f t="shared" si="8"/>
        <v>0.44011</v>
      </c>
      <c r="AC56" s="226"/>
      <c r="AD56" s="787"/>
      <c r="AE56" s="132"/>
      <c r="AF56" s="228"/>
      <c r="AG56" s="226"/>
      <c r="AH56" s="228"/>
      <c r="AI56" s="227"/>
      <c r="AJ56" s="226"/>
    </row>
    <row r="57" spans="1:36" x14ac:dyDescent="0.25">
      <c r="A57" s="133">
        <f t="shared" si="0"/>
        <v>51</v>
      </c>
      <c r="B57" s="133"/>
      <c r="C57" s="133"/>
      <c r="D57" s="1510" t="s">
        <v>6</v>
      </c>
      <c r="E57" s="229">
        <v>9.3909999999999993E-2</v>
      </c>
      <c r="F57" s="226">
        <f t="shared" si="15"/>
        <v>0.26333000000000001</v>
      </c>
      <c r="G57" s="226"/>
      <c r="H57" s="226"/>
      <c r="I57" s="228">
        <v>1.6370000000000003E-2</v>
      </c>
      <c r="J57" s="227">
        <f t="shared" si="1"/>
        <v>0.37361</v>
      </c>
      <c r="K57" s="226"/>
      <c r="L57" s="226">
        <f>ROUND(E57*(HLOOKUP($C$55,'Rate Spread Proposal'!$E$71:$AA$76,6,FALSE)),5)</f>
        <v>1.8329999999999999E-2</v>
      </c>
      <c r="M57" s="226"/>
      <c r="N57" s="230">
        <f t="shared" si="2"/>
        <v>9.3909999999999993E-2</v>
      </c>
      <c r="O57" s="230">
        <f t="shared" si="3"/>
        <v>0.11223999999999999</v>
      </c>
      <c r="P57" s="226">
        <f>'Allocation = % of Margin'!U58</f>
        <v>-1.2600000000000001E-3</v>
      </c>
      <c r="Q57" s="939"/>
      <c r="R57" s="813">
        <f t="shared" si="12"/>
        <v>0.11098</v>
      </c>
      <c r="S57" s="1163">
        <f>'Allocation = % of Margin'!O58</f>
        <v>-4.3200000000000001E-3</v>
      </c>
      <c r="T57" s="226">
        <f>'Allocation = % of Margin'!R58</f>
        <v>-2.3900000000000002E-3</v>
      </c>
      <c r="U57" s="938"/>
      <c r="V57" s="826">
        <f t="shared" si="13"/>
        <v>-6.7100000000000007E-3</v>
      </c>
      <c r="W57" s="827">
        <f t="shared" si="6"/>
        <v>0.38397000000000003</v>
      </c>
      <c r="X57" s="1254"/>
      <c r="Y57" s="952">
        <f>ROUND(R57*(HLOOKUP($C$55,'Rate Spread Proposal'!$E$98:$AA$103,6,FALSE)),5)</f>
        <v>8.5900000000000004E-3</v>
      </c>
      <c r="Z57" s="938">
        <f>'Allocation = % of Margin'!X58</f>
        <v>-1.2E-4</v>
      </c>
      <c r="AA57" s="230">
        <f t="shared" si="7"/>
        <v>8.4700000000000001E-3</v>
      </c>
      <c r="AB57" s="1461">
        <f t="shared" si="8"/>
        <v>0.39915</v>
      </c>
      <c r="AC57" s="226"/>
      <c r="AD57" s="224"/>
      <c r="AE57" s="225"/>
      <c r="AF57" s="228"/>
      <c r="AG57" s="226"/>
      <c r="AH57" s="228"/>
      <c r="AI57" s="227"/>
      <c r="AJ57" s="226"/>
    </row>
    <row r="58" spans="1:36" x14ac:dyDescent="0.25">
      <c r="A58" s="133">
        <f t="shared" si="0"/>
        <v>52</v>
      </c>
      <c r="B58" s="133"/>
      <c r="C58" s="133"/>
      <c r="D58" s="1510" t="s">
        <v>7</v>
      </c>
      <c r="E58" s="229">
        <v>7.5130000000000044E-2</v>
      </c>
      <c r="F58" s="226">
        <f t="shared" si="15"/>
        <v>0.26333000000000001</v>
      </c>
      <c r="G58" s="226"/>
      <c r="H58" s="226"/>
      <c r="I58" s="228">
        <v>1.3339999999999999E-2</v>
      </c>
      <c r="J58" s="227">
        <f t="shared" si="1"/>
        <v>0.35180000000000006</v>
      </c>
      <c r="K58" s="226"/>
      <c r="L58" s="226">
        <f>ROUND(E58*(HLOOKUP($C$55,'Rate Spread Proposal'!$E$71:$AA$76,6,FALSE)),5)</f>
        <v>1.4659999999999999E-2</v>
      </c>
      <c r="M58" s="226"/>
      <c r="N58" s="230">
        <f t="shared" si="2"/>
        <v>7.5130000000000044E-2</v>
      </c>
      <c r="O58" s="230">
        <f t="shared" si="3"/>
        <v>8.9790000000000036E-2</v>
      </c>
      <c r="P58" s="226">
        <f>'Allocation = % of Margin'!U59</f>
        <v>-1.01E-3</v>
      </c>
      <c r="Q58" s="939"/>
      <c r="R58" s="813">
        <f t="shared" si="12"/>
        <v>8.8780000000000039E-2</v>
      </c>
      <c r="S58" s="1163">
        <f>'Allocation = % of Margin'!O59</f>
        <v>-3.46E-3</v>
      </c>
      <c r="T58" s="226">
        <f>'Allocation = % of Margin'!R59</f>
        <v>-1.91E-3</v>
      </c>
      <c r="U58" s="938"/>
      <c r="V58" s="826">
        <f t="shared" si="13"/>
        <v>-5.3699999999999998E-3</v>
      </c>
      <c r="W58" s="827">
        <f t="shared" si="6"/>
        <v>0.36008000000000007</v>
      </c>
      <c r="X58" s="1254"/>
      <c r="Y58" s="952">
        <f>ROUND(R58*(HLOOKUP($C$55,'Rate Spread Proposal'!$E$98:$AA$103,6,FALSE)),5)</f>
        <v>6.8799999999999998E-3</v>
      </c>
      <c r="Z58" s="938">
        <f>'Allocation = % of Margin'!X59</f>
        <v>-1E-4</v>
      </c>
      <c r="AA58" s="230">
        <f t="shared" si="7"/>
        <v>6.7799999999999996E-3</v>
      </c>
      <c r="AB58" s="1461">
        <f t="shared" si="8"/>
        <v>0.37223000000000012</v>
      </c>
      <c r="AC58" s="226"/>
      <c r="AD58" s="224"/>
      <c r="AE58" s="225"/>
      <c r="AF58" s="228"/>
      <c r="AG58" s="226"/>
      <c r="AH58" s="228"/>
      <c r="AI58" s="227"/>
      <c r="AJ58" s="226"/>
    </row>
    <row r="59" spans="1:36" x14ac:dyDescent="0.25">
      <c r="A59" s="133">
        <f t="shared" si="0"/>
        <v>53</v>
      </c>
      <c r="B59" s="133"/>
      <c r="C59" s="133"/>
      <c r="D59" s="1510" t="s">
        <v>8</v>
      </c>
      <c r="E59" s="229">
        <v>5.0089999999999968E-2</v>
      </c>
      <c r="F59" s="226">
        <f t="shared" si="15"/>
        <v>0.26333000000000001</v>
      </c>
      <c r="G59" s="226"/>
      <c r="H59" s="226"/>
      <c r="I59" s="228">
        <v>9.2699999999999987E-3</v>
      </c>
      <c r="J59" s="227">
        <f t="shared" si="1"/>
        <v>0.32268999999999998</v>
      </c>
      <c r="K59" s="226"/>
      <c r="L59" s="226">
        <f>ROUND(E59*(HLOOKUP($C$55,'Rate Spread Proposal'!$E$71:$AA$76,6,FALSE)),5)</f>
        <v>9.7800000000000005E-3</v>
      </c>
      <c r="M59" s="226"/>
      <c r="N59" s="230">
        <f t="shared" si="2"/>
        <v>5.0089999999999968E-2</v>
      </c>
      <c r="O59" s="230">
        <f t="shared" si="3"/>
        <v>5.9869999999999965E-2</v>
      </c>
      <c r="P59" s="226">
        <f>'Allocation = % of Margin'!U60</f>
        <v>-6.7000000000000002E-4</v>
      </c>
      <c r="Q59" s="939"/>
      <c r="R59" s="813">
        <f t="shared" si="12"/>
        <v>5.9199999999999968E-2</v>
      </c>
      <c r="S59" s="1163">
        <f>'Allocation = % of Margin'!O60</f>
        <v>-2.31E-3</v>
      </c>
      <c r="T59" s="226">
        <f>'Allocation = % of Margin'!R60</f>
        <v>-1.2700000000000001E-3</v>
      </c>
      <c r="U59" s="938"/>
      <c r="V59" s="826">
        <f t="shared" si="13"/>
        <v>-3.5799999999999998E-3</v>
      </c>
      <c r="W59" s="827">
        <f t="shared" si="6"/>
        <v>0.32821999999999996</v>
      </c>
      <c r="X59" s="1254"/>
      <c r="Y59" s="952">
        <f>ROUND(R59*(HLOOKUP($C$55,'Rate Spread Proposal'!$E$98:$AA$103,6,FALSE)),5)</f>
        <v>4.5799999999999999E-3</v>
      </c>
      <c r="Z59" s="938">
        <f>'Allocation = % of Margin'!X60</f>
        <v>-6.0000000000000002E-5</v>
      </c>
      <c r="AA59" s="230">
        <f t="shared" si="7"/>
        <v>4.5199999999999997E-3</v>
      </c>
      <c r="AB59" s="1461">
        <f t="shared" si="8"/>
        <v>0.33631999999999995</v>
      </c>
      <c r="AC59" s="226"/>
      <c r="AD59" s="224"/>
      <c r="AE59" s="225"/>
      <c r="AF59" s="228"/>
      <c r="AG59" s="226"/>
      <c r="AH59" s="228"/>
      <c r="AI59" s="227"/>
      <c r="AJ59" s="226"/>
    </row>
    <row r="60" spans="1:36" x14ac:dyDescent="0.25">
      <c r="A60" s="133">
        <f t="shared" si="0"/>
        <v>54</v>
      </c>
      <c r="B60" s="1509"/>
      <c r="C60" s="1509"/>
      <c r="D60" s="1512" t="s">
        <v>9</v>
      </c>
      <c r="E60" s="218">
        <v>1.8790000000000001E-2</v>
      </c>
      <c r="F60" s="220">
        <f t="shared" si="15"/>
        <v>0.26333000000000001</v>
      </c>
      <c r="G60" s="220"/>
      <c r="H60" s="220"/>
      <c r="I60" s="219">
        <v>4.1999999999999989E-3</v>
      </c>
      <c r="J60" s="221">
        <f t="shared" si="1"/>
        <v>0.28632000000000002</v>
      </c>
      <c r="K60" s="226"/>
      <c r="L60" s="220">
        <f>ROUND(E60*(HLOOKUP($C$55,'Rate Spread Proposal'!$E$71:$AA$76,6,FALSE)),5)</f>
        <v>3.6700000000000001E-3</v>
      </c>
      <c r="M60" s="226"/>
      <c r="N60" s="223">
        <f t="shared" si="2"/>
        <v>1.8790000000000012E-2</v>
      </c>
      <c r="O60" s="223">
        <f t="shared" si="3"/>
        <v>2.2460000000000011E-2</v>
      </c>
      <c r="P60" s="220">
        <f>'Allocation = % of Margin'!U61</f>
        <v>-2.5000000000000001E-4</v>
      </c>
      <c r="Q60" s="937"/>
      <c r="R60" s="812">
        <f t="shared" si="12"/>
        <v>2.2210000000000011E-2</v>
      </c>
      <c r="S60" s="1162">
        <f>'Allocation = % of Margin'!O61</f>
        <v>-8.7000000000000001E-4</v>
      </c>
      <c r="T60" s="220">
        <f>'Allocation = % of Margin'!R61</f>
        <v>-4.8000000000000001E-4</v>
      </c>
      <c r="U60" s="936"/>
      <c r="V60" s="825">
        <f t="shared" si="13"/>
        <v>-1.3500000000000001E-3</v>
      </c>
      <c r="W60" s="824">
        <f t="shared" si="6"/>
        <v>0.28838999999999998</v>
      </c>
      <c r="X60" s="1254"/>
      <c r="Y60" s="961">
        <f>ROUND(R60*(HLOOKUP($C$55,'Rate Spread Proposal'!$E$98:$AA$103,6,FALSE)),5)</f>
        <v>1.72E-3</v>
      </c>
      <c r="Z60" s="936">
        <f>'Allocation = % of Margin'!X61</f>
        <v>-2.0000000000000002E-5</v>
      </c>
      <c r="AA60" s="223">
        <f t="shared" si="7"/>
        <v>1.6999999999999999E-3</v>
      </c>
      <c r="AB60" s="998">
        <f t="shared" si="8"/>
        <v>0.29143999999999992</v>
      </c>
      <c r="AC60" s="226"/>
      <c r="AD60" s="224"/>
      <c r="AE60" s="225"/>
      <c r="AF60" s="228"/>
      <c r="AG60" s="226"/>
      <c r="AH60" s="228"/>
      <c r="AI60" s="227"/>
      <c r="AJ60" s="226"/>
    </row>
    <row r="61" spans="1:36" x14ac:dyDescent="0.25">
      <c r="A61" s="133">
        <f t="shared" si="0"/>
        <v>55</v>
      </c>
      <c r="B61" s="133" t="str">
        <f>'WA Volumes &amp; Revenues'!B63</f>
        <v>42I Interr Sales</v>
      </c>
      <c r="C61" s="133" t="s">
        <v>364</v>
      </c>
      <c r="D61" s="1510" t="s">
        <v>4</v>
      </c>
      <c r="E61" s="229">
        <v>0.14583999999999989</v>
      </c>
      <c r="F61" s="226">
        <f t="shared" si="15"/>
        <v>0.26333000000000001</v>
      </c>
      <c r="G61" s="226"/>
      <c r="H61" s="226"/>
      <c r="I61" s="228">
        <v>6.9699999999999996E-3</v>
      </c>
      <c r="J61" s="227">
        <f t="shared" si="1"/>
        <v>0.4161399999999999</v>
      </c>
      <c r="K61" s="226"/>
      <c r="L61" s="226">
        <f>ROUND(E61*(HLOOKUP($C$61,'Rate Spread Proposal'!$E$71:$AA$76,6,FALSE)),5)</f>
        <v>3.6839999999999998E-2</v>
      </c>
      <c r="M61" s="226"/>
      <c r="N61" s="230">
        <f t="shared" si="2"/>
        <v>0.14583999999999989</v>
      </c>
      <c r="O61" s="230">
        <f t="shared" si="3"/>
        <v>0.1826799999999999</v>
      </c>
      <c r="P61" s="226">
        <f>'Allocation = % of Margin'!U62</f>
        <v>-2.5400000000000002E-3</v>
      </c>
      <c r="Q61" s="939"/>
      <c r="R61" s="813">
        <f t="shared" si="12"/>
        <v>0.18013999999999991</v>
      </c>
      <c r="S61" s="1163">
        <f>'Allocation = % of Margin'!O62</f>
        <v>0</v>
      </c>
      <c r="T61" s="226">
        <f>'Allocation = % of Margin'!R62</f>
        <v>-4.7999999999999996E-3</v>
      </c>
      <c r="U61" s="938"/>
      <c r="V61" s="826">
        <f t="shared" si="13"/>
        <v>-4.7999999999999996E-3</v>
      </c>
      <c r="W61" s="827">
        <f t="shared" si="6"/>
        <v>0.44563999999999993</v>
      </c>
      <c r="X61" s="1254"/>
      <c r="Y61" s="960">
        <f>ROUND(R61*(HLOOKUP($C$61,'Rate Spread Proposal'!$E$98:$AA$103,6,FALSE)),5)</f>
        <v>1.728E-2</v>
      </c>
      <c r="Z61" s="938">
        <f>'Allocation = % of Margin'!X62</f>
        <v>-2.4000000000000001E-4</v>
      </c>
      <c r="AA61" s="1459">
        <f t="shared" si="7"/>
        <v>1.704E-2</v>
      </c>
      <c r="AB61" s="1461">
        <f t="shared" si="8"/>
        <v>0.46747999999999995</v>
      </c>
      <c r="AC61" s="226"/>
      <c r="AD61" s="224">
        <f>'WA Volumes &amp; Revenues'!O63</f>
        <v>1300</v>
      </c>
      <c r="AE61" s="225">
        <f>'WA Volumes &amp; Revenues'!N63</f>
        <v>1300</v>
      </c>
      <c r="AF61" s="228"/>
      <c r="AG61" s="226"/>
      <c r="AH61" s="228"/>
      <c r="AI61" s="227"/>
      <c r="AJ61" s="226"/>
    </row>
    <row r="62" spans="1:36" x14ac:dyDescent="0.25">
      <c r="A62" s="133">
        <f t="shared" si="0"/>
        <v>56</v>
      </c>
      <c r="B62" s="133"/>
      <c r="C62" s="133"/>
      <c r="D62" s="1510" t="s">
        <v>5</v>
      </c>
      <c r="E62" s="229">
        <v>0.13054999999999992</v>
      </c>
      <c r="F62" s="226">
        <f t="shared" si="15"/>
        <v>0.26333000000000001</v>
      </c>
      <c r="G62" s="226"/>
      <c r="H62" s="226"/>
      <c r="I62" s="228">
        <v>6.3499999999999997E-3</v>
      </c>
      <c r="J62" s="227">
        <f t="shared" si="1"/>
        <v>0.40022999999999992</v>
      </c>
      <c r="K62" s="226"/>
      <c r="L62" s="226">
        <f>ROUND(E62*(HLOOKUP($C$61,'Rate Spread Proposal'!$E$71:$AA$76,6,FALSE)),5)</f>
        <v>3.2980000000000002E-2</v>
      </c>
      <c r="M62" s="226"/>
      <c r="N62" s="230">
        <f t="shared" si="2"/>
        <v>0.13054999999999992</v>
      </c>
      <c r="O62" s="230">
        <f t="shared" si="3"/>
        <v>0.16352999999999993</v>
      </c>
      <c r="P62" s="226">
        <f>'Allocation = % of Margin'!U63</f>
        <v>-2.2699999999999999E-3</v>
      </c>
      <c r="Q62" s="939"/>
      <c r="R62" s="813">
        <f t="shared" si="12"/>
        <v>0.16125999999999993</v>
      </c>
      <c r="S62" s="1163">
        <f>'Allocation = % of Margin'!O63</f>
        <v>0</v>
      </c>
      <c r="T62" s="226">
        <f>'Allocation = % of Margin'!R63</f>
        <v>-4.3E-3</v>
      </c>
      <c r="U62" s="938"/>
      <c r="V62" s="826">
        <f t="shared" si="13"/>
        <v>-4.3E-3</v>
      </c>
      <c r="W62" s="827">
        <f t="shared" si="6"/>
        <v>0.42663999999999996</v>
      </c>
      <c r="X62" s="1254"/>
      <c r="Y62" s="952">
        <f>ROUND(R62*(HLOOKUP($C$61,'Rate Spread Proposal'!$E$98:$AA$103,6,FALSE)),5)</f>
        <v>1.546E-2</v>
      </c>
      <c r="Z62" s="938">
        <f>'Allocation = % of Margin'!X63</f>
        <v>-2.2000000000000001E-4</v>
      </c>
      <c r="AA62" s="230">
        <f t="shared" si="7"/>
        <v>1.524E-2</v>
      </c>
      <c r="AB62" s="1461">
        <f t="shared" si="8"/>
        <v>0.44617999999999997</v>
      </c>
      <c r="AC62" s="226"/>
      <c r="AD62" s="224"/>
      <c r="AE62" s="225"/>
      <c r="AF62" s="228"/>
      <c r="AG62" s="226"/>
      <c r="AH62" s="228"/>
      <c r="AI62" s="227"/>
      <c r="AJ62" s="226"/>
    </row>
    <row r="63" spans="1:36" x14ac:dyDescent="0.25">
      <c r="A63" s="133">
        <f t="shared" si="0"/>
        <v>57</v>
      </c>
      <c r="B63" s="133"/>
      <c r="C63" s="133"/>
      <c r="D63" s="1510" t="s">
        <v>6</v>
      </c>
      <c r="E63" s="229">
        <v>0.10011</v>
      </c>
      <c r="F63" s="226">
        <f t="shared" si="15"/>
        <v>0.26333000000000001</v>
      </c>
      <c r="G63" s="226"/>
      <c r="H63" s="226"/>
      <c r="I63" s="228">
        <v>5.1399999999999996E-3</v>
      </c>
      <c r="J63" s="227">
        <f t="shared" si="1"/>
        <v>0.36857999999999996</v>
      </c>
      <c r="K63" s="226"/>
      <c r="L63" s="226">
        <f>ROUND(E63*(HLOOKUP($C$61,'Rate Spread Proposal'!$E$71:$AA$76,6,FALSE)),5)</f>
        <v>2.529E-2</v>
      </c>
      <c r="M63" s="226"/>
      <c r="N63" s="230">
        <f t="shared" si="2"/>
        <v>0.10010999999999995</v>
      </c>
      <c r="O63" s="230">
        <f t="shared" si="3"/>
        <v>0.12539999999999996</v>
      </c>
      <c r="P63" s="226">
        <f>'Allocation = % of Margin'!U64</f>
        <v>-1.74E-3</v>
      </c>
      <c r="Q63" s="939"/>
      <c r="R63" s="813">
        <f t="shared" si="12"/>
        <v>0.12365999999999995</v>
      </c>
      <c r="S63" s="1163">
        <f>'Allocation = % of Margin'!O64</f>
        <v>0</v>
      </c>
      <c r="T63" s="226">
        <f>'Allocation = % of Margin'!R64</f>
        <v>-3.3E-3</v>
      </c>
      <c r="U63" s="938"/>
      <c r="V63" s="826">
        <f t="shared" si="13"/>
        <v>-3.3E-3</v>
      </c>
      <c r="W63" s="827">
        <f t="shared" si="6"/>
        <v>0.38882999999999995</v>
      </c>
      <c r="X63" s="1254"/>
      <c r="Y63" s="952">
        <f>ROUND(R63*(HLOOKUP($C$61,'Rate Spread Proposal'!$E$98:$AA$103,6,FALSE)),5)</f>
        <v>1.1860000000000001E-2</v>
      </c>
      <c r="Z63" s="938">
        <f>'Allocation = % of Margin'!X64</f>
        <v>-1.7000000000000001E-4</v>
      </c>
      <c r="AA63" s="230">
        <f t="shared" si="7"/>
        <v>1.1690000000000001E-2</v>
      </c>
      <c r="AB63" s="1461">
        <f t="shared" si="8"/>
        <v>0.40381999999999996</v>
      </c>
      <c r="AC63" s="226"/>
      <c r="AD63" s="224"/>
      <c r="AE63" s="225"/>
      <c r="AF63" s="228"/>
      <c r="AG63" s="226"/>
      <c r="AH63" s="228"/>
      <c r="AI63" s="227"/>
      <c r="AJ63" s="226"/>
    </row>
    <row r="64" spans="1:36" x14ac:dyDescent="0.25">
      <c r="A64" s="133">
        <f t="shared" si="0"/>
        <v>58</v>
      </c>
      <c r="B64" s="133"/>
      <c r="C64" s="133"/>
      <c r="D64" s="1510" t="s">
        <v>7</v>
      </c>
      <c r="E64" s="229">
        <v>8.0089999999999995E-2</v>
      </c>
      <c r="F64" s="226">
        <f t="shared" si="15"/>
        <v>0.26333000000000001</v>
      </c>
      <c r="G64" s="226"/>
      <c r="H64" s="226"/>
      <c r="I64" s="228">
        <v>4.3499999999999997E-3</v>
      </c>
      <c r="J64" s="227">
        <f t="shared" si="1"/>
        <v>0.34777000000000002</v>
      </c>
      <c r="K64" s="226"/>
      <c r="L64" s="226">
        <f>ROUND(E64*(HLOOKUP($C$61,'Rate Spread Proposal'!$E$71:$AA$76,6,FALSE)),5)</f>
        <v>2.0230000000000001E-2</v>
      </c>
      <c r="M64" s="226"/>
      <c r="N64" s="230">
        <f t="shared" si="2"/>
        <v>8.0090000000000022E-2</v>
      </c>
      <c r="O64" s="230">
        <f t="shared" si="3"/>
        <v>0.10032000000000002</v>
      </c>
      <c r="P64" s="226">
        <f>'Allocation = % of Margin'!U65</f>
        <v>-1.39E-3</v>
      </c>
      <c r="Q64" s="939"/>
      <c r="R64" s="813">
        <f t="shared" si="12"/>
        <v>9.8930000000000018E-2</v>
      </c>
      <c r="S64" s="1163">
        <f>'Allocation = % of Margin'!O65</f>
        <v>0</v>
      </c>
      <c r="T64" s="226">
        <f>'Allocation = % of Margin'!R65</f>
        <v>-2.64E-3</v>
      </c>
      <c r="U64" s="938"/>
      <c r="V64" s="826">
        <f t="shared" si="13"/>
        <v>-2.64E-3</v>
      </c>
      <c r="W64" s="827">
        <f t="shared" si="6"/>
        <v>0.36397000000000002</v>
      </c>
      <c r="X64" s="1254"/>
      <c r="Y64" s="952">
        <f>ROUND(R64*(HLOOKUP($C$61,'Rate Spread Proposal'!$E$98:$AA$103,6,FALSE)),5)</f>
        <v>9.4900000000000002E-3</v>
      </c>
      <c r="Z64" s="938">
        <f>'Allocation = % of Margin'!X65</f>
        <v>-1.2999999999999999E-4</v>
      </c>
      <c r="AA64" s="230">
        <f t="shared" si="7"/>
        <v>9.3600000000000003E-3</v>
      </c>
      <c r="AB64" s="1461">
        <f t="shared" si="8"/>
        <v>0.37596999999999997</v>
      </c>
      <c r="AC64" s="226"/>
      <c r="AD64" s="224"/>
      <c r="AE64" s="225"/>
      <c r="AF64" s="228"/>
      <c r="AG64" s="226"/>
      <c r="AH64" s="228"/>
      <c r="AI64" s="227"/>
      <c r="AJ64" s="226"/>
    </row>
    <row r="65" spans="1:36" x14ac:dyDescent="0.25">
      <c r="A65" s="133">
        <f t="shared" si="0"/>
        <v>59</v>
      </c>
      <c r="B65" s="133"/>
      <c r="C65" s="133"/>
      <c r="D65" s="1510" t="s">
        <v>8</v>
      </c>
      <c r="E65" s="229">
        <v>5.339E-2</v>
      </c>
      <c r="F65" s="226">
        <f t="shared" si="15"/>
        <v>0.26333000000000001</v>
      </c>
      <c r="G65" s="226"/>
      <c r="H65" s="226"/>
      <c r="I65" s="228">
        <v>3.2999999999999995E-3</v>
      </c>
      <c r="J65" s="227">
        <f t="shared" si="1"/>
        <v>0.32002000000000003</v>
      </c>
      <c r="K65" s="226"/>
      <c r="L65" s="226">
        <f>ROUND(E65*(HLOOKUP($C$61,'Rate Spread Proposal'!$E$71:$AA$76,6,FALSE)),5)</f>
        <v>1.349E-2</v>
      </c>
      <c r="M65" s="226"/>
      <c r="N65" s="230">
        <f t="shared" si="2"/>
        <v>5.3390000000000021E-2</v>
      </c>
      <c r="O65" s="230">
        <f t="shared" si="3"/>
        <v>6.6880000000000023E-2</v>
      </c>
      <c r="P65" s="226">
        <f>'Allocation = % of Margin'!U66</f>
        <v>-9.3000000000000005E-4</v>
      </c>
      <c r="Q65" s="939"/>
      <c r="R65" s="813">
        <f t="shared" si="12"/>
        <v>6.5950000000000022E-2</v>
      </c>
      <c r="S65" s="1163">
        <f>'Allocation = % of Margin'!O66</f>
        <v>0</v>
      </c>
      <c r="T65" s="226">
        <f>'Allocation = % of Margin'!R66</f>
        <v>-1.7600000000000001E-3</v>
      </c>
      <c r="U65" s="938"/>
      <c r="V65" s="826">
        <f t="shared" si="13"/>
        <v>-1.7600000000000001E-3</v>
      </c>
      <c r="W65" s="827">
        <f t="shared" si="6"/>
        <v>0.33082000000000006</v>
      </c>
      <c r="X65" s="1254"/>
      <c r="Y65" s="952">
        <f>ROUND(R65*(HLOOKUP($C$61,'Rate Spread Proposal'!$E$98:$AA$103,6,FALSE)),5)</f>
        <v>6.3200000000000001E-3</v>
      </c>
      <c r="Z65" s="938">
        <f>'Allocation = % of Margin'!X66</f>
        <v>-9.0000000000000006E-5</v>
      </c>
      <c r="AA65" s="230">
        <f t="shared" si="7"/>
        <v>6.2300000000000003E-3</v>
      </c>
      <c r="AB65" s="1461">
        <f t="shared" si="8"/>
        <v>0.33881000000000006</v>
      </c>
      <c r="AC65" s="226"/>
      <c r="AD65" s="224"/>
      <c r="AE65" s="225"/>
      <c r="AF65" s="228"/>
      <c r="AG65" s="226"/>
      <c r="AH65" s="228"/>
      <c r="AI65" s="227"/>
      <c r="AJ65" s="226"/>
    </row>
    <row r="66" spans="1:36" x14ac:dyDescent="0.25">
      <c r="A66" s="133">
        <f t="shared" si="0"/>
        <v>60</v>
      </c>
      <c r="B66" s="1509"/>
      <c r="C66" s="1509"/>
      <c r="D66" s="1512" t="s">
        <v>9</v>
      </c>
      <c r="E66" s="218">
        <v>2.002E-2</v>
      </c>
      <c r="F66" s="220">
        <f t="shared" si="15"/>
        <v>0.26333000000000001</v>
      </c>
      <c r="G66" s="220"/>
      <c r="H66" s="220"/>
      <c r="I66" s="219">
        <v>1.9499999999999995E-3</v>
      </c>
      <c r="J66" s="221">
        <f t="shared" si="1"/>
        <v>0.2853</v>
      </c>
      <c r="K66" s="226"/>
      <c r="L66" s="220">
        <f>ROUND(E66*(HLOOKUP($C$61,'Rate Spread Proposal'!$E$71:$AA$76,6,FALSE)),5)</f>
        <v>5.0600000000000003E-3</v>
      </c>
      <c r="M66" s="226"/>
      <c r="N66" s="223">
        <f t="shared" si="2"/>
        <v>2.0019999999999989E-2</v>
      </c>
      <c r="O66" s="223">
        <f t="shared" si="3"/>
        <v>2.5079999999999991E-2</v>
      </c>
      <c r="P66" s="220">
        <f>'Allocation = % of Margin'!U67</f>
        <v>-3.5E-4</v>
      </c>
      <c r="Q66" s="937"/>
      <c r="R66" s="812">
        <f t="shared" si="12"/>
        <v>2.4729999999999992E-2</v>
      </c>
      <c r="S66" s="1162">
        <f>'Allocation = % of Margin'!O67</f>
        <v>0</v>
      </c>
      <c r="T66" s="220">
        <f>'Allocation = % of Margin'!R67</f>
        <v>-6.6E-4</v>
      </c>
      <c r="U66" s="936"/>
      <c r="V66" s="825">
        <f t="shared" si="13"/>
        <v>-6.6E-4</v>
      </c>
      <c r="W66" s="824">
        <f t="shared" si="6"/>
        <v>0.28935</v>
      </c>
      <c r="X66" s="1254"/>
      <c r="Y66" s="952">
        <f>ROUND(R66*(HLOOKUP($C$61,'Rate Spread Proposal'!$E$98:$AA$103,6,FALSE)),5)</f>
        <v>2.3700000000000001E-3</v>
      </c>
      <c r="Z66" s="936">
        <f>'Allocation = % of Margin'!X67</f>
        <v>-3.0000000000000001E-5</v>
      </c>
      <c r="AA66" s="230">
        <f t="shared" si="7"/>
        <v>2.3400000000000001E-3</v>
      </c>
      <c r="AB66" s="998">
        <f t="shared" si="8"/>
        <v>0.29235</v>
      </c>
      <c r="AC66" s="226"/>
      <c r="AD66" s="787"/>
      <c r="AE66" s="132"/>
      <c r="AF66" s="228"/>
      <c r="AG66" s="226"/>
      <c r="AH66" s="228"/>
      <c r="AI66" s="227"/>
      <c r="AJ66" s="226"/>
    </row>
    <row r="67" spans="1:36" x14ac:dyDescent="0.25">
      <c r="A67" s="133">
        <f t="shared" si="0"/>
        <v>61</v>
      </c>
      <c r="B67" s="133" t="s">
        <v>333</v>
      </c>
      <c r="C67" s="133" t="s">
        <v>366</v>
      </c>
      <c r="D67" s="1510" t="s">
        <v>4</v>
      </c>
      <c r="E67" s="229">
        <v>0.13402999999999998</v>
      </c>
      <c r="F67" s="226">
        <v>0</v>
      </c>
      <c r="G67" s="226"/>
      <c r="H67" s="226"/>
      <c r="I67" s="228">
        <v>5.6999999999999998E-4</v>
      </c>
      <c r="J67" s="227">
        <f t="shared" ref="J67:J72" si="16">SUM(E67:I67)</f>
        <v>0.13459999999999997</v>
      </c>
      <c r="K67" s="226"/>
      <c r="L67" s="226">
        <f>ROUND(E67*(HLOOKUP($C$67,'Rate Spread Proposal'!$E$71:$AA$76,6,FALSE)),5)</f>
        <v>1.6990000000000002E-2</v>
      </c>
      <c r="M67" s="226"/>
      <c r="N67" s="230">
        <f t="shared" si="2"/>
        <v>0.13402999999999998</v>
      </c>
      <c r="O67" s="230">
        <f t="shared" si="3"/>
        <v>0.15101999999999999</v>
      </c>
      <c r="P67" s="226">
        <f>'Allocation = % of Margin'!U68</f>
        <v>-1.2600000000000001E-3</v>
      </c>
      <c r="Q67" s="939"/>
      <c r="R67" s="813">
        <f t="shared" si="12"/>
        <v>0.14975999999999998</v>
      </c>
      <c r="S67" s="1163">
        <f>'Allocation = % of Margin'!O68</f>
        <v>0</v>
      </c>
      <c r="T67" s="226">
        <f>'Allocation = % of Margin'!R68</f>
        <v>-2.3800000000000002E-3</v>
      </c>
      <c r="U67" s="938"/>
      <c r="V67" s="826">
        <f t="shared" si="13"/>
        <v>-2.3800000000000002E-3</v>
      </c>
      <c r="W67" s="827">
        <f t="shared" si="6"/>
        <v>0.14794999999999997</v>
      </c>
      <c r="X67" s="1254"/>
      <c r="Y67" s="960">
        <f>ROUND(R67*(HLOOKUP($C$67,'Rate Spread Proposal'!$E$98:$AA$103,6,FALSE)),5)</f>
        <v>8.4799999999999997E-3</v>
      </c>
      <c r="Z67" s="938">
        <f>'Allocation = % of Margin'!X68</f>
        <v>-1.2E-4</v>
      </c>
      <c r="AA67" s="1459">
        <f t="shared" si="7"/>
        <v>8.3599999999999994E-3</v>
      </c>
      <c r="AB67" s="1461">
        <f t="shared" si="8"/>
        <v>0.15868999999999997</v>
      </c>
      <c r="AC67" s="226"/>
      <c r="AD67" s="224">
        <f>'WA Volumes &amp; Revenues'!O69</f>
        <v>1550</v>
      </c>
      <c r="AE67" s="225">
        <f>'WA Volumes &amp; Revenues'!N69</f>
        <v>1550</v>
      </c>
      <c r="AF67" s="228"/>
      <c r="AG67" s="226"/>
      <c r="AH67" s="228"/>
      <c r="AI67" s="227"/>
      <c r="AJ67" s="226"/>
    </row>
    <row r="68" spans="1:36" x14ac:dyDescent="0.25">
      <c r="A68" s="133">
        <f t="shared" si="0"/>
        <v>62</v>
      </c>
      <c r="B68" s="133"/>
      <c r="C68" s="133"/>
      <c r="D68" s="1510" t="s">
        <v>5</v>
      </c>
      <c r="E68" s="229">
        <v>0.11997999999999999</v>
      </c>
      <c r="F68" s="226">
        <v>0</v>
      </c>
      <c r="G68" s="226"/>
      <c r="H68" s="226"/>
      <c r="I68" s="228">
        <v>5.1000000000000004E-4</v>
      </c>
      <c r="J68" s="227">
        <f t="shared" si="16"/>
        <v>0.12048999999999999</v>
      </c>
      <c r="K68" s="226"/>
      <c r="L68" s="226">
        <f>ROUND(E68*(HLOOKUP($C$67,'Rate Spread Proposal'!$E$71:$AA$76,6,FALSE)),5)</f>
        <v>1.521E-2</v>
      </c>
      <c r="M68" s="226"/>
      <c r="N68" s="230">
        <f t="shared" si="2"/>
        <v>0.11997999999999999</v>
      </c>
      <c r="O68" s="230">
        <f t="shared" si="3"/>
        <v>0.13518999999999998</v>
      </c>
      <c r="P68" s="226">
        <f>'Allocation = % of Margin'!U69</f>
        <v>-1.1199999999999999E-3</v>
      </c>
      <c r="Q68" s="939"/>
      <c r="R68" s="813">
        <f t="shared" si="12"/>
        <v>0.13406999999999997</v>
      </c>
      <c r="S68" s="1163">
        <f>'Allocation = % of Margin'!O69</f>
        <v>0</v>
      </c>
      <c r="T68" s="226">
        <f>'Allocation = % of Margin'!R69</f>
        <v>-2.1299999999999999E-3</v>
      </c>
      <c r="U68" s="938"/>
      <c r="V68" s="826">
        <f t="shared" si="13"/>
        <v>-2.1299999999999999E-3</v>
      </c>
      <c r="W68" s="827">
        <f t="shared" si="6"/>
        <v>0.13244999999999998</v>
      </c>
      <c r="X68" s="1254"/>
      <c r="Y68" s="952">
        <f>ROUND(R68*(HLOOKUP($C$67,'Rate Spread Proposal'!$E$98:$AA$103,6,FALSE)),5)</f>
        <v>7.5900000000000004E-3</v>
      </c>
      <c r="Z68" s="938">
        <f>'Allocation = % of Margin'!X69</f>
        <v>-1.1E-4</v>
      </c>
      <c r="AA68" s="230">
        <f t="shared" si="7"/>
        <v>7.4800000000000005E-3</v>
      </c>
      <c r="AB68" s="1461">
        <f t="shared" si="8"/>
        <v>0.14205999999999999</v>
      </c>
      <c r="AC68" s="226"/>
      <c r="AD68" s="224"/>
      <c r="AE68" s="225"/>
      <c r="AF68" s="228"/>
      <c r="AG68" s="226"/>
      <c r="AH68" s="228"/>
      <c r="AI68" s="227"/>
      <c r="AJ68" s="226"/>
    </row>
    <row r="69" spans="1:36" x14ac:dyDescent="0.25">
      <c r="A69" s="133">
        <f t="shared" si="0"/>
        <v>63</v>
      </c>
      <c r="B69" s="133"/>
      <c r="C69" s="133"/>
      <c r="D69" s="1510" t="s">
        <v>6</v>
      </c>
      <c r="E69" s="229">
        <v>9.1999999999999998E-2</v>
      </c>
      <c r="F69" s="226">
        <v>0</v>
      </c>
      <c r="G69" s="226"/>
      <c r="H69" s="226"/>
      <c r="I69" s="228">
        <v>3.7999999999999997E-4</v>
      </c>
      <c r="J69" s="227">
        <f t="shared" si="16"/>
        <v>9.2380000000000004E-2</v>
      </c>
      <c r="K69" s="226"/>
      <c r="L69" s="226">
        <f>ROUND(E69*(HLOOKUP($C$67,'Rate Spread Proposal'!$E$71:$AA$76,6,FALSE)),5)</f>
        <v>1.166E-2</v>
      </c>
      <c r="M69" s="226"/>
      <c r="N69" s="230">
        <f t="shared" si="2"/>
        <v>9.1999999999999998E-2</v>
      </c>
      <c r="O69" s="230">
        <f t="shared" si="3"/>
        <v>0.10366</v>
      </c>
      <c r="P69" s="226">
        <f>'Allocation = % of Margin'!U70</f>
        <v>-8.5999999999999998E-4</v>
      </c>
      <c r="Q69" s="939"/>
      <c r="R69" s="813">
        <f t="shared" si="12"/>
        <v>0.1028</v>
      </c>
      <c r="S69" s="1163">
        <f>'Allocation = % of Margin'!O70</f>
        <v>0</v>
      </c>
      <c r="T69" s="226">
        <f>'Allocation = % of Margin'!R70</f>
        <v>-1.6299999999999999E-3</v>
      </c>
      <c r="U69" s="938"/>
      <c r="V69" s="826">
        <f t="shared" si="13"/>
        <v>-1.6299999999999999E-3</v>
      </c>
      <c r="W69" s="827">
        <f t="shared" si="6"/>
        <v>0.10155</v>
      </c>
      <c r="X69" s="1254"/>
      <c r="Y69" s="952">
        <f>ROUND(R69*(HLOOKUP($C$67,'Rate Spread Proposal'!$E$98:$AA$103,6,FALSE)),5)</f>
        <v>5.8199999999999997E-3</v>
      </c>
      <c r="Z69" s="938">
        <f>'Allocation = % of Margin'!X70</f>
        <v>-8.0000000000000007E-5</v>
      </c>
      <c r="AA69" s="230">
        <f t="shared" si="7"/>
        <v>5.7399999999999994E-3</v>
      </c>
      <c r="AB69" s="1461">
        <f t="shared" si="8"/>
        <v>0.10892</v>
      </c>
      <c r="AC69" s="226"/>
      <c r="AD69" s="224"/>
      <c r="AE69" s="225"/>
      <c r="AF69" s="228"/>
      <c r="AG69" s="226"/>
      <c r="AH69" s="228"/>
      <c r="AI69" s="227"/>
      <c r="AJ69" s="226"/>
    </row>
    <row r="70" spans="1:36" x14ac:dyDescent="0.25">
      <c r="A70" s="133">
        <f t="shared" si="0"/>
        <v>64</v>
      </c>
      <c r="B70" s="133"/>
      <c r="C70" s="133"/>
      <c r="D70" s="1510" t="s">
        <v>7</v>
      </c>
      <c r="E70" s="229">
        <v>7.3609999999999995E-2</v>
      </c>
      <c r="F70" s="226">
        <v>0</v>
      </c>
      <c r="G70" s="226"/>
      <c r="H70" s="226"/>
      <c r="I70" s="228">
        <v>3.0999999999999995E-4</v>
      </c>
      <c r="J70" s="227">
        <f t="shared" si="16"/>
        <v>7.392E-2</v>
      </c>
      <c r="K70" s="226"/>
      <c r="L70" s="226">
        <f>ROUND(E70*(HLOOKUP($C$67,'Rate Spread Proposal'!$E$71:$AA$76,6,FALSE)),5)</f>
        <v>9.3299999999999998E-3</v>
      </c>
      <c r="M70" s="226"/>
      <c r="N70" s="230">
        <f t="shared" si="2"/>
        <v>7.3609999999999995E-2</v>
      </c>
      <c r="O70" s="230">
        <f t="shared" si="3"/>
        <v>8.294E-2</v>
      </c>
      <c r="P70" s="226">
        <f>'Allocation = % of Margin'!U71</f>
        <v>-6.8999999999999997E-4</v>
      </c>
      <c r="Q70" s="939"/>
      <c r="R70" s="813">
        <f t="shared" si="12"/>
        <v>8.2250000000000004E-2</v>
      </c>
      <c r="S70" s="1163">
        <f>'Allocation = % of Margin'!O71</f>
        <v>0</v>
      </c>
      <c r="T70" s="226">
        <f>'Allocation = % of Margin'!R71</f>
        <v>-1.31E-3</v>
      </c>
      <c r="U70" s="938"/>
      <c r="V70" s="826">
        <f t="shared" si="13"/>
        <v>-1.31E-3</v>
      </c>
      <c r="W70" s="827">
        <f t="shared" si="6"/>
        <v>8.1250000000000003E-2</v>
      </c>
      <c r="X70" s="1254"/>
      <c r="Y70" s="952">
        <f>ROUND(R70*(HLOOKUP($C$67,'Rate Spread Proposal'!$E$98:$AA$103,6,FALSE)),5)</f>
        <v>4.6600000000000001E-3</v>
      </c>
      <c r="Z70" s="938">
        <f>'Allocation = % of Margin'!X71</f>
        <v>-6.9999999999999994E-5</v>
      </c>
      <c r="AA70" s="230">
        <f t="shared" si="7"/>
        <v>4.5900000000000003E-3</v>
      </c>
      <c r="AB70" s="1461">
        <f t="shared" si="8"/>
        <v>8.7150000000000005E-2</v>
      </c>
      <c r="AC70" s="226"/>
      <c r="AD70" s="224"/>
      <c r="AE70" s="225"/>
      <c r="AF70" s="228"/>
      <c r="AG70" s="226"/>
      <c r="AH70" s="228"/>
      <c r="AI70" s="227"/>
      <c r="AJ70" s="226"/>
    </row>
    <row r="71" spans="1:36" x14ac:dyDescent="0.25">
      <c r="A71" s="133">
        <f t="shared" si="0"/>
        <v>65</v>
      </c>
      <c r="B71" s="133"/>
      <c r="C71" s="133"/>
      <c r="D71" s="1510" t="s">
        <v>8</v>
      </c>
      <c r="E71" s="229">
        <v>4.9079999999999999E-2</v>
      </c>
      <c r="F71" s="226">
        <v>0</v>
      </c>
      <c r="G71" s="226"/>
      <c r="H71" s="226"/>
      <c r="I71" s="228">
        <v>2.0999999999999998E-4</v>
      </c>
      <c r="J71" s="227">
        <f t="shared" si="16"/>
        <v>4.929E-2</v>
      </c>
      <c r="K71" s="226"/>
      <c r="L71" s="226">
        <f>ROUND(E71*(HLOOKUP($C$67,'Rate Spread Proposal'!$E$71:$AA$76,6,FALSE)),5)</f>
        <v>6.2199999999999998E-3</v>
      </c>
      <c r="M71" s="226"/>
      <c r="N71" s="230">
        <f t="shared" si="2"/>
        <v>4.9079999999999999E-2</v>
      </c>
      <c r="O71" s="230">
        <f t="shared" si="3"/>
        <v>5.5300000000000002E-2</v>
      </c>
      <c r="P71" s="226">
        <f>'Allocation = % of Margin'!U72</f>
        <v>-4.6000000000000001E-4</v>
      </c>
      <c r="Q71" s="939"/>
      <c r="R71" s="813">
        <f t="shared" si="12"/>
        <v>5.484E-2</v>
      </c>
      <c r="S71" s="1163">
        <f>'Allocation = % of Margin'!O72</f>
        <v>0</v>
      </c>
      <c r="T71" s="226">
        <f>'Allocation = % of Margin'!R72</f>
        <v>-8.7000000000000001E-4</v>
      </c>
      <c r="U71" s="938"/>
      <c r="V71" s="826">
        <f t="shared" si="13"/>
        <v>-8.7000000000000001E-4</v>
      </c>
      <c r="W71" s="827">
        <f t="shared" si="6"/>
        <v>5.4179999999999999E-2</v>
      </c>
      <c r="X71" s="1254"/>
      <c r="Y71" s="952">
        <f>ROUND(R71*(HLOOKUP($C$67,'Rate Spread Proposal'!$E$98:$AA$103,6,FALSE)),5)</f>
        <v>3.1099999999999999E-3</v>
      </c>
      <c r="Z71" s="938">
        <f>'Allocation = % of Margin'!X72</f>
        <v>-4.0000000000000003E-5</v>
      </c>
      <c r="AA71" s="230">
        <f t="shared" si="7"/>
        <v>3.0699999999999998E-3</v>
      </c>
      <c r="AB71" s="1461">
        <f t="shared" si="8"/>
        <v>5.8119999999999998E-2</v>
      </c>
      <c r="AC71" s="226"/>
      <c r="AD71" s="224"/>
      <c r="AE71" s="225"/>
      <c r="AF71" s="228"/>
      <c r="AG71" s="226"/>
      <c r="AH71" s="228"/>
      <c r="AI71" s="227"/>
      <c r="AJ71" s="226"/>
    </row>
    <row r="72" spans="1:36" x14ac:dyDescent="0.25">
      <c r="A72" s="133">
        <f t="shared" si="0"/>
        <v>66</v>
      </c>
      <c r="B72" s="1509"/>
      <c r="C72" s="1509"/>
      <c r="D72" s="1512" t="s">
        <v>9</v>
      </c>
      <c r="E72" s="218">
        <v>1.839E-2</v>
      </c>
      <c r="F72" s="220">
        <v>0</v>
      </c>
      <c r="G72" s="220"/>
      <c r="H72" s="220"/>
      <c r="I72" s="219">
        <v>6.9999999999999994E-5</v>
      </c>
      <c r="J72" s="221">
        <f t="shared" si="16"/>
        <v>1.8460000000000001E-2</v>
      </c>
      <c r="K72" s="226"/>
      <c r="L72" s="220">
        <f>ROUND(E72*(HLOOKUP($C$67,'Rate Spread Proposal'!$E$71:$AA$76,6,FALSE)),5)</f>
        <v>2.33E-3</v>
      </c>
      <c r="M72" s="226"/>
      <c r="N72" s="223">
        <f t="shared" si="2"/>
        <v>1.839E-2</v>
      </c>
      <c r="O72" s="223">
        <f t="shared" si="3"/>
        <v>2.0719999999999999E-2</v>
      </c>
      <c r="P72" s="220">
        <f>'Allocation = % of Margin'!U73</f>
        <v>-1.7000000000000001E-4</v>
      </c>
      <c r="Q72" s="937"/>
      <c r="R72" s="812">
        <f t="shared" si="12"/>
        <v>2.0549999999999999E-2</v>
      </c>
      <c r="S72" s="1162">
        <f>'Allocation = % of Margin'!O73</f>
        <v>0</v>
      </c>
      <c r="T72" s="220">
        <f>'Allocation = % of Margin'!R73</f>
        <v>-3.3E-4</v>
      </c>
      <c r="U72" s="936"/>
      <c r="V72" s="825">
        <f t="shared" si="13"/>
        <v>-3.3E-4</v>
      </c>
      <c r="W72" s="824">
        <f t="shared" si="6"/>
        <v>2.0289999999999999E-2</v>
      </c>
      <c r="X72" s="1254"/>
      <c r="Y72" s="961">
        <f>ROUND(R72*(HLOOKUP($C$67,'Rate Spread Proposal'!$E$98:$AA$103,6,FALSE)),5)</f>
        <v>1.16E-3</v>
      </c>
      <c r="Z72" s="936">
        <f>'Allocation = % of Margin'!X73</f>
        <v>-2.0000000000000002E-5</v>
      </c>
      <c r="AA72" s="223">
        <f t="shared" si="7"/>
        <v>1.14E-3</v>
      </c>
      <c r="AB72" s="998">
        <f t="shared" si="8"/>
        <v>2.1759999999999998E-2</v>
      </c>
      <c r="AC72" s="226"/>
      <c r="AD72" s="787"/>
      <c r="AE72" s="132"/>
      <c r="AF72" s="228"/>
      <c r="AG72" s="226"/>
      <c r="AH72" s="228"/>
      <c r="AI72" s="227"/>
      <c r="AJ72" s="226"/>
    </row>
    <row r="73" spans="1:36" x14ac:dyDescent="0.25">
      <c r="A73" s="133">
        <f t="shared" ref="A73:A83" si="17">+A72+1</f>
        <v>67</v>
      </c>
      <c r="B73" s="133" t="s">
        <v>340</v>
      </c>
      <c r="C73" s="133" t="s">
        <v>367</v>
      </c>
      <c r="D73" s="1510" t="s">
        <v>4</v>
      </c>
      <c r="E73" s="232">
        <f>E67</f>
        <v>0.13402999999999998</v>
      </c>
      <c r="F73" s="233">
        <v>0</v>
      </c>
      <c r="G73" s="226"/>
      <c r="H73" s="233"/>
      <c r="I73" s="234">
        <f>I67</f>
        <v>5.6999999999999998E-4</v>
      </c>
      <c r="J73" s="235">
        <f t="shared" ref="J73:J78" si="18">SUM(E73:I73)</f>
        <v>0.13459999999999997</v>
      </c>
      <c r="K73" s="233"/>
      <c r="L73" s="233">
        <f>ROUND(E73*(HLOOKUP($C$73,'Rate Spread Proposal'!$E$71:$AA$76,6,FALSE)),5)</f>
        <v>2.1659999999999999E-2</v>
      </c>
      <c r="M73" s="233"/>
      <c r="N73" s="236">
        <f t="shared" si="2"/>
        <v>0.13402999999999998</v>
      </c>
      <c r="O73" s="236">
        <f t="shared" si="3"/>
        <v>0.15569</v>
      </c>
      <c r="P73" s="233">
        <f>'Allocation = % of Margin'!U74</f>
        <v>-1.49E-3</v>
      </c>
      <c r="Q73" s="941"/>
      <c r="R73" s="814">
        <f t="shared" si="12"/>
        <v>0.1542</v>
      </c>
      <c r="S73" s="1164">
        <f>'Allocation = % of Margin'!O74</f>
        <v>0</v>
      </c>
      <c r="T73" s="233">
        <f>'Allocation = % of Margin'!R74</f>
        <v>-2.82E-3</v>
      </c>
      <c r="U73" s="940"/>
      <c r="V73" s="828">
        <f t="shared" si="13"/>
        <v>-2.82E-3</v>
      </c>
      <c r="W73" s="829">
        <f t="shared" si="6"/>
        <v>0.15195</v>
      </c>
      <c r="X73" s="1254"/>
      <c r="Y73" s="962">
        <f>ROUND(R73*(HLOOKUP($C$73,'Rate Spread Proposal'!$E$98:$AA$103,6,FALSE)),5)</f>
        <v>1.0160000000000001E-2</v>
      </c>
      <c r="Z73" s="940">
        <f>'Allocation = % of Margin'!X74</f>
        <v>-1.3999999999999999E-4</v>
      </c>
      <c r="AA73" s="1460">
        <f t="shared" si="7"/>
        <v>1.0020000000000001E-2</v>
      </c>
      <c r="AB73" s="1462">
        <f t="shared" si="8"/>
        <v>0.16478999999999999</v>
      </c>
      <c r="AC73" s="233"/>
      <c r="AD73" s="224">
        <f>'WA Volumes &amp; Revenues'!O75</f>
        <v>1550</v>
      </c>
      <c r="AE73" s="225">
        <f>'WA Volumes &amp; Revenues'!N75</f>
        <v>1550</v>
      </c>
      <c r="AF73" s="228"/>
      <c r="AG73" s="226"/>
      <c r="AH73" s="228"/>
      <c r="AI73" s="227"/>
      <c r="AJ73" s="226"/>
    </row>
    <row r="74" spans="1:36" x14ac:dyDescent="0.25">
      <c r="A74" s="133">
        <f t="shared" si="17"/>
        <v>68</v>
      </c>
      <c r="B74" s="133"/>
      <c r="C74" s="133"/>
      <c r="D74" s="1510" t="s">
        <v>5</v>
      </c>
      <c r="E74" s="232">
        <f t="shared" ref="E74:E78" si="19">E68</f>
        <v>0.11997999999999999</v>
      </c>
      <c r="F74" s="233">
        <v>0</v>
      </c>
      <c r="G74" s="226"/>
      <c r="H74" s="233"/>
      <c r="I74" s="234">
        <f t="shared" ref="I74:I78" si="20">I68</f>
        <v>5.1000000000000004E-4</v>
      </c>
      <c r="J74" s="235">
        <f t="shared" si="18"/>
        <v>0.12048999999999999</v>
      </c>
      <c r="K74" s="233"/>
      <c r="L74" s="233">
        <f>ROUND(E74*(HLOOKUP($C$73,'Rate Spread Proposal'!$E$71:$AA$76,6,FALSE)),5)</f>
        <v>1.9390000000000001E-2</v>
      </c>
      <c r="M74" s="233"/>
      <c r="N74" s="236">
        <f t="shared" si="2"/>
        <v>0.11997999999999999</v>
      </c>
      <c r="O74" s="236">
        <f t="shared" si="3"/>
        <v>0.13936999999999999</v>
      </c>
      <c r="P74" s="233">
        <f>'Allocation = % of Margin'!U75</f>
        <v>-1.33E-3</v>
      </c>
      <c r="Q74" s="941"/>
      <c r="R74" s="814">
        <f t="shared" si="12"/>
        <v>0.13804</v>
      </c>
      <c r="S74" s="1164">
        <f>'Allocation = % of Margin'!O75</f>
        <v>0</v>
      </c>
      <c r="T74" s="233">
        <f>'Allocation = % of Margin'!R75</f>
        <v>-2.5300000000000001E-3</v>
      </c>
      <c r="U74" s="940"/>
      <c r="V74" s="828">
        <f t="shared" si="13"/>
        <v>-2.5300000000000001E-3</v>
      </c>
      <c r="W74" s="829">
        <f t="shared" si="6"/>
        <v>0.13602</v>
      </c>
      <c r="X74" s="1254"/>
      <c r="Y74" s="953">
        <f>ROUND(R74*(HLOOKUP($C$73,'Rate Spread Proposal'!$E$98:$AA$103,6,FALSE)),5)</f>
        <v>9.0900000000000009E-3</v>
      </c>
      <c r="Z74" s="940">
        <f>'Allocation = % of Margin'!X75</f>
        <v>-1.2999999999999999E-4</v>
      </c>
      <c r="AA74" s="236">
        <f t="shared" si="7"/>
        <v>8.9600000000000009E-3</v>
      </c>
      <c r="AB74" s="1462">
        <f t="shared" si="8"/>
        <v>0.14751</v>
      </c>
      <c r="AC74" s="233"/>
      <c r="AD74" s="787"/>
      <c r="AE74" s="132"/>
      <c r="AF74" s="228"/>
      <c r="AG74" s="226"/>
      <c r="AH74" s="228"/>
      <c r="AI74" s="227"/>
      <c r="AJ74" s="226"/>
    </row>
    <row r="75" spans="1:36" x14ac:dyDescent="0.25">
      <c r="A75" s="133">
        <f t="shared" si="17"/>
        <v>69</v>
      </c>
      <c r="B75" s="133"/>
      <c r="C75" s="133"/>
      <c r="D75" s="1510" t="s">
        <v>6</v>
      </c>
      <c r="E75" s="232">
        <f t="shared" si="19"/>
        <v>9.1999999999999998E-2</v>
      </c>
      <c r="F75" s="233">
        <v>0</v>
      </c>
      <c r="G75" s="226"/>
      <c r="H75" s="233"/>
      <c r="I75" s="234">
        <f t="shared" si="20"/>
        <v>3.7999999999999997E-4</v>
      </c>
      <c r="J75" s="235">
        <f t="shared" si="18"/>
        <v>9.2380000000000004E-2</v>
      </c>
      <c r="K75" s="233"/>
      <c r="L75" s="233">
        <f>ROUND(E75*(HLOOKUP($C$73,'Rate Spread Proposal'!$E$71:$AA$76,6,FALSE)),5)</f>
        <v>1.487E-2</v>
      </c>
      <c r="M75" s="233"/>
      <c r="N75" s="236">
        <f t="shared" si="2"/>
        <v>9.1999999999999998E-2</v>
      </c>
      <c r="O75" s="236">
        <f t="shared" si="3"/>
        <v>0.10686999999999999</v>
      </c>
      <c r="P75" s="233">
        <f>'Allocation = % of Margin'!U76</f>
        <v>-1.0200000000000001E-3</v>
      </c>
      <c r="Q75" s="941"/>
      <c r="R75" s="814">
        <f t="shared" si="12"/>
        <v>0.10585</v>
      </c>
      <c r="S75" s="1164">
        <f>'Allocation = % of Margin'!O76</f>
        <v>0</v>
      </c>
      <c r="T75" s="233">
        <f>'Allocation = % of Margin'!R76</f>
        <v>-1.9400000000000001E-3</v>
      </c>
      <c r="U75" s="940"/>
      <c r="V75" s="828">
        <f t="shared" si="13"/>
        <v>-1.9400000000000001E-3</v>
      </c>
      <c r="W75" s="829">
        <f t="shared" si="6"/>
        <v>0.10429000000000001</v>
      </c>
      <c r="X75" s="1254"/>
      <c r="Y75" s="953">
        <f>ROUND(R75*(HLOOKUP($C$73,'Rate Spread Proposal'!$E$98:$AA$103,6,FALSE)),5)</f>
        <v>6.9699999999999996E-3</v>
      </c>
      <c r="Z75" s="940">
        <f>'Allocation = % of Margin'!X76</f>
        <v>-1E-4</v>
      </c>
      <c r="AA75" s="236">
        <f t="shared" si="7"/>
        <v>6.8699999999999994E-3</v>
      </c>
      <c r="AB75" s="1462">
        <f t="shared" si="8"/>
        <v>0.11310000000000001</v>
      </c>
      <c r="AC75" s="233"/>
      <c r="AD75" s="224"/>
      <c r="AE75" s="225"/>
      <c r="AF75" s="228"/>
      <c r="AG75" s="226"/>
      <c r="AH75" s="228"/>
      <c r="AI75" s="227"/>
      <c r="AJ75" s="226"/>
    </row>
    <row r="76" spans="1:36" x14ac:dyDescent="0.25">
      <c r="A76" s="133">
        <f t="shared" si="17"/>
        <v>70</v>
      </c>
      <c r="B76" s="133"/>
      <c r="C76" s="133"/>
      <c r="D76" s="1510" t="s">
        <v>7</v>
      </c>
      <c r="E76" s="232">
        <f t="shared" si="19"/>
        <v>7.3609999999999995E-2</v>
      </c>
      <c r="F76" s="233">
        <v>0</v>
      </c>
      <c r="G76" s="226"/>
      <c r="H76" s="233"/>
      <c r="I76" s="234">
        <f t="shared" si="20"/>
        <v>3.0999999999999995E-4</v>
      </c>
      <c r="J76" s="235">
        <f t="shared" si="18"/>
        <v>7.392E-2</v>
      </c>
      <c r="K76" s="233"/>
      <c r="L76" s="233">
        <f>ROUND(E76*(HLOOKUP($C$73,'Rate Spread Proposal'!$E$71:$AA$76,6,FALSE)),5)</f>
        <v>1.189E-2</v>
      </c>
      <c r="M76" s="233"/>
      <c r="N76" s="236">
        <f t="shared" si="2"/>
        <v>7.3609999999999995E-2</v>
      </c>
      <c r="O76" s="236">
        <f t="shared" si="3"/>
        <v>8.5499999999999993E-2</v>
      </c>
      <c r="P76" s="233">
        <f>'Allocation = % of Margin'!U77</f>
        <v>-8.1999999999999998E-4</v>
      </c>
      <c r="Q76" s="941"/>
      <c r="R76" s="814">
        <f t="shared" si="12"/>
        <v>8.4679999999999991E-2</v>
      </c>
      <c r="S76" s="1164">
        <f>'Allocation = % of Margin'!O77</f>
        <v>0</v>
      </c>
      <c r="T76" s="233">
        <f>'Allocation = % of Margin'!R77</f>
        <v>-1.5499999999999999E-3</v>
      </c>
      <c r="U76" s="940"/>
      <c r="V76" s="828">
        <f t="shared" si="13"/>
        <v>-1.5499999999999999E-3</v>
      </c>
      <c r="W76" s="829">
        <f t="shared" si="6"/>
        <v>8.344E-2</v>
      </c>
      <c r="X76" s="1254"/>
      <c r="Y76" s="953">
        <f>ROUND(R76*(HLOOKUP($C$73,'Rate Spread Proposal'!$E$98:$AA$103,6,FALSE)),5)</f>
        <v>5.5799999999999999E-3</v>
      </c>
      <c r="Z76" s="940">
        <f>'Allocation = % of Margin'!X77</f>
        <v>-8.0000000000000007E-5</v>
      </c>
      <c r="AA76" s="236">
        <f t="shared" si="7"/>
        <v>5.4999999999999997E-3</v>
      </c>
      <c r="AB76" s="1462">
        <f t="shared" si="8"/>
        <v>9.0490000000000001E-2</v>
      </c>
      <c r="AC76" s="233"/>
      <c r="AD76" s="224"/>
      <c r="AE76" s="225"/>
      <c r="AF76" s="228"/>
      <c r="AG76" s="226"/>
      <c r="AH76" s="228"/>
      <c r="AI76" s="227"/>
      <c r="AJ76" s="226"/>
    </row>
    <row r="77" spans="1:36" x14ac:dyDescent="0.25">
      <c r="A77" s="133">
        <f t="shared" si="17"/>
        <v>71</v>
      </c>
      <c r="B77" s="133"/>
      <c r="C77" s="133"/>
      <c r="D77" s="1510" t="s">
        <v>8</v>
      </c>
      <c r="E77" s="232">
        <f t="shared" si="19"/>
        <v>4.9079999999999999E-2</v>
      </c>
      <c r="F77" s="233">
        <v>0</v>
      </c>
      <c r="G77" s="226"/>
      <c r="H77" s="233"/>
      <c r="I77" s="234">
        <f t="shared" si="20"/>
        <v>2.0999999999999998E-4</v>
      </c>
      <c r="J77" s="235">
        <f t="shared" si="18"/>
        <v>4.929E-2</v>
      </c>
      <c r="K77" s="233"/>
      <c r="L77" s="233">
        <f>ROUND(E77*(HLOOKUP($C$73,'Rate Spread Proposal'!$E$71:$AA$76,6,FALSE)),5)</f>
        <v>7.9299999999999995E-3</v>
      </c>
      <c r="M77" s="233"/>
      <c r="N77" s="236">
        <f t="shared" si="2"/>
        <v>4.9079999999999999E-2</v>
      </c>
      <c r="O77" s="236">
        <f t="shared" si="3"/>
        <v>5.7009999999999998E-2</v>
      </c>
      <c r="P77" s="233">
        <f>'Allocation = % of Margin'!U78</f>
        <v>-5.5000000000000003E-4</v>
      </c>
      <c r="Q77" s="941"/>
      <c r="R77" s="814">
        <f t="shared" ref="R77:R81" si="21">SUM(O77:Q77)</f>
        <v>5.6459999999999996E-2</v>
      </c>
      <c r="S77" s="1164">
        <f>'Allocation = % of Margin'!O78</f>
        <v>0</v>
      </c>
      <c r="T77" s="233">
        <f>'Allocation = % of Margin'!R78</f>
        <v>-1.0300000000000001E-3</v>
      </c>
      <c r="U77" s="940"/>
      <c r="V77" s="828">
        <f t="shared" ref="V77:V81" si="22">SUM(S77:U77)</f>
        <v>-1.0300000000000001E-3</v>
      </c>
      <c r="W77" s="829">
        <f t="shared" si="6"/>
        <v>5.5639999999999995E-2</v>
      </c>
      <c r="X77" s="1254"/>
      <c r="Y77" s="953">
        <f>ROUND(R77*(HLOOKUP($C$73,'Rate Spread Proposal'!$E$98:$AA$103,6,FALSE)),5)</f>
        <v>3.7200000000000002E-3</v>
      </c>
      <c r="Z77" s="940">
        <f>'Allocation = % of Margin'!X78</f>
        <v>-5.0000000000000002E-5</v>
      </c>
      <c r="AA77" s="236">
        <f t="shared" si="7"/>
        <v>3.6700000000000001E-3</v>
      </c>
      <c r="AB77" s="1462">
        <f t="shared" si="8"/>
        <v>6.0339999999999998E-2</v>
      </c>
      <c r="AC77" s="233"/>
      <c r="AD77" s="224"/>
      <c r="AE77" s="225"/>
      <c r="AF77" s="228"/>
      <c r="AG77" s="226"/>
      <c r="AH77" s="228"/>
      <c r="AI77" s="227"/>
      <c r="AJ77" s="226"/>
    </row>
    <row r="78" spans="1:36" x14ac:dyDescent="0.25">
      <c r="A78" s="133">
        <f t="shared" si="17"/>
        <v>72</v>
      </c>
      <c r="B78" s="1509"/>
      <c r="C78" s="1509"/>
      <c r="D78" s="1512" t="s">
        <v>9</v>
      </c>
      <c r="E78" s="237">
        <f t="shared" si="19"/>
        <v>1.839E-2</v>
      </c>
      <c r="F78" s="238">
        <v>0</v>
      </c>
      <c r="G78" s="220"/>
      <c r="H78" s="238"/>
      <c r="I78" s="239">
        <f t="shared" si="20"/>
        <v>6.9999999999999994E-5</v>
      </c>
      <c r="J78" s="240">
        <f t="shared" si="18"/>
        <v>1.8460000000000001E-2</v>
      </c>
      <c r="K78" s="233"/>
      <c r="L78" s="238">
        <f>ROUND(E78*(HLOOKUP($C$73,'Rate Spread Proposal'!$E$71:$AA$76,6,FALSE)),5)</f>
        <v>2.97E-3</v>
      </c>
      <c r="M78" s="233"/>
      <c r="N78" s="241">
        <f t="shared" ref="N78:N81" si="23">(J78-F78-G78-H78)-I78</f>
        <v>1.839E-2</v>
      </c>
      <c r="O78" s="241">
        <f t="shared" ref="O78:O80" si="24">N78+L78</f>
        <v>2.1360000000000001E-2</v>
      </c>
      <c r="P78" s="238">
        <f>'Allocation = % of Margin'!U79</f>
        <v>-2.0000000000000001E-4</v>
      </c>
      <c r="Q78" s="943"/>
      <c r="R78" s="815">
        <f t="shared" si="21"/>
        <v>2.1160000000000002E-2</v>
      </c>
      <c r="S78" s="1165">
        <f>'Allocation = % of Margin'!O79</f>
        <v>0</v>
      </c>
      <c r="T78" s="238">
        <f>'Allocation = % of Margin'!R79</f>
        <v>-3.8999999999999999E-4</v>
      </c>
      <c r="U78" s="942"/>
      <c r="V78" s="830">
        <f t="shared" si="22"/>
        <v>-3.8999999999999999E-4</v>
      </c>
      <c r="W78" s="831">
        <f t="shared" ref="W78:W81" si="25">R78+V78+SUM(F78:I78)</f>
        <v>2.0840000000000001E-2</v>
      </c>
      <c r="X78" s="1254"/>
      <c r="Y78" s="953">
        <f>ROUND(R78*(HLOOKUP($C$73,'Rate Spread Proposal'!$E$98:$AA$103,6,FALSE)),5)</f>
        <v>1.39E-3</v>
      </c>
      <c r="Z78" s="942">
        <f>'Allocation = % of Margin'!X79</f>
        <v>-2.0000000000000002E-5</v>
      </c>
      <c r="AA78" s="236">
        <f t="shared" ref="AA78:AA81" si="26">SUM(Y78:Z78)</f>
        <v>1.3699999999999999E-3</v>
      </c>
      <c r="AB78" s="1463">
        <f t="shared" ref="AB78:AB81" si="27">W78+AA78-S78-T78</f>
        <v>2.2600000000000002E-2</v>
      </c>
      <c r="AC78" s="233"/>
      <c r="AD78" s="224"/>
      <c r="AE78" s="225"/>
      <c r="AF78" s="228"/>
      <c r="AG78" s="226"/>
      <c r="AH78" s="228"/>
      <c r="AI78" s="227"/>
      <c r="AJ78" s="226"/>
    </row>
    <row r="79" spans="1:36" x14ac:dyDescent="0.25">
      <c r="A79" s="133">
        <f t="shared" si="17"/>
        <v>73</v>
      </c>
      <c r="B79" s="1509" t="s">
        <v>347</v>
      </c>
      <c r="C79" s="1509" t="s">
        <v>56</v>
      </c>
      <c r="D79" s="1509" t="s">
        <v>283</v>
      </c>
      <c r="E79" s="242">
        <v>4.9099999999999994E-3</v>
      </c>
      <c r="F79" s="243">
        <v>0</v>
      </c>
      <c r="G79" s="243"/>
      <c r="H79" s="243"/>
      <c r="I79" s="244">
        <v>1.0000000000000001E-5</v>
      </c>
      <c r="J79" s="245">
        <f t="shared" si="1"/>
        <v>4.919999999999999E-3</v>
      </c>
      <c r="K79" s="233"/>
      <c r="L79" s="243">
        <f>ROUND(E79*(HLOOKUP(C79,'Rate Spread Proposal'!$E$71:$AA$76,6,FALSE)),5)</f>
        <v>0</v>
      </c>
      <c r="M79" s="233"/>
      <c r="N79" s="246">
        <f t="shared" si="23"/>
        <v>4.9099999999999994E-3</v>
      </c>
      <c r="O79" s="246">
        <f t="shared" si="24"/>
        <v>4.9099999999999994E-3</v>
      </c>
      <c r="P79" s="243">
        <f>'Allocation = % of Margin'!U80</f>
        <v>0</v>
      </c>
      <c r="Q79" s="945"/>
      <c r="R79" s="816">
        <f t="shared" si="21"/>
        <v>4.9099999999999994E-3</v>
      </c>
      <c r="S79" s="1166">
        <f>'Allocation = % of Margin'!O80</f>
        <v>0</v>
      </c>
      <c r="T79" s="243">
        <f>'Allocation = % of Margin'!R80</f>
        <v>0</v>
      </c>
      <c r="U79" s="944"/>
      <c r="V79" s="832">
        <f t="shared" si="22"/>
        <v>0</v>
      </c>
      <c r="W79" s="833">
        <f t="shared" si="25"/>
        <v>4.919999999999999E-3</v>
      </c>
      <c r="X79" s="1254"/>
      <c r="Y79" s="963">
        <f>ROUND(R79*(HLOOKUP(C79,'Rate Spread Proposal'!$E$98:$AA$103,6,FALSE)),5)</f>
        <v>0</v>
      </c>
      <c r="Z79" s="944">
        <f>'Allocation = % of Margin'!X80</f>
        <v>0</v>
      </c>
      <c r="AA79" s="246">
        <f t="shared" si="26"/>
        <v>0</v>
      </c>
      <c r="AB79" s="1464">
        <f t="shared" si="27"/>
        <v>4.919999999999999E-3</v>
      </c>
      <c r="AC79" s="233"/>
      <c r="AD79" s="224">
        <f>'WA Volumes &amp; Revenues'!O81</f>
        <v>38000</v>
      </c>
      <c r="AE79" s="225">
        <f>'WA Volumes &amp; Revenues'!N81</f>
        <v>38000</v>
      </c>
      <c r="AF79" s="228">
        <v>0.15748000000000001</v>
      </c>
      <c r="AG79" s="226"/>
      <c r="AH79" s="228"/>
      <c r="AI79" s="227"/>
      <c r="AJ79" s="226"/>
    </row>
    <row r="80" spans="1:36" x14ac:dyDescent="0.25">
      <c r="A80" s="133">
        <f t="shared" si="17"/>
        <v>74</v>
      </c>
      <c r="B80" s="1508" t="s">
        <v>349</v>
      </c>
      <c r="C80" s="1508" t="s">
        <v>348</v>
      </c>
      <c r="D80" s="1508" t="s">
        <v>283</v>
      </c>
      <c r="E80" s="237">
        <v>4.9099999999999994E-3</v>
      </c>
      <c r="F80" s="238">
        <v>0</v>
      </c>
      <c r="G80" s="238"/>
      <c r="H80" s="238"/>
      <c r="I80" s="239">
        <v>1.0000000000000001E-5</v>
      </c>
      <c r="J80" s="240">
        <f t="shared" si="1"/>
        <v>4.919999999999999E-3</v>
      </c>
      <c r="K80" s="233"/>
      <c r="L80" s="238">
        <f>ROUND(E80*(HLOOKUP(C80,'Rate Spread Proposal'!$E$71:$AA$76,6,FALSE)),5)</f>
        <v>0</v>
      </c>
      <c r="M80" s="233"/>
      <c r="N80" s="241">
        <f t="shared" si="23"/>
        <v>4.9099999999999994E-3</v>
      </c>
      <c r="O80" s="241">
        <f t="shared" si="24"/>
        <v>4.9099999999999994E-3</v>
      </c>
      <c r="P80" s="238">
        <f>'Allocation = % of Margin'!U81</f>
        <v>0</v>
      </c>
      <c r="Q80" s="942"/>
      <c r="R80" s="816">
        <f t="shared" si="21"/>
        <v>4.9099999999999994E-3</v>
      </c>
      <c r="S80" s="1165">
        <f>'Allocation = % of Margin'!O81</f>
        <v>0</v>
      </c>
      <c r="T80" s="238">
        <f>'Allocation = % of Margin'!R81</f>
        <v>0</v>
      </c>
      <c r="U80" s="944"/>
      <c r="V80" s="832">
        <f t="shared" si="22"/>
        <v>0</v>
      </c>
      <c r="W80" s="833">
        <f t="shared" si="25"/>
        <v>4.919999999999999E-3</v>
      </c>
      <c r="X80" s="1254"/>
      <c r="Y80" s="963">
        <f>ROUND(R80*(HLOOKUP(C80,'Rate Spread Proposal'!$E$98:$AA$103,6,FALSE)),5)</f>
        <v>0</v>
      </c>
      <c r="Z80" s="942">
        <f>'Allocation = % of Margin'!X81</f>
        <v>0</v>
      </c>
      <c r="AA80" s="246">
        <f t="shared" si="26"/>
        <v>0</v>
      </c>
      <c r="AB80" s="1464">
        <f t="shared" si="27"/>
        <v>4.919999999999999E-3</v>
      </c>
      <c r="AC80" s="233"/>
      <c r="AD80" s="224">
        <f>'WA Volumes &amp; Revenues'!O82</f>
        <v>38000</v>
      </c>
      <c r="AE80" s="225">
        <f>'WA Volumes &amp; Revenues'!N82</f>
        <v>38000</v>
      </c>
      <c r="AF80" s="228"/>
      <c r="AG80" s="226"/>
      <c r="AH80" s="228"/>
      <c r="AI80" s="227"/>
      <c r="AJ80" s="226"/>
    </row>
    <row r="81" spans="1:36" ht="15.75" thickBot="1" x14ac:dyDescent="0.3">
      <c r="A81" s="133">
        <f t="shared" si="17"/>
        <v>75</v>
      </c>
      <c r="B81" s="1508" t="s">
        <v>368</v>
      </c>
      <c r="C81" s="1508" t="s">
        <v>391</v>
      </c>
      <c r="D81" s="1508" t="s">
        <v>283</v>
      </c>
      <c r="E81" s="1109"/>
      <c r="F81" s="248">
        <v>0</v>
      </c>
      <c r="G81" s="720"/>
      <c r="H81" s="248"/>
      <c r="I81" s="674">
        <v>0</v>
      </c>
      <c r="J81" s="732">
        <f t="shared" si="1"/>
        <v>0</v>
      </c>
      <c r="K81" s="233"/>
      <c r="L81" s="248">
        <f>ROUND(E81*(HLOOKUP(C81,'Rate Spread Proposal'!$E$71:$AA$76,6,FALSE)),5)</f>
        <v>0</v>
      </c>
      <c r="M81" s="233"/>
      <c r="N81" s="247">
        <f t="shared" si="23"/>
        <v>0</v>
      </c>
      <c r="O81" s="1168">
        <f>N81+L81</f>
        <v>0</v>
      </c>
      <c r="P81" s="248">
        <f>'Allocation = % of Margin'!U82</f>
        <v>0</v>
      </c>
      <c r="Q81" s="946"/>
      <c r="R81" s="817">
        <f t="shared" si="21"/>
        <v>0</v>
      </c>
      <c r="S81" s="1167">
        <f>'Allocation = % of Margin'!O82</f>
        <v>0</v>
      </c>
      <c r="T81" s="248">
        <f>'Allocation = % of Margin'!R82</f>
        <v>0</v>
      </c>
      <c r="U81" s="947"/>
      <c r="V81" s="834">
        <f t="shared" si="22"/>
        <v>0</v>
      </c>
      <c r="W81" s="835">
        <f t="shared" si="25"/>
        <v>0</v>
      </c>
      <c r="X81" s="1254"/>
      <c r="Y81" s="954">
        <f>ROUND(R81*(HLOOKUP(C81,'Rate Spread Proposal'!$E$98:$AA$103,6,FALSE)),5)</f>
        <v>0</v>
      </c>
      <c r="Z81" s="947">
        <f>'Allocation = % of Margin'!X82</f>
        <v>0</v>
      </c>
      <c r="AA81" s="1168">
        <f t="shared" si="26"/>
        <v>0</v>
      </c>
      <c r="AB81" s="999">
        <f t="shared" si="27"/>
        <v>0</v>
      </c>
      <c r="AC81" s="233"/>
      <c r="AD81" s="788">
        <f>'WA Volumes &amp; Revenues'!O83</f>
        <v>0</v>
      </c>
      <c r="AE81" s="789">
        <f>'WA Volumes &amp; Revenues'!N83</f>
        <v>0</v>
      </c>
      <c r="AF81" s="674"/>
      <c r="AG81" s="248"/>
      <c r="AH81" s="674"/>
      <c r="AI81" s="675"/>
      <c r="AJ81" s="233"/>
    </row>
    <row r="82" spans="1:36" x14ac:dyDescent="0.25">
      <c r="A82" s="133">
        <f t="shared" si="17"/>
        <v>76</v>
      </c>
    </row>
    <row r="83" spans="1:36" x14ac:dyDescent="0.25">
      <c r="A83" s="133">
        <f t="shared" si="17"/>
        <v>77</v>
      </c>
      <c r="B83" s="250" t="s">
        <v>183</v>
      </c>
      <c r="C83" s="250"/>
    </row>
    <row r="84" spans="1:36" x14ac:dyDescent="0.25">
      <c r="A84" s="133"/>
      <c r="B84" s="249"/>
      <c r="C84" s="249"/>
    </row>
    <row r="85" spans="1:36" x14ac:dyDescent="0.25">
      <c r="B85" s="249"/>
      <c r="C85" s="249"/>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D6:AI6"/>
    <mergeCell ref="E7:J7"/>
    <mergeCell ref="O6:Q6"/>
    <mergeCell ref="Y5:AB5"/>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W93"/>
  <sheetViews>
    <sheetView zoomScale="95" zoomScaleNormal="95" workbookViewId="0">
      <pane xSplit="3" ySplit="13" topLeftCell="D14" activePane="bottomRight" state="frozen"/>
      <selection pane="topRight" activeCell="D1" sqref="D1"/>
      <selection pane="bottomLeft" activeCell="A14" sqref="A14"/>
      <selection pane="bottomRight" activeCell="E45" sqref="E45"/>
    </sheetView>
  </sheetViews>
  <sheetFormatPr defaultColWidth="9.33203125" defaultRowHeight="12.75" outlineLevelCol="1" x14ac:dyDescent="0.2"/>
  <cols>
    <col min="1" max="1" width="6.83203125" style="55" customWidth="1"/>
    <col min="2" max="2" width="19.1640625" style="56" customWidth="1"/>
    <col min="3" max="3" width="12.83203125" style="56" customWidth="1"/>
    <col min="4" max="4" width="18.33203125" style="56" customWidth="1"/>
    <col min="5" max="6" width="16.6640625" style="56" customWidth="1"/>
    <col min="7" max="7" width="16.6640625" style="56" hidden="1" customWidth="1" outlineLevel="1"/>
    <col min="8" max="8" width="18.6640625" style="60" customWidth="1" collapsed="1"/>
    <col min="9" max="9" width="19.5" style="56" hidden="1" customWidth="1" outlineLevel="1"/>
    <col min="10" max="10" width="19" style="56" hidden="1" customWidth="1" collapsed="1"/>
    <col min="11" max="12" width="16.6640625" style="56" customWidth="1"/>
    <col min="13" max="13" width="16.6640625" style="56" hidden="1" customWidth="1" outlineLevel="1"/>
    <col min="14" max="14" width="18.6640625" style="60" hidden="1" customWidth="1" collapsed="1"/>
    <col min="15" max="15" width="19.5" style="56" hidden="1" customWidth="1" outlineLevel="1"/>
    <col min="16" max="16" width="19" style="56" customWidth="1" collapsed="1"/>
    <col min="17" max="16384" width="9.33203125" style="55"/>
  </cols>
  <sheetData>
    <row r="1" spans="1:23" x14ac:dyDescent="0.2">
      <c r="A1" s="139" t="str">
        <f>+'WA Volumes &amp; Revenues'!A1</f>
        <v>NW Natural</v>
      </c>
    </row>
    <row r="2" spans="1:23" x14ac:dyDescent="0.2">
      <c r="A2" s="139" t="str">
        <f>+'WA Volumes &amp; Revenues'!A2</f>
        <v>Rates &amp; Regulatory Affairs</v>
      </c>
    </row>
    <row r="3" spans="1:23" x14ac:dyDescent="0.2">
      <c r="A3" s="139" t="str">
        <f>+'WA Volumes &amp; Revenues'!A3</f>
        <v>Test Year Ending September 30, 2020</v>
      </c>
      <c r="E3" s="140"/>
      <c r="F3" s="140"/>
      <c r="G3" s="140"/>
      <c r="H3" s="544"/>
      <c r="I3" s="140"/>
      <c r="K3" s="140"/>
      <c r="L3" s="140"/>
      <c r="M3" s="140"/>
      <c r="N3" s="544"/>
      <c r="O3" s="140"/>
    </row>
    <row r="4" spans="1:23" ht="13.5" thickBot="1" x14ac:dyDescent="0.25">
      <c r="A4" s="139" t="s">
        <v>64</v>
      </c>
    </row>
    <row r="5" spans="1:23" ht="13.5" thickBot="1" x14ac:dyDescent="0.25">
      <c r="H5" s="600" t="s">
        <v>565</v>
      </c>
      <c r="J5" s="964" t="s">
        <v>422</v>
      </c>
      <c r="P5" s="600" t="s">
        <v>566</v>
      </c>
    </row>
    <row r="6" spans="1:23" ht="13.5" thickBot="1" x14ac:dyDescent="0.25">
      <c r="G6" s="545"/>
      <c r="H6" s="547" t="s">
        <v>78</v>
      </c>
      <c r="J6" s="552" t="s">
        <v>278</v>
      </c>
      <c r="M6" s="545"/>
      <c r="N6" s="600" t="s">
        <v>78</v>
      </c>
      <c r="P6" s="360" t="s">
        <v>78</v>
      </c>
    </row>
    <row r="7" spans="1:23" x14ac:dyDescent="0.2">
      <c r="D7" s="559"/>
      <c r="E7" s="546"/>
      <c r="F7" s="546"/>
      <c r="G7" s="546"/>
      <c r="H7" s="1514"/>
      <c r="I7" s="965" t="s">
        <v>423</v>
      </c>
      <c r="J7" s="565" t="s">
        <v>184</v>
      </c>
      <c r="K7" s="546"/>
      <c r="L7" s="546"/>
      <c r="M7" s="546"/>
      <c r="N7" s="1000"/>
      <c r="O7" s="965" t="s">
        <v>424</v>
      </c>
      <c r="P7" s="1524"/>
    </row>
    <row r="8" spans="1:23" x14ac:dyDescent="0.2">
      <c r="A8" s="86">
        <v>1</v>
      </c>
      <c r="D8" s="859"/>
      <c r="E8" s="425" t="s">
        <v>557</v>
      </c>
      <c r="F8" s="86" t="str">
        <f>E8</f>
        <v>UG-20XXXX</v>
      </c>
      <c r="G8" s="86" t="str">
        <f>E8</f>
        <v>UG-20XXXX</v>
      </c>
      <c r="H8" s="1515" t="str">
        <f>E8</f>
        <v>UG-20XXXX</v>
      </c>
      <c r="I8" s="425" t="s">
        <v>236</v>
      </c>
      <c r="J8" s="565" t="s">
        <v>32</v>
      </c>
      <c r="K8" s="86" t="str">
        <f>H8</f>
        <v>UG-20XXXX</v>
      </c>
      <c r="L8" s="86" t="str">
        <f>K8</f>
        <v>UG-20XXXX</v>
      </c>
      <c r="M8" s="86" t="str">
        <f>K8</f>
        <v>UG-20XXXX</v>
      </c>
      <c r="N8" s="849" t="str">
        <f>K8</f>
        <v>UG-20XXXX</v>
      </c>
      <c r="O8" s="425" t="s">
        <v>236</v>
      </c>
      <c r="P8" s="1524" t="str">
        <f>M8</f>
        <v>UG-20XXXX</v>
      </c>
    </row>
    <row r="9" spans="1:23" x14ac:dyDescent="0.2">
      <c r="A9" s="86">
        <f t="shared" ref="A9:A83" si="0">+A8+1</f>
        <v>2</v>
      </c>
      <c r="D9" s="357">
        <f>+'Avg Bill by RS'!K9</f>
        <v>44136</v>
      </c>
      <c r="E9" s="548" t="str">
        <f>'Allocation = ¢ per Therm'!D12</f>
        <v>WA GRC</v>
      </c>
      <c r="F9" s="548" t="str">
        <f>E9</f>
        <v>WA GRC</v>
      </c>
      <c r="G9" s="1224" t="s">
        <v>388</v>
      </c>
      <c r="H9" s="1516" t="s">
        <v>21</v>
      </c>
      <c r="I9" s="548" t="s">
        <v>280</v>
      </c>
      <c r="J9" s="565" t="s">
        <v>21</v>
      </c>
      <c r="K9" s="548" t="s">
        <v>279</v>
      </c>
      <c r="L9" s="548" t="s">
        <v>279</v>
      </c>
      <c r="M9" s="1224" t="s">
        <v>388</v>
      </c>
      <c r="N9" s="848" t="s">
        <v>21</v>
      </c>
      <c r="O9" s="548" t="s">
        <v>280</v>
      </c>
      <c r="P9" s="1531" t="s">
        <v>21</v>
      </c>
    </row>
    <row r="10" spans="1:23" x14ac:dyDescent="0.2">
      <c r="A10" s="86">
        <f t="shared" si="0"/>
        <v>3</v>
      </c>
      <c r="D10" s="575" t="s">
        <v>15</v>
      </c>
      <c r="E10" s="86" t="s">
        <v>90</v>
      </c>
      <c r="F10" s="86" t="s">
        <v>30</v>
      </c>
      <c r="G10" s="1225" t="s">
        <v>389</v>
      </c>
      <c r="H10" s="1515" t="s">
        <v>241</v>
      </c>
      <c r="I10" s="86" t="s">
        <v>237</v>
      </c>
      <c r="J10" s="566" t="s">
        <v>240</v>
      </c>
      <c r="K10" s="86" t="s">
        <v>90</v>
      </c>
      <c r="L10" s="86" t="s">
        <v>30</v>
      </c>
      <c r="M10" s="1225" t="s">
        <v>389</v>
      </c>
      <c r="N10" s="849" t="s">
        <v>241</v>
      </c>
      <c r="O10" s="86" t="s">
        <v>237</v>
      </c>
      <c r="P10" s="1524" t="s">
        <v>241</v>
      </c>
    </row>
    <row r="11" spans="1:23" s="57" customFormat="1" ht="13.5" thickBot="1" x14ac:dyDescent="0.25">
      <c r="A11" s="86">
        <f t="shared" si="0"/>
        <v>4</v>
      </c>
      <c r="B11" s="56"/>
      <c r="C11" s="56"/>
      <c r="D11" s="860" t="s">
        <v>16</v>
      </c>
      <c r="E11" s="359" t="s">
        <v>98</v>
      </c>
      <c r="F11" s="359" t="s">
        <v>28</v>
      </c>
      <c r="G11" s="1226" t="s">
        <v>390</v>
      </c>
      <c r="H11" s="1517" t="s">
        <v>28</v>
      </c>
      <c r="I11" s="359" t="s">
        <v>28</v>
      </c>
      <c r="J11" s="567" t="s">
        <v>16</v>
      </c>
      <c r="K11" s="359" t="s">
        <v>98</v>
      </c>
      <c r="L11" s="359" t="s">
        <v>28</v>
      </c>
      <c r="M11" s="1226" t="s">
        <v>390</v>
      </c>
      <c r="N11" s="850" t="s">
        <v>28</v>
      </c>
      <c r="O11" s="359" t="s">
        <v>28</v>
      </c>
      <c r="P11" s="1525" t="s">
        <v>28</v>
      </c>
    </row>
    <row r="12" spans="1:23" s="57" customFormat="1" x14ac:dyDescent="0.2">
      <c r="A12" s="86">
        <f t="shared" si="0"/>
        <v>5</v>
      </c>
      <c r="B12" s="56"/>
      <c r="C12" s="56"/>
      <c r="D12" s="861"/>
      <c r="E12" s="58"/>
      <c r="F12" s="58"/>
      <c r="G12" s="58"/>
      <c r="H12" s="1515" t="s">
        <v>386</v>
      </c>
      <c r="I12" s="58"/>
      <c r="J12" s="565" t="s">
        <v>387</v>
      </c>
      <c r="K12" s="58"/>
      <c r="L12" s="58"/>
      <c r="M12" s="58"/>
      <c r="N12" s="849" t="s">
        <v>445</v>
      </c>
      <c r="O12" s="58"/>
      <c r="P12" s="1524" t="s">
        <v>611</v>
      </c>
    </row>
    <row r="13" spans="1:23" s="57" customFormat="1" x14ac:dyDescent="0.2">
      <c r="A13" s="86">
        <f t="shared" si="0"/>
        <v>6</v>
      </c>
      <c r="B13" s="741" t="s">
        <v>2</v>
      </c>
      <c r="C13" s="741" t="s">
        <v>3</v>
      </c>
      <c r="D13" s="363" t="s">
        <v>35</v>
      </c>
      <c r="E13" s="722" t="s">
        <v>36</v>
      </c>
      <c r="F13" s="124" t="s">
        <v>13</v>
      </c>
      <c r="G13" s="124" t="s">
        <v>37</v>
      </c>
      <c r="H13" s="1518" t="s">
        <v>38</v>
      </c>
      <c r="I13" s="124" t="s">
        <v>39</v>
      </c>
      <c r="J13" s="568" t="s">
        <v>40</v>
      </c>
      <c r="K13" s="722" t="s">
        <v>41</v>
      </c>
      <c r="L13" s="722" t="s">
        <v>42</v>
      </c>
      <c r="M13" s="722" t="s">
        <v>129</v>
      </c>
      <c r="N13" s="851" t="s">
        <v>130</v>
      </c>
      <c r="O13" s="722" t="s">
        <v>43</v>
      </c>
      <c r="P13" s="1526" t="s">
        <v>131</v>
      </c>
    </row>
    <row r="14" spans="1:23" x14ac:dyDescent="0.2">
      <c r="A14" s="86">
        <f t="shared" si="0"/>
        <v>7</v>
      </c>
      <c r="B14" s="1001" t="str">
        <f>'WA Volumes &amp; Revenues'!B15</f>
        <v>1R</v>
      </c>
      <c r="C14" s="1001" t="s">
        <v>283</v>
      </c>
      <c r="D14" s="862">
        <f>'Rates in Detail'!J13</f>
        <v>1.1525299999999998</v>
      </c>
      <c r="E14" s="365">
        <f>SUM('Rates in Detail'!L13,'Rates in Detail'!P13,'Rates in Detail'!Q13)</f>
        <v>0.12315000000000001</v>
      </c>
      <c r="F14" s="365">
        <f>'Rates in Detail'!V13</f>
        <v>-4.8430000000000001E-2</v>
      </c>
      <c r="G14" s="153"/>
      <c r="H14" s="1519">
        <f>SUM(D14:G14)</f>
        <v>1.22725</v>
      </c>
      <c r="I14" s="153"/>
      <c r="J14" s="570">
        <f>SUM(H14:I14)</f>
        <v>1.22725</v>
      </c>
      <c r="K14" s="365">
        <f>'Rates in Detail'!Y13</f>
        <v>6.2010000000000003E-2</v>
      </c>
      <c r="L14" s="365">
        <f>'Rates in Detail'!Z13</f>
        <v>-8.8000000000000003E-4</v>
      </c>
      <c r="M14" s="153"/>
      <c r="N14" s="852">
        <f>SUM(J14:M14)</f>
        <v>1.2883799999999999</v>
      </c>
      <c r="O14" s="153"/>
      <c r="P14" s="1527">
        <f>SUM(N14:O14)-F14</f>
        <v>1.3368099999999998</v>
      </c>
      <c r="R14" s="157"/>
      <c r="S14" s="157"/>
      <c r="T14" s="157"/>
      <c r="U14" s="157"/>
      <c r="V14" s="157"/>
      <c r="W14" s="157"/>
    </row>
    <row r="15" spans="1:23" x14ac:dyDescent="0.2">
      <c r="A15" s="86">
        <f t="shared" si="0"/>
        <v>8</v>
      </c>
      <c r="B15" s="1001" t="str">
        <f>'WA Volumes &amp; Revenues'!B16</f>
        <v>1C</v>
      </c>
      <c r="C15" s="1001" t="s">
        <v>283</v>
      </c>
      <c r="D15" s="862">
        <f>'Rates in Detail'!J14</f>
        <v>1.18929</v>
      </c>
      <c r="E15" s="365">
        <f>SUM('Rates in Detail'!L14,'Rates in Detail'!P14,'Rates in Detail'!Q14)</f>
        <v>0.10241</v>
      </c>
      <c r="F15" s="365">
        <f>'Rates in Detail'!V14</f>
        <v>-4.027E-2</v>
      </c>
      <c r="G15" s="153"/>
      <c r="H15" s="1519">
        <f t="shared" ref="H15:H78" si="1">SUM(D15:G15)</f>
        <v>1.25143</v>
      </c>
      <c r="I15" s="153"/>
      <c r="J15" s="570">
        <f t="shared" ref="J15:J78" si="2">SUM(H15:I15)</f>
        <v>1.25143</v>
      </c>
      <c r="K15" s="365">
        <f>'Rates in Detail'!Y14</f>
        <v>5.1569999999999998E-2</v>
      </c>
      <c r="L15" s="365">
        <f>'Rates in Detail'!Z14</f>
        <v>-7.2999999999999996E-4</v>
      </c>
      <c r="M15" s="153"/>
      <c r="N15" s="852">
        <f t="shared" ref="N15:N78" si="3">SUM(J15:M15)</f>
        <v>1.30227</v>
      </c>
      <c r="O15" s="153"/>
      <c r="P15" s="1527">
        <f t="shared" ref="P15:P78" si="4">SUM(N15:O15)-F15</f>
        <v>1.3425400000000001</v>
      </c>
      <c r="R15" s="157"/>
      <c r="S15" s="157"/>
      <c r="T15" s="157"/>
      <c r="U15" s="157"/>
      <c r="V15" s="157"/>
      <c r="W15" s="157"/>
    </row>
    <row r="16" spans="1:23" x14ac:dyDescent="0.2">
      <c r="A16" s="86">
        <f t="shared" si="0"/>
        <v>9</v>
      </c>
      <c r="B16" s="1001" t="str">
        <f>'WA Volumes &amp; Revenues'!B17</f>
        <v>2R</v>
      </c>
      <c r="C16" s="1001" t="s">
        <v>283</v>
      </c>
      <c r="D16" s="863">
        <f>'Rates in Detail'!J15</f>
        <v>0.88947999999999972</v>
      </c>
      <c r="E16" s="390">
        <f>SUM('Rates in Detail'!L15,'Rates in Detail'!P15,'Rates in Detail'!Q15)</f>
        <v>7.7939999999999995E-2</v>
      </c>
      <c r="F16" s="390">
        <f>'Rates in Detail'!V15</f>
        <v>-3.065E-2</v>
      </c>
      <c r="G16" s="390"/>
      <c r="H16" s="1520">
        <f t="shared" si="1"/>
        <v>0.93676999999999977</v>
      </c>
      <c r="I16" s="390"/>
      <c r="J16" s="569">
        <f t="shared" si="2"/>
        <v>0.93676999999999977</v>
      </c>
      <c r="K16" s="390">
        <f>'Rates in Detail'!Y15</f>
        <v>3.925E-2</v>
      </c>
      <c r="L16" s="390">
        <f>'Rates in Detail'!Z15</f>
        <v>-5.5000000000000003E-4</v>
      </c>
      <c r="M16" s="390"/>
      <c r="N16" s="853">
        <f t="shared" si="3"/>
        <v>0.97546999999999973</v>
      </c>
      <c r="O16" s="390"/>
      <c r="P16" s="1528">
        <f t="shared" si="4"/>
        <v>1.0061199999999997</v>
      </c>
      <c r="R16" s="157"/>
      <c r="S16" s="157"/>
      <c r="T16" s="157"/>
      <c r="U16" s="157"/>
      <c r="V16" s="157"/>
      <c r="W16" s="157"/>
    </row>
    <row r="17" spans="1:23" x14ac:dyDescent="0.2">
      <c r="A17" s="86">
        <f t="shared" si="0"/>
        <v>10</v>
      </c>
      <c r="B17" s="1001" t="str">
        <f>'WA Volumes &amp; Revenues'!B18</f>
        <v>3 CFS</v>
      </c>
      <c r="C17" s="1001" t="s">
        <v>283</v>
      </c>
      <c r="D17" s="862">
        <f>'Rates in Detail'!J16</f>
        <v>0.86690000000000011</v>
      </c>
      <c r="E17" s="365">
        <f>SUM('Rates in Detail'!L16,'Rates in Detail'!P16,'Rates in Detail'!Q16)</f>
        <v>6.9980000000000001E-2</v>
      </c>
      <c r="F17" s="365">
        <f>'Rates in Detail'!V16</f>
        <v>-2.7529999999999999E-2</v>
      </c>
      <c r="G17" s="365"/>
      <c r="H17" s="1519">
        <f t="shared" si="1"/>
        <v>0.9093500000000001</v>
      </c>
      <c r="I17" s="365"/>
      <c r="J17" s="570">
        <f t="shared" si="2"/>
        <v>0.9093500000000001</v>
      </c>
      <c r="K17" s="365">
        <f>'Rates in Detail'!Y16</f>
        <v>3.524E-2</v>
      </c>
      <c r="L17" s="365">
        <f>'Rates in Detail'!Z16</f>
        <v>-5.0000000000000001E-4</v>
      </c>
      <c r="M17" s="365"/>
      <c r="N17" s="852">
        <f t="shared" si="3"/>
        <v>0.94409000000000021</v>
      </c>
      <c r="O17" s="365"/>
      <c r="P17" s="1527">
        <f t="shared" si="4"/>
        <v>0.97162000000000015</v>
      </c>
      <c r="R17" s="157"/>
      <c r="S17" s="157"/>
      <c r="T17" s="157"/>
      <c r="U17" s="157"/>
      <c r="V17" s="157"/>
      <c r="W17" s="157"/>
    </row>
    <row r="18" spans="1:23" x14ac:dyDescent="0.2">
      <c r="A18" s="86">
        <f t="shared" si="0"/>
        <v>11</v>
      </c>
      <c r="B18" s="1001" t="str">
        <f>'WA Volumes &amp; Revenues'!B19</f>
        <v>3 IFS</v>
      </c>
      <c r="C18" s="1001" t="s">
        <v>283</v>
      </c>
      <c r="D18" s="862">
        <f>'Rates in Detail'!J17</f>
        <v>0.82713999999999999</v>
      </c>
      <c r="E18" s="365">
        <f>SUM('Rates in Detail'!L17,'Rates in Detail'!P17,'Rates in Detail'!Q17)</f>
        <v>6.3390000000000002E-2</v>
      </c>
      <c r="F18" s="365">
        <f>'Rates in Detail'!V17</f>
        <v>-8.8699999999999994E-3</v>
      </c>
      <c r="G18" s="365"/>
      <c r="H18" s="1519">
        <f t="shared" si="1"/>
        <v>0.88166</v>
      </c>
      <c r="I18" s="365"/>
      <c r="J18" s="570">
        <f t="shared" si="2"/>
        <v>0.88166</v>
      </c>
      <c r="K18" s="365">
        <f>'Rates in Detail'!Y17</f>
        <v>3.1919999999999997E-2</v>
      </c>
      <c r="L18" s="365">
        <f>'Rates in Detail'!Z17</f>
        <v>-4.4999999999999999E-4</v>
      </c>
      <c r="M18" s="365"/>
      <c r="N18" s="852">
        <f t="shared" si="3"/>
        <v>0.91313</v>
      </c>
      <c r="O18" s="365"/>
      <c r="P18" s="1527">
        <f t="shared" si="4"/>
        <v>0.92200000000000004</v>
      </c>
      <c r="R18" s="157"/>
      <c r="S18" s="157"/>
      <c r="T18" s="157"/>
      <c r="U18" s="157"/>
      <c r="V18" s="157"/>
      <c r="W18" s="157"/>
    </row>
    <row r="19" spans="1:23" x14ac:dyDescent="0.2">
      <c r="A19" s="86">
        <f t="shared" si="0"/>
        <v>12</v>
      </c>
      <c r="B19" s="1001" t="str">
        <f>'WA Volumes &amp; Revenues'!B20</f>
        <v>27R</v>
      </c>
      <c r="C19" s="1001" t="s">
        <v>283</v>
      </c>
      <c r="D19" s="862">
        <f>'Rates in Detail'!J18</f>
        <v>0.64432999999999974</v>
      </c>
      <c r="E19" s="365">
        <f>SUM('Rates in Detail'!L18,'Rates in Detail'!P18,'Rates in Detail'!Q18)</f>
        <v>5.5469999999999998E-2</v>
      </c>
      <c r="F19" s="365">
        <f>'Rates in Detail'!V18</f>
        <v>-2.1819999999999999E-2</v>
      </c>
      <c r="G19" s="365"/>
      <c r="H19" s="1519">
        <f t="shared" si="1"/>
        <v>0.67797999999999981</v>
      </c>
      <c r="I19" s="365"/>
      <c r="J19" s="570">
        <f t="shared" si="2"/>
        <v>0.67797999999999981</v>
      </c>
      <c r="K19" s="365">
        <f>'Rates in Detail'!Y18</f>
        <v>2.793E-2</v>
      </c>
      <c r="L19" s="365">
        <f>'Rates in Detail'!Z18</f>
        <v>-3.8999999999999999E-4</v>
      </c>
      <c r="M19" s="365"/>
      <c r="N19" s="852">
        <f t="shared" si="3"/>
        <v>0.70551999999999981</v>
      </c>
      <c r="O19" s="365"/>
      <c r="P19" s="1527">
        <f t="shared" si="4"/>
        <v>0.72733999999999976</v>
      </c>
      <c r="R19" s="157"/>
      <c r="S19" s="157"/>
      <c r="T19" s="157"/>
      <c r="U19" s="157"/>
      <c r="V19" s="157"/>
      <c r="W19" s="157"/>
    </row>
    <row r="20" spans="1:23" x14ac:dyDescent="0.2">
      <c r="A20" s="86">
        <f t="shared" si="0"/>
        <v>13</v>
      </c>
      <c r="B20" s="86" t="str">
        <f>'WA Volumes &amp; Revenues'!B21</f>
        <v>41C Firm Sales</v>
      </c>
      <c r="C20" s="1490" t="s">
        <v>4</v>
      </c>
      <c r="D20" s="864">
        <f>'Rates in Detail'!J19</f>
        <v>0.65150000000000008</v>
      </c>
      <c r="E20" s="497">
        <f>SUM('Rates in Detail'!L19,'Rates in Detail'!P19,'Rates in Detail'!Q19)</f>
        <v>5.5569999999999994E-2</v>
      </c>
      <c r="F20" s="497">
        <f>'Rates in Detail'!V19</f>
        <v>-2.1860000000000001E-2</v>
      </c>
      <c r="G20" s="497"/>
      <c r="H20" s="1521">
        <f t="shared" si="1"/>
        <v>0.6852100000000001</v>
      </c>
      <c r="I20" s="497"/>
      <c r="J20" s="571">
        <f t="shared" si="2"/>
        <v>0.6852100000000001</v>
      </c>
      <c r="K20" s="497">
        <f>'Rates in Detail'!Y19</f>
        <v>2.7990000000000001E-2</v>
      </c>
      <c r="L20" s="497">
        <f>'Rates in Detail'!Z19</f>
        <v>-4.0000000000000002E-4</v>
      </c>
      <c r="M20" s="497"/>
      <c r="N20" s="854">
        <f t="shared" si="3"/>
        <v>0.7128000000000001</v>
      </c>
      <c r="O20" s="497"/>
      <c r="P20" s="1529">
        <f t="shared" si="4"/>
        <v>0.73466000000000009</v>
      </c>
      <c r="R20" s="157"/>
      <c r="S20" s="157"/>
      <c r="T20" s="157"/>
      <c r="U20" s="157"/>
      <c r="V20" s="157"/>
      <c r="W20" s="157"/>
    </row>
    <row r="21" spans="1:23" x14ac:dyDescent="0.2">
      <c r="A21" s="86">
        <f t="shared" si="0"/>
        <v>14</v>
      </c>
      <c r="B21" s="1513"/>
      <c r="C21" s="1491" t="s">
        <v>5</v>
      </c>
      <c r="D21" s="862">
        <f>'Rates in Detail'!J20</f>
        <v>0.60426999999999997</v>
      </c>
      <c r="E21" s="365">
        <f>SUM('Rates in Detail'!L20,'Rates in Detail'!P20,'Rates in Detail'!Q20)</f>
        <v>4.897E-2</v>
      </c>
      <c r="F21" s="365">
        <f>'Rates in Detail'!V20</f>
        <v>-1.9259999999999999E-2</v>
      </c>
      <c r="G21" s="365"/>
      <c r="H21" s="1519">
        <f t="shared" si="1"/>
        <v>0.63397999999999999</v>
      </c>
      <c r="I21" s="365"/>
      <c r="J21" s="570">
        <f t="shared" si="2"/>
        <v>0.63397999999999999</v>
      </c>
      <c r="K21" s="365">
        <f>'Rates in Detail'!Y20</f>
        <v>2.4660000000000001E-2</v>
      </c>
      <c r="L21" s="365">
        <f>'Rates in Detail'!Z20</f>
        <v>-3.5E-4</v>
      </c>
      <c r="M21" s="365"/>
      <c r="N21" s="852">
        <f t="shared" si="3"/>
        <v>0.65829000000000004</v>
      </c>
      <c r="O21" s="365"/>
      <c r="P21" s="1527">
        <f t="shared" si="4"/>
        <v>0.6775500000000001</v>
      </c>
      <c r="R21" s="157"/>
      <c r="S21" s="157"/>
      <c r="T21" s="157"/>
      <c r="U21" s="157"/>
      <c r="V21" s="157"/>
      <c r="W21" s="157"/>
    </row>
    <row r="22" spans="1:23" x14ac:dyDescent="0.2">
      <c r="A22" s="86">
        <f t="shared" si="0"/>
        <v>15</v>
      </c>
      <c r="B22" s="86" t="str">
        <f>'WA Volumes &amp; Revenues'!B23</f>
        <v>41I Firm Sales</v>
      </c>
      <c r="C22" s="1490" t="s">
        <v>4</v>
      </c>
      <c r="D22" s="864">
        <f>'Rates in Detail'!J21</f>
        <v>0.60577000000000025</v>
      </c>
      <c r="E22" s="497">
        <f>SUM('Rates in Detail'!L21,'Rates in Detail'!P21,'Rates in Detail'!Q21)</f>
        <v>5.2900000000000003E-2</v>
      </c>
      <c r="F22" s="497">
        <f>'Rates in Detail'!V21</f>
        <v>-7.4000000000000003E-3</v>
      </c>
      <c r="G22" s="497"/>
      <c r="H22" s="1521">
        <f t="shared" si="1"/>
        <v>0.65127000000000035</v>
      </c>
      <c r="I22" s="497"/>
      <c r="J22" s="571">
        <f t="shared" si="2"/>
        <v>0.65127000000000035</v>
      </c>
      <c r="K22" s="497">
        <f>'Rates in Detail'!Y21</f>
        <v>2.664E-2</v>
      </c>
      <c r="L22" s="497">
        <f>'Rates in Detail'!Z21</f>
        <v>-3.8000000000000002E-4</v>
      </c>
      <c r="M22" s="497"/>
      <c r="N22" s="854">
        <f t="shared" si="3"/>
        <v>0.6775300000000003</v>
      </c>
      <c r="O22" s="497"/>
      <c r="P22" s="1529">
        <f t="shared" si="4"/>
        <v>0.68493000000000026</v>
      </c>
      <c r="R22" s="157"/>
      <c r="S22" s="157"/>
      <c r="T22" s="157"/>
      <c r="U22" s="157"/>
      <c r="V22" s="157"/>
      <c r="W22" s="157"/>
    </row>
    <row r="23" spans="1:23" x14ac:dyDescent="0.2">
      <c r="A23" s="86">
        <f t="shared" si="0"/>
        <v>16</v>
      </c>
      <c r="B23" s="161"/>
      <c r="C23" s="1491" t="s">
        <v>5</v>
      </c>
      <c r="D23" s="862">
        <f>'Rates in Detail'!J22</f>
        <v>0.56396000000000013</v>
      </c>
      <c r="E23" s="365">
        <f>SUM('Rates in Detail'!L22,'Rates in Detail'!P22,'Rates in Detail'!Q22)</f>
        <v>4.6609999999999999E-2</v>
      </c>
      <c r="F23" s="365">
        <f>'Rates in Detail'!V22</f>
        <v>-6.5199999999999998E-3</v>
      </c>
      <c r="G23" s="365"/>
      <c r="H23" s="1519">
        <f t="shared" si="1"/>
        <v>0.6040500000000002</v>
      </c>
      <c r="I23" s="365"/>
      <c r="J23" s="570">
        <f t="shared" si="2"/>
        <v>0.6040500000000002</v>
      </c>
      <c r="K23" s="365">
        <f>'Rates in Detail'!Y22</f>
        <v>2.3470000000000001E-2</v>
      </c>
      <c r="L23" s="365">
        <f>'Rates in Detail'!Z22</f>
        <v>-3.3E-4</v>
      </c>
      <c r="M23" s="365"/>
      <c r="N23" s="852">
        <f t="shared" si="3"/>
        <v>0.62719000000000014</v>
      </c>
      <c r="O23" s="365"/>
      <c r="P23" s="1527">
        <f t="shared" si="4"/>
        <v>0.63371000000000011</v>
      </c>
      <c r="R23" s="157"/>
      <c r="S23" s="157"/>
      <c r="T23" s="157"/>
      <c r="U23" s="157"/>
      <c r="V23" s="157"/>
      <c r="W23" s="157"/>
    </row>
    <row r="24" spans="1:23" x14ac:dyDescent="0.2">
      <c r="A24" s="86">
        <f t="shared" si="0"/>
        <v>17</v>
      </c>
      <c r="B24" s="86" t="str">
        <f>'WA Volumes &amp; Revenues'!B25</f>
        <v>41C Interr Sales</v>
      </c>
      <c r="C24" s="1490" t="s">
        <v>4</v>
      </c>
      <c r="D24" s="864">
        <f>'Rates in Detail'!J23</f>
        <v>0.66024999999999989</v>
      </c>
      <c r="E24" s="497">
        <f>SUM('Rates in Detail'!L23,'Rates in Detail'!P23,'Rates in Detail'!Q23)</f>
        <v>4.0340000000000001E-2</v>
      </c>
      <c r="F24" s="497">
        <f>'Rates in Detail'!V23</f>
        <v>-2.0140000000000002E-2</v>
      </c>
      <c r="G24" s="497"/>
      <c r="H24" s="1521">
        <f t="shared" si="1"/>
        <v>0.68044999999999989</v>
      </c>
      <c r="I24" s="497"/>
      <c r="J24" s="571">
        <f t="shared" si="2"/>
        <v>0.68044999999999989</v>
      </c>
      <c r="K24" s="497">
        <f>'Rates in Detail'!Y23</f>
        <v>2.1749999999999999E-2</v>
      </c>
      <c r="L24" s="497">
        <f>'Rates in Detail'!Z23</f>
        <v>-3.1E-4</v>
      </c>
      <c r="M24" s="497"/>
      <c r="N24" s="854">
        <f t="shared" si="3"/>
        <v>0.7018899999999999</v>
      </c>
      <c r="O24" s="497"/>
      <c r="P24" s="1529">
        <f t="shared" si="4"/>
        <v>0.72202999999999995</v>
      </c>
      <c r="R24" s="157"/>
      <c r="S24" s="157"/>
      <c r="T24" s="157"/>
      <c r="U24" s="157"/>
      <c r="V24" s="157"/>
      <c r="W24" s="157"/>
    </row>
    <row r="25" spans="1:23" x14ac:dyDescent="0.2">
      <c r="A25" s="86">
        <f t="shared" si="0"/>
        <v>18</v>
      </c>
      <c r="B25" s="1513"/>
      <c r="C25" s="1491" t="s">
        <v>5</v>
      </c>
      <c r="D25" s="862">
        <f>'Rates in Detail'!J24</f>
        <v>0.61316999999999988</v>
      </c>
      <c r="E25" s="365">
        <f>SUM('Rates in Detail'!L24,'Rates in Detail'!P24,'Rates in Detail'!Q24)</f>
        <v>3.5539999999999995E-2</v>
      </c>
      <c r="F25" s="365">
        <f>'Rates in Detail'!V24</f>
        <v>-1.7739999999999999E-2</v>
      </c>
      <c r="G25" s="365"/>
      <c r="H25" s="1519">
        <f t="shared" si="1"/>
        <v>0.63096999999999992</v>
      </c>
      <c r="I25" s="365"/>
      <c r="J25" s="570">
        <f t="shared" si="2"/>
        <v>0.63096999999999992</v>
      </c>
      <c r="K25" s="365">
        <f>'Rates in Detail'!Y24</f>
        <v>1.917E-2</v>
      </c>
      <c r="L25" s="365">
        <f>'Rates in Detail'!Z24</f>
        <v>-2.7E-4</v>
      </c>
      <c r="M25" s="365"/>
      <c r="N25" s="852">
        <f t="shared" si="3"/>
        <v>0.64986999999999995</v>
      </c>
      <c r="O25" s="365"/>
      <c r="P25" s="1527">
        <f t="shared" si="4"/>
        <v>0.66760999999999993</v>
      </c>
      <c r="R25" s="157"/>
      <c r="S25" s="157"/>
      <c r="T25" s="157"/>
      <c r="U25" s="157"/>
      <c r="V25" s="157"/>
      <c r="W25" s="157"/>
    </row>
    <row r="26" spans="1:23" x14ac:dyDescent="0.2">
      <c r="A26" s="86">
        <f t="shared" si="0"/>
        <v>19</v>
      </c>
      <c r="B26" s="86" t="str">
        <f>'WA Volumes &amp; Revenues'!B27</f>
        <v>41I Interr Sales</v>
      </c>
      <c r="C26" s="1490" t="s">
        <v>4</v>
      </c>
      <c r="D26" s="864">
        <f>'Rates in Detail'!J25</f>
        <v>0.61580999999999997</v>
      </c>
      <c r="E26" s="497">
        <f>SUM('Rates in Detail'!L25,'Rates in Detail'!P25,'Rates in Detail'!Q25)</f>
        <v>4.0340000000000001E-2</v>
      </c>
      <c r="F26" s="497">
        <f>'Rates in Detail'!V25</f>
        <v>-6.1000000000000004E-3</v>
      </c>
      <c r="G26" s="497"/>
      <c r="H26" s="1521">
        <f t="shared" si="1"/>
        <v>0.65005000000000002</v>
      </c>
      <c r="I26" s="497"/>
      <c r="J26" s="571">
        <f t="shared" si="2"/>
        <v>0.65005000000000002</v>
      </c>
      <c r="K26" s="497">
        <f>'Rates in Detail'!Y25</f>
        <v>2.1749999999999999E-2</v>
      </c>
      <c r="L26" s="497">
        <f>'Rates in Detail'!Z25</f>
        <v>-3.1E-4</v>
      </c>
      <c r="M26" s="497"/>
      <c r="N26" s="854">
        <f t="shared" si="3"/>
        <v>0.67149000000000003</v>
      </c>
      <c r="O26" s="497"/>
      <c r="P26" s="1529">
        <f t="shared" si="4"/>
        <v>0.67759000000000003</v>
      </c>
      <c r="R26" s="157"/>
      <c r="S26" s="157"/>
      <c r="T26" s="157"/>
      <c r="U26" s="157"/>
      <c r="V26" s="157"/>
      <c r="W26" s="157"/>
    </row>
    <row r="27" spans="1:23" x14ac:dyDescent="0.2">
      <c r="A27" s="86">
        <f t="shared" si="0"/>
        <v>20</v>
      </c>
      <c r="B27" s="1513"/>
      <c r="C27" s="1491" t="s">
        <v>5</v>
      </c>
      <c r="D27" s="862">
        <f>'Rates in Detail'!J26</f>
        <v>0.57401999999999986</v>
      </c>
      <c r="E27" s="365">
        <f>SUM('Rates in Detail'!L26,'Rates in Detail'!P26,'Rates in Detail'!Q26)</f>
        <v>3.5539999999999995E-2</v>
      </c>
      <c r="F27" s="365">
        <f>'Rates in Detail'!V26</f>
        <v>-5.3699999999999998E-3</v>
      </c>
      <c r="G27" s="365"/>
      <c r="H27" s="1519">
        <f t="shared" si="1"/>
        <v>0.60418999999999989</v>
      </c>
      <c r="I27" s="365"/>
      <c r="J27" s="570">
        <f t="shared" si="2"/>
        <v>0.60418999999999989</v>
      </c>
      <c r="K27" s="365">
        <f>'Rates in Detail'!Y26</f>
        <v>1.917E-2</v>
      </c>
      <c r="L27" s="365">
        <f>'Rates in Detail'!Z26</f>
        <v>-2.7E-4</v>
      </c>
      <c r="M27" s="365"/>
      <c r="N27" s="852">
        <f t="shared" si="3"/>
        <v>0.62308999999999992</v>
      </c>
      <c r="O27" s="365"/>
      <c r="P27" s="1527">
        <f t="shared" si="4"/>
        <v>0.62845999999999991</v>
      </c>
      <c r="R27" s="157"/>
      <c r="S27" s="157"/>
      <c r="T27" s="157"/>
      <c r="U27" s="157"/>
      <c r="V27" s="157"/>
      <c r="W27" s="157"/>
    </row>
    <row r="28" spans="1:23" x14ac:dyDescent="0.2">
      <c r="A28" s="86">
        <f t="shared" si="0"/>
        <v>21</v>
      </c>
      <c r="B28" s="86" t="str">
        <f>'WA Volumes &amp; Revenues'!B29</f>
        <v>41C Firm Transpt</v>
      </c>
      <c r="C28" s="1490" t="s">
        <v>4</v>
      </c>
      <c r="D28" s="864">
        <f>'Rates in Detail'!J27</f>
        <v>0.34945999999999999</v>
      </c>
      <c r="E28" s="497">
        <f>SUM('Rates in Detail'!L27,'Rates in Detail'!P27,'Rates in Detail'!Q27)</f>
        <v>5.8799999999999998E-2</v>
      </c>
      <c r="F28" s="497">
        <f>'Rates in Detail'!V27</f>
        <v>-8.2299999999999995E-3</v>
      </c>
      <c r="G28" s="497"/>
      <c r="H28" s="1521">
        <f t="shared" si="1"/>
        <v>0.40003</v>
      </c>
      <c r="I28" s="497"/>
      <c r="J28" s="571">
        <f t="shared" si="2"/>
        <v>0.40003</v>
      </c>
      <c r="K28" s="497">
        <f>'Rates in Detail'!Y27</f>
        <v>2.9610000000000001E-2</v>
      </c>
      <c r="L28" s="497">
        <f>'Rates in Detail'!Z27</f>
        <v>-4.2000000000000002E-4</v>
      </c>
      <c r="M28" s="497"/>
      <c r="N28" s="854">
        <f t="shared" si="3"/>
        <v>0.42922000000000005</v>
      </c>
      <c r="O28" s="497"/>
      <c r="P28" s="1529">
        <f t="shared" si="4"/>
        <v>0.43745000000000006</v>
      </c>
      <c r="R28" s="157"/>
      <c r="S28" s="157"/>
      <c r="T28" s="157"/>
      <c r="U28" s="157"/>
      <c r="V28" s="157"/>
      <c r="W28" s="157"/>
    </row>
    <row r="29" spans="1:23" x14ac:dyDescent="0.2">
      <c r="A29" s="86">
        <f t="shared" si="0"/>
        <v>22</v>
      </c>
      <c r="B29" s="1513"/>
      <c r="C29" s="1491" t="s">
        <v>5</v>
      </c>
      <c r="D29" s="862">
        <f>'Rates in Detail'!J28</f>
        <v>0.30789000000000011</v>
      </c>
      <c r="E29" s="365">
        <f>SUM('Rates in Detail'!L28,'Rates in Detail'!P28,'Rates in Detail'!Q28)</f>
        <v>5.1810000000000002E-2</v>
      </c>
      <c r="F29" s="365">
        <f>'Rates in Detail'!V28</f>
        <v>-7.2500000000000004E-3</v>
      </c>
      <c r="G29" s="365"/>
      <c r="H29" s="1519">
        <f t="shared" si="1"/>
        <v>0.35245000000000015</v>
      </c>
      <c r="I29" s="365"/>
      <c r="J29" s="570">
        <f t="shared" si="2"/>
        <v>0.35245000000000015</v>
      </c>
      <c r="K29" s="365">
        <f>'Rates in Detail'!Y28</f>
        <v>2.6089999999999999E-2</v>
      </c>
      <c r="L29" s="365">
        <f>'Rates in Detail'!Z28</f>
        <v>-3.6999999999999999E-4</v>
      </c>
      <c r="M29" s="365"/>
      <c r="N29" s="852">
        <f t="shared" si="3"/>
        <v>0.37817000000000017</v>
      </c>
      <c r="O29" s="365"/>
      <c r="P29" s="1527">
        <f t="shared" si="4"/>
        <v>0.38542000000000015</v>
      </c>
      <c r="R29" s="157"/>
      <c r="S29" s="157"/>
      <c r="T29" s="157"/>
      <c r="U29" s="157"/>
      <c r="V29" s="157"/>
      <c r="W29" s="157"/>
    </row>
    <row r="30" spans="1:23" x14ac:dyDescent="0.2">
      <c r="A30" s="86">
        <f t="shared" si="0"/>
        <v>23</v>
      </c>
      <c r="B30" s="86" t="str">
        <f>'WA Volumes &amp; Revenues'!B31</f>
        <v>41I Firm Transpt</v>
      </c>
      <c r="C30" s="1490" t="s">
        <v>4</v>
      </c>
      <c r="D30" s="864">
        <f>'Rates in Detail'!J29</f>
        <v>0.34945999999999999</v>
      </c>
      <c r="E30" s="497">
        <f>SUM('Rates in Detail'!L29,'Rates in Detail'!P29,'Rates in Detail'!Q29)</f>
        <v>4.0829999999999998E-2</v>
      </c>
      <c r="F30" s="497">
        <f>'Rates in Detail'!V29</f>
        <v>-6.1700000000000001E-3</v>
      </c>
      <c r="G30" s="497"/>
      <c r="H30" s="1521">
        <f t="shared" si="1"/>
        <v>0.38411999999999996</v>
      </c>
      <c r="I30" s="497"/>
      <c r="J30" s="571">
        <f t="shared" si="2"/>
        <v>0.38411999999999996</v>
      </c>
      <c r="K30" s="497">
        <f>'Rates in Detail'!Y29</f>
        <v>2.2020000000000001E-2</v>
      </c>
      <c r="L30" s="497">
        <f>'Rates in Detail'!Z29</f>
        <v>-3.1E-4</v>
      </c>
      <c r="M30" s="497"/>
      <c r="N30" s="854">
        <f t="shared" si="3"/>
        <v>0.40582999999999997</v>
      </c>
      <c r="O30" s="497"/>
      <c r="P30" s="1529">
        <f t="shared" si="4"/>
        <v>0.41199999999999998</v>
      </c>
      <c r="R30" s="157"/>
      <c r="S30" s="157"/>
      <c r="T30" s="157"/>
      <c r="U30" s="157"/>
      <c r="V30" s="157"/>
      <c r="W30" s="157"/>
    </row>
    <row r="31" spans="1:23" x14ac:dyDescent="0.2">
      <c r="A31" s="86">
        <f t="shared" si="0"/>
        <v>24</v>
      </c>
      <c r="B31" s="161"/>
      <c r="C31" s="1491" t="s">
        <v>5</v>
      </c>
      <c r="D31" s="862">
        <f>'Rates in Detail'!J30</f>
        <v>0.30789000000000011</v>
      </c>
      <c r="E31" s="365">
        <f>SUM('Rates in Detail'!L30,'Rates in Detail'!P30,'Rates in Detail'!Q30)</f>
        <v>3.5980000000000005E-2</v>
      </c>
      <c r="F31" s="365">
        <f>'Rates in Detail'!V30</f>
        <v>-5.4400000000000004E-3</v>
      </c>
      <c r="G31" s="365"/>
      <c r="H31" s="1519">
        <f t="shared" si="1"/>
        <v>0.33843000000000012</v>
      </c>
      <c r="I31" s="365"/>
      <c r="J31" s="570">
        <f t="shared" si="2"/>
        <v>0.33843000000000012</v>
      </c>
      <c r="K31" s="365">
        <f>'Rates in Detail'!Y30</f>
        <v>1.9400000000000001E-2</v>
      </c>
      <c r="L31" s="365">
        <f>'Rates in Detail'!Z30</f>
        <v>-2.7999999999999998E-4</v>
      </c>
      <c r="M31" s="365"/>
      <c r="N31" s="852">
        <f t="shared" si="3"/>
        <v>0.35755000000000009</v>
      </c>
      <c r="O31" s="365"/>
      <c r="P31" s="1527">
        <f t="shared" si="4"/>
        <v>0.36299000000000009</v>
      </c>
      <c r="R31" s="157"/>
      <c r="S31" s="157"/>
      <c r="T31" s="157"/>
      <c r="U31" s="157"/>
      <c r="V31" s="157"/>
      <c r="W31" s="157"/>
    </row>
    <row r="32" spans="1:23" x14ac:dyDescent="0.2">
      <c r="A32" s="86">
        <f t="shared" si="0"/>
        <v>25</v>
      </c>
      <c r="B32" s="86" t="str">
        <f>'WA Volumes &amp; Revenues'!B33</f>
        <v>42C Firm Sales</v>
      </c>
      <c r="C32" s="1490" t="s">
        <v>4</v>
      </c>
      <c r="D32" s="864">
        <f>'Rates in Detail'!J31</f>
        <v>0.43535000000000001</v>
      </c>
      <c r="E32" s="497">
        <f>SUM('Rates in Detail'!L31,'Rates in Detail'!P31,'Rates in Detail'!Q31)</f>
        <v>4.1859999999999994E-2</v>
      </c>
      <c r="F32" s="497">
        <f>'Rates in Detail'!V31</f>
        <v>-1.6459999999999999E-2</v>
      </c>
      <c r="G32" s="497"/>
      <c r="H32" s="1521">
        <f t="shared" si="1"/>
        <v>0.46075000000000005</v>
      </c>
      <c r="I32" s="497"/>
      <c r="J32" s="571">
        <f t="shared" si="2"/>
        <v>0.46075000000000005</v>
      </c>
      <c r="K32" s="497">
        <f>'Rates in Detail'!Y31</f>
        <v>2.1080000000000002E-2</v>
      </c>
      <c r="L32" s="497">
        <f>'Rates in Detail'!Z31</f>
        <v>-2.9999999999999997E-4</v>
      </c>
      <c r="M32" s="497"/>
      <c r="N32" s="854">
        <f t="shared" si="3"/>
        <v>0.48153000000000001</v>
      </c>
      <c r="O32" s="497"/>
      <c r="P32" s="1529">
        <f t="shared" si="4"/>
        <v>0.49798999999999999</v>
      </c>
      <c r="R32" s="157"/>
      <c r="S32" s="157"/>
      <c r="T32" s="157"/>
      <c r="U32" s="157"/>
      <c r="V32" s="157"/>
      <c r="W32" s="157"/>
    </row>
    <row r="33" spans="1:23" x14ac:dyDescent="0.2">
      <c r="A33" s="86">
        <f t="shared" si="0"/>
        <v>26</v>
      </c>
      <c r="B33" s="1368"/>
      <c r="C33" s="1490" t="s">
        <v>5</v>
      </c>
      <c r="D33" s="864">
        <f>'Rates in Detail'!J32</f>
        <v>0.41633999999999971</v>
      </c>
      <c r="E33" s="497">
        <f>SUM('Rates in Detail'!L32,'Rates in Detail'!P32,'Rates in Detail'!Q32)</f>
        <v>3.746E-2</v>
      </c>
      <c r="F33" s="497">
        <f>'Rates in Detail'!V32</f>
        <v>-1.474E-2</v>
      </c>
      <c r="G33" s="497"/>
      <c r="H33" s="1521">
        <f t="shared" si="1"/>
        <v>0.43905999999999973</v>
      </c>
      <c r="I33" s="497"/>
      <c r="J33" s="571">
        <f t="shared" si="2"/>
        <v>0.43905999999999973</v>
      </c>
      <c r="K33" s="497">
        <f>'Rates in Detail'!Y32</f>
        <v>1.8859999999999998E-2</v>
      </c>
      <c r="L33" s="497">
        <f>'Rates in Detail'!Z32</f>
        <v>-2.7E-4</v>
      </c>
      <c r="M33" s="497"/>
      <c r="N33" s="854">
        <f t="shared" si="3"/>
        <v>0.45764999999999972</v>
      </c>
      <c r="O33" s="497"/>
      <c r="P33" s="1529">
        <f t="shared" si="4"/>
        <v>0.4723899999999997</v>
      </c>
      <c r="R33" s="157"/>
      <c r="S33" s="157"/>
      <c r="T33" s="157"/>
      <c r="U33" s="157"/>
      <c r="V33" s="157"/>
      <c r="W33" s="157"/>
    </row>
    <row r="34" spans="1:23" x14ac:dyDescent="0.2">
      <c r="A34" s="86">
        <f t="shared" si="0"/>
        <v>27</v>
      </c>
      <c r="B34" s="86"/>
      <c r="C34" s="1490" t="s">
        <v>6</v>
      </c>
      <c r="D34" s="864">
        <f>'Rates in Detail'!J33</f>
        <v>0.37851999999999986</v>
      </c>
      <c r="E34" s="497">
        <f>SUM('Rates in Detail'!L33,'Rates in Detail'!P33,'Rates in Detail'!Q33)</f>
        <v>2.8739999999999998E-2</v>
      </c>
      <c r="F34" s="497">
        <f>'Rates in Detail'!V33</f>
        <v>-1.1300000000000001E-2</v>
      </c>
      <c r="G34" s="497"/>
      <c r="H34" s="1521">
        <f t="shared" si="1"/>
        <v>0.39595999999999987</v>
      </c>
      <c r="I34" s="497"/>
      <c r="J34" s="571">
        <f t="shared" si="2"/>
        <v>0.39595999999999987</v>
      </c>
      <c r="K34" s="497">
        <f>'Rates in Detail'!Y33</f>
        <v>1.447E-2</v>
      </c>
      <c r="L34" s="497">
        <f>'Rates in Detail'!Z33</f>
        <v>-2.0000000000000001E-4</v>
      </c>
      <c r="M34" s="497"/>
      <c r="N34" s="854">
        <f t="shared" si="3"/>
        <v>0.41022999999999987</v>
      </c>
      <c r="O34" s="497"/>
      <c r="P34" s="1529">
        <f t="shared" si="4"/>
        <v>0.42152999999999985</v>
      </c>
      <c r="R34" s="157"/>
      <c r="S34" s="157"/>
      <c r="T34" s="157"/>
      <c r="U34" s="157"/>
      <c r="V34" s="157"/>
      <c r="W34" s="157"/>
    </row>
    <row r="35" spans="1:23" x14ac:dyDescent="0.2">
      <c r="A35" s="86">
        <f t="shared" si="0"/>
        <v>28</v>
      </c>
      <c r="B35" s="86"/>
      <c r="C35" s="1490" t="s">
        <v>7</v>
      </c>
      <c r="D35" s="864">
        <f>'Rates in Detail'!J34</f>
        <v>0.35361000000000004</v>
      </c>
      <c r="E35" s="497">
        <f>SUM('Rates in Detail'!L34,'Rates in Detail'!P34,'Rates in Detail'!Q34)</f>
        <v>2.298E-2</v>
      </c>
      <c r="F35" s="497">
        <f>'Rates in Detail'!V34</f>
        <v>-9.0399999999999994E-3</v>
      </c>
      <c r="G35" s="497"/>
      <c r="H35" s="1521">
        <f t="shared" si="1"/>
        <v>0.36755000000000004</v>
      </c>
      <c r="I35" s="497"/>
      <c r="J35" s="571">
        <f t="shared" si="2"/>
        <v>0.36755000000000004</v>
      </c>
      <c r="K35" s="497">
        <f>'Rates in Detail'!Y34</f>
        <v>1.157E-2</v>
      </c>
      <c r="L35" s="497">
        <f>'Rates in Detail'!Z34</f>
        <v>-1.6000000000000001E-4</v>
      </c>
      <c r="M35" s="497"/>
      <c r="N35" s="854">
        <f t="shared" si="3"/>
        <v>0.37896000000000007</v>
      </c>
      <c r="O35" s="497"/>
      <c r="P35" s="1529">
        <f t="shared" si="4"/>
        <v>0.38800000000000007</v>
      </c>
      <c r="R35" s="157"/>
      <c r="S35" s="157"/>
      <c r="T35" s="157"/>
      <c r="U35" s="157"/>
      <c r="V35" s="157"/>
      <c r="W35" s="157"/>
    </row>
    <row r="36" spans="1:23" x14ac:dyDescent="0.2">
      <c r="A36" s="86">
        <f t="shared" si="0"/>
        <v>29</v>
      </c>
      <c r="B36" s="86"/>
      <c r="C36" s="1490" t="s">
        <v>8</v>
      </c>
      <c r="D36" s="864">
        <f>'Rates in Detail'!J35</f>
        <v>0.32038</v>
      </c>
      <c r="E36" s="497">
        <f>SUM('Rates in Detail'!L35,'Rates in Detail'!P35,'Rates in Detail'!Q35)</f>
        <v>1.532E-2</v>
      </c>
      <c r="F36" s="497">
        <f>'Rates in Detail'!V35</f>
        <v>-6.0300000000000006E-3</v>
      </c>
      <c r="G36" s="497"/>
      <c r="H36" s="1521">
        <f t="shared" si="1"/>
        <v>0.32967000000000002</v>
      </c>
      <c r="I36" s="497"/>
      <c r="J36" s="571">
        <f t="shared" si="2"/>
        <v>0.32967000000000002</v>
      </c>
      <c r="K36" s="497">
        <f>'Rates in Detail'!Y35</f>
        <v>7.7099999999999998E-3</v>
      </c>
      <c r="L36" s="497">
        <f>'Rates in Detail'!Z35</f>
        <v>-1.1E-4</v>
      </c>
      <c r="M36" s="497"/>
      <c r="N36" s="854">
        <f t="shared" si="3"/>
        <v>0.33727000000000001</v>
      </c>
      <c r="O36" s="497"/>
      <c r="P36" s="1529">
        <f t="shared" si="4"/>
        <v>0.34329999999999999</v>
      </c>
      <c r="R36" s="157"/>
      <c r="S36" s="157"/>
      <c r="T36" s="157"/>
      <c r="U36" s="157"/>
      <c r="V36" s="157"/>
      <c r="W36" s="157"/>
    </row>
    <row r="37" spans="1:23" x14ac:dyDescent="0.2">
      <c r="A37" s="86">
        <f t="shared" si="0"/>
        <v>30</v>
      </c>
      <c r="B37" s="161"/>
      <c r="C37" s="1491" t="s">
        <v>9</v>
      </c>
      <c r="D37" s="862">
        <f>'Rates in Detail'!J36</f>
        <v>0.27890000000000004</v>
      </c>
      <c r="E37" s="365">
        <f>SUM('Rates in Detail'!L36,'Rates in Detail'!P36,'Rates in Detail'!Q36)</f>
        <v>5.7499999999999999E-3</v>
      </c>
      <c r="F37" s="365">
        <f>'Rates in Detail'!V36</f>
        <v>-2.2499999999999998E-3</v>
      </c>
      <c r="G37" s="365"/>
      <c r="H37" s="1519">
        <f t="shared" si="1"/>
        <v>0.28240000000000004</v>
      </c>
      <c r="I37" s="365"/>
      <c r="J37" s="570">
        <f t="shared" si="2"/>
        <v>0.28240000000000004</v>
      </c>
      <c r="K37" s="365">
        <f>'Rates in Detail'!Y36</f>
        <v>2.8900000000000002E-3</v>
      </c>
      <c r="L37" s="365">
        <f>'Rates in Detail'!Z36</f>
        <v>-4.0000000000000003E-5</v>
      </c>
      <c r="M37" s="365"/>
      <c r="N37" s="852">
        <f t="shared" si="3"/>
        <v>0.28525000000000006</v>
      </c>
      <c r="O37" s="365"/>
      <c r="P37" s="1527">
        <f t="shared" si="4"/>
        <v>0.28750000000000003</v>
      </c>
      <c r="R37" s="157"/>
      <c r="S37" s="157"/>
      <c r="T37" s="157"/>
      <c r="U37" s="157"/>
      <c r="V37" s="157"/>
      <c r="W37" s="157"/>
    </row>
    <row r="38" spans="1:23" x14ac:dyDescent="0.2">
      <c r="A38" s="86">
        <f t="shared" si="0"/>
        <v>31</v>
      </c>
      <c r="B38" s="86" t="str">
        <f>'WA Volumes &amp; Revenues'!B39</f>
        <v>42I Firm Sales</v>
      </c>
      <c r="C38" s="1490" t="s">
        <v>4</v>
      </c>
      <c r="D38" s="864">
        <f>'Rates in Detail'!J37</f>
        <v>0.40593000000000001</v>
      </c>
      <c r="E38" s="497">
        <f>SUM('Rates in Detail'!L37,'Rates in Detail'!P37,'Rates in Detail'!Q37)</f>
        <v>3.7229999999999999E-2</v>
      </c>
      <c r="F38" s="497">
        <f>'Rates in Detail'!V37</f>
        <v>-5.2100000000000002E-3</v>
      </c>
      <c r="G38" s="497"/>
      <c r="H38" s="1521">
        <f t="shared" si="1"/>
        <v>0.43795000000000001</v>
      </c>
      <c r="I38" s="497"/>
      <c r="J38" s="571">
        <f t="shared" si="2"/>
        <v>0.43795000000000001</v>
      </c>
      <c r="K38" s="497">
        <f>'Rates in Detail'!Y37</f>
        <v>1.8749999999999999E-2</v>
      </c>
      <c r="L38" s="497">
        <f>'Rates in Detail'!Z37</f>
        <v>-2.7E-4</v>
      </c>
      <c r="M38" s="497"/>
      <c r="N38" s="854">
        <f t="shared" si="3"/>
        <v>0.45643</v>
      </c>
      <c r="O38" s="497"/>
      <c r="P38" s="1529">
        <f t="shared" si="4"/>
        <v>0.46163999999999999</v>
      </c>
      <c r="R38" s="157"/>
      <c r="S38" s="157"/>
      <c r="T38" s="157"/>
      <c r="U38" s="157"/>
      <c r="V38" s="157"/>
      <c r="W38" s="157"/>
    </row>
    <row r="39" spans="1:23" x14ac:dyDescent="0.2">
      <c r="A39" s="86">
        <f t="shared" si="0"/>
        <v>32</v>
      </c>
      <c r="B39" s="1368"/>
      <c r="C39" s="1490" t="s">
        <v>5</v>
      </c>
      <c r="D39" s="864">
        <f>'Rates in Detail'!J38</f>
        <v>0.38999</v>
      </c>
      <c r="E39" s="497">
        <f>SUM('Rates in Detail'!L38,'Rates in Detail'!P38,'Rates in Detail'!Q38)</f>
        <v>3.3330000000000005E-2</v>
      </c>
      <c r="F39" s="497">
        <f>'Rates in Detail'!V38</f>
        <v>-4.6699999999999997E-3</v>
      </c>
      <c r="G39" s="497"/>
      <c r="H39" s="1521">
        <f t="shared" si="1"/>
        <v>0.41865000000000002</v>
      </c>
      <c r="I39" s="497"/>
      <c r="J39" s="571">
        <f t="shared" si="2"/>
        <v>0.41865000000000002</v>
      </c>
      <c r="K39" s="497">
        <f>'Rates in Detail'!Y38</f>
        <v>1.678E-2</v>
      </c>
      <c r="L39" s="497">
        <f>'Rates in Detail'!Z38</f>
        <v>-2.4000000000000001E-4</v>
      </c>
      <c r="M39" s="497"/>
      <c r="N39" s="854">
        <f t="shared" si="3"/>
        <v>0.43519000000000002</v>
      </c>
      <c r="O39" s="497"/>
      <c r="P39" s="1529">
        <f t="shared" si="4"/>
        <v>0.43986000000000003</v>
      </c>
      <c r="R39" s="157"/>
      <c r="S39" s="157"/>
      <c r="T39" s="157"/>
      <c r="U39" s="157"/>
      <c r="V39" s="157"/>
      <c r="W39" s="157"/>
    </row>
    <row r="40" spans="1:23" x14ac:dyDescent="0.2">
      <c r="A40" s="86">
        <f t="shared" si="0"/>
        <v>33</v>
      </c>
      <c r="B40" s="86"/>
      <c r="C40" s="1490" t="s">
        <v>6</v>
      </c>
      <c r="D40" s="864">
        <f>'Rates in Detail'!J39</f>
        <v>0.35830999999999985</v>
      </c>
      <c r="E40" s="497">
        <f>SUM('Rates in Detail'!L39,'Rates in Detail'!P39,'Rates in Detail'!Q39)</f>
        <v>2.555E-2</v>
      </c>
      <c r="F40" s="497">
        <f>'Rates in Detail'!V39</f>
        <v>-3.5799999999999998E-3</v>
      </c>
      <c r="G40" s="497"/>
      <c r="H40" s="1521">
        <f t="shared" si="1"/>
        <v>0.38027999999999984</v>
      </c>
      <c r="I40" s="497"/>
      <c r="J40" s="571">
        <f t="shared" si="2"/>
        <v>0.38027999999999984</v>
      </c>
      <c r="K40" s="497">
        <f>'Rates in Detail'!Y39</f>
        <v>1.2869999999999999E-2</v>
      </c>
      <c r="L40" s="497">
        <f>'Rates in Detail'!Z39</f>
        <v>-1.8000000000000001E-4</v>
      </c>
      <c r="M40" s="497"/>
      <c r="N40" s="854">
        <f t="shared" si="3"/>
        <v>0.39296999999999982</v>
      </c>
      <c r="O40" s="497"/>
      <c r="P40" s="1529">
        <f t="shared" si="4"/>
        <v>0.39654999999999985</v>
      </c>
      <c r="R40" s="157"/>
      <c r="S40" s="157"/>
      <c r="T40" s="157"/>
      <c r="U40" s="157"/>
      <c r="V40" s="157"/>
      <c r="W40" s="157"/>
    </row>
    <row r="41" spans="1:23" x14ac:dyDescent="0.2">
      <c r="A41" s="86">
        <f t="shared" si="0"/>
        <v>34</v>
      </c>
      <c r="B41" s="86"/>
      <c r="C41" s="1490" t="s">
        <v>7</v>
      </c>
      <c r="D41" s="864">
        <f>'Rates in Detail'!J40</f>
        <v>0.33743999999999996</v>
      </c>
      <c r="E41" s="497">
        <f>SUM('Rates in Detail'!L40,'Rates in Detail'!P40,'Rates in Detail'!Q40)</f>
        <v>2.0449999999999999E-2</v>
      </c>
      <c r="F41" s="497">
        <f>'Rates in Detail'!V40</f>
        <v>-2.8600000000000001E-3</v>
      </c>
      <c r="G41" s="497"/>
      <c r="H41" s="1521">
        <f t="shared" si="1"/>
        <v>0.35503000000000001</v>
      </c>
      <c r="I41" s="497"/>
      <c r="J41" s="571">
        <f t="shared" si="2"/>
        <v>0.35503000000000001</v>
      </c>
      <c r="K41" s="497">
        <f>'Rates in Detail'!Y40</f>
        <v>1.03E-2</v>
      </c>
      <c r="L41" s="497">
        <f>'Rates in Detail'!Z40</f>
        <v>-1.4999999999999999E-4</v>
      </c>
      <c r="M41" s="497"/>
      <c r="N41" s="854">
        <f t="shared" si="3"/>
        <v>0.36518</v>
      </c>
      <c r="O41" s="497"/>
      <c r="P41" s="1529">
        <f t="shared" si="4"/>
        <v>0.36803999999999998</v>
      </c>
      <c r="R41" s="157"/>
      <c r="S41" s="157"/>
      <c r="T41" s="157"/>
      <c r="U41" s="157"/>
      <c r="V41" s="157"/>
      <c r="W41" s="157"/>
    </row>
    <row r="42" spans="1:23" x14ac:dyDescent="0.2">
      <c r="A42" s="86">
        <f t="shared" si="0"/>
        <v>35</v>
      </c>
      <c r="B42" s="86"/>
      <c r="C42" s="1490" t="s">
        <v>8</v>
      </c>
      <c r="D42" s="864">
        <f>'Rates in Detail'!J41</f>
        <v>0.30965000000000004</v>
      </c>
      <c r="E42" s="497">
        <f>SUM('Rates in Detail'!L41,'Rates in Detail'!P41,'Rates in Detail'!Q41)</f>
        <v>1.363E-2</v>
      </c>
      <c r="F42" s="497">
        <f>'Rates in Detail'!V41</f>
        <v>-1.91E-3</v>
      </c>
      <c r="G42" s="497"/>
      <c r="H42" s="1521">
        <f t="shared" si="1"/>
        <v>0.32136999999999999</v>
      </c>
      <c r="I42" s="497"/>
      <c r="J42" s="571">
        <f t="shared" si="2"/>
        <v>0.32136999999999999</v>
      </c>
      <c r="K42" s="497">
        <f>'Rates in Detail'!Y41</f>
        <v>6.8700000000000002E-3</v>
      </c>
      <c r="L42" s="497">
        <f>'Rates in Detail'!Z41</f>
        <v>-1E-4</v>
      </c>
      <c r="M42" s="497"/>
      <c r="N42" s="854">
        <f t="shared" si="3"/>
        <v>0.32813999999999999</v>
      </c>
      <c r="O42" s="497"/>
      <c r="P42" s="1529">
        <f t="shared" si="4"/>
        <v>0.33005000000000001</v>
      </c>
      <c r="R42" s="157"/>
      <c r="S42" s="157"/>
      <c r="T42" s="157"/>
      <c r="U42" s="157"/>
      <c r="V42" s="157"/>
      <c r="W42" s="157"/>
    </row>
    <row r="43" spans="1:23" x14ac:dyDescent="0.2">
      <c r="A43" s="86">
        <f t="shared" si="0"/>
        <v>36</v>
      </c>
      <c r="B43" s="161"/>
      <c r="C43" s="1491" t="s">
        <v>9</v>
      </c>
      <c r="D43" s="862">
        <f>'Rates in Detail'!J42</f>
        <v>0.27485999999999999</v>
      </c>
      <c r="E43" s="365">
        <f>SUM('Rates in Detail'!L42,'Rates in Detail'!P42,'Rates in Detail'!Q42)</f>
        <v>5.11E-3</v>
      </c>
      <c r="F43" s="365">
        <f>'Rates in Detail'!V42</f>
        <v>-7.2000000000000005E-4</v>
      </c>
      <c r="G43" s="365"/>
      <c r="H43" s="1519">
        <f t="shared" si="1"/>
        <v>0.27925</v>
      </c>
      <c r="I43" s="365"/>
      <c r="J43" s="570">
        <f t="shared" si="2"/>
        <v>0.27925</v>
      </c>
      <c r="K43" s="365">
        <f>'Rates in Detail'!Y42</f>
        <v>2.5699999999999998E-3</v>
      </c>
      <c r="L43" s="365">
        <f>'Rates in Detail'!Z42</f>
        <v>-4.0000000000000003E-5</v>
      </c>
      <c r="M43" s="365"/>
      <c r="N43" s="852">
        <f t="shared" si="3"/>
        <v>0.28178000000000003</v>
      </c>
      <c r="O43" s="365"/>
      <c r="P43" s="1527">
        <f t="shared" si="4"/>
        <v>0.28250000000000003</v>
      </c>
      <c r="R43" s="157"/>
      <c r="S43" s="157"/>
      <c r="T43" s="157"/>
      <c r="U43" s="157"/>
      <c r="V43" s="157"/>
      <c r="W43" s="157"/>
    </row>
    <row r="44" spans="1:23" x14ac:dyDescent="0.2">
      <c r="A44" s="86">
        <f t="shared" si="0"/>
        <v>37</v>
      </c>
      <c r="B44" s="86" t="str">
        <f>'WA Volumes &amp; Revenues'!B45</f>
        <v>42C Firm Transpt</v>
      </c>
      <c r="C44" s="1490" t="s">
        <v>4</v>
      </c>
      <c r="D44" s="864">
        <f>'Rates in Detail'!J43</f>
        <v>0.13851999999999998</v>
      </c>
      <c r="E44" s="497">
        <f>SUM('Rates in Detail'!L43,'Rates in Detail'!P43,'Rates in Detail'!Q43)</f>
        <v>2.3649999999999997E-2</v>
      </c>
      <c r="F44" s="497">
        <f>'Rates in Detail'!V43</f>
        <v>-3.31E-3</v>
      </c>
      <c r="G44" s="497"/>
      <c r="H44" s="1521">
        <f t="shared" si="1"/>
        <v>0.15885999999999997</v>
      </c>
      <c r="I44" s="497"/>
      <c r="J44" s="571">
        <f t="shared" si="2"/>
        <v>0.15885999999999997</v>
      </c>
      <c r="K44" s="497">
        <f>'Rates in Detail'!Y43</f>
        <v>1.191E-2</v>
      </c>
      <c r="L44" s="497">
        <f>'Rates in Detail'!Z43</f>
        <v>-1.7000000000000001E-4</v>
      </c>
      <c r="M44" s="497"/>
      <c r="N44" s="854">
        <f t="shared" si="3"/>
        <v>0.17059999999999997</v>
      </c>
      <c r="O44" s="497"/>
      <c r="P44" s="1529">
        <f t="shared" si="4"/>
        <v>0.17390999999999998</v>
      </c>
      <c r="R44" s="157"/>
      <c r="S44" s="157"/>
      <c r="T44" s="157"/>
      <c r="U44" s="157"/>
      <c r="V44" s="157"/>
      <c r="W44" s="157"/>
    </row>
    <row r="45" spans="1:23" x14ac:dyDescent="0.2">
      <c r="A45" s="86">
        <f t="shared" si="0"/>
        <v>38</v>
      </c>
      <c r="B45" s="86"/>
      <c r="C45" s="1490" t="s">
        <v>5</v>
      </c>
      <c r="D45" s="864">
        <f>'Rates in Detail'!J44</f>
        <v>0.12399999999999999</v>
      </c>
      <c r="E45" s="497">
        <f>SUM('Rates in Detail'!L44,'Rates in Detail'!P44,'Rates in Detail'!Q44)</f>
        <v>2.1170000000000001E-2</v>
      </c>
      <c r="F45" s="497">
        <f>'Rates in Detail'!V44</f>
        <v>-2.96E-3</v>
      </c>
      <c r="G45" s="497"/>
      <c r="H45" s="1521">
        <f t="shared" si="1"/>
        <v>0.14221</v>
      </c>
      <c r="I45" s="497"/>
      <c r="J45" s="571">
        <f t="shared" si="2"/>
        <v>0.14221</v>
      </c>
      <c r="K45" s="497">
        <f>'Rates in Detail'!Y44</f>
        <v>1.0659999999999999E-2</v>
      </c>
      <c r="L45" s="497">
        <f>'Rates in Detail'!Z44</f>
        <v>-1.4999999999999999E-4</v>
      </c>
      <c r="M45" s="497"/>
      <c r="N45" s="854">
        <f t="shared" si="3"/>
        <v>0.15271999999999999</v>
      </c>
      <c r="O45" s="497"/>
      <c r="P45" s="1529">
        <f t="shared" si="4"/>
        <v>0.15567999999999999</v>
      </c>
      <c r="R45" s="157"/>
      <c r="S45" s="157"/>
      <c r="T45" s="157"/>
      <c r="U45" s="157"/>
      <c r="V45" s="157"/>
      <c r="W45" s="157"/>
    </row>
    <row r="46" spans="1:23" x14ac:dyDescent="0.2">
      <c r="A46" s="86">
        <f t="shared" si="0"/>
        <v>39</v>
      </c>
      <c r="B46" s="86"/>
      <c r="C46" s="1490" t="s">
        <v>6</v>
      </c>
      <c r="D46" s="864">
        <f>'Rates in Detail'!J45</f>
        <v>9.5079999999999998E-2</v>
      </c>
      <c r="E46" s="497">
        <f>SUM('Rates in Detail'!L45,'Rates in Detail'!P45,'Rates in Detail'!Q45)</f>
        <v>1.6240000000000001E-2</v>
      </c>
      <c r="F46" s="497">
        <f>'Rates in Detail'!V45</f>
        <v>-2.2699999999999999E-3</v>
      </c>
      <c r="G46" s="497"/>
      <c r="H46" s="1521">
        <f t="shared" si="1"/>
        <v>0.10905000000000001</v>
      </c>
      <c r="I46" s="497"/>
      <c r="J46" s="571">
        <f t="shared" si="2"/>
        <v>0.10905000000000001</v>
      </c>
      <c r="K46" s="497">
        <f>'Rates in Detail'!Y45</f>
        <v>8.1799999999999998E-3</v>
      </c>
      <c r="L46" s="497">
        <f>'Rates in Detail'!Z45</f>
        <v>-1.2E-4</v>
      </c>
      <c r="M46" s="497"/>
      <c r="N46" s="854">
        <f t="shared" si="3"/>
        <v>0.11711000000000001</v>
      </c>
      <c r="O46" s="497"/>
      <c r="P46" s="1529">
        <f t="shared" si="4"/>
        <v>0.11938</v>
      </c>
      <c r="R46" s="157"/>
      <c r="S46" s="157"/>
      <c r="T46" s="157"/>
      <c r="U46" s="157"/>
      <c r="V46" s="157"/>
      <c r="W46" s="157"/>
    </row>
    <row r="47" spans="1:23" x14ac:dyDescent="0.2">
      <c r="A47" s="86">
        <f t="shared" si="0"/>
        <v>40</v>
      </c>
      <c r="B47" s="86"/>
      <c r="C47" s="1490" t="s">
        <v>7</v>
      </c>
      <c r="D47" s="864">
        <f>'Rates in Detail'!J46</f>
        <v>7.6070000000000013E-2</v>
      </c>
      <c r="E47" s="497">
        <f>SUM('Rates in Detail'!L46,'Rates in Detail'!P46,'Rates in Detail'!Q46)</f>
        <v>1.299E-2</v>
      </c>
      <c r="F47" s="497">
        <f>'Rates in Detail'!V46</f>
        <v>-1.82E-3</v>
      </c>
      <c r="G47" s="497"/>
      <c r="H47" s="1521">
        <f t="shared" si="1"/>
        <v>8.7240000000000012E-2</v>
      </c>
      <c r="I47" s="497"/>
      <c r="J47" s="571">
        <f t="shared" si="2"/>
        <v>8.7240000000000012E-2</v>
      </c>
      <c r="K47" s="497">
        <f>'Rates in Detail'!Y46</f>
        <v>6.5399999999999998E-3</v>
      </c>
      <c r="L47" s="497">
        <f>'Rates in Detail'!Z46</f>
        <v>-9.0000000000000006E-5</v>
      </c>
      <c r="M47" s="497"/>
      <c r="N47" s="854">
        <f t="shared" si="3"/>
        <v>9.3690000000000009E-2</v>
      </c>
      <c r="O47" s="497"/>
      <c r="P47" s="1529">
        <f t="shared" si="4"/>
        <v>9.5510000000000012E-2</v>
      </c>
      <c r="R47" s="157"/>
      <c r="S47" s="157"/>
      <c r="T47" s="157"/>
      <c r="U47" s="157"/>
      <c r="V47" s="157"/>
      <c r="W47" s="157"/>
    </row>
    <row r="48" spans="1:23" x14ac:dyDescent="0.2">
      <c r="A48" s="86">
        <f t="shared" si="0"/>
        <v>41</v>
      </c>
      <c r="B48" s="86"/>
      <c r="C48" s="1490" t="s">
        <v>8</v>
      </c>
      <c r="D48" s="864">
        <f>'Rates in Detail'!J47</f>
        <v>5.0710000000000005E-2</v>
      </c>
      <c r="E48" s="497">
        <f>SUM('Rates in Detail'!L47,'Rates in Detail'!P47,'Rates in Detail'!Q47)</f>
        <v>8.6599999999999993E-3</v>
      </c>
      <c r="F48" s="497">
        <f>'Rates in Detail'!V47</f>
        <v>-1.2099999999999999E-3</v>
      </c>
      <c r="G48" s="497"/>
      <c r="H48" s="1521">
        <f t="shared" si="1"/>
        <v>5.8160000000000003E-2</v>
      </c>
      <c r="I48" s="497"/>
      <c r="J48" s="571">
        <f t="shared" si="2"/>
        <v>5.8160000000000003E-2</v>
      </c>
      <c r="K48" s="497">
        <f>'Rates in Detail'!Y47</f>
        <v>4.3600000000000002E-3</v>
      </c>
      <c r="L48" s="497">
        <f>'Rates in Detail'!Z47</f>
        <v>-6.0000000000000002E-5</v>
      </c>
      <c r="M48" s="497"/>
      <c r="N48" s="854">
        <f t="shared" si="3"/>
        <v>6.2460000000000009E-2</v>
      </c>
      <c r="O48" s="497"/>
      <c r="P48" s="1529">
        <f t="shared" si="4"/>
        <v>6.3670000000000004E-2</v>
      </c>
      <c r="R48" s="157"/>
      <c r="S48" s="157"/>
      <c r="T48" s="157"/>
      <c r="U48" s="157"/>
      <c r="V48" s="157"/>
      <c r="W48" s="157"/>
    </row>
    <row r="49" spans="1:23" x14ac:dyDescent="0.2">
      <c r="A49" s="86">
        <f t="shared" si="0"/>
        <v>42</v>
      </c>
      <c r="B49" s="161"/>
      <c r="C49" s="1491" t="s">
        <v>9</v>
      </c>
      <c r="D49" s="862">
        <f>'Rates in Detail'!J48</f>
        <v>1.9009999999999999E-2</v>
      </c>
      <c r="E49" s="365">
        <f>SUM('Rates in Detail'!L48,'Rates in Detail'!P48,'Rates in Detail'!Q48)</f>
        <v>3.2499999999999999E-3</v>
      </c>
      <c r="F49" s="365">
        <f>'Rates in Detail'!V48</f>
        <v>-4.4999999999999999E-4</v>
      </c>
      <c r="G49" s="365"/>
      <c r="H49" s="1519">
        <f t="shared" si="1"/>
        <v>2.181E-2</v>
      </c>
      <c r="I49" s="365"/>
      <c r="J49" s="570">
        <f t="shared" si="2"/>
        <v>2.181E-2</v>
      </c>
      <c r="K49" s="365">
        <f>'Rates in Detail'!Y48</f>
        <v>1.64E-3</v>
      </c>
      <c r="L49" s="365">
        <f>'Rates in Detail'!Z48</f>
        <v>-2.0000000000000002E-5</v>
      </c>
      <c r="M49" s="365"/>
      <c r="N49" s="852">
        <f t="shared" si="3"/>
        <v>2.3429999999999999E-2</v>
      </c>
      <c r="O49" s="365"/>
      <c r="P49" s="1527">
        <f t="shared" si="4"/>
        <v>2.3879999999999998E-2</v>
      </c>
      <c r="R49" s="157"/>
      <c r="S49" s="157"/>
      <c r="T49" s="157"/>
      <c r="U49" s="157"/>
      <c r="V49" s="157"/>
      <c r="W49" s="157"/>
    </row>
    <row r="50" spans="1:23" x14ac:dyDescent="0.2">
      <c r="A50" s="86">
        <f t="shared" si="0"/>
        <v>43</v>
      </c>
      <c r="B50" s="86" t="str">
        <f>'WA Volumes &amp; Revenues'!B51</f>
        <v>42I Firm Transpt</v>
      </c>
      <c r="C50" s="1490" t="s">
        <v>4</v>
      </c>
      <c r="D50" s="864">
        <f>'Rates in Detail'!J49</f>
        <v>0.14000000000000001</v>
      </c>
      <c r="E50" s="497">
        <f>SUM('Rates in Detail'!L49,'Rates in Detail'!P49,'Rates in Detail'!Q49)</f>
        <v>2.3969999999999998E-2</v>
      </c>
      <c r="F50" s="497">
        <f>'Rates in Detail'!V49</f>
        <v>-3.3600000000000001E-3</v>
      </c>
      <c r="G50" s="497"/>
      <c r="H50" s="1521">
        <f t="shared" si="1"/>
        <v>0.16061</v>
      </c>
      <c r="I50" s="497"/>
      <c r="J50" s="571">
        <f t="shared" si="2"/>
        <v>0.16061</v>
      </c>
      <c r="K50" s="497">
        <f>'Rates in Detail'!Y49</f>
        <v>1.2070000000000001E-2</v>
      </c>
      <c r="L50" s="497">
        <f>'Rates in Detail'!Z49</f>
        <v>-1.7000000000000001E-4</v>
      </c>
      <c r="M50" s="497"/>
      <c r="N50" s="854">
        <f t="shared" si="3"/>
        <v>0.17251</v>
      </c>
      <c r="O50" s="497"/>
      <c r="P50" s="1529">
        <f t="shared" si="4"/>
        <v>0.17587</v>
      </c>
      <c r="R50" s="157"/>
      <c r="S50" s="157"/>
      <c r="T50" s="157"/>
      <c r="U50" s="157"/>
      <c r="V50" s="157"/>
      <c r="W50" s="157"/>
    </row>
    <row r="51" spans="1:23" x14ac:dyDescent="0.2">
      <c r="A51" s="86">
        <f t="shared" si="0"/>
        <v>44</v>
      </c>
      <c r="B51" s="86"/>
      <c r="C51" s="1490" t="s">
        <v>5</v>
      </c>
      <c r="D51" s="864">
        <f>'Rates in Detail'!J50</f>
        <v>0.12530999999999998</v>
      </c>
      <c r="E51" s="497">
        <f>SUM('Rates in Detail'!L50,'Rates in Detail'!P50,'Rates in Detail'!Q50)</f>
        <v>2.145E-2</v>
      </c>
      <c r="F51" s="497">
        <f>'Rates in Detail'!V50</f>
        <v>-3.0000000000000001E-3</v>
      </c>
      <c r="G51" s="497"/>
      <c r="H51" s="1521">
        <f t="shared" si="1"/>
        <v>0.14375999999999997</v>
      </c>
      <c r="I51" s="497"/>
      <c r="J51" s="571">
        <f t="shared" si="2"/>
        <v>0.14375999999999997</v>
      </c>
      <c r="K51" s="497">
        <f>'Rates in Detail'!Y50</f>
        <v>1.0800000000000001E-2</v>
      </c>
      <c r="L51" s="497">
        <f>'Rates in Detail'!Z50</f>
        <v>-1.4999999999999999E-4</v>
      </c>
      <c r="M51" s="497"/>
      <c r="N51" s="854">
        <f t="shared" si="3"/>
        <v>0.15440999999999996</v>
      </c>
      <c r="O51" s="497"/>
      <c r="P51" s="1529">
        <f t="shared" si="4"/>
        <v>0.15740999999999997</v>
      </c>
      <c r="R51" s="157"/>
      <c r="S51" s="157"/>
      <c r="T51" s="157"/>
      <c r="U51" s="157"/>
      <c r="V51" s="157"/>
      <c r="W51" s="157"/>
    </row>
    <row r="52" spans="1:23" x14ac:dyDescent="0.2">
      <c r="A52" s="86">
        <f t="shared" si="0"/>
        <v>45</v>
      </c>
      <c r="B52" s="86"/>
      <c r="C52" s="1490" t="s">
        <v>6</v>
      </c>
      <c r="D52" s="864">
        <f>'Rates in Detail'!J51</f>
        <v>9.6100000000000005E-2</v>
      </c>
      <c r="E52" s="497">
        <f>SUM('Rates in Detail'!L51,'Rates in Detail'!P51,'Rates in Detail'!Q51)</f>
        <v>1.6450000000000003E-2</v>
      </c>
      <c r="F52" s="497">
        <f>'Rates in Detail'!V51</f>
        <v>-2.3E-3</v>
      </c>
      <c r="G52" s="497"/>
      <c r="H52" s="1521">
        <f t="shared" si="1"/>
        <v>0.11025000000000001</v>
      </c>
      <c r="I52" s="497"/>
      <c r="J52" s="571">
        <f t="shared" si="2"/>
        <v>0.11025000000000001</v>
      </c>
      <c r="K52" s="497">
        <f>'Rates in Detail'!Y51</f>
        <v>8.2799999999999992E-3</v>
      </c>
      <c r="L52" s="497">
        <f>'Rates in Detail'!Z51</f>
        <v>-1.2E-4</v>
      </c>
      <c r="M52" s="497"/>
      <c r="N52" s="854">
        <f t="shared" si="3"/>
        <v>0.11841000000000002</v>
      </c>
      <c r="O52" s="497"/>
      <c r="P52" s="1529">
        <f t="shared" si="4"/>
        <v>0.12071000000000001</v>
      </c>
      <c r="R52" s="157"/>
      <c r="S52" s="157"/>
      <c r="T52" s="157"/>
      <c r="U52" s="157"/>
      <c r="V52" s="157"/>
      <c r="W52" s="157"/>
    </row>
    <row r="53" spans="1:23" x14ac:dyDescent="0.2">
      <c r="A53" s="86">
        <f t="shared" si="0"/>
        <v>46</v>
      </c>
      <c r="B53" s="86"/>
      <c r="C53" s="1490" t="s">
        <v>7</v>
      </c>
      <c r="D53" s="864">
        <f>'Rates in Detail'!J52</f>
        <v>7.6880000000000018E-2</v>
      </c>
      <c r="E53" s="497">
        <f>SUM('Rates in Detail'!L52,'Rates in Detail'!P52,'Rates in Detail'!Q52)</f>
        <v>1.3169999999999999E-2</v>
      </c>
      <c r="F53" s="497">
        <f>'Rates in Detail'!V52</f>
        <v>-1.8400000000000001E-3</v>
      </c>
      <c r="G53" s="497"/>
      <c r="H53" s="1521">
        <f t="shared" si="1"/>
        <v>8.8210000000000025E-2</v>
      </c>
      <c r="I53" s="497"/>
      <c r="J53" s="571">
        <f t="shared" si="2"/>
        <v>8.8210000000000025E-2</v>
      </c>
      <c r="K53" s="497">
        <f>'Rates in Detail'!Y52</f>
        <v>6.6299999999999996E-3</v>
      </c>
      <c r="L53" s="497">
        <f>'Rates in Detail'!Z52</f>
        <v>-9.0000000000000006E-5</v>
      </c>
      <c r="M53" s="497"/>
      <c r="N53" s="854">
        <f t="shared" si="3"/>
        <v>9.4750000000000015E-2</v>
      </c>
      <c r="O53" s="497"/>
      <c r="P53" s="1529">
        <f t="shared" si="4"/>
        <v>9.6590000000000009E-2</v>
      </c>
      <c r="R53" s="157"/>
      <c r="S53" s="157"/>
      <c r="T53" s="157"/>
      <c r="U53" s="157"/>
      <c r="V53" s="157"/>
      <c r="W53" s="157"/>
    </row>
    <row r="54" spans="1:23" x14ac:dyDescent="0.2">
      <c r="A54" s="86">
        <f t="shared" si="0"/>
        <v>47</v>
      </c>
      <c r="B54" s="86"/>
      <c r="C54" s="1490" t="s">
        <v>8</v>
      </c>
      <c r="D54" s="864">
        <f>'Rates in Detail'!J53</f>
        <v>5.1250000000000004E-2</v>
      </c>
      <c r="E54" s="497">
        <f>SUM('Rates in Detail'!L53,'Rates in Detail'!P53,'Rates in Detail'!Q53)</f>
        <v>8.77E-3</v>
      </c>
      <c r="F54" s="497">
        <f>'Rates in Detail'!V53</f>
        <v>-1.23E-3</v>
      </c>
      <c r="G54" s="497"/>
      <c r="H54" s="1521">
        <f t="shared" si="1"/>
        <v>5.8790000000000002E-2</v>
      </c>
      <c r="I54" s="497"/>
      <c r="J54" s="571">
        <f t="shared" si="2"/>
        <v>5.8790000000000002E-2</v>
      </c>
      <c r="K54" s="497">
        <f>'Rates in Detail'!Y53</f>
        <v>4.4200000000000003E-3</v>
      </c>
      <c r="L54" s="497">
        <f>'Rates in Detail'!Z53</f>
        <v>-6.0000000000000002E-5</v>
      </c>
      <c r="M54" s="497"/>
      <c r="N54" s="854">
        <f t="shared" si="3"/>
        <v>6.3149999999999998E-2</v>
      </c>
      <c r="O54" s="497"/>
      <c r="P54" s="1529">
        <f t="shared" si="4"/>
        <v>6.4379999999999993E-2</v>
      </c>
      <c r="R54" s="157"/>
      <c r="S54" s="157"/>
      <c r="T54" s="157"/>
      <c r="U54" s="157"/>
      <c r="V54" s="157"/>
      <c r="W54" s="157"/>
    </row>
    <row r="55" spans="1:23" x14ac:dyDescent="0.2">
      <c r="A55" s="86">
        <f t="shared" si="0"/>
        <v>48</v>
      </c>
      <c r="B55" s="161"/>
      <c r="C55" s="1491" t="s">
        <v>9</v>
      </c>
      <c r="D55" s="862">
        <f>'Rates in Detail'!J54</f>
        <v>1.9220000000000001E-2</v>
      </c>
      <c r="E55" s="365">
        <f>SUM('Rates in Detail'!L54,'Rates in Detail'!P54,'Rates in Detail'!Q54)</f>
        <v>3.29E-3</v>
      </c>
      <c r="F55" s="365">
        <f>'Rates in Detail'!V54</f>
        <v>-4.6000000000000001E-4</v>
      </c>
      <c r="G55" s="365"/>
      <c r="H55" s="1519">
        <f t="shared" si="1"/>
        <v>2.2050000000000004E-2</v>
      </c>
      <c r="I55" s="365"/>
      <c r="J55" s="570">
        <f t="shared" si="2"/>
        <v>2.2050000000000004E-2</v>
      </c>
      <c r="K55" s="365">
        <f>'Rates in Detail'!Y54</f>
        <v>1.66E-3</v>
      </c>
      <c r="L55" s="365">
        <f>'Rates in Detail'!Z54</f>
        <v>-2.0000000000000002E-5</v>
      </c>
      <c r="M55" s="365"/>
      <c r="N55" s="852">
        <f t="shared" si="3"/>
        <v>2.3690000000000003E-2</v>
      </c>
      <c r="O55" s="365"/>
      <c r="P55" s="1527">
        <f t="shared" si="4"/>
        <v>2.4150000000000001E-2</v>
      </c>
      <c r="R55" s="157"/>
      <c r="S55" s="157"/>
      <c r="T55" s="157"/>
      <c r="U55" s="157"/>
      <c r="V55" s="157"/>
      <c r="W55" s="157"/>
    </row>
    <row r="56" spans="1:23" x14ac:dyDescent="0.2">
      <c r="A56" s="86">
        <f t="shared" si="0"/>
        <v>49</v>
      </c>
      <c r="B56" s="86" t="str">
        <f>'WA Volumes &amp; Revenues'!B57</f>
        <v>42C Interr Sales</v>
      </c>
      <c r="C56" s="1490" t="s">
        <v>4</v>
      </c>
      <c r="D56" s="864">
        <f>'Rates in Detail'!J55</f>
        <v>0.42349000000000003</v>
      </c>
      <c r="E56" s="497">
        <f>SUM('Rates in Detail'!L55,'Rates in Detail'!P55,'Rates in Detail'!Q55)</f>
        <v>2.486E-2</v>
      </c>
      <c r="F56" s="497">
        <f>'Rates in Detail'!V55</f>
        <v>-9.7800000000000005E-3</v>
      </c>
      <c r="G56" s="497"/>
      <c r="H56" s="1521">
        <f t="shared" si="1"/>
        <v>0.43857000000000002</v>
      </c>
      <c r="I56" s="497"/>
      <c r="J56" s="571">
        <f t="shared" si="2"/>
        <v>0.43857000000000002</v>
      </c>
      <c r="K56" s="497">
        <f>'Rates in Detail'!Y55</f>
        <v>1.252E-2</v>
      </c>
      <c r="L56" s="497">
        <f>'Rates in Detail'!Z55</f>
        <v>-1.8000000000000001E-4</v>
      </c>
      <c r="M56" s="497"/>
      <c r="N56" s="854">
        <f t="shared" si="3"/>
        <v>0.45090999999999998</v>
      </c>
      <c r="O56" s="497"/>
      <c r="P56" s="1529">
        <f t="shared" si="4"/>
        <v>0.46068999999999999</v>
      </c>
      <c r="R56" s="157"/>
      <c r="S56" s="157"/>
      <c r="T56" s="157"/>
      <c r="U56" s="157"/>
      <c r="V56" s="157"/>
      <c r="W56" s="157"/>
    </row>
    <row r="57" spans="1:23" x14ac:dyDescent="0.2">
      <c r="A57" s="86">
        <f t="shared" si="0"/>
        <v>50</v>
      </c>
      <c r="B57" s="86"/>
      <c r="C57" s="1490" t="s">
        <v>5</v>
      </c>
      <c r="D57" s="864">
        <f>'Rates in Detail'!J56</f>
        <v>0.40679999999999994</v>
      </c>
      <c r="E57" s="497">
        <f>SUM('Rates in Detail'!L56,'Rates in Detail'!P56,'Rates in Detail'!Q56)</f>
        <v>2.2260000000000002E-2</v>
      </c>
      <c r="F57" s="497">
        <f>'Rates in Detail'!V56</f>
        <v>-8.7600000000000004E-3</v>
      </c>
      <c r="G57" s="497"/>
      <c r="H57" s="1521">
        <f t="shared" si="1"/>
        <v>0.42029999999999995</v>
      </c>
      <c r="I57" s="497"/>
      <c r="J57" s="571">
        <f t="shared" si="2"/>
        <v>0.42029999999999995</v>
      </c>
      <c r="K57" s="497">
        <f>'Rates in Detail'!Y56</f>
        <v>1.1209999999999999E-2</v>
      </c>
      <c r="L57" s="497">
        <f>'Rates in Detail'!Z56</f>
        <v>-1.6000000000000001E-4</v>
      </c>
      <c r="M57" s="497"/>
      <c r="N57" s="854">
        <f t="shared" si="3"/>
        <v>0.43134999999999996</v>
      </c>
      <c r="O57" s="497"/>
      <c r="P57" s="1529">
        <f t="shared" si="4"/>
        <v>0.44010999999999995</v>
      </c>
      <c r="R57" s="157"/>
      <c r="S57" s="157"/>
      <c r="T57" s="157"/>
      <c r="U57" s="157"/>
      <c r="V57" s="157"/>
      <c r="W57" s="157"/>
    </row>
    <row r="58" spans="1:23" x14ac:dyDescent="0.2">
      <c r="A58" s="86">
        <f t="shared" si="0"/>
        <v>51</v>
      </c>
      <c r="B58" s="86"/>
      <c r="C58" s="1490" t="s">
        <v>6</v>
      </c>
      <c r="D58" s="864">
        <f>'Rates in Detail'!J57</f>
        <v>0.37361</v>
      </c>
      <c r="E58" s="497">
        <f>SUM('Rates in Detail'!L57,'Rates in Detail'!P57,'Rates in Detail'!Q57)</f>
        <v>1.7069999999999998E-2</v>
      </c>
      <c r="F58" s="497">
        <f>'Rates in Detail'!V57</f>
        <v>-6.7100000000000007E-3</v>
      </c>
      <c r="G58" s="497"/>
      <c r="H58" s="1521">
        <f t="shared" si="1"/>
        <v>0.38396999999999998</v>
      </c>
      <c r="I58" s="497"/>
      <c r="J58" s="571">
        <f t="shared" si="2"/>
        <v>0.38396999999999998</v>
      </c>
      <c r="K58" s="497">
        <f>'Rates in Detail'!Y57</f>
        <v>8.5900000000000004E-3</v>
      </c>
      <c r="L58" s="497">
        <f>'Rates in Detail'!Z57</f>
        <v>-1.2E-4</v>
      </c>
      <c r="M58" s="497"/>
      <c r="N58" s="854">
        <f t="shared" si="3"/>
        <v>0.39243999999999996</v>
      </c>
      <c r="O58" s="497"/>
      <c r="P58" s="1529">
        <f t="shared" si="4"/>
        <v>0.39914999999999995</v>
      </c>
      <c r="R58" s="157"/>
      <c r="S58" s="157"/>
      <c r="T58" s="157"/>
      <c r="U58" s="157"/>
      <c r="V58" s="157"/>
      <c r="W58" s="157"/>
    </row>
    <row r="59" spans="1:23" x14ac:dyDescent="0.2">
      <c r="A59" s="86">
        <f t="shared" si="0"/>
        <v>52</v>
      </c>
      <c r="B59" s="86"/>
      <c r="C59" s="1490" t="s">
        <v>7</v>
      </c>
      <c r="D59" s="864">
        <f>'Rates in Detail'!J58</f>
        <v>0.35180000000000006</v>
      </c>
      <c r="E59" s="497">
        <f>SUM('Rates in Detail'!L58,'Rates in Detail'!P58,'Rates in Detail'!Q58)</f>
        <v>1.3649999999999999E-2</v>
      </c>
      <c r="F59" s="497">
        <f>'Rates in Detail'!V58</f>
        <v>-5.3699999999999998E-3</v>
      </c>
      <c r="G59" s="497"/>
      <c r="H59" s="1521">
        <f t="shared" si="1"/>
        <v>0.36008000000000007</v>
      </c>
      <c r="I59" s="497"/>
      <c r="J59" s="571">
        <f t="shared" si="2"/>
        <v>0.36008000000000007</v>
      </c>
      <c r="K59" s="497">
        <f>'Rates in Detail'!Y58</f>
        <v>6.8799999999999998E-3</v>
      </c>
      <c r="L59" s="497">
        <f>'Rates in Detail'!Z58</f>
        <v>-1E-4</v>
      </c>
      <c r="M59" s="497"/>
      <c r="N59" s="854">
        <f t="shared" si="3"/>
        <v>0.36686000000000007</v>
      </c>
      <c r="O59" s="497"/>
      <c r="P59" s="1529">
        <f t="shared" si="4"/>
        <v>0.37223000000000006</v>
      </c>
      <c r="R59" s="157"/>
      <c r="S59" s="157"/>
      <c r="T59" s="157"/>
      <c r="U59" s="157"/>
      <c r="V59" s="157"/>
      <c r="W59" s="157"/>
    </row>
    <row r="60" spans="1:23" x14ac:dyDescent="0.2">
      <c r="A60" s="86">
        <f t="shared" si="0"/>
        <v>53</v>
      </c>
      <c r="B60" s="86"/>
      <c r="C60" s="1490" t="s">
        <v>8</v>
      </c>
      <c r="D60" s="864">
        <f>'Rates in Detail'!J59</f>
        <v>0.32268999999999998</v>
      </c>
      <c r="E60" s="497">
        <f>SUM('Rates in Detail'!L59,'Rates in Detail'!P59,'Rates in Detail'!Q59)</f>
        <v>9.11E-3</v>
      </c>
      <c r="F60" s="497">
        <f>'Rates in Detail'!V59</f>
        <v>-3.5799999999999998E-3</v>
      </c>
      <c r="G60" s="497"/>
      <c r="H60" s="1521">
        <f t="shared" si="1"/>
        <v>0.32821999999999996</v>
      </c>
      <c r="I60" s="497"/>
      <c r="J60" s="571">
        <f t="shared" si="2"/>
        <v>0.32821999999999996</v>
      </c>
      <c r="K60" s="497">
        <f>'Rates in Detail'!Y59</f>
        <v>4.5799999999999999E-3</v>
      </c>
      <c r="L60" s="497">
        <f>'Rates in Detail'!Z59</f>
        <v>-6.0000000000000002E-5</v>
      </c>
      <c r="M60" s="497"/>
      <c r="N60" s="854">
        <f t="shared" si="3"/>
        <v>0.33273999999999992</v>
      </c>
      <c r="O60" s="497"/>
      <c r="P60" s="1529">
        <f t="shared" si="4"/>
        <v>0.33631999999999995</v>
      </c>
      <c r="R60" s="157"/>
      <c r="S60" s="157"/>
      <c r="T60" s="157"/>
      <c r="U60" s="157"/>
      <c r="V60" s="157"/>
      <c r="W60" s="157"/>
    </row>
    <row r="61" spans="1:23" x14ac:dyDescent="0.2">
      <c r="A61" s="86">
        <f t="shared" si="0"/>
        <v>54</v>
      </c>
      <c r="B61" s="161"/>
      <c r="C61" s="1491" t="s">
        <v>9</v>
      </c>
      <c r="D61" s="862">
        <f>'Rates in Detail'!J60</f>
        <v>0.28632000000000002</v>
      </c>
      <c r="E61" s="365">
        <f>SUM('Rates in Detail'!L60,'Rates in Detail'!P60,'Rates in Detail'!Q60)</f>
        <v>3.4200000000000003E-3</v>
      </c>
      <c r="F61" s="365">
        <f>'Rates in Detail'!V60</f>
        <v>-1.3500000000000001E-3</v>
      </c>
      <c r="G61" s="365"/>
      <c r="H61" s="1519">
        <f t="shared" si="1"/>
        <v>0.28838999999999998</v>
      </c>
      <c r="I61" s="365"/>
      <c r="J61" s="570">
        <f t="shared" si="2"/>
        <v>0.28838999999999998</v>
      </c>
      <c r="K61" s="365">
        <f>'Rates in Detail'!Y60</f>
        <v>1.72E-3</v>
      </c>
      <c r="L61" s="365">
        <f>'Rates in Detail'!Z60</f>
        <v>-2.0000000000000002E-5</v>
      </c>
      <c r="M61" s="365"/>
      <c r="N61" s="852">
        <f t="shared" si="3"/>
        <v>0.29008999999999996</v>
      </c>
      <c r="O61" s="365"/>
      <c r="P61" s="1527">
        <f t="shared" si="4"/>
        <v>0.29143999999999998</v>
      </c>
      <c r="R61" s="157"/>
      <c r="S61" s="157"/>
      <c r="T61" s="157"/>
      <c r="U61" s="157"/>
      <c r="V61" s="157"/>
      <c r="W61" s="157"/>
    </row>
    <row r="62" spans="1:23" x14ac:dyDescent="0.2">
      <c r="A62" s="86">
        <f t="shared" si="0"/>
        <v>55</v>
      </c>
      <c r="B62" s="86" t="str">
        <f>'WA Volumes &amp; Revenues'!B63</f>
        <v>42I Interr Sales</v>
      </c>
      <c r="C62" s="1490" t="s">
        <v>4</v>
      </c>
      <c r="D62" s="864">
        <f>'Rates in Detail'!J61</f>
        <v>0.4161399999999999</v>
      </c>
      <c r="E62" s="497">
        <f>SUM('Rates in Detail'!L61,'Rates in Detail'!P61,'Rates in Detail'!Q61)</f>
        <v>3.4299999999999997E-2</v>
      </c>
      <c r="F62" s="497">
        <f>'Rates in Detail'!V61</f>
        <v>-4.7999999999999996E-3</v>
      </c>
      <c r="G62" s="497"/>
      <c r="H62" s="1521">
        <f t="shared" si="1"/>
        <v>0.44563999999999987</v>
      </c>
      <c r="I62" s="497"/>
      <c r="J62" s="571">
        <f t="shared" si="2"/>
        <v>0.44563999999999987</v>
      </c>
      <c r="K62" s="497">
        <f>'Rates in Detail'!Y61</f>
        <v>1.728E-2</v>
      </c>
      <c r="L62" s="497">
        <f>'Rates in Detail'!Z61</f>
        <v>-2.4000000000000001E-4</v>
      </c>
      <c r="M62" s="497"/>
      <c r="N62" s="854">
        <f t="shared" si="3"/>
        <v>0.46267999999999987</v>
      </c>
      <c r="O62" s="497"/>
      <c r="P62" s="1529">
        <f t="shared" si="4"/>
        <v>0.4674799999999999</v>
      </c>
      <c r="R62" s="157"/>
      <c r="S62" s="157"/>
      <c r="T62" s="157"/>
      <c r="U62" s="157"/>
      <c r="V62" s="157"/>
      <c r="W62" s="157"/>
    </row>
    <row r="63" spans="1:23" x14ac:dyDescent="0.2">
      <c r="A63" s="86">
        <f t="shared" si="0"/>
        <v>56</v>
      </c>
      <c r="B63" s="86"/>
      <c r="C63" s="1490" t="s">
        <v>5</v>
      </c>
      <c r="D63" s="864">
        <f>'Rates in Detail'!J62</f>
        <v>0.40022999999999992</v>
      </c>
      <c r="E63" s="497">
        <f>SUM('Rates in Detail'!L62,'Rates in Detail'!P62,'Rates in Detail'!Q62)</f>
        <v>3.0710000000000001E-2</v>
      </c>
      <c r="F63" s="497">
        <f>'Rates in Detail'!V62</f>
        <v>-4.3E-3</v>
      </c>
      <c r="G63" s="497"/>
      <c r="H63" s="1521">
        <f t="shared" si="1"/>
        <v>0.42663999999999991</v>
      </c>
      <c r="I63" s="497"/>
      <c r="J63" s="571">
        <f t="shared" si="2"/>
        <v>0.42663999999999991</v>
      </c>
      <c r="K63" s="497">
        <f>'Rates in Detail'!Y62</f>
        <v>1.546E-2</v>
      </c>
      <c r="L63" s="497">
        <f>'Rates in Detail'!Z62</f>
        <v>-2.2000000000000001E-4</v>
      </c>
      <c r="M63" s="497"/>
      <c r="N63" s="854">
        <f t="shared" si="3"/>
        <v>0.44187999999999988</v>
      </c>
      <c r="O63" s="497"/>
      <c r="P63" s="1529">
        <f t="shared" si="4"/>
        <v>0.44617999999999991</v>
      </c>
      <c r="R63" s="157"/>
      <c r="S63" s="157"/>
      <c r="T63" s="157"/>
      <c r="U63" s="157"/>
      <c r="V63" s="157"/>
      <c r="W63" s="157"/>
    </row>
    <row r="64" spans="1:23" x14ac:dyDescent="0.2">
      <c r="A64" s="86">
        <f t="shared" si="0"/>
        <v>57</v>
      </c>
      <c r="B64" s="86"/>
      <c r="C64" s="1490" t="s">
        <v>6</v>
      </c>
      <c r="D64" s="864">
        <f>'Rates in Detail'!J63</f>
        <v>0.36857999999999996</v>
      </c>
      <c r="E64" s="497">
        <f>SUM('Rates in Detail'!L63,'Rates in Detail'!P63,'Rates in Detail'!Q63)</f>
        <v>2.3550000000000001E-2</v>
      </c>
      <c r="F64" s="497">
        <f>'Rates in Detail'!V63</f>
        <v>-3.3E-3</v>
      </c>
      <c r="G64" s="497"/>
      <c r="H64" s="1521">
        <f t="shared" si="1"/>
        <v>0.38882999999999995</v>
      </c>
      <c r="I64" s="497"/>
      <c r="J64" s="571">
        <f t="shared" si="2"/>
        <v>0.38882999999999995</v>
      </c>
      <c r="K64" s="497">
        <f>'Rates in Detail'!Y63</f>
        <v>1.1860000000000001E-2</v>
      </c>
      <c r="L64" s="497">
        <f>'Rates in Detail'!Z63</f>
        <v>-1.7000000000000001E-4</v>
      </c>
      <c r="M64" s="497"/>
      <c r="N64" s="854">
        <f t="shared" si="3"/>
        <v>0.40051999999999993</v>
      </c>
      <c r="O64" s="497"/>
      <c r="P64" s="1529">
        <f t="shared" si="4"/>
        <v>0.40381999999999996</v>
      </c>
      <c r="R64" s="157"/>
      <c r="S64" s="157"/>
      <c r="T64" s="157"/>
      <c r="U64" s="157"/>
      <c r="V64" s="157"/>
      <c r="W64" s="157"/>
    </row>
    <row r="65" spans="1:23" x14ac:dyDescent="0.2">
      <c r="A65" s="86">
        <f t="shared" si="0"/>
        <v>58</v>
      </c>
      <c r="B65" s="86"/>
      <c r="C65" s="1490" t="s">
        <v>7</v>
      </c>
      <c r="D65" s="864">
        <f>'Rates in Detail'!J64</f>
        <v>0.34777000000000002</v>
      </c>
      <c r="E65" s="497">
        <f>SUM('Rates in Detail'!L64,'Rates in Detail'!P64,'Rates in Detail'!Q64)</f>
        <v>1.8840000000000003E-2</v>
      </c>
      <c r="F65" s="497">
        <f>'Rates in Detail'!V64</f>
        <v>-2.64E-3</v>
      </c>
      <c r="G65" s="497"/>
      <c r="H65" s="1521">
        <f t="shared" si="1"/>
        <v>0.36397000000000007</v>
      </c>
      <c r="I65" s="497"/>
      <c r="J65" s="571">
        <f t="shared" si="2"/>
        <v>0.36397000000000007</v>
      </c>
      <c r="K65" s="497">
        <f>'Rates in Detail'!Y64</f>
        <v>9.4900000000000002E-3</v>
      </c>
      <c r="L65" s="497">
        <f>'Rates in Detail'!Z64</f>
        <v>-1.2999999999999999E-4</v>
      </c>
      <c r="M65" s="497"/>
      <c r="N65" s="854">
        <f t="shared" si="3"/>
        <v>0.37333000000000005</v>
      </c>
      <c r="O65" s="497"/>
      <c r="P65" s="1529">
        <f t="shared" si="4"/>
        <v>0.37597000000000003</v>
      </c>
      <c r="R65" s="157"/>
      <c r="S65" s="157"/>
      <c r="T65" s="157"/>
      <c r="U65" s="157"/>
      <c r="V65" s="157"/>
      <c r="W65" s="157"/>
    </row>
    <row r="66" spans="1:23" x14ac:dyDescent="0.2">
      <c r="A66" s="86">
        <f t="shared" si="0"/>
        <v>59</v>
      </c>
      <c r="B66" s="86"/>
      <c r="C66" s="1490" t="s">
        <v>8</v>
      </c>
      <c r="D66" s="864">
        <f>'Rates in Detail'!J65</f>
        <v>0.32002000000000003</v>
      </c>
      <c r="E66" s="497">
        <f>SUM('Rates in Detail'!L65,'Rates in Detail'!P65,'Rates in Detail'!Q65)</f>
        <v>1.256E-2</v>
      </c>
      <c r="F66" s="497">
        <f>'Rates in Detail'!V65</f>
        <v>-1.7600000000000001E-3</v>
      </c>
      <c r="G66" s="497"/>
      <c r="H66" s="1521">
        <f t="shared" si="1"/>
        <v>0.33082000000000006</v>
      </c>
      <c r="I66" s="497"/>
      <c r="J66" s="571">
        <f t="shared" si="2"/>
        <v>0.33082000000000006</v>
      </c>
      <c r="K66" s="497">
        <f>'Rates in Detail'!Y65</f>
        <v>6.3200000000000001E-3</v>
      </c>
      <c r="L66" s="497">
        <f>'Rates in Detail'!Z65</f>
        <v>-9.0000000000000006E-5</v>
      </c>
      <c r="M66" s="497"/>
      <c r="N66" s="854">
        <f t="shared" si="3"/>
        <v>0.33705000000000007</v>
      </c>
      <c r="O66" s="497"/>
      <c r="P66" s="1529">
        <f t="shared" si="4"/>
        <v>0.33881000000000006</v>
      </c>
      <c r="R66" s="157"/>
      <c r="S66" s="157"/>
      <c r="T66" s="157"/>
      <c r="U66" s="157"/>
      <c r="V66" s="157"/>
      <c r="W66" s="157"/>
    </row>
    <row r="67" spans="1:23" x14ac:dyDescent="0.2">
      <c r="A67" s="86">
        <f t="shared" si="0"/>
        <v>60</v>
      </c>
      <c r="B67" s="161"/>
      <c r="C67" s="1491" t="s">
        <v>9</v>
      </c>
      <c r="D67" s="862">
        <f>'Rates in Detail'!J66</f>
        <v>0.2853</v>
      </c>
      <c r="E67" s="365">
        <f>SUM('Rates in Detail'!L66,'Rates in Detail'!P66,'Rates in Detail'!Q66)</f>
        <v>4.7100000000000006E-3</v>
      </c>
      <c r="F67" s="365">
        <f>'Rates in Detail'!V66</f>
        <v>-6.6E-4</v>
      </c>
      <c r="G67" s="365"/>
      <c r="H67" s="1519">
        <f t="shared" si="1"/>
        <v>0.28935</v>
      </c>
      <c r="I67" s="365"/>
      <c r="J67" s="570">
        <f t="shared" si="2"/>
        <v>0.28935</v>
      </c>
      <c r="K67" s="365">
        <f>'Rates in Detail'!Y66</f>
        <v>2.3700000000000001E-3</v>
      </c>
      <c r="L67" s="365">
        <f>'Rates in Detail'!Z66</f>
        <v>-3.0000000000000001E-5</v>
      </c>
      <c r="M67" s="365"/>
      <c r="N67" s="852">
        <f t="shared" si="3"/>
        <v>0.29169</v>
      </c>
      <c r="O67" s="365"/>
      <c r="P67" s="1527">
        <f t="shared" si="4"/>
        <v>0.29235</v>
      </c>
      <c r="R67" s="157"/>
      <c r="S67" s="157"/>
      <c r="T67" s="157"/>
      <c r="U67" s="157"/>
      <c r="V67" s="157"/>
      <c r="W67" s="157"/>
    </row>
    <row r="68" spans="1:23" x14ac:dyDescent="0.2">
      <c r="A68" s="86">
        <f t="shared" si="0"/>
        <v>61</v>
      </c>
      <c r="B68" s="86" t="str">
        <f>'WA Volumes &amp; Revenues'!B69</f>
        <v>42C Inter Transpt</v>
      </c>
      <c r="C68" s="1490" t="s">
        <v>4</v>
      </c>
      <c r="D68" s="864">
        <f>'Rates in Detail'!J67</f>
        <v>0.13459999999999997</v>
      </c>
      <c r="E68" s="497">
        <f>SUM('Rates in Detail'!L67,'Rates in Detail'!P67,'Rates in Detail'!Q67)</f>
        <v>1.5730000000000001E-2</v>
      </c>
      <c r="F68" s="497">
        <f>'Rates in Detail'!V67</f>
        <v>-2.3800000000000002E-3</v>
      </c>
      <c r="G68" s="497"/>
      <c r="H68" s="1521">
        <f t="shared" si="1"/>
        <v>0.14794999999999997</v>
      </c>
      <c r="I68" s="497"/>
      <c r="J68" s="571">
        <f t="shared" si="2"/>
        <v>0.14794999999999997</v>
      </c>
      <c r="K68" s="497">
        <f>'Rates in Detail'!Y67</f>
        <v>8.4799999999999997E-3</v>
      </c>
      <c r="L68" s="497">
        <f>'Rates in Detail'!Z67</f>
        <v>-1.2E-4</v>
      </c>
      <c r="M68" s="497"/>
      <c r="N68" s="854">
        <f t="shared" si="3"/>
        <v>0.15630999999999995</v>
      </c>
      <c r="O68" s="497"/>
      <c r="P68" s="1529">
        <f t="shared" si="4"/>
        <v>0.15868999999999994</v>
      </c>
      <c r="R68" s="157"/>
      <c r="S68" s="157"/>
      <c r="T68" s="157"/>
      <c r="U68" s="157"/>
      <c r="V68" s="157"/>
      <c r="W68" s="157"/>
    </row>
    <row r="69" spans="1:23" x14ac:dyDescent="0.2">
      <c r="A69" s="86">
        <f t="shared" si="0"/>
        <v>62</v>
      </c>
      <c r="B69" s="86"/>
      <c r="C69" s="1490" t="s">
        <v>5</v>
      </c>
      <c r="D69" s="864">
        <f>'Rates in Detail'!J68</f>
        <v>0.12048999999999999</v>
      </c>
      <c r="E69" s="497">
        <f>SUM('Rates in Detail'!L68,'Rates in Detail'!P68,'Rates in Detail'!Q68)</f>
        <v>1.409E-2</v>
      </c>
      <c r="F69" s="497">
        <f>'Rates in Detail'!V68</f>
        <v>-2.1299999999999999E-3</v>
      </c>
      <c r="G69" s="497"/>
      <c r="H69" s="1521">
        <f t="shared" si="1"/>
        <v>0.13244999999999998</v>
      </c>
      <c r="I69" s="497"/>
      <c r="J69" s="571">
        <f t="shared" si="2"/>
        <v>0.13244999999999998</v>
      </c>
      <c r="K69" s="497">
        <f>'Rates in Detail'!Y68</f>
        <v>7.5900000000000004E-3</v>
      </c>
      <c r="L69" s="497">
        <f>'Rates in Detail'!Z68</f>
        <v>-1.1E-4</v>
      </c>
      <c r="M69" s="497"/>
      <c r="N69" s="854">
        <f t="shared" si="3"/>
        <v>0.13993</v>
      </c>
      <c r="O69" s="497"/>
      <c r="P69" s="1529">
        <f t="shared" si="4"/>
        <v>0.14205999999999999</v>
      </c>
      <c r="R69" s="157"/>
      <c r="S69" s="157"/>
      <c r="T69" s="157"/>
      <c r="U69" s="157"/>
      <c r="V69" s="157"/>
      <c r="W69" s="157"/>
    </row>
    <row r="70" spans="1:23" x14ac:dyDescent="0.2">
      <c r="A70" s="86">
        <f t="shared" si="0"/>
        <v>63</v>
      </c>
      <c r="B70" s="86"/>
      <c r="C70" s="1490" t="s">
        <v>6</v>
      </c>
      <c r="D70" s="864">
        <f>'Rates in Detail'!J69</f>
        <v>9.2380000000000004E-2</v>
      </c>
      <c r="E70" s="497">
        <f>SUM('Rates in Detail'!L69,'Rates in Detail'!P69,'Rates in Detail'!Q69)</f>
        <v>1.0800000000000001E-2</v>
      </c>
      <c r="F70" s="497">
        <f>'Rates in Detail'!V69</f>
        <v>-1.6299999999999999E-3</v>
      </c>
      <c r="G70" s="497"/>
      <c r="H70" s="1521">
        <f t="shared" si="1"/>
        <v>0.10155</v>
      </c>
      <c r="I70" s="497"/>
      <c r="J70" s="571">
        <f t="shared" si="2"/>
        <v>0.10155</v>
      </c>
      <c r="K70" s="497">
        <f>'Rates in Detail'!Y69</f>
        <v>5.8199999999999997E-3</v>
      </c>
      <c r="L70" s="497">
        <f>'Rates in Detail'!Z69</f>
        <v>-8.0000000000000007E-5</v>
      </c>
      <c r="M70" s="497"/>
      <c r="N70" s="854">
        <f t="shared" si="3"/>
        <v>0.10729000000000001</v>
      </c>
      <c r="O70" s="497"/>
      <c r="P70" s="1529">
        <f t="shared" si="4"/>
        <v>0.10892000000000002</v>
      </c>
      <c r="R70" s="157"/>
      <c r="S70" s="157"/>
      <c r="T70" s="157"/>
      <c r="U70" s="157"/>
      <c r="V70" s="157"/>
      <c r="W70" s="157"/>
    </row>
    <row r="71" spans="1:23" x14ac:dyDescent="0.2">
      <c r="A71" s="86">
        <f t="shared" si="0"/>
        <v>64</v>
      </c>
      <c r="B71" s="86"/>
      <c r="C71" s="1490" t="s">
        <v>7</v>
      </c>
      <c r="D71" s="864">
        <f>'Rates in Detail'!J70</f>
        <v>7.392E-2</v>
      </c>
      <c r="E71" s="497">
        <f>SUM('Rates in Detail'!L70,'Rates in Detail'!P70,'Rates in Detail'!Q70)</f>
        <v>8.6400000000000001E-3</v>
      </c>
      <c r="F71" s="497">
        <f>'Rates in Detail'!V70</f>
        <v>-1.31E-3</v>
      </c>
      <c r="G71" s="497"/>
      <c r="H71" s="1521">
        <f t="shared" si="1"/>
        <v>8.1249999999999989E-2</v>
      </c>
      <c r="I71" s="497"/>
      <c r="J71" s="571">
        <f t="shared" si="2"/>
        <v>8.1249999999999989E-2</v>
      </c>
      <c r="K71" s="497">
        <f>'Rates in Detail'!Y70</f>
        <v>4.6600000000000001E-3</v>
      </c>
      <c r="L71" s="497">
        <f>'Rates in Detail'!Z70</f>
        <v>-6.9999999999999994E-5</v>
      </c>
      <c r="M71" s="497"/>
      <c r="N71" s="854">
        <f t="shared" si="3"/>
        <v>8.5839999999999986E-2</v>
      </c>
      <c r="O71" s="497"/>
      <c r="P71" s="1529">
        <f t="shared" si="4"/>
        <v>8.7149999999999991E-2</v>
      </c>
      <c r="R71" s="157"/>
      <c r="S71" s="157"/>
      <c r="T71" s="157"/>
      <c r="U71" s="157"/>
      <c r="V71" s="157"/>
      <c r="W71" s="157"/>
    </row>
    <row r="72" spans="1:23" x14ac:dyDescent="0.2">
      <c r="A72" s="86">
        <f t="shared" si="0"/>
        <v>65</v>
      </c>
      <c r="B72" s="86"/>
      <c r="C72" s="1490" t="s">
        <v>8</v>
      </c>
      <c r="D72" s="864">
        <f>'Rates in Detail'!J71</f>
        <v>4.929E-2</v>
      </c>
      <c r="E72" s="497">
        <f>SUM('Rates in Detail'!L71,'Rates in Detail'!P71,'Rates in Detail'!Q71)</f>
        <v>5.7599999999999995E-3</v>
      </c>
      <c r="F72" s="497">
        <f>'Rates in Detail'!V71</f>
        <v>-8.7000000000000001E-4</v>
      </c>
      <c r="G72" s="497"/>
      <c r="H72" s="1521">
        <f t="shared" si="1"/>
        <v>5.4179999999999999E-2</v>
      </c>
      <c r="I72" s="497"/>
      <c r="J72" s="571">
        <f t="shared" si="2"/>
        <v>5.4179999999999999E-2</v>
      </c>
      <c r="K72" s="497">
        <f>'Rates in Detail'!Y71</f>
        <v>3.1099999999999999E-3</v>
      </c>
      <c r="L72" s="497">
        <f>'Rates in Detail'!Z71</f>
        <v>-4.0000000000000003E-5</v>
      </c>
      <c r="M72" s="497"/>
      <c r="N72" s="854">
        <f t="shared" si="3"/>
        <v>5.7250000000000002E-2</v>
      </c>
      <c r="O72" s="497"/>
      <c r="P72" s="1529">
        <f t="shared" si="4"/>
        <v>5.8120000000000005E-2</v>
      </c>
      <c r="R72" s="157"/>
      <c r="S72" s="157"/>
      <c r="T72" s="157"/>
      <c r="U72" s="157"/>
      <c r="V72" s="157"/>
      <c r="W72" s="157"/>
    </row>
    <row r="73" spans="1:23" x14ac:dyDescent="0.2">
      <c r="A73" s="86">
        <f t="shared" si="0"/>
        <v>66</v>
      </c>
      <c r="B73" s="161"/>
      <c r="C73" s="1491" t="s">
        <v>9</v>
      </c>
      <c r="D73" s="862">
        <f>'Rates in Detail'!J72</f>
        <v>1.8460000000000001E-2</v>
      </c>
      <c r="E73" s="365">
        <f>SUM('Rates in Detail'!L72,'Rates in Detail'!P72,'Rates in Detail'!Q72)</f>
        <v>2.16E-3</v>
      </c>
      <c r="F73" s="365">
        <f>'Rates in Detail'!V72</f>
        <v>-3.3E-4</v>
      </c>
      <c r="G73" s="365"/>
      <c r="H73" s="1519">
        <f t="shared" si="1"/>
        <v>2.0289999999999999E-2</v>
      </c>
      <c r="I73" s="365"/>
      <c r="J73" s="570">
        <f t="shared" si="2"/>
        <v>2.0289999999999999E-2</v>
      </c>
      <c r="K73" s="365">
        <f>'Rates in Detail'!Y72</f>
        <v>1.16E-3</v>
      </c>
      <c r="L73" s="365">
        <f>'Rates in Detail'!Z72</f>
        <v>-2.0000000000000002E-5</v>
      </c>
      <c r="M73" s="365"/>
      <c r="N73" s="852">
        <f t="shared" si="3"/>
        <v>2.1430000000000001E-2</v>
      </c>
      <c r="O73" s="365"/>
      <c r="P73" s="1527">
        <f t="shared" si="4"/>
        <v>2.1760000000000002E-2</v>
      </c>
      <c r="R73" s="157"/>
      <c r="S73" s="157"/>
      <c r="T73" s="157"/>
      <c r="U73" s="157"/>
      <c r="V73" s="157"/>
      <c r="W73" s="157"/>
    </row>
    <row r="74" spans="1:23" x14ac:dyDescent="0.2">
      <c r="A74" s="86">
        <f t="shared" si="0"/>
        <v>67</v>
      </c>
      <c r="B74" s="86" t="str">
        <f>'WA Volumes &amp; Revenues'!B75</f>
        <v>42I Inter Transpt</v>
      </c>
      <c r="C74" s="1490" t="s">
        <v>4</v>
      </c>
      <c r="D74" s="864">
        <f>'Rates in Detail'!J73</f>
        <v>0.13459999999999997</v>
      </c>
      <c r="E74" s="497">
        <f>SUM('Rates in Detail'!L73,'Rates in Detail'!P73,'Rates in Detail'!Q73)</f>
        <v>2.017E-2</v>
      </c>
      <c r="F74" s="497">
        <f>'Rates in Detail'!V73</f>
        <v>-2.82E-3</v>
      </c>
      <c r="G74" s="497"/>
      <c r="H74" s="1521">
        <f t="shared" si="1"/>
        <v>0.15194999999999997</v>
      </c>
      <c r="I74" s="497"/>
      <c r="J74" s="571">
        <f t="shared" si="2"/>
        <v>0.15194999999999997</v>
      </c>
      <c r="K74" s="497">
        <f>'Rates in Detail'!Y73</f>
        <v>1.0160000000000001E-2</v>
      </c>
      <c r="L74" s="497">
        <f>'Rates in Detail'!Z73</f>
        <v>-1.3999999999999999E-4</v>
      </c>
      <c r="M74" s="497"/>
      <c r="N74" s="854">
        <f t="shared" si="3"/>
        <v>0.16196999999999998</v>
      </c>
      <c r="O74" s="497"/>
      <c r="P74" s="1529">
        <f t="shared" si="4"/>
        <v>0.16478999999999996</v>
      </c>
      <c r="R74" s="157"/>
      <c r="S74" s="157"/>
      <c r="T74" s="157"/>
      <c r="U74" s="157"/>
      <c r="V74" s="157"/>
      <c r="W74" s="157"/>
    </row>
    <row r="75" spans="1:23" x14ac:dyDescent="0.2">
      <c r="A75" s="86">
        <f t="shared" si="0"/>
        <v>68</v>
      </c>
      <c r="B75" s="86"/>
      <c r="C75" s="1490" t="s">
        <v>5</v>
      </c>
      <c r="D75" s="864">
        <f>'Rates in Detail'!J74</f>
        <v>0.12048999999999999</v>
      </c>
      <c r="E75" s="497">
        <f>SUM('Rates in Detail'!L74,'Rates in Detail'!P74,'Rates in Detail'!Q74)</f>
        <v>1.806E-2</v>
      </c>
      <c r="F75" s="497">
        <f>'Rates in Detail'!V74</f>
        <v>-2.5300000000000001E-3</v>
      </c>
      <c r="G75" s="497"/>
      <c r="H75" s="1521">
        <f t="shared" si="1"/>
        <v>0.13601999999999997</v>
      </c>
      <c r="I75" s="497"/>
      <c r="J75" s="571">
        <f t="shared" si="2"/>
        <v>0.13601999999999997</v>
      </c>
      <c r="K75" s="497">
        <f>'Rates in Detail'!Y74</f>
        <v>9.0900000000000009E-3</v>
      </c>
      <c r="L75" s="497">
        <f>'Rates in Detail'!Z74</f>
        <v>-1.2999999999999999E-4</v>
      </c>
      <c r="M75" s="497"/>
      <c r="N75" s="854">
        <f t="shared" si="3"/>
        <v>0.14497999999999997</v>
      </c>
      <c r="O75" s="497"/>
      <c r="P75" s="1529">
        <f t="shared" si="4"/>
        <v>0.14750999999999997</v>
      </c>
      <c r="R75" s="157"/>
      <c r="S75" s="157"/>
      <c r="T75" s="157"/>
      <c r="U75" s="157"/>
      <c r="V75" s="157"/>
      <c r="W75" s="157"/>
    </row>
    <row r="76" spans="1:23" x14ac:dyDescent="0.2">
      <c r="A76" s="86">
        <f t="shared" si="0"/>
        <v>69</v>
      </c>
      <c r="B76" s="86"/>
      <c r="C76" s="1490" t="s">
        <v>6</v>
      </c>
      <c r="D76" s="864">
        <f>'Rates in Detail'!J75</f>
        <v>9.2380000000000004E-2</v>
      </c>
      <c r="E76" s="497">
        <f>SUM('Rates in Detail'!L75,'Rates in Detail'!P75,'Rates in Detail'!Q75)</f>
        <v>1.3849999999999999E-2</v>
      </c>
      <c r="F76" s="497">
        <f>'Rates in Detail'!V75</f>
        <v>-1.9400000000000001E-3</v>
      </c>
      <c r="G76" s="497"/>
      <c r="H76" s="1521">
        <f t="shared" si="1"/>
        <v>0.10429000000000001</v>
      </c>
      <c r="I76" s="497"/>
      <c r="J76" s="571">
        <f t="shared" si="2"/>
        <v>0.10429000000000001</v>
      </c>
      <c r="K76" s="497">
        <f>'Rates in Detail'!Y75</f>
        <v>6.9699999999999996E-3</v>
      </c>
      <c r="L76" s="497">
        <f>'Rates in Detail'!Z75</f>
        <v>-1E-4</v>
      </c>
      <c r="M76" s="497"/>
      <c r="N76" s="854">
        <f t="shared" si="3"/>
        <v>0.11116000000000001</v>
      </c>
      <c r="O76" s="497"/>
      <c r="P76" s="1529">
        <f t="shared" si="4"/>
        <v>0.11310000000000001</v>
      </c>
      <c r="R76" s="157"/>
      <c r="S76" s="157"/>
      <c r="T76" s="157"/>
      <c r="U76" s="157"/>
      <c r="V76" s="157"/>
      <c r="W76" s="157"/>
    </row>
    <row r="77" spans="1:23" x14ac:dyDescent="0.2">
      <c r="A77" s="86">
        <f t="shared" si="0"/>
        <v>70</v>
      </c>
      <c r="B77" s="86"/>
      <c r="C77" s="1490" t="s">
        <v>7</v>
      </c>
      <c r="D77" s="864">
        <f>'Rates in Detail'!J76</f>
        <v>7.392E-2</v>
      </c>
      <c r="E77" s="497">
        <f>SUM('Rates in Detail'!L76,'Rates in Detail'!P76,'Rates in Detail'!Q76)</f>
        <v>1.107E-2</v>
      </c>
      <c r="F77" s="497">
        <f>'Rates in Detail'!V76</f>
        <v>-1.5499999999999999E-3</v>
      </c>
      <c r="G77" s="497"/>
      <c r="H77" s="1521">
        <f t="shared" si="1"/>
        <v>8.344E-2</v>
      </c>
      <c r="I77" s="497"/>
      <c r="J77" s="571">
        <f t="shared" si="2"/>
        <v>8.344E-2</v>
      </c>
      <c r="K77" s="497">
        <f>'Rates in Detail'!Y76</f>
        <v>5.5799999999999999E-3</v>
      </c>
      <c r="L77" s="497">
        <f>'Rates in Detail'!Z76</f>
        <v>-8.0000000000000007E-5</v>
      </c>
      <c r="M77" s="497"/>
      <c r="N77" s="854">
        <f t="shared" si="3"/>
        <v>8.8940000000000005E-2</v>
      </c>
      <c r="O77" s="497"/>
      <c r="P77" s="1529">
        <f t="shared" si="4"/>
        <v>9.0490000000000001E-2</v>
      </c>
      <c r="R77" s="157"/>
      <c r="S77" s="157"/>
      <c r="T77" s="157"/>
      <c r="U77" s="157"/>
      <c r="V77" s="157"/>
      <c r="W77" s="157"/>
    </row>
    <row r="78" spans="1:23" x14ac:dyDescent="0.2">
      <c r="A78" s="86">
        <f t="shared" si="0"/>
        <v>71</v>
      </c>
      <c r="B78" s="86"/>
      <c r="C78" s="1490" t="s">
        <v>8</v>
      </c>
      <c r="D78" s="864">
        <f>'Rates in Detail'!J77</f>
        <v>4.929E-2</v>
      </c>
      <c r="E78" s="497">
        <f>SUM('Rates in Detail'!L77,'Rates in Detail'!P77,'Rates in Detail'!Q77)</f>
        <v>7.3799999999999994E-3</v>
      </c>
      <c r="F78" s="497">
        <f>'Rates in Detail'!V77</f>
        <v>-1.0300000000000001E-3</v>
      </c>
      <c r="G78" s="497"/>
      <c r="H78" s="1521">
        <f t="shared" si="1"/>
        <v>5.5639999999999995E-2</v>
      </c>
      <c r="I78" s="497"/>
      <c r="J78" s="571">
        <f t="shared" si="2"/>
        <v>5.5639999999999995E-2</v>
      </c>
      <c r="K78" s="497">
        <f>'Rates in Detail'!Y77</f>
        <v>3.7200000000000002E-3</v>
      </c>
      <c r="L78" s="497">
        <f>'Rates in Detail'!Z77</f>
        <v>-5.0000000000000002E-5</v>
      </c>
      <c r="M78" s="497"/>
      <c r="N78" s="854">
        <f t="shared" si="3"/>
        <v>5.9309999999999995E-2</v>
      </c>
      <c r="O78" s="497"/>
      <c r="P78" s="1529">
        <f t="shared" si="4"/>
        <v>6.0339999999999998E-2</v>
      </c>
      <c r="R78" s="157"/>
      <c r="S78" s="157"/>
      <c r="T78" s="157"/>
      <c r="U78" s="157"/>
      <c r="V78" s="157"/>
      <c r="W78" s="157"/>
    </row>
    <row r="79" spans="1:23" x14ac:dyDescent="0.2">
      <c r="A79" s="86">
        <f t="shared" si="0"/>
        <v>72</v>
      </c>
      <c r="B79" s="161"/>
      <c r="C79" s="1491" t="s">
        <v>9</v>
      </c>
      <c r="D79" s="864">
        <f>'Rates in Detail'!J78</f>
        <v>1.8460000000000001E-2</v>
      </c>
      <c r="E79" s="497">
        <f>SUM('Rates in Detail'!L78,'Rates in Detail'!P78,'Rates in Detail'!Q78)</f>
        <v>2.7699999999999999E-3</v>
      </c>
      <c r="F79" s="497">
        <f>'Rates in Detail'!V78</f>
        <v>-3.8999999999999999E-4</v>
      </c>
      <c r="G79" s="497"/>
      <c r="H79" s="1521">
        <f t="shared" ref="H79:H82" si="5">SUM(D79:G79)</f>
        <v>2.0839999999999997E-2</v>
      </c>
      <c r="I79" s="497"/>
      <c r="J79" s="570">
        <f t="shared" ref="J79:J82" si="6">SUM(H79:I79)</f>
        <v>2.0839999999999997E-2</v>
      </c>
      <c r="K79" s="497">
        <f>'Rates in Detail'!Y78</f>
        <v>1.39E-3</v>
      </c>
      <c r="L79" s="497">
        <f>'Rates in Detail'!Z78</f>
        <v>-2.0000000000000002E-5</v>
      </c>
      <c r="M79" s="497"/>
      <c r="N79" s="854">
        <f t="shared" ref="N79:N82" si="7">SUM(J79:M79)</f>
        <v>2.2209999999999997E-2</v>
      </c>
      <c r="O79" s="497"/>
      <c r="P79" s="1527">
        <f t="shared" ref="P79:P82" si="8">SUM(N79:O79)-F79</f>
        <v>2.2599999999999999E-2</v>
      </c>
      <c r="R79" s="157"/>
      <c r="S79" s="157"/>
      <c r="T79" s="157"/>
      <c r="U79" s="157"/>
      <c r="V79" s="157"/>
      <c r="W79" s="157"/>
    </row>
    <row r="80" spans="1:23" x14ac:dyDescent="0.2">
      <c r="A80" s="86">
        <f t="shared" si="0"/>
        <v>73</v>
      </c>
      <c r="B80" s="1001" t="str">
        <f>'WA Volumes &amp; Revenues'!B81</f>
        <v>43 Firm Transpt</v>
      </c>
      <c r="C80" s="1001" t="s">
        <v>283</v>
      </c>
      <c r="D80" s="863">
        <f>'Rates in Detail'!J79</f>
        <v>4.919999999999999E-3</v>
      </c>
      <c r="E80" s="390">
        <f>SUM('Rates in Detail'!L79,'Rates in Detail'!P79,'Rates in Detail'!Q79)</f>
        <v>0</v>
      </c>
      <c r="F80" s="390">
        <f>'Rates in Detail'!V79</f>
        <v>0</v>
      </c>
      <c r="G80" s="390"/>
      <c r="H80" s="1522">
        <f t="shared" si="5"/>
        <v>4.919999999999999E-3</v>
      </c>
      <c r="I80" s="390"/>
      <c r="J80" s="569">
        <f t="shared" si="6"/>
        <v>4.919999999999999E-3</v>
      </c>
      <c r="K80" s="390">
        <f>'Rates in Detail'!Y79</f>
        <v>0</v>
      </c>
      <c r="L80" s="390">
        <f>'Rates in Detail'!Z79</f>
        <v>0</v>
      </c>
      <c r="M80" s="390"/>
      <c r="N80" s="855">
        <f t="shared" si="7"/>
        <v>4.919999999999999E-3</v>
      </c>
      <c r="O80" s="390"/>
      <c r="P80" s="1528">
        <f t="shared" si="8"/>
        <v>4.919999999999999E-3</v>
      </c>
      <c r="R80" s="157"/>
      <c r="S80" s="157"/>
      <c r="T80" s="157"/>
      <c r="U80" s="157"/>
      <c r="V80" s="157"/>
      <c r="W80" s="157"/>
    </row>
    <row r="81" spans="1:23" x14ac:dyDescent="0.2">
      <c r="A81" s="86">
        <f t="shared" si="0"/>
        <v>74</v>
      </c>
      <c r="B81" s="1001" t="str">
        <f>'WA Volumes &amp; Revenues'!B82</f>
        <v>43 Interr Transpt</v>
      </c>
      <c r="C81" s="1001" t="s">
        <v>283</v>
      </c>
      <c r="D81" s="865">
        <f>'Rates in Detail'!J80</f>
        <v>4.919999999999999E-3</v>
      </c>
      <c r="E81" s="365">
        <f>SUM('Rates in Detail'!L80,'Rates in Detail'!P80,'Rates in Detail'!Q80)</f>
        <v>0</v>
      </c>
      <c r="F81" s="365">
        <f>'Rates in Detail'!V80</f>
        <v>0</v>
      </c>
      <c r="G81" s="153"/>
      <c r="H81" s="1520">
        <f t="shared" si="5"/>
        <v>4.919999999999999E-3</v>
      </c>
      <c r="I81" s="153"/>
      <c r="J81" s="569">
        <f t="shared" si="6"/>
        <v>4.919999999999999E-3</v>
      </c>
      <c r="K81" s="365">
        <f>'Rates in Detail'!Y80</f>
        <v>0</v>
      </c>
      <c r="L81" s="365">
        <f>'Rates in Detail'!Z80</f>
        <v>0</v>
      </c>
      <c r="M81" s="153"/>
      <c r="N81" s="853">
        <f t="shared" si="7"/>
        <v>4.919999999999999E-3</v>
      </c>
      <c r="O81" s="153"/>
      <c r="P81" s="1528">
        <f t="shared" si="8"/>
        <v>4.919999999999999E-3</v>
      </c>
      <c r="R81" s="157"/>
      <c r="S81" s="157"/>
      <c r="T81" s="157"/>
      <c r="U81" s="157"/>
      <c r="V81" s="157"/>
      <c r="W81" s="157"/>
    </row>
    <row r="82" spans="1:23" ht="13.5" thickBot="1" x14ac:dyDescent="0.25">
      <c r="A82" s="86">
        <f t="shared" si="0"/>
        <v>75</v>
      </c>
      <c r="B82" s="1506" t="str">
        <f>'WA Volumes &amp; Revenues'!B83</f>
        <v>Special Contract</v>
      </c>
      <c r="C82" s="1506" t="s">
        <v>283</v>
      </c>
      <c r="D82" s="866">
        <f>'Rates in Detail'!J81</f>
        <v>0</v>
      </c>
      <c r="E82" s="858">
        <f>SUM('Rates in Detail'!L81,'Rates in Detail'!P81,'Rates in Detail'!Q81)</f>
        <v>0</v>
      </c>
      <c r="F82" s="847">
        <f>'Rates in Detail'!V81</f>
        <v>0</v>
      </c>
      <c r="G82" s="166"/>
      <c r="H82" s="1523">
        <f t="shared" si="5"/>
        <v>0</v>
      </c>
      <c r="I82" s="165"/>
      <c r="J82" s="857">
        <f t="shared" si="6"/>
        <v>0</v>
      </c>
      <c r="K82" s="858">
        <f>'Rates in Detail'!Y81</f>
        <v>0</v>
      </c>
      <c r="L82" s="847">
        <f>'Rates in Detail'!Z81</f>
        <v>0</v>
      </c>
      <c r="M82" s="166"/>
      <c r="N82" s="856">
        <f t="shared" si="7"/>
        <v>0</v>
      </c>
      <c r="O82" s="165"/>
      <c r="P82" s="1530">
        <f t="shared" si="8"/>
        <v>0</v>
      </c>
      <c r="R82" s="157"/>
      <c r="S82" s="157"/>
      <c r="T82" s="157"/>
      <c r="U82" s="157"/>
      <c r="V82" s="157"/>
      <c r="W82" s="157"/>
    </row>
    <row r="83" spans="1:23" x14ac:dyDescent="0.2">
      <c r="A83" s="86">
        <f t="shared" si="0"/>
        <v>76</v>
      </c>
      <c r="J83" s="55"/>
      <c r="P83" s="55"/>
    </row>
    <row r="84" spans="1:23" x14ac:dyDescent="0.2">
      <c r="A84" s="86">
        <f t="shared" ref="A84:A90" si="9">+A83+1</f>
        <v>77</v>
      </c>
    </row>
    <row r="85" spans="1:23" ht="13.5" thickBot="1" x14ac:dyDescent="0.25">
      <c r="A85" s="86">
        <f t="shared" si="9"/>
        <v>78</v>
      </c>
      <c r="B85" s="168" t="s">
        <v>58</v>
      </c>
    </row>
    <row r="86" spans="1:23" ht="13.5" thickBot="1" x14ac:dyDescent="0.25">
      <c r="A86" s="86">
        <f t="shared" si="9"/>
        <v>79</v>
      </c>
      <c r="B86" s="867" t="s">
        <v>59</v>
      </c>
      <c r="C86" s="868"/>
      <c r="D86" s="869"/>
      <c r="E86" s="869"/>
      <c r="F86" s="869"/>
      <c r="G86" s="869"/>
      <c r="H86" s="870"/>
      <c r="I86" s="869"/>
      <c r="J86" s="871"/>
      <c r="K86" s="869"/>
      <c r="L86" s="869"/>
      <c r="M86" s="869"/>
      <c r="N86" s="870"/>
      <c r="O86" s="869"/>
      <c r="P86" s="871"/>
    </row>
    <row r="87" spans="1:23" ht="13.5" thickBot="1" x14ac:dyDescent="0.25">
      <c r="A87" s="86">
        <f t="shared" si="9"/>
        <v>80</v>
      </c>
    </row>
    <row r="88" spans="1:23" ht="13.5" thickBot="1" x14ac:dyDescent="0.25">
      <c r="A88" s="86">
        <f t="shared" si="9"/>
        <v>81</v>
      </c>
      <c r="B88" s="867" t="s">
        <v>62</v>
      </c>
      <c r="C88" s="868"/>
      <c r="D88" s="868"/>
      <c r="E88" s="868"/>
      <c r="F88" s="868"/>
      <c r="G88" s="868"/>
      <c r="H88" s="872"/>
      <c r="I88" s="868"/>
      <c r="J88" s="873"/>
      <c r="K88" s="868"/>
      <c r="L88" s="868"/>
      <c r="M88" s="868"/>
      <c r="N88" s="872"/>
      <c r="O88" s="868"/>
      <c r="P88" s="873"/>
    </row>
    <row r="89" spans="1:23" x14ac:dyDescent="0.2">
      <c r="A89" s="86">
        <f t="shared" si="9"/>
        <v>82</v>
      </c>
    </row>
    <row r="90" spans="1:23" x14ac:dyDescent="0.2">
      <c r="A90" s="86">
        <f t="shared" si="9"/>
        <v>83</v>
      </c>
      <c r="B90" s="170" t="s">
        <v>183</v>
      </c>
      <c r="C90" s="550"/>
      <c r="D90" s="550"/>
      <c r="E90" s="550"/>
      <c r="F90" s="550"/>
      <c r="G90" s="550"/>
      <c r="H90" s="551"/>
      <c r="I90" s="550"/>
      <c r="J90" s="550"/>
      <c r="K90" s="550"/>
      <c r="L90" s="550"/>
      <c r="M90" s="550"/>
      <c r="N90" s="551"/>
      <c r="O90" s="550"/>
      <c r="P90" s="550"/>
    </row>
    <row r="91" spans="1:23" x14ac:dyDescent="0.2">
      <c r="A91" s="86"/>
      <c r="B91" s="170"/>
      <c r="C91" s="550"/>
      <c r="D91" s="550"/>
      <c r="E91" s="550"/>
      <c r="F91" s="550"/>
      <c r="G91" s="550"/>
      <c r="H91" s="551"/>
      <c r="I91" s="550"/>
      <c r="J91" s="550"/>
      <c r="K91" s="550"/>
      <c r="L91" s="550"/>
      <c r="M91" s="550"/>
      <c r="N91" s="551"/>
      <c r="O91" s="550"/>
      <c r="P91" s="550"/>
    </row>
    <row r="92" spans="1:23" x14ac:dyDescent="0.2">
      <c r="A92" s="86"/>
    </row>
    <row r="93" spans="1:23" x14ac:dyDescent="0.2">
      <c r="A93" s="86"/>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&amp;RExh. RJW-3 Wyman WP1</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BS108"/>
  <sheetViews>
    <sheetView workbookViewId="0">
      <pane xSplit="3" ySplit="13" topLeftCell="D14" activePane="bottomRight" state="frozen"/>
      <selection pane="topRight" activeCell="D1" sqref="D1"/>
      <selection pane="bottomLeft" activeCell="A14" sqref="A14"/>
      <selection pane="bottomRight" activeCell="AP3" sqref="AP3"/>
    </sheetView>
  </sheetViews>
  <sheetFormatPr defaultColWidth="9.33203125" defaultRowHeight="12.75" outlineLevelCol="2" x14ac:dyDescent="0.2"/>
  <cols>
    <col min="1" max="1" width="6.83203125" style="55" customWidth="1"/>
    <col min="2" max="2" width="17.83203125" style="56" customWidth="1"/>
    <col min="3" max="3" width="9.33203125" style="56"/>
    <col min="4" max="4" width="17.5" style="56" customWidth="1" outlineLevel="1"/>
    <col min="5" max="5" width="17.5" style="56" hidden="1" customWidth="1" outlineLevel="1"/>
    <col min="6" max="6" width="13.33203125" style="56" customWidth="1" outlineLevel="1"/>
    <col min="7" max="7" width="13.6640625" style="56" customWidth="1" outlineLevel="1"/>
    <col min="8" max="8" width="13.6640625" style="56" hidden="1" customWidth="1" outlineLevel="1"/>
    <col min="9" max="9" width="14" style="56" customWidth="1" outlineLevel="1"/>
    <col min="10" max="10" width="14.1640625" style="56" customWidth="1" outlineLevel="1"/>
    <col min="11" max="12" width="11.83203125" style="56" customWidth="1" outlineLevel="1"/>
    <col min="13" max="13" width="15.5" style="56" customWidth="1" outlineLevel="1"/>
    <col min="14" max="14" width="15.5" style="56" hidden="1" customWidth="1" outlineLevel="1"/>
    <col min="15" max="15" width="15.5" style="56" customWidth="1" outlineLevel="1"/>
    <col min="16" max="16" width="15.5" style="56" hidden="1" customWidth="1" outlineLevel="1"/>
    <col min="17" max="19" width="16.6640625" style="56" customWidth="1"/>
    <col min="20" max="25" width="15.5" style="56" hidden="1" customWidth="1" outlineLevel="1"/>
    <col min="26" max="26" width="15.5" style="56" customWidth="1" collapsed="1"/>
    <col min="27" max="31" width="15.5" style="56" customWidth="1"/>
    <col min="32" max="35" width="16.6640625" style="56" customWidth="1"/>
    <col min="36" max="38" width="16.6640625" style="56" customWidth="1" outlineLevel="1"/>
    <col min="39" max="41" width="15.5" style="56" hidden="1" customWidth="1" outlineLevel="2"/>
    <col min="42" max="42" width="15.5" style="56" customWidth="1" outlineLevel="1" collapsed="1"/>
    <col min="43" max="44" width="15.5" style="56" customWidth="1" outlineLevel="1"/>
    <col min="45" max="47" width="16.6640625" style="56" customWidth="1" outlineLevel="1"/>
    <col min="48" max="48" width="17.6640625" style="55" bestFit="1" customWidth="1"/>
    <col min="49" max="49" width="2.5" style="55" customWidth="1"/>
    <col min="50" max="50" width="11.5" style="55" customWidth="1"/>
    <col min="51" max="51" width="12.33203125" style="55" customWidth="1"/>
    <col min="52" max="52" width="2.5" style="55" customWidth="1"/>
    <col min="53" max="53" width="12" style="55" customWidth="1"/>
    <col min="54" max="55" width="16.1640625" style="55" customWidth="1"/>
    <col min="56" max="57" width="16.1640625" style="55" hidden="1" customWidth="1" outlineLevel="1"/>
    <col min="58" max="58" width="16.1640625" style="55" customWidth="1" collapsed="1"/>
    <col min="59" max="59" width="16.1640625" style="55" customWidth="1"/>
    <col min="60" max="61" width="15.1640625" style="55" customWidth="1"/>
    <col min="62" max="63" width="15.1640625" style="55" hidden="1" customWidth="1" outlineLevel="1"/>
    <col min="64" max="64" width="15.1640625" style="55" customWidth="1" collapsed="1"/>
    <col min="65" max="65" width="15.1640625" style="55" customWidth="1"/>
    <col min="66" max="66" width="20.6640625" style="55" bestFit="1" customWidth="1"/>
    <col min="67" max="67" width="11.5" style="55" bestFit="1" customWidth="1"/>
    <col min="68" max="69" width="9.33203125" style="55"/>
    <col min="70" max="70" width="11.1640625" style="55" customWidth="1"/>
    <col min="71" max="71" width="10.6640625" style="55" customWidth="1"/>
    <col min="72" max="16384" width="9.33203125" style="55"/>
  </cols>
  <sheetData>
    <row r="1" spans="1:65" ht="15" x14ac:dyDescent="0.25">
      <c r="A1" s="173" t="str">
        <f>+'WA Volumes &amp; Revenues'!A1</f>
        <v>NW Natural</v>
      </c>
      <c r="R1" s="352"/>
      <c r="V1" s="352"/>
      <c r="Y1" s="352"/>
      <c r="Z1" s="352"/>
      <c r="AA1" s="352"/>
      <c r="AB1" s="352"/>
      <c r="AC1" s="352"/>
      <c r="AD1" s="352"/>
      <c r="AE1" s="352"/>
      <c r="AF1" s="352"/>
      <c r="AG1" s="352"/>
      <c r="AK1" s="352"/>
      <c r="AL1" s="352"/>
      <c r="AO1" s="352"/>
      <c r="AP1" s="352"/>
      <c r="AQ1" s="352"/>
      <c r="AR1" s="352"/>
      <c r="AS1" s="352"/>
      <c r="AT1" s="352"/>
    </row>
    <row r="2" spans="1:65" ht="15" x14ac:dyDescent="0.25">
      <c r="A2" s="173" t="str">
        <f>+'WA Volumes &amp; Revenues'!A2</f>
        <v>Rates &amp; Regulatory Affairs</v>
      </c>
      <c r="I2" s="55"/>
      <c r="J2" s="55"/>
      <c r="K2" s="55"/>
      <c r="L2" s="55"/>
      <c r="Q2" s="140"/>
      <c r="R2" s="351"/>
      <c r="S2" s="1266"/>
      <c r="V2" s="352"/>
      <c r="Y2" s="352"/>
      <c r="Z2" s="352"/>
      <c r="AA2" s="352"/>
      <c r="AB2" s="352"/>
      <c r="AC2" s="352"/>
      <c r="AD2" s="352"/>
      <c r="AE2" s="352"/>
      <c r="AF2" s="352"/>
      <c r="AG2" s="352"/>
      <c r="AH2" s="351"/>
      <c r="AI2" s="351"/>
      <c r="AJ2" s="140"/>
      <c r="AK2" s="352"/>
      <c r="AL2" s="352"/>
      <c r="AO2" s="352"/>
      <c r="AP2" s="352"/>
      <c r="AQ2" s="352"/>
      <c r="AR2" s="352"/>
      <c r="AS2" s="352"/>
      <c r="AT2" s="352"/>
      <c r="AU2" s="351"/>
    </row>
    <row r="3" spans="1:65" ht="14.45" customHeight="1" x14ac:dyDescent="0.25">
      <c r="A3" s="173" t="str">
        <f>+'WA Volumes &amp; Revenues'!A3</f>
        <v>Test Year Ending September 30, 2020</v>
      </c>
      <c r="I3" s="596"/>
      <c r="J3" s="86"/>
      <c r="K3" s="372"/>
      <c r="L3" s="372"/>
      <c r="Q3" s="171"/>
      <c r="R3" s="352"/>
      <c r="S3" s="171"/>
      <c r="AB3" s="171"/>
      <c r="AC3" s="171"/>
      <c r="AF3" s="171"/>
      <c r="AG3" s="352"/>
      <c r="AH3" s="352"/>
      <c r="AI3" s="352"/>
      <c r="AJ3" s="171"/>
      <c r="AK3" s="352"/>
      <c r="AL3" s="352"/>
      <c r="AT3" s="352"/>
      <c r="AU3" s="352"/>
    </row>
    <row r="4" spans="1:65" ht="14.45" customHeight="1" thickBot="1" x14ac:dyDescent="0.3">
      <c r="A4" s="415" t="s">
        <v>239</v>
      </c>
      <c r="I4" s="596"/>
      <c r="J4" s="156"/>
      <c r="K4" s="657"/>
      <c r="L4" s="657"/>
      <c r="AF4" s="1255"/>
      <c r="AG4" s="352"/>
      <c r="AT4" s="352"/>
    </row>
    <row r="5" spans="1:65" ht="15.75" thickBot="1" x14ac:dyDescent="0.3">
      <c r="I5" s="596"/>
      <c r="J5" s="156"/>
      <c r="K5" s="657"/>
      <c r="L5" s="657"/>
      <c r="M5" s="404"/>
      <c r="N5" s="404"/>
      <c r="O5" s="404"/>
      <c r="P5" s="404"/>
      <c r="Q5" s="1613" t="s">
        <v>565</v>
      </c>
      <c r="R5" s="1614"/>
      <c r="S5" s="1614"/>
      <c r="T5" s="1614"/>
      <c r="U5" s="1614"/>
      <c r="V5" s="1614"/>
      <c r="W5" s="1614"/>
      <c r="X5" s="1614"/>
      <c r="Y5" s="1614"/>
      <c r="Z5" s="1614"/>
      <c r="AA5" s="1614"/>
      <c r="AB5" s="1614"/>
      <c r="AC5" s="1614"/>
      <c r="AD5" s="1614"/>
      <c r="AE5" s="1614"/>
      <c r="AF5" s="1614"/>
      <c r="AG5" s="1614"/>
      <c r="AH5" s="1615"/>
      <c r="AI5" s="1532"/>
      <c r="AJ5" s="1616" t="s">
        <v>566</v>
      </c>
      <c r="AK5" s="1617"/>
      <c r="AL5" s="1617"/>
      <c r="AM5" s="1617"/>
      <c r="AN5" s="1617"/>
      <c r="AO5" s="1617"/>
      <c r="AP5" s="1617"/>
      <c r="AQ5" s="1617"/>
      <c r="AR5" s="1617"/>
      <c r="AS5" s="1617"/>
      <c r="AT5" s="1617"/>
      <c r="AU5" s="1618"/>
      <c r="AV5" s="1533"/>
    </row>
    <row r="6" spans="1:65" ht="15" x14ac:dyDescent="0.25">
      <c r="A6" s="665"/>
      <c r="I6" s="55"/>
      <c r="J6" s="55"/>
      <c r="K6" s="55"/>
      <c r="L6" s="55"/>
      <c r="M6" s="55"/>
      <c r="N6" s="55"/>
      <c r="O6" s="55"/>
      <c r="P6" s="55"/>
      <c r="Q6" s="1622" t="s">
        <v>447</v>
      </c>
      <c r="R6" s="1623"/>
      <c r="S6" s="1624"/>
      <c r="T6" s="1625" t="s">
        <v>421</v>
      </c>
      <c r="U6" s="1626"/>
      <c r="V6" s="1627"/>
      <c r="W6" s="1625" t="s">
        <v>531</v>
      </c>
      <c r="X6" s="1626"/>
      <c r="Y6" s="1627"/>
      <c r="Z6" s="1625" t="s">
        <v>532</v>
      </c>
      <c r="AA6" s="1626"/>
      <c r="AB6" s="1627"/>
      <c r="AC6" s="1625" t="s">
        <v>533</v>
      </c>
      <c r="AD6" s="1626"/>
      <c r="AE6" s="1627"/>
      <c r="AF6" s="1622" t="s">
        <v>189</v>
      </c>
      <c r="AG6" s="1623"/>
      <c r="AH6" s="1624"/>
      <c r="AI6" s="1252"/>
      <c r="AJ6" s="1622" t="s">
        <v>244</v>
      </c>
      <c r="AK6" s="1623"/>
      <c r="AL6" s="1624"/>
      <c r="AM6" s="1625" t="s">
        <v>425</v>
      </c>
      <c r="AN6" s="1626"/>
      <c r="AO6" s="1627"/>
      <c r="AP6" s="1625" t="s">
        <v>534</v>
      </c>
      <c r="AQ6" s="1626"/>
      <c r="AR6" s="1627"/>
      <c r="AS6" s="1622" t="s">
        <v>189</v>
      </c>
      <c r="AT6" s="1623"/>
      <c r="AU6" s="1624"/>
      <c r="AV6" s="1260"/>
    </row>
    <row r="7" spans="1:65" ht="13.5" thickBot="1" x14ac:dyDescent="0.25">
      <c r="G7" s="442" t="str">
        <f>D8</f>
        <v>UG-20XXXX</v>
      </c>
      <c r="H7" s="442" t="s">
        <v>236</v>
      </c>
      <c r="I7" s="55"/>
      <c r="M7" s="58" t="s">
        <v>420</v>
      </c>
      <c r="N7" s="55"/>
      <c r="O7" s="58" t="s">
        <v>419</v>
      </c>
      <c r="P7" s="55"/>
      <c r="Q7" s="406"/>
      <c r="R7" s="405"/>
      <c r="S7" s="407"/>
      <c r="T7" s="273"/>
      <c r="U7" s="55"/>
      <c r="V7" s="574"/>
      <c r="W7" s="273"/>
      <c r="X7" s="425" t="s">
        <v>535</v>
      </c>
      <c r="Y7" s="574"/>
      <c r="Z7" s="273"/>
      <c r="AA7" s="425" t="s">
        <v>190</v>
      </c>
      <c r="AB7" s="574"/>
      <c r="AC7" s="273"/>
      <c r="AD7" s="425" t="s">
        <v>190</v>
      </c>
      <c r="AE7" s="574"/>
      <c r="AF7" s="553"/>
      <c r="AG7" s="405"/>
      <c r="AH7" s="407"/>
      <c r="AI7" s="405"/>
      <c r="AJ7" s="406"/>
      <c r="AK7" s="405"/>
      <c r="AL7" s="407"/>
      <c r="AM7" s="273"/>
      <c r="AN7" s="55"/>
      <c r="AO7" s="574"/>
      <c r="AP7" s="273"/>
      <c r="AQ7" s="425" t="s">
        <v>190</v>
      </c>
      <c r="AR7" s="574"/>
      <c r="AS7" s="553"/>
      <c r="AT7" s="405"/>
      <c r="AU7" s="407"/>
      <c r="AV7" s="1261"/>
    </row>
    <row r="8" spans="1:65" x14ac:dyDescent="0.2">
      <c r="A8" s="86">
        <v>1</v>
      </c>
      <c r="D8" s="442" t="s">
        <v>557</v>
      </c>
      <c r="E8" s="442" t="s">
        <v>236</v>
      </c>
      <c r="G8" s="353" t="s">
        <v>81</v>
      </c>
      <c r="H8" s="353" t="s">
        <v>81</v>
      </c>
      <c r="I8" s="61" t="s">
        <v>18</v>
      </c>
      <c r="J8" s="354" t="str">
        <f>D8</f>
        <v>UG-20XXXX</v>
      </c>
      <c r="K8" s="61" t="s">
        <v>18</v>
      </c>
      <c r="L8" s="61" t="s">
        <v>18</v>
      </c>
      <c r="M8" s="354" t="str">
        <f>D8</f>
        <v>UG-20XXXX</v>
      </c>
      <c r="N8" s="354" t="s">
        <v>236</v>
      </c>
      <c r="O8" s="354" t="str">
        <f>M8</f>
        <v>UG-20XXXX</v>
      </c>
      <c r="P8" s="354" t="s">
        <v>236</v>
      </c>
      <c r="Q8" s="573" t="str">
        <f>D8</f>
        <v>UG-20XXXX</v>
      </c>
      <c r="R8" s="356" t="str">
        <f>Q8</f>
        <v>UG-20XXXX</v>
      </c>
      <c r="S8" s="1022" t="str">
        <f>Q8</f>
        <v>UG-20XXXX</v>
      </c>
      <c r="T8" s="573" t="str">
        <f>Q8</f>
        <v>UG-20XXXX</v>
      </c>
      <c r="U8" s="356" t="str">
        <f t="shared" ref="U8:V10" si="0">T8</f>
        <v>UG-20XXXX</v>
      </c>
      <c r="V8" s="1022" t="str">
        <f t="shared" si="0"/>
        <v>UG-20XXXX</v>
      </c>
      <c r="W8" s="573" t="str">
        <f>T8</f>
        <v>UG-20XXXX</v>
      </c>
      <c r="X8" s="356" t="str">
        <f t="shared" ref="X8:X10" si="1">W8</f>
        <v>UG-20XXXX</v>
      </c>
      <c r="Y8" s="1022" t="str">
        <f t="shared" ref="Y8:Y10" si="2">X8</f>
        <v>UG-20XXXX</v>
      </c>
      <c r="Z8" s="573" t="str">
        <f>W8</f>
        <v>UG-20XXXX</v>
      </c>
      <c r="AA8" s="356" t="str">
        <f t="shared" ref="AA8:AA10" si="3">Z8</f>
        <v>UG-20XXXX</v>
      </c>
      <c r="AB8" s="1022" t="str">
        <f t="shared" ref="AB8:AB10" si="4">AA8</f>
        <v>UG-20XXXX</v>
      </c>
      <c r="AC8" s="356" t="str">
        <f>Z8</f>
        <v>UG-20XXXX</v>
      </c>
      <c r="AD8" s="356" t="str">
        <f t="shared" ref="AD8:AD10" si="5">AC8</f>
        <v>UG-20XXXX</v>
      </c>
      <c r="AE8" s="1022" t="str">
        <f t="shared" ref="AE8:AE10" si="6">AD8</f>
        <v>UG-20XXXX</v>
      </c>
      <c r="AF8" s="573" t="s">
        <v>645</v>
      </c>
      <c r="AG8" s="356" t="str">
        <f t="shared" ref="AG8:AG10" si="7">AF8</f>
        <v>UG-20XXXX + PGA</v>
      </c>
      <c r="AH8" s="1022" t="str">
        <f t="shared" ref="AH8:AH10" si="8">AG8</f>
        <v>UG-20XXXX + PGA</v>
      </c>
      <c r="AI8" s="573"/>
      <c r="AJ8" s="573" t="str">
        <f>Q8</f>
        <v>UG-20XXXX</v>
      </c>
      <c r="AK8" s="356" t="str">
        <f>Q8</f>
        <v>UG-20XXXX</v>
      </c>
      <c r="AL8" s="1022" t="str">
        <f>AJ8</f>
        <v>UG-20XXXX</v>
      </c>
      <c r="AM8" s="573" t="str">
        <f>AJ8</f>
        <v>UG-20XXXX</v>
      </c>
      <c r="AN8" s="356" t="str">
        <f t="shared" ref="AN8:AN10" si="9">AM8</f>
        <v>UG-20XXXX</v>
      </c>
      <c r="AO8" s="1022" t="str">
        <f t="shared" ref="AO8:AO10" si="10">AN8</f>
        <v>UG-20XXXX</v>
      </c>
      <c r="AP8" s="356" t="str">
        <f>AM8</f>
        <v>UG-20XXXX</v>
      </c>
      <c r="AQ8" s="356" t="str">
        <f t="shared" ref="AQ8:AQ10" si="11">AP8</f>
        <v>UG-20XXXX</v>
      </c>
      <c r="AR8" s="1022" t="str">
        <f t="shared" ref="AR8:AR10" si="12">AQ8</f>
        <v>UG-20XXXX</v>
      </c>
      <c r="AS8" s="573" t="s">
        <v>645</v>
      </c>
      <c r="AT8" s="356" t="str">
        <f t="shared" ref="AT8:AU10" si="13">AS8</f>
        <v>UG-20XXXX + PGA</v>
      </c>
      <c r="AU8" s="1022" t="str">
        <f t="shared" si="13"/>
        <v>UG-20XXXX + PGA</v>
      </c>
      <c r="AV8" s="357"/>
    </row>
    <row r="9" spans="1:65" ht="13.5" thickBot="1" x14ac:dyDescent="0.25">
      <c r="A9" s="86">
        <f t="shared" ref="A9:A91" si="14">+A8+1</f>
        <v>2</v>
      </c>
      <c r="D9" s="61" t="s">
        <v>372</v>
      </c>
      <c r="E9" s="61" t="str">
        <f>D9</f>
        <v>Washington</v>
      </c>
      <c r="F9" s="353"/>
      <c r="G9" s="353" t="s">
        <v>67</v>
      </c>
      <c r="H9" s="353" t="s">
        <v>67</v>
      </c>
      <c r="I9" s="61" t="s">
        <v>69</v>
      </c>
      <c r="J9" s="61" t="s">
        <v>69</v>
      </c>
      <c r="K9" s="354">
        <v>44136</v>
      </c>
      <c r="L9" s="354">
        <v>44501</v>
      </c>
      <c r="M9" s="353">
        <f>+K9</f>
        <v>44136</v>
      </c>
      <c r="N9" s="353">
        <f>+M9</f>
        <v>44136</v>
      </c>
      <c r="O9" s="353">
        <v>44501</v>
      </c>
      <c r="P9" s="353">
        <f>+O9</f>
        <v>44501</v>
      </c>
      <c r="Q9" s="355">
        <v>44501</v>
      </c>
      <c r="R9" s="356">
        <f>Q9</f>
        <v>44501</v>
      </c>
      <c r="S9" s="357">
        <f>R9</f>
        <v>44501</v>
      </c>
      <c r="T9" s="573">
        <f>Q9</f>
        <v>44501</v>
      </c>
      <c r="U9" s="356">
        <f t="shared" si="0"/>
        <v>44501</v>
      </c>
      <c r="V9" s="357">
        <f t="shared" si="0"/>
        <v>44501</v>
      </c>
      <c r="W9" s="573">
        <f>T9</f>
        <v>44501</v>
      </c>
      <c r="X9" s="356">
        <f t="shared" si="1"/>
        <v>44501</v>
      </c>
      <c r="Y9" s="357">
        <f t="shared" si="2"/>
        <v>44501</v>
      </c>
      <c r="Z9" s="573">
        <f>W9</f>
        <v>44501</v>
      </c>
      <c r="AA9" s="356">
        <f t="shared" si="3"/>
        <v>44501</v>
      </c>
      <c r="AB9" s="357">
        <f t="shared" si="4"/>
        <v>44501</v>
      </c>
      <c r="AC9" s="356">
        <f>Z9</f>
        <v>44501</v>
      </c>
      <c r="AD9" s="356">
        <f t="shared" si="5"/>
        <v>44501</v>
      </c>
      <c r="AE9" s="357">
        <f t="shared" si="6"/>
        <v>44501</v>
      </c>
      <c r="AF9" s="573">
        <f>Q9</f>
        <v>44501</v>
      </c>
      <c r="AG9" s="356">
        <f t="shared" si="7"/>
        <v>44501</v>
      </c>
      <c r="AH9" s="357">
        <f t="shared" si="8"/>
        <v>44501</v>
      </c>
      <c r="AI9" s="573"/>
      <c r="AJ9" s="355">
        <v>44866</v>
      </c>
      <c r="AK9" s="356">
        <f>AJ9</f>
        <v>44866</v>
      </c>
      <c r="AL9" s="357">
        <f>AK9</f>
        <v>44866</v>
      </c>
      <c r="AM9" s="573">
        <f>AJ9</f>
        <v>44866</v>
      </c>
      <c r="AN9" s="356">
        <f t="shared" si="9"/>
        <v>44866</v>
      </c>
      <c r="AO9" s="357">
        <f t="shared" si="10"/>
        <v>44866</v>
      </c>
      <c r="AP9" s="356">
        <f>AM9</f>
        <v>44866</v>
      </c>
      <c r="AQ9" s="356">
        <f t="shared" si="11"/>
        <v>44866</v>
      </c>
      <c r="AR9" s="357">
        <f t="shared" si="12"/>
        <v>44866</v>
      </c>
      <c r="AS9" s="573">
        <f>AJ9</f>
        <v>44866</v>
      </c>
      <c r="AT9" s="356">
        <f t="shared" si="13"/>
        <v>44866</v>
      </c>
      <c r="AU9" s="357">
        <f t="shared" si="13"/>
        <v>44866</v>
      </c>
      <c r="AV9" s="357"/>
    </row>
    <row r="10" spans="1:65" ht="13.5" thickBot="1" x14ac:dyDescent="0.25">
      <c r="A10" s="86">
        <f t="shared" si="14"/>
        <v>3</v>
      </c>
      <c r="D10" s="61" t="s">
        <v>192</v>
      </c>
      <c r="E10" s="61" t="s">
        <v>192</v>
      </c>
      <c r="F10" s="61" t="s">
        <v>66</v>
      </c>
      <c r="G10" s="61" t="s">
        <v>70</v>
      </c>
      <c r="H10" s="61" t="s">
        <v>70</v>
      </c>
      <c r="I10" s="61" t="s">
        <v>70</v>
      </c>
      <c r="J10" s="61" t="s">
        <v>70</v>
      </c>
      <c r="K10" s="61" t="s">
        <v>15</v>
      </c>
      <c r="L10" s="61" t="s">
        <v>15</v>
      </c>
      <c r="M10" s="61" t="s">
        <v>18</v>
      </c>
      <c r="N10" s="61" t="s">
        <v>18</v>
      </c>
      <c r="O10" s="61" t="s">
        <v>18</v>
      </c>
      <c r="P10" s="61" t="s">
        <v>18</v>
      </c>
      <c r="Q10" s="423" t="s">
        <v>21</v>
      </c>
      <c r="R10" s="86" t="str">
        <f>Q10</f>
        <v>Proposed</v>
      </c>
      <c r="S10" s="572" t="str">
        <f>R10</f>
        <v>Proposed</v>
      </c>
      <c r="T10" s="423" t="s">
        <v>21</v>
      </c>
      <c r="U10" s="86" t="str">
        <f t="shared" si="0"/>
        <v>Proposed</v>
      </c>
      <c r="V10" s="575" t="str">
        <f t="shared" si="0"/>
        <v>Proposed</v>
      </c>
      <c r="W10" s="423" t="s">
        <v>21</v>
      </c>
      <c r="X10" s="86" t="str">
        <f t="shared" si="1"/>
        <v>Proposed</v>
      </c>
      <c r="Y10" s="575" t="str">
        <f t="shared" si="2"/>
        <v>Proposed</v>
      </c>
      <c r="Z10" s="423" t="s">
        <v>21</v>
      </c>
      <c r="AA10" s="86" t="str">
        <f t="shared" si="3"/>
        <v>Proposed</v>
      </c>
      <c r="AB10" s="575" t="str">
        <f t="shared" si="4"/>
        <v>Proposed</v>
      </c>
      <c r="AC10" s="86" t="s">
        <v>21</v>
      </c>
      <c r="AD10" s="86" t="str">
        <f t="shared" si="5"/>
        <v>Proposed</v>
      </c>
      <c r="AE10" s="575" t="str">
        <f t="shared" si="6"/>
        <v>Proposed</v>
      </c>
      <c r="AF10" s="423" t="s">
        <v>21</v>
      </c>
      <c r="AG10" s="86" t="str">
        <f t="shared" si="7"/>
        <v>Proposed</v>
      </c>
      <c r="AH10" s="572" t="str">
        <f t="shared" si="8"/>
        <v>Proposed</v>
      </c>
      <c r="AI10" s="1256" t="s">
        <v>536</v>
      </c>
      <c r="AJ10" s="423" t="s">
        <v>21</v>
      </c>
      <c r="AK10" s="86" t="str">
        <f>AJ10</f>
        <v>Proposed</v>
      </c>
      <c r="AL10" s="572" t="str">
        <f>AK10</f>
        <v>Proposed</v>
      </c>
      <c r="AM10" s="423" t="s">
        <v>21</v>
      </c>
      <c r="AN10" s="86" t="str">
        <f t="shared" si="9"/>
        <v>Proposed</v>
      </c>
      <c r="AO10" s="575" t="str">
        <f t="shared" si="10"/>
        <v>Proposed</v>
      </c>
      <c r="AP10" s="86" t="s">
        <v>21</v>
      </c>
      <c r="AQ10" s="86" t="str">
        <f t="shared" si="11"/>
        <v>Proposed</v>
      </c>
      <c r="AR10" s="575" t="str">
        <f t="shared" si="12"/>
        <v>Proposed</v>
      </c>
      <c r="AS10" s="423" t="s">
        <v>21</v>
      </c>
      <c r="AT10" s="86" t="str">
        <f t="shared" si="13"/>
        <v>Proposed</v>
      </c>
      <c r="AU10" s="572" t="str">
        <f t="shared" si="13"/>
        <v>Proposed</v>
      </c>
      <c r="AV10" s="572" t="s">
        <v>539</v>
      </c>
      <c r="BB10" s="1606" t="s">
        <v>565</v>
      </c>
      <c r="BC10" s="1607"/>
      <c r="BD10" s="1607"/>
      <c r="BE10" s="1607"/>
      <c r="BF10" s="1607"/>
      <c r="BG10" s="1608"/>
      <c r="BH10" s="1609" t="s">
        <v>566</v>
      </c>
      <c r="BI10" s="1610"/>
      <c r="BJ10" s="1610"/>
      <c r="BK10" s="1610"/>
      <c r="BL10" s="1610"/>
      <c r="BM10" s="1611"/>
    </row>
    <row r="11" spans="1:65" s="57" customFormat="1" ht="13.5" thickBot="1" x14ac:dyDescent="0.25">
      <c r="A11" s="86">
        <f t="shared" si="14"/>
        <v>4</v>
      </c>
      <c r="B11" s="56"/>
      <c r="C11" s="56"/>
      <c r="D11" s="358" t="s">
        <v>174</v>
      </c>
      <c r="E11" s="358" t="s">
        <v>174</v>
      </c>
      <c r="F11" s="358" t="s">
        <v>3</v>
      </c>
      <c r="G11" s="358" t="s">
        <v>68</v>
      </c>
      <c r="H11" s="358" t="s">
        <v>68</v>
      </c>
      <c r="I11" s="358" t="s">
        <v>71</v>
      </c>
      <c r="J11" s="358" t="s">
        <v>71</v>
      </c>
      <c r="K11" s="358" t="s">
        <v>16</v>
      </c>
      <c r="L11" s="358" t="s">
        <v>16</v>
      </c>
      <c r="M11" s="358" t="s">
        <v>72</v>
      </c>
      <c r="N11" s="358" t="s">
        <v>72</v>
      </c>
      <c r="O11" s="358" t="s">
        <v>72</v>
      </c>
      <c r="P11" s="358" t="s">
        <v>72</v>
      </c>
      <c r="Q11" s="295" t="s">
        <v>16</v>
      </c>
      <c r="R11" s="294" t="s">
        <v>72</v>
      </c>
      <c r="S11" s="360" t="s">
        <v>73</v>
      </c>
      <c r="T11" s="295" t="s">
        <v>28</v>
      </c>
      <c r="U11" s="294" t="s">
        <v>72</v>
      </c>
      <c r="V11" s="549" t="s">
        <v>73</v>
      </c>
      <c r="W11" s="295" t="s">
        <v>28</v>
      </c>
      <c r="X11" s="294" t="s">
        <v>72</v>
      </c>
      <c r="Y11" s="549" t="s">
        <v>73</v>
      </c>
      <c r="Z11" s="295" t="s">
        <v>28</v>
      </c>
      <c r="AA11" s="294" t="s">
        <v>72</v>
      </c>
      <c r="AB11" s="549" t="s">
        <v>73</v>
      </c>
      <c r="AC11" s="295" t="s">
        <v>28</v>
      </c>
      <c r="AD11" s="294" t="s">
        <v>72</v>
      </c>
      <c r="AE11" s="549" t="s">
        <v>73</v>
      </c>
      <c r="AF11" s="295" t="s">
        <v>16</v>
      </c>
      <c r="AG11" s="294" t="s">
        <v>72</v>
      </c>
      <c r="AH11" s="360" t="s">
        <v>73</v>
      </c>
      <c r="AI11" s="295" t="s">
        <v>537</v>
      </c>
      <c r="AJ11" s="295" t="s">
        <v>16</v>
      </c>
      <c r="AK11" s="294" t="s">
        <v>72</v>
      </c>
      <c r="AL11" s="360" t="s">
        <v>73</v>
      </c>
      <c r="AM11" s="295" t="s">
        <v>28</v>
      </c>
      <c r="AN11" s="294" t="s">
        <v>72</v>
      </c>
      <c r="AO11" s="549" t="s">
        <v>73</v>
      </c>
      <c r="AP11" s="295" t="s">
        <v>28</v>
      </c>
      <c r="AQ11" s="294" t="s">
        <v>72</v>
      </c>
      <c r="AR11" s="549" t="s">
        <v>73</v>
      </c>
      <c r="AS11" s="295" t="s">
        <v>16</v>
      </c>
      <c r="AT11" s="294" t="s">
        <v>72</v>
      </c>
      <c r="AU11" s="360" t="s">
        <v>73</v>
      </c>
      <c r="AV11" s="549" t="s">
        <v>537</v>
      </c>
      <c r="BB11" s="1619" t="str">
        <f>Q6</f>
        <v xml:space="preserve">REVENUE REQUIREMENT </v>
      </c>
      <c r="BC11" s="1620"/>
      <c r="BD11" s="1620" t="str">
        <f>T6</f>
        <v>2021-2022 PGA</v>
      </c>
      <c r="BE11" s="1620"/>
      <c r="BF11" s="1621" t="s">
        <v>271</v>
      </c>
      <c r="BG11" s="1620"/>
      <c r="BH11" s="1619" t="str">
        <f>AJ6</f>
        <v>REVENUE REQUIREMENT</v>
      </c>
      <c r="BI11" s="1620"/>
      <c r="BJ11" s="1620" t="str">
        <f>AM6</f>
        <v>2022-2023 PGA</v>
      </c>
      <c r="BK11" s="1620"/>
      <c r="BL11" s="1621" t="s">
        <v>271</v>
      </c>
      <c r="BM11" s="1620"/>
    </row>
    <row r="12" spans="1:65" s="57" customFormat="1" x14ac:dyDescent="0.2">
      <c r="A12" s="86">
        <f t="shared" si="14"/>
        <v>5</v>
      </c>
      <c r="B12" s="56"/>
      <c r="C12" s="411"/>
      <c r="D12" s="150"/>
      <c r="E12" s="150"/>
      <c r="F12" s="150"/>
      <c r="G12" s="150"/>
      <c r="H12" s="150"/>
      <c r="I12" s="150"/>
      <c r="J12" s="150"/>
      <c r="K12" s="150"/>
      <c r="L12" s="150"/>
      <c r="M12" s="59" t="s">
        <v>613</v>
      </c>
      <c r="N12" s="59" t="s">
        <v>612</v>
      </c>
      <c r="O12" s="59" t="s">
        <v>446</v>
      </c>
      <c r="P12" s="59" t="s">
        <v>614</v>
      </c>
      <c r="Q12" s="148"/>
      <c r="R12" s="361"/>
      <c r="S12" s="362"/>
      <c r="T12" s="148"/>
      <c r="U12" s="58"/>
      <c r="V12" s="547"/>
      <c r="W12" s="148"/>
      <c r="X12" s="58"/>
      <c r="Y12" s="547"/>
      <c r="Z12" s="148"/>
      <c r="AA12" s="58"/>
      <c r="AB12" s="547"/>
      <c r="AC12" s="58"/>
      <c r="AD12" s="58"/>
      <c r="AE12" s="148"/>
      <c r="AF12" s="148"/>
      <c r="AG12" s="361"/>
      <c r="AH12" s="362"/>
      <c r="AI12" s="151"/>
      <c r="AJ12" s="148"/>
      <c r="AK12" s="361"/>
      <c r="AL12" s="362"/>
      <c r="AM12" s="148"/>
      <c r="AN12" s="58"/>
      <c r="AO12" s="547"/>
      <c r="AP12" s="58"/>
      <c r="AQ12" s="58"/>
      <c r="AR12" s="148"/>
      <c r="AS12" s="148"/>
      <c r="AT12" s="361"/>
      <c r="AU12" s="362"/>
      <c r="AV12" s="861"/>
      <c r="BA12" s="890" t="s">
        <v>269</v>
      </c>
      <c r="BB12" s="1628" t="s">
        <v>268</v>
      </c>
      <c r="BC12" s="1604" t="s">
        <v>270</v>
      </c>
      <c r="BD12" s="1628" t="s">
        <v>268</v>
      </c>
      <c r="BE12" s="1604" t="s">
        <v>270</v>
      </c>
      <c r="BF12" s="1602" t="s">
        <v>268</v>
      </c>
      <c r="BG12" s="1604" t="s">
        <v>270</v>
      </c>
      <c r="BH12" s="1628" t="s">
        <v>268</v>
      </c>
      <c r="BI12" s="1604" t="s">
        <v>270</v>
      </c>
      <c r="BJ12" s="1628" t="s">
        <v>268</v>
      </c>
      <c r="BK12" s="1604" t="s">
        <v>270</v>
      </c>
      <c r="BL12" s="1602" t="s">
        <v>268</v>
      </c>
      <c r="BM12" s="1604" t="s">
        <v>270</v>
      </c>
    </row>
    <row r="13" spans="1:65" s="57" customFormat="1" ht="12.75" customHeight="1" x14ac:dyDescent="0.2">
      <c r="A13" s="86">
        <f t="shared" si="14"/>
        <v>6</v>
      </c>
      <c r="B13" s="741" t="s">
        <v>2</v>
      </c>
      <c r="C13" s="874" t="s">
        <v>3</v>
      </c>
      <c r="D13" s="124" t="s">
        <v>35</v>
      </c>
      <c r="E13" s="124" t="s">
        <v>36</v>
      </c>
      <c r="F13" s="124" t="s">
        <v>13</v>
      </c>
      <c r="G13" s="124" t="s">
        <v>37</v>
      </c>
      <c r="H13" s="124" t="s">
        <v>38</v>
      </c>
      <c r="I13" s="124" t="s">
        <v>39</v>
      </c>
      <c r="J13" s="124" t="s">
        <v>40</v>
      </c>
      <c r="K13" s="124" t="s">
        <v>41</v>
      </c>
      <c r="L13" s="722" t="s">
        <v>42</v>
      </c>
      <c r="M13" s="124" t="s">
        <v>129</v>
      </c>
      <c r="N13" s="124" t="s">
        <v>130</v>
      </c>
      <c r="O13" s="722" t="s">
        <v>42</v>
      </c>
      <c r="P13" s="722" t="s">
        <v>131</v>
      </c>
      <c r="Q13" s="152" t="s">
        <v>132</v>
      </c>
      <c r="R13" s="669" t="s">
        <v>133</v>
      </c>
      <c r="S13" s="363" t="s">
        <v>134</v>
      </c>
      <c r="T13" s="152" t="s">
        <v>93</v>
      </c>
      <c r="U13" s="124" t="s">
        <v>94</v>
      </c>
      <c r="V13" s="363" t="s">
        <v>186</v>
      </c>
      <c r="W13" s="152" t="s">
        <v>93</v>
      </c>
      <c r="X13" s="722" t="s">
        <v>94</v>
      </c>
      <c r="Y13" s="363" t="s">
        <v>186</v>
      </c>
      <c r="Z13" s="152" t="s">
        <v>135</v>
      </c>
      <c r="AA13" s="722" t="s">
        <v>89</v>
      </c>
      <c r="AB13" s="363" t="s">
        <v>92</v>
      </c>
      <c r="AC13" s="58" t="s">
        <v>93</v>
      </c>
      <c r="AD13" s="722" t="s">
        <v>94</v>
      </c>
      <c r="AE13" s="152" t="s">
        <v>186</v>
      </c>
      <c r="AF13" s="152" t="s">
        <v>232</v>
      </c>
      <c r="AG13" s="722" t="s">
        <v>227</v>
      </c>
      <c r="AH13" s="363" t="s">
        <v>233</v>
      </c>
      <c r="AI13" s="152" t="s">
        <v>234</v>
      </c>
      <c r="AJ13" s="152" t="s">
        <v>235</v>
      </c>
      <c r="AK13" s="722" t="s">
        <v>254</v>
      </c>
      <c r="AL13" s="363" t="s">
        <v>438</v>
      </c>
      <c r="AM13" s="152" t="s">
        <v>93</v>
      </c>
      <c r="AN13" s="722" t="s">
        <v>94</v>
      </c>
      <c r="AO13" s="363" t="s">
        <v>186</v>
      </c>
      <c r="AP13" s="58" t="s">
        <v>255</v>
      </c>
      <c r="AQ13" s="722" t="s">
        <v>256</v>
      </c>
      <c r="AR13" s="152" t="s">
        <v>615</v>
      </c>
      <c r="AS13" s="152" t="s">
        <v>260</v>
      </c>
      <c r="AT13" s="124" t="s">
        <v>494</v>
      </c>
      <c r="AU13" s="363" t="s">
        <v>616</v>
      </c>
      <c r="AV13" s="363" t="s">
        <v>439</v>
      </c>
      <c r="BA13" s="891" t="s">
        <v>2</v>
      </c>
      <c r="BB13" s="1629"/>
      <c r="BC13" s="1605"/>
      <c r="BD13" s="1629"/>
      <c r="BE13" s="1605"/>
      <c r="BF13" s="1603"/>
      <c r="BG13" s="1605"/>
      <c r="BH13" s="1629"/>
      <c r="BI13" s="1605"/>
      <c r="BJ13" s="1629"/>
      <c r="BK13" s="1605"/>
      <c r="BL13" s="1603"/>
      <c r="BM13" s="1605"/>
    </row>
    <row r="14" spans="1:65" x14ac:dyDescent="0.2">
      <c r="A14" s="86">
        <f t="shared" si="14"/>
        <v>7</v>
      </c>
      <c r="B14" s="724" t="str">
        <f>'WA Volumes &amp; Revenues'!B15</f>
        <v>1R</v>
      </c>
      <c r="C14" s="846" t="s">
        <v>283</v>
      </c>
      <c r="D14" s="364">
        <f>'WA Volumes &amp; Revenues'!E15</f>
        <v>214704.20066131229</v>
      </c>
      <c r="E14" s="364">
        <f>'WA Volumes &amp; Revenues'!F15</f>
        <v>218577.4</v>
      </c>
      <c r="F14" s="365" t="s">
        <v>283</v>
      </c>
      <c r="G14" s="366">
        <f>'WA Volumes &amp; Revenues'!I15</f>
        <v>19.639970000000002</v>
      </c>
      <c r="H14" s="366">
        <f>'WA Volumes &amp; Revenues'!L15</f>
        <v>20</v>
      </c>
      <c r="I14" s="878">
        <f>'WA Volumes &amp; Revenues'!O15</f>
        <v>5.5</v>
      </c>
      <c r="J14" s="367">
        <f>'WA Volumes &amp; Revenues'!N15</f>
        <v>5.5</v>
      </c>
      <c r="K14" s="123">
        <f>+'Rates in summary'!D14</f>
        <v>1.1525299999999998</v>
      </c>
      <c r="L14" s="123">
        <f>+'Rates in summary'!J14</f>
        <v>1.22725</v>
      </c>
      <c r="M14" s="367">
        <f>ROUND(+$I14+(K14*$G14),2)</f>
        <v>28.14</v>
      </c>
      <c r="N14" s="367">
        <f>ROUND(I14+(K14*H14),2)</f>
        <v>28.55</v>
      </c>
      <c r="O14" s="367">
        <f>ROUND(+$I14+(L14*$G14),2)</f>
        <v>29.6</v>
      </c>
      <c r="P14" s="367">
        <f>ROUND(I14+(L14*H14),2)</f>
        <v>30.05</v>
      </c>
      <c r="Q14" s="368">
        <f>'Rates in summary'!H14-'Rates in summary'!F14</f>
        <v>1.2756799999999999</v>
      </c>
      <c r="R14" s="367">
        <f>ROUND(J14+(Q14*G14),2)</f>
        <v>30.55</v>
      </c>
      <c r="S14" s="369">
        <f>ROUND((R14-M14)/M14,3)</f>
        <v>8.5999999999999993E-2</v>
      </c>
      <c r="T14" s="368">
        <f>'Rates in summary'!I14</f>
        <v>0</v>
      </c>
      <c r="U14" s="367">
        <f t="shared" ref="U14:U19" si="15">ROUND(I14+(T14*H14),2)</f>
        <v>5.5</v>
      </c>
      <c r="V14" s="576">
        <f>ROUND((U14-N14)/N14,3)</f>
        <v>-0.80700000000000005</v>
      </c>
      <c r="W14" s="368">
        <f>'Rates in Detail'!J13+'Rates in Detail'!P13</f>
        <v>1.1434299999999997</v>
      </c>
      <c r="X14" s="367">
        <f>ROUND($J14+($W14*$G14),2)</f>
        <v>27.96</v>
      </c>
      <c r="Y14" s="576">
        <f>ROUND(($X14-$M14)/$M14,3)</f>
        <v>-6.0000000000000001E-3</v>
      </c>
      <c r="Z14" s="368">
        <f>'Rates in Detail'!J13+'Rates in Detail'!S13</f>
        <v>1.1213399999999998</v>
      </c>
      <c r="AA14" s="367">
        <f t="shared" ref="AA14:AA19" si="16">ROUND($J14+($Z14*$G14),2)</f>
        <v>27.52</v>
      </c>
      <c r="AB14" s="576">
        <f t="shared" ref="AB14:AB19" si="17">ROUND(($AA14-$M14)/$M14,3)</f>
        <v>-2.1999999999999999E-2</v>
      </c>
      <c r="AC14" s="368">
        <f>'Rates in Detail'!J13+'Rates in Detail'!T13</f>
        <v>1.1352899999999999</v>
      </c>
      <c r="AD14" s="367">
        <f t="shared" ref="AD14:AD19" si="18">ROUND($J14+($AC14*$G14),2)</f>
        <v>27.8</v>
      </c>
      <c r="AE14" s="576">
        <f t="shared" ref="AE14:AE19" si="19">ROUND(($AD14-$M14)/$M14,3)</f>
        <v>-1.2E-2</v>
      </c>
      <c r="AF14" s="368">
        <f>'Rates in summary'!J14</f>
        <v>1.22725</v>
      </c>
      <c r="AG14" s="367">
        <f>ROUND(J14+(G14*AF14),2)</f>
        <v>29.6</v>
      </c>
      <c r="AH14" s="369">
        <f>ROUND((AG14-M14)/M14,3)</f>
        <v>5.1999999999999998E-2</v>
      </c>
      <c r="AI14" s="1257">
        <f>AG14-M14</f>
        <v>1.4600000000000009</v>
      </c>
      <c r="AJ14" s="368">
        <f>L14+'Rates in summary'!K14</f>
        <v>1.2892599999999999</v>
      </c>
      <c r="AK14" s="367">
        <f>ROUND(J14+(AJ14*G14),2)</f>
        <v>30.82</v>
      </c>
      <c r="AL14" s="369">
        <f t="shared" ref="AL14:AL19" si="20">ROUND((AK14-O14)/O14,3)</f>
        <v>4.1000000000000002E-2</v>
      </c>
      <c r="AM14" s="368">
        <f>'Rates in summary'!O14</f>
        <v>0</v>
      </c>
      <c r="AN14" s="367">
        <f>ROUND(I14+(AM14*H14),2)</f>
        <v>5.5</v>
      </c>
      <c r="AO14" s="576">
        <f>ROUND((AN14-P14)/P14,3)</f>
        <v>-0.81699999999999995</v>
      </c>
      <c r="AP14" s="368">
        <f>'Rates in Detail'!W13+'Rates in Detail'!Z13</f>
        <v>1.2263699999999997</v>
      </c>
      <c r="AQ14" s="367">
        <f t="shared" ref="AQ14:AQ19" si="21">ROUND($J14+($AP14*$G14),2)</f>
        <v>29.59</v>
      </c>
      <c r="AR14" s="576">
        <f t="shared" ref="AR14:AR19" si="22">ROUND(($AQ14-$O14)/$O14,3)</f>
        <v>0</v>
      </c>
      <c r="AS14" s="368">
        <f>'Rates in summary'!P14</f>
        <v>1.3368099999999998</v>
      </c>
      <c r="AT14" s="367">
        <f t="shared" ref="AT14:AT19" si="23">ROUND(J14+(G14*AS14),2)</f>
        <v>31.75</v>
      </c>
      <c r="AU14" s="369">
        <f t="shared" ref="AU14:AU19" si="24">ROUND((AT14-O14)/O14,3)</f>
        <v>7.2999999999999995E-2</v>
      </c>
      <c r="AV14" s="1262">
        <f>AT14-O14</f>
        <v>2.1499999999999986</v>
      </c>
      <c r="AW14" s="370"/>
      <c r="AX14" s="1482"/>
      <c r="AY14" s="370"/>
      <c r="AZ14" s="370"/>
      <c r="BA14" s="892" t="s">
        <v>281</v>
      </c>
      <c r="BB14" s="662">
        <f t="shared" ref="BB14:BB19" si="25">R14-M14</f>
        <v>2.41</v>
      </c>
      <c r="BC14" s="666">
        <f t="shared" ref="BC14:BC19" si="26">S14</f>
        <v>8.5999999999999993E-2</v>
      </c>
      <c r="BD14" s="662">
        <f t="shared" ref="BD14:BD19" si="27">U14-N14</f>
        <v>-23.05</v>
      </c>
      <c r="BE14" s="666">
        <f>V14</f>
        <v>-0.80700000000000005</v>
      </c>
      <c r="BF14" s="372">
        <f t="shared" ref="BF14:BF19" si="28">AG14-M14</f>
        <v>1.4600000000000009</v>
      </c>
      <c r="BG14" s="666">
        <f t="shared" ref="BG14:BG19" si="29">AH14</f>
        <v>5.1999999999999998E-2</v>
      </c>
      <c r="BH14" s="662">
        <f t="shared" ref="BH14:BH19" si="30">AK14-O14</f>
        <v>1.2199999999999989</v>
      </c>
      <c r="BI14" s="666">
        <f t="shared" ref="BI14:BI19" si="31">AL14</f>
        <v>4.1000000000000002E-2</v>
      </c>
      <c r="BJ14" s="662">
        <f t="shared" ref="BJ14:BJ19" si="32">AN14-P14</f>
        <v>-24.55</v>
      </c>
      <c r="BK14" s="666">
        <f t="shared" ref="BK14:BK19" si="33">AO14</f>
        <v>-0.81699999999999995</v>
      </c>
      <c r="BL14" s="372">
        <f t="shared" ref="BL14:BL19" si="34">AT14-O14</f>
        <v>2.1499999999999986</v>
      </c>
      <c r="BM14" s="1013">
        <f t="shared" ref="BM14:BM19" si="35">AU14</f>
        <v>7.2999999999999995E-2</v>
      </c>
    </row>
    <row r="15" spans="1:65" x14ac:dyDescent="0.2">
      <c r="A15" s="86">
        <f t="shared" si="14"/>
        <v>8</v>
      </c>
      <c r="B15" s="724" t="str">
        <f>'WA Volumes &amp; Revenues'!B16</f>
        <v>1C</v>
      </c>
      <c r="C15" s="846" t="s">
        <v>283</v>
      </c>
      <c r="D15" s="364">
        <f>'WA Volumes &amp; Revenues'!E16</f>
        <v>46539.057144390383</v>
      </c>
      <c r="E15" s="364">
        <f>'WA Volumes &amp; Revenues'!F16</f>
        <v>38726</v>
      </c>
      <c r="F15" s="365" t="s">
        <v>283</v>
      </c>
      <c r="G15" s="366">
        <f>'WA Volumes &amp; Revenues'!I16</f>
        <v>114.06632</v>
      </c>
      <c r="H15" s="366">
        <f>'WA Volumes &amp; Revenues'!L16</f>
        <v>92</v>
      </c>
      <c r="I15" s="878">
        <f>'WA Volumes &amp; Revenues'!O16</f>
        <v>7</v>
      </c>
      <c r="J15" s="367">
        <f>'WA Volumes &amp; Revenues'!N16</f>
        <v>7</v>
      </c>
      <c r="K15" s="123">
        <f>+'Rates in summary'!D15</f>
        <v>1.18929</v>
      </c>
      <c r="L15" s="123">
        <f>+'Rates in summary'!J15</f>
        <v>1.25143</v>
      </c>
      <c r="M15" s="367">
        <f t="shared" ref="M15:M19" si="36">ROUND(+$I15+(K15*$G15),2)</f>
        <v>142.66</v>
      </c>
      <c r="N15" s="367">
        <f t="shared" ref="N15" si="37">ROUND(I15+(K15*H15),2)</f>
        <v>116.41</v>
      </c>
      <c r="O15" s="367">
        <f t="shared" ref="O15:O18" si="38">ROUND(+$I15+(L15*$G15),2)</f>
        <v>149.75</v>
      </c>
      <c r="P15" s="367">
        <f t="shared" ref="P15:P19" si="39">ROUND(I15+(L15*H15),2)</f>
        <v>122.13</v>
      </c>
      <c r="Q15" s="368">
        <f>'Rates in summary'!H15-'Rates in summary'!F15</f>
        <v>1.2917000000000001</v>
      </c>
      <c r="R15" s="367">
        <f t="shared" ref="R15" si="40">ROUND(J15+(Q15*G15),2)</f>
        <v>154.34</v>
      </c>
      <c r="S15" s="369">
        <f t="shared" ref="S15" si="41">ROUND((R15-M15)/M15,3)</f>
        <v>8.2000000000000003E-2</v>
      </c>
      <c r="T15" s="368">
        <f>'Rates in summary'!I15</f>
        <v>0</v>
      </c>
      <c r="U15" s="367">
        <f t="shared" si="15"/>
        <v>7</v>
      </c>
      <c r="V15" s="576">
        <f t="shared" ref="V15:V19" si="42">ROUND((U15-N15)/N15,3)</f>
        <v>-0.94</v>
      </c>
      <c r="W15" s="368">
        <f>'Rates in Detail'!J14+'Rates in Detail'!P14</f>
        <v>1.1817299999999999</v>
      </c>
      <c r="X15" s="367">
        <f t="shared" ref="X15:X19" si="43">ROUND($J15+($W15*$G15),2)</f>
        <v>141.80000000000001</v>
      </c>
      <c r="Y15" s="576">
        <f t="shared" ref="Y15:Y19" si="44">ROUND(($X15-$M15)/$M15,3)</f>
        <v>-6.0000000000000001E-3</v>
      </c>
      <c r="Z15" s="368">
        <f>'Rates in Detail'!J14+'Rates in Detail'!S14</f>
        <v>1.1633499999999999</v>
      </c>
      <c r="AA15" s="367">
        <f t="shared" si="16"/>
        <v>139.69999999999999</v>
      </c>
      <c r="AB15" s="576">
        <f t="shared" si="17"/>
        <v>-2.1000000000000001E-2</v>
      </c>
      <c r="AC15" s="123">
        <f>'Rates in Detail'!J14+'Rates in Detail'!T14</f>
        <v>1.17496</v>
      </c>
      <c r="AD15" s="367">
        <f t="shared" si="18"/>
        <v>141.02000000000001</v>
      </c>
      <c r="AE15" s="576">
        <f t="shared" si="19"/>
        <v>-1.0999999999999999E-2</v>
      </c>
      <c r="AF15" s="368">
        <f>'Rates in summary'!J15</f>
        <v>1.25143</v>
      </c>
      <c r="AG15" s="367">
        <f t="shared" ref="AG15:AG19" si="45">ROUND(J15+(G15*AF15),2)</f>
        <v>149.75</v>
      </c>
      <c r="AH15" s="369">
        <f t="shared" ref="AH15:AH19" si="46">ROUND((AG15-M15)/M15,3)</f>
        <v>0.05</v>
      </c>
      <c r="AI15" s="1257">
        <f t="shared" ref="AI15:AI72" si="47">AG15-M15</f>
        <v>7.0900000000000034</v>
      </c>
      <c r="AJ15" s="368">
        <f>L15+'Rates in summary'!K15</f>
        <v>1.3029999999999999</v>
      </c>
      <c r="AK15" s="367">
        <f t="shared" ref="AK15:AK19" si="48">ROUND(J15+(AJ15*G15),2)</f>
        <v>155.63</v>
      </c>
      <c r="AL15" s="369">
        <f t="shared" si="20"/>
        <v>3.9E-2</v>
      </c>
      <c r="AM15" s="368">
        <f>'Rates in summary'!O15</f>
        <v>0</v>
      </c>
      <c r="AN15" s="367">
        <f t="shared" ref="AN15:AN19" si="49">ROUND(I15+(AM15*H15),2)</f>
        <v>7</v>
      </c>
      <c r="AO15" s="576">
        <f t="shared" ref="AO15:AO19" si="50">ROUND((AN15-P15)/P15,3)</f>
        <v>-0.94299999999999995</v>
      </c>
      <c r="AP15" s="123">
        <f>'Rates in Detail'!W14+'Rates in Detail'!Z14</f>
        <v>1.2506999999999999</v>
      </c>
      <c r="AQ15" s="367">
        <f t="shared" si="21"/>
        <v>149.66</v>
      </c>
      <c r="AR15" s="576">
        <f t="shared" si="22"/>
        <v>-1E-3</v>
      </c>
      <c r="AS15" s="368">
        <f>'Rates in summary'!P15</f>
        <v>1.3425400000000001</v>
      </c>
      <c r="AT15" s="367">
        <f t="shared" si="23"/>
        <v>160.13999999999999</v>
      </c>
      <c r="AU15" s="369">
        <f t="shared" si="24"/>
        <v>6.9000000000000006E-2</v>
      </c>
      <c r="AV15" s="1262">
        <f t="shared" ref="AV15:AV72" si="51">AT15-O15</f>
        <v>10.389999999999986</v>
      </c>
      <c r="AW15" s="370"/>
      <c r="AX15" s="370"/>
      <c r="AY15" s="370"/>
      <c r="AZ15" s="370"/>
      <c r="BA15" s="893" t="s">
        <v>282</v>
      </c>
      <c r="BB15" s="662">
        <f t="shared" si="25"/>
        <v>11.680000000000007</v>
      </c>
      <c r="BC15" s="666">
        <f t="shared" si="26"/>
        <v>8.2000000000000003E-2</v>
      </c>
      <c r="BD15" s="662">
        <f t="shared" si="27"/>
        <v>-109.41</v>
      </c>
      <c r="BE15" s="666">
        <f t="shared" ref="BE15:BE19" si="52">V15</f>
        <v>-0.94</v>
      </c>
      <c r="BF15" s="372">
        <f t="shared" si="28"/>
        <v>7.0900000000000034</v>
      </c>
      <c r="BG15" s="666">
        <f t="shared" si="29"/>
        <v>0.05</v>
      </c>
      <c r="BH15" s="662">
        <f t="shared" si="30"/>
        <v>5.8799999999999955</v>
      </c>
      <c r="BI15" s="666">
        <f t="shared" si="31"/>
        <v>3.9E-2</v>
      </c>
      <c r="BJ15" s="662">
        <f t="shared" si="32"/>
        <v>-115.13</v>
      </c>
      <c r="BK15" s="666">
        <f t="shared" si="33"/>
        <v>-0.94299999999999995</v>
      </c>
      <c r="BL15" s="372">
        <f t="shared" si="34"/>
        <v>10.389999999999986</v>
      </c>
      <c r="BM15" s="666">
        <f t="shared" si="35"/>
        <v>6.9000000000000006E-2</v>
      </c>
    </row>
    <row r="16" spans="1:65" x14ac:dyDescent="0.2">
      <c r="A16" s="86">
        <f t="shared" si="14"/>
        <v>9</v>
      </c>
      <c r="B16" s="724" t="str">
        <f>'WA Volumes &amp; Revenues'!B17</f>
        <v>2R</v>
      </c>
      <c r="C16" s="846" t="s">
        <v>283</v>
      </c>
      <c r="D16" s="364">
        <f>'WA Volumes &amp; Revenues'!E17</f>
        <v>54953515.785084128</v>
      </c>
      <c r="E16" s="364">
        <f>'WA Volumes &amp; Revenues'!F17</f>
        <v>55009539.100000001</v>
      </c>
      <c r="F16" s="365" t="s">
        <v>283</v>
      </c>
      <c r="G16" s="153">
        <f>'WA Volumes &amp; Revenues'!I17</f>
        <v>56.453600000000002</v>
      </c>
      <c r="H16" s="366">
        <f>'WA Volumes &amp; Revenues'!L17</f>
        <v>57</v>
      </c>
      <c r="I16" s="878">
        <f>'WA Volumes &amp; Revenues'!O17</f>
        <v>8</v>
      </c>
      <c r="J16" s="367">
        <f>'WA Volumes &amp; Revenues'!N17</f>
        <v>8</v>
      </c>
      <c r="K16" s="123">
        <f>+'Rates in summary'!D16</f>
        <v>0.88947999999999972</v>
      </c>
      <c r="L16" s="123">
        <f>+'Rates in summary'!J16</f>
        <v>0.93676999999999977</v>
      </c>
      <c r="M16" s="367">
        <f t="shared" si="36"/>
        <v>58.21</v>
      </c>
      <c r="N16" s="367">
        <f>ROUND(I16+(K16*H16),2)</f>
        <v>58.7</v>
      </c>
      <c r="O16" s="367">
        <f t="shared" si="38"/>
        <v>60.88</v>
      </c>
      <c r="P16" s="367">
        <f t="shared" si="39"/>
        <v>61.4</v>
      </c>
      <c r="Q16" s="368">
        <f>'Rates in summary'!H16-'Rates in summary'!F16</f>
        <v>0.96741999999999972</v>
      </c>
      <c r="R16" s="367">
        <f>ROUND(J16+(Q16*G16),2)</f>
        <v>62.61</v>
      </c>
      <c r="S16" s="369">
        <f>ROUND((R16-M16)/M16,3)</f>
        <v>7.5999999999999998E-2</v>
      </c>
      <c r="T16" s="368">
        <f>'Rates in summary'!I16</f>
        <v>0</v>
      </c>
      <c r="U16" s="367">
        <f t="shared" si="15"/>
        <v>8</v>
      </c>
      <c r="V16" s="576">
        <f t="shared" si="42"/>
        <v>-0.86399999999999999</v>
      </c>
      <c r="W16" s="368">
        <f>'Rates in Detail'!J15+'Rates in Detail'!P15</f>
        <v>0.88371999999999973</v>
      </c>
      <c r="X16" s="367">
        <f t="shared" si="43"/>
        <v>57.89</v>
      </c>
      <c r="Y16" s="576">
        <f t="shared" si="44"/>
        <v>-5.0000000000000001E-3</v>
      </c>
      <c r="Z16" s="368">
        <f>'Rates in Detail'!J15+'Rates in Detail'!S15</f>
        <v>0.86973999999999974</v>
      </c>
      <c r="AA16" s="367">
        <f t="shared" si="16"/>
        <v>57.1</v>
      </c>
      <c r="AB16" s="576">
        <f t="shared" si="17"/>
        <v>-1.9E-2</v>
      </c>
      <c r="AC16" s="123">
        <f>'Rates in Detail'!J15+'Rates in Detail'!T15</f>
        <v>0.87856999999999974</v>
      </c>
      <c r="AD16" s="367">
        <f t="shared" si="18"/>
        <v>57.6</v>
      </c>
      <c r="AE16" s="576">
        <f t="shared" si="19"/>
        <v>-0.01</v>
      </c>
      <c r="AF16" s="368">
        <f>'Rates in summary'!J16</f>
        <v>0.93676999999999977</v>
      </c>
      <c r="AG16" s="367">
        <f>ROUND(J16+(G16*AF16),2)</f>
        <v>60.88</v>
      </c>
      <c r="AH16" s="369">
        <f t="shared" si="46"/>
        <v>4.5999999999999999E-2</v>
      </c>
      <c r="AI16" s="1257">
        <f t="shared" si="47"/>
        <v>2.6700000000000017</v>
      </c>
      <c r="AJ16" s="368">
        <f>L16+'Rates in summary'!K16</f>
        <v>0.97601999999999978</v>
      </c>
      <c r="AK16" s="367">
        <f t="shared" si="48"/>
        <v>63.1</v>
      </c>
      <c r="AL16" s="369">
        <f t="shared" si="20"/>
        <v>3.5999999999999997E-2</v>
      </c>
      <c r="AM16" s="368">
        <f>'Rates in summary'!O16</f>
        <v>0</v>
      </c>
      <c r="AN16" s="367">
        <f t="shared" si="49"/>
        <v>8</v>
      </c>
      <c r="AO16" s="576">
        <f t="shared" si="50"/>
        <v>-0.87</v>
      </c>
      <c r="AP16" s="123">
        <f>'Rates in Detail'!W15+'Rates in Detail'!Z15</f>
        <v>0.93621999999999983</v>
      </c>
      <c r="AQ16" s="367">
        <f t="shared" si="21"/>
        <v>60.85</v>
      </c>
      <c r="AR16" s="576">
        <f t="shared" si="22"/>
        <v>0</v>
      </c>
      <c r="AS16" s="368">
        <f>'Rates in summary'!P16</f>
        <v>1.0061199999999997</v>
      </c>
      <c r="AT16" s="367">
        <f t="shared" si="23"/>
        <v>64.8</v>
      </c>
      <c r="AU16" s="369">
        <f t="shared" si="24"/>
        <v>6.4000000000000001E-2</v>
      </c>
      <c r="AV16" s="1262">
        <f t="shared" si="51"/>
        <v>3.9199999999999946</v>
      </c>
      <c r="AW16" s="370"/>
      <c r="AX16" s="370"/>
      <c r="AY16" s="370"/>
      <c r="AZ16" s="370"/>
      <c r="BA16" s="893" t="s">
        <v>12</v>
      </c>
      <c r="BB16" s="662">
        <f t="shared" si="25"/>
        <v>4.3999999999999986</v>
      </c>
      <c r="BC16" s="666">
        <f t="shared" si="26"/>
        <v>7.5999999999999998E-2</v>
      </c>
      <c r="BD16" s="662">
        <f t="shared" si="27"/>
        <v>-50.7</v>
      </c>
      <c r="BE16" s="666">
        <f t="shared" si="52"/>
        <v>-0.86399999999999999</v>
      </c>
      <c r="BF16" s="372">
        <f t="shared" si="28"/>
        <v>2.6700000000000017</v>
      </c>
      <c r="BG16" s="666">
        <f t="shared" si="29"/>
        <v>4.5999999999999999E-2</v>
      </c>
      <c r="BH16" s="662">
        <f t="shared" si="30"/>
        <v>2.2199999999999989</v>
      </c>
      <c r="BI16" s="666">
        <f t="shared" si="31"/>
        <v>3.5999999999999997E-2</v>
      </c>
      <c r="BJ16" s="662">
        <f t="shared" si="32"/>
        <v>-53.4</v>
      </c>
      <c r="BK16" s="666">
        <f t="shared" si="33"/>
        <v>-0.87</v>
      </c>
      <c r="BL16" s="372">
        <f t="shared" si="34"/>
        <v>3.9199999999999946</v>
      </c>
      <c r="BM16" s="666">
        <f t="shared" si="35"/>
        <v>6.4000000000000001E-2</v>
      </c>
    </row>
    <row r="17" spans="1:65" x14ac:dyDescent="0.2">
      <c r="A17" s="86">
        <f t="shared" si="14"/>
        <v>10</v>
      </c>
      <c r="B17" s="724" t="str">
        <f>'WA Volumes &amp; Revenues'!B18</f>
        <v>3 CFS</v>
      </c>
      <c r="C17" s="846" t="s">
        <v>283</v>
      </c>
      <c r="D17" s="364">
        <f>'WA Volumes &amp; Revenues'!E18</f>
        <v>17867210.60654201</v>
      </c>
      <c r="E17" s="364">
        <f>'WA Volumes &amp; Revenues'!F18</f>
        <v>18385904.899999999</v>
      </c>
      <c r="F17" s="365" t="s">
        <v>283</v>
      </c>
      <c r="G17" s="366">
        <f>'WA Volumes &amp; Revenues'!I18</f>
        <v>235.66542999999999</v>
      </c>
      <c r="H17" s="366">
        <f>'WA Volumes &amp; Revenues'!L18</f>
        <v>242</v>
      </c>
      <c r="I17" s="878">
        <f>'WA Volumes &amp; Revenues'!O18</f>
        <v>22</v>
      </c>
      <c r="J17" s="367">
        <f>'WA Volumes &amp; Revenues'!N18</f>
        <v>22</v>
      </c>
      <c r="K17" s="123">
        <f>+'Rates in summary'!D17</f>
        <v>0.86690000000000011</v>
      </c>
      <c r="L17" s="123">
        <f>+'Rates in summary'!J17</f>
        <v>0.9093500000000001</v>
      </c>
      <c r="M17" s="367">
        <f t="shared" si="36"/>
        <v>226.3</v>
      </c>
      <c r="N17" s="367">
        <f>ROUND(I17+(K17*H17),2)</f>
        <v>231.79</v>
      </c>
      <c r="O17" s="367">
        <f t="shared" si="38"/>
        <v>236.3</v>
      </c>
      <c r="P17" s="367">
        <f t="shared" si="39"/>
        <v>242.06</v>
      </c>
      <c r="Q17" s="368">
        <f>'Rates in summary'!H17-'Rates in summary'!F17</f>
        <v>0.93688000000000016</v>
      </c>
      <c r="R17" s="367">
        <f t="shared" ref="R17:R18" si="53">ROUND(J17+(Q17*G17),2)</f>
        <v>242.79</v>
      </c>
      <c r="S17" s="369">
        <f t="shared" ref="S17:S19" si="54">ROUND((R17-M17)/M17,3)</f>
        <v>7.2999999999999995E-2</v>
      </c>
      <c r="T17" s="368">
        <f>'Rates in summary'!I17</f>
        <v>0</v>
      </c>
      <c r="U17" s="367">
        <f t="shared" si="15"/>
        <v>22</v>
      </c>
      <c r="V17" s="576">
        <f t="shared" si="42"/>
        <v>-0.90500000000000003</v>
      </c>
      <c r="W17" s="368">
        <f>'Rates in Detail'!J16+'Rates in Detail'!P16</f>
        <v>0.86173000000000011</v>
      </c>
      <c r="X17" s="367">
        <f t="shared" si="43"/>
        <v>225.08</v>
      </c>
      <c r="Y17" s="576">
        <f t="shared" si="44"/>
        <v>-5.0000000000000001E-3</v>
      </c>
      <c r="Z17" s="368">
        <f>'Rates in Detail'!J16+'Rates in Detail'!S16</f>
        <v>0.84917000000000009</v>
      </c>
      <c r="AA17" s="367">
        <f t="shared" si="16"/>
        <v>222.12</v>
      </c>
      <c r="AB17" s="576">
        <f t="shared" si="17"/>
        <v>-1.7999999999999999E-2</v>
      </c>
      <c r="AC17" s="123">
        <f>'Rates in Detail'!J16+'Rates in Detail'!T16</f>
        <v>0.85710000000000008</v>
      </c>
      <c r="AD17" s="367">
        <f t="shared" si="18"/>
        <v>223.99</v>
      </c>
      <c r="AE17" s="576">
        <f t="shared" si="19"/>
        <v>-0.01</v>
      </c>
      <c r="AF17" s="368">
        <f>'Rates in summary'!J17</f>
        <v>0.9093500000000001</v>
      </c>
      <c r="AG17" s="367">
        <f t="shared" si="45"/>
        <v>236.3</v>
      </c>
      <c r="AH17" s="369">
        <f t="shared" si="46"/>
        <v>4.3999999999999997E-2</v>
      </c>
      <c r="AI17" s="1257">
        <f t="shared" si="47"/>
        <v>10</v>
      </c>
      <c r="AJ17" s="368">
        <f>L17+'Rates in summary'!K17</f>
        <v>0.94459000000000015</v>
      </c>
      <c r="AK17" s="367">
        <f t="shared" si="48"/>
        <v>244.61</v>
      </c>
      <c r="AL17" s="369">
        <f t="shared" si="20"/>
        <v>3.5000000000000003E-2</v>
      </c>
      <c r="AM17" s="368">
        <f>'Rates in summary'!O17</f>
        <v>0</v>
      </c>
      <c r="AN17" s="367">
        <f t="shared" si="49"/>
        <v>22</v>
      </c>
      <c r="AO17" s="576">
        <f t="shared" si="50"/>
        <v>-0.90900000000000003</v>
      </c>
      <c r="AP17" s="123">
        <f>'Rates in Detail'!W16+'Rates in Detail'!Z16</f>
        <v>0.90885000000000016</v>
      </c>
      <c r="AQ17" s="367">
        <f t="shared" si="21"/>
        <v>236.18</v>
      </c>
      <c r="AR17" s="576">
        <f t="shared" si="22"/>
        <v>-1E-3</v>
      </c>
      <c r="AS17" s="368">
        <f>'Rates in summary'!P17</f>
        <v>0.97162000000000015</v>
      </c>
      <c r="AT17" s="367">
        <f t="shared" si="23"/>
        <v>250.98</v>
      </c>
      <c r="AU17" s="369">
        <f t="shared" si="24"/>
        <v>6.2E-2</v>
      </c>
      <c r="AV17" s="1262">
        <f t="shared" si="51"/>
        <v>14.679999999999978</v>
      </c>
      <c r="AW17" s="370"/>
      <c r="AX17" s="370"/>
      <c r="AY17" s="370"/>
      <c r="AZ17" s="370"/>
      <c r="BA17" s="893" t="s">
        <v>10</v>
      </c>
      <c r="BB17" s="662">
        <f t="shared" si="25"/>
        <v>16.489999999999981</v>
      </c>
      <c r="BC17" s="666">
        <f t="shared" si="26"/>
        <v>7.2999999999999995E-2</v>
      </c>
      <c r="BD17" s="662">
        <f t="shared" si="27"/>
        <v>-209.79</v>
      </c>
      <c r="BE17" s="666">
        <f t="shared" si="52"/>
        <v>-0.90500000000000003</v>
      </c>
      <c r="BF17" s="372">
        <f t="shared" si="28"/>
        <v>10</v>
      </c>
      <c r="BG17" s="666">
        <f t="shared" si="29"/>
        <v>4.3999999999999997E-2</v>
      </c>
      <c r="BH17" s="662">
        <f t="shared" si="30"/>
        <v>8.3100000000000023</v>
      </c>
      <c r="BI17" s="666">
        <f t="shared" si="31"/>
        <v>3.5000000000000003E-2</v>
      </c>
      <c r="BJ17" s="662">
        <f t="shared" si="32"/>
        <v>-220.06</v>
      </c>
      <c r="BK17" s="666">
        <f t="shared" si="33"/>
        <v>-0.90900000000000003</v>
      </c>
      <c r="BL17" s="372">
        <f t="shared" si="34"/>
        <v>14.679999999999978</v>
      </c>
      <c r="BM17" s="666">
        <f t="shared" si="35"/>
        <v>6.2E-2</v>
      </c>
    </row>
    <row r="18" spans="1:65" x14ac:dyDescent="0.2">
      <c r="A18" s="86">
        <f>+A17+1</f>
        <v>11</v>
      </c>
      <c r="B18" s="724" t="str">
        <f>'WA Volumes &amp; Revenues'!B19</f>
        <v>3 IFS</v>
      </c>
      <c r="C18" s="846" t="s">
        <v>283</v>
      </c>
      <c r="D18" s="364">
        <f>'WA Volumes &amp; Revenues'!E19</f>
        <v>283651.99999999994</v>
      </c>
      <c r="E18" s="364">
        <f>'WA Volumes &amp; Revenues'!F19</f>
        <v>263842</v>
      </c>
      <c r="F18" s="365" t="s">
        <v>283</v>
      </c>
      <c r="G18" s="366">
        <f>'WA Volumes &amp; Revenues'!I19</f>
        <v>974.74914000000001</v>
      </c>
      <c r="H18" s="366">
        <f>'WA Volumes &amp; Revenues'!L19</f>
        <v>916</v>
      </c>
      <c r="I18" s="878">
        <f>'WA Volumes &amp; Revenues'!O19</f>
        <v>22</v>
      </c>
      <c r="J18" s="367">
        <f>'WA Volumes &amp; Revenues'!N19</f>
        <v>22</v>
      </c>
      <c r="K18" s="123">
        <f>+'Rates in summary'!D18</f>
        <v>0.82713999999999999</v>
      </c>
      <c r="L18" s="123">
        <f>+'Rates in summary'!J18</f>
        <v>0.88166</v>
      </c>
      <c r="M18" s="367">
        <f t="shared" si="36"/>
        <v>828.25</v>
      </c>
      <c r="N18" s="367">
        <f>ROUND(I18+(K18*H18),2)</f>
        <v>779.66</v>
      </c>
      <c r="O18" s="367">
        <f t="shared" si="38"/>
        <v>881.4</v>
      </c>
      <c r="P18" s="367">
        <f t="shared" si="39"/>
        <v>829.6</v>
      </c>
      <c r="Q18" s="368">
        <f>'Rates in summary'!H18-'Rates in summary'!F18</f>
        <v>0.89053000000000004</v>
      </c>
      <c r="R18" s="367">
        <f t="shared" si="53"/>
        <v>890.04</v>
      </c>
      <c r="S18" s="369">
        <f t="shared" si="54"/>
        <v>7.4999999999999997E-2</v>
      </c>
      <c r="T18" s="368">
        <f>'Rates in summary'!I18</f>
        <v>0</v>
      </c>
      <c r="U18" s="367">
        <f t="shared" si="15"/>
        <v>22</v>
      </c>
      <c r="V18" s="576">
        <f t="shared" si="42"/>
        <v>-0.97199999999999998</v>
      </c>
      <c r="W18" s="368">
        <f>'Rates in Detail'!J17+'Rates in Detail'!P17</f>
        <v>0.82245000000000001</v>
      </c>
      <c r="X18" s="367">
        <f t="shared" si="43"/>
        <v>823.68</v>
      </c>
      <c r="Y18" s="576">
        <f t="shared" si="44"/>
        <v>-6.0000000000000001E-3</v>
      </c>
      <c r="Z18" s="368">
        <f>'Rates in Detail'!J17+'Rates in Detail'!S17</f>
        <v>0.82713999999999999</v>
      </c>
      <c r="AA18" s="367">
        <f t="shared" si="16"/>
        <v>828.25</v>
      </c>
      <c r="AB18" s="576">
        <f t="shared" si="17"/>
        <v>0</v>
      </c>
      <c r="AC18" s="123">
        <f>'Rates in Detail'!J17+'Rates in Detail'!T17</f>
        <v>0.81826999999999994</v>
      </c>
      <c r="AD18" s="367">
        <f t="shared" si="18"/>
        <v>819.61</v>
      </c>
      <c r="AE18" s="576">
        <f t="shared" si="19"/>
        <v>-0.01</v>
      </c>
      <c r="AF18" s="368">
        <f>'Rates in summary'!J18</f>
        <v>0.88166</v>
      </c>
      <c r="AG18" s="367">
        <f t="shared" si="45"/>
        <v>881.4</v>
      </c>
      <c r="AH18" s="369">
        <f t="shared" si="46"/>
        <v>6.4000000000000001E-2</v>
      </c>
      <c r="AI18" s="1257">
        <f t="shared" si="47"/>
        <v>53.149999999999977</v>
      </c>
      <c r="AJ18" s="368">
        <f>L18+'Rates in summary'!K18</f>
        <v>0.91357999999999995</v>
      </c>
      <c r="AK18" s="367">
        <f t="shared" si="48"/>
        <v>912.51</v>
      </c>
      <c r="AL18" s="369">
        <f t="shared" si="20"/>
        <v>3.5000000000000003E-2</v>
      </c>
      <c r="AM18" s="368">
        <f>'Rates in summary'!O18</f>
        <v>0</v>
      </c>
      <c r="AN18" s="367">
        <f t="shared" si="49"/>
        <v>22</v>
      </c>
      <c r="AO18" s="576">
        <f t="shared" si="50"/>
        <v>-0.97299999999999998</v>
      </c>
      <c r="AP18" s="123">
        <f>'Rates in Detail'!W17+'Rates in Detail'!Z17</f>
        <v>0.88120999999999994</v>
      </c>
      <c r="AQ18" s="367">
        <f t="shared" si="21"/>
        <v>880.96</v>
      </c>
      <c r="AR18" s="576">
        <f t="shared" si="22"/>
        <v>0</v>
      </c>
      <c r="AS18" s="368">
        <f>'Rates in summary'!P18</f>
        <v>0.92200000000000004</v>
      </c>
      <c r="AT18" s="367">
        <f t="shared" si="23"/>
        <v>920.72</v>
      </c>
      <c r="AU18" s="369">
        <f t="shared" si="24"/>
        <v>4.4999999999999998E-2</v>
      </c>
      <c r="AV18" s="1262">
        <f t="shared" si="51"/>
        <v>39.32000000000005</v>
      </c>
      <c r="AW18" s="370"/>
      <c r="AX18" s="370"/>
      <c r="AY18" s="370"/>
      <c r="AZ18" s="370"/>
      <c r="BA18" s="893" t="s">
        <v>11</v>
      </c>
      <c r="BB18" s="662">
        <f t="shared" si="25"/>
        <v>61.789999999999964</v>
      </c>
      <c r="BC18" s="666">
        <f t="shared" si="26"/>
        <v>7.4999999999999997E-2</v>
      </c>
      <c r="BD18" s="662">
        <f t="shared" si="27"/>
        <v>-757.66</v>
      </c>
      <c r="BE18" s="666">
        <f t="shared" si="52"/>
        <v>-0.97199999999999998</v>
      </c>
      <c r="BF18" s="372">
        <f t="shared" si="28"/>
        <v>53.149999999999977</v>
      </c>
      <c r="BG18" s="666">
        <f t="shared" si="29"/>
        <v>6.4000000000000001E-2</v>
      </c>
      <c r="BH18" s="662">
        <f t="shared" si="30"/>
        <v>31.110000000000014</v>
      </c>
      <c r="BI18" s="666">
        <f t="shared" si="31"/>
        <v>3.5000000000000003E-2</v>
      </c>
      <c r="BJ18" s="662">
        <f t="shared" si="32"/>
        <v>-807.6</v>
      </c>
      <c r="BK18" s="666">
        <f t="shared" si="33"/>
        <v>-0.97299999999999998</v>
      </c>
      <c r="BL18" s="372">
        <f t="shared" si="34"/>
        <v>39.32000000000005</v>
      </c>
      <c r="BM18" s="666">
        <f t="shared" si="35"/>
        <v>4.4999999999999998E-2</v>
      </c>
    </row>
    <row r="19" spans="1:65" x14ac:dyDescent="0.2">
      <c r="A19" s="86">
        <f t="shared" si="14"/>
        <v>12</v>
      </c>
      <c r="B19" s="724" t="str">
        <f>'WA Volumes &amp; Revenues'!B20</f>
        <v>27R</v>
      </c>
      <c r="C19" s="846" t="s">
        <v>283</v>
      </c>
      <c r="D19" s="364">
        <f>'WA Volumes &amp; Revenues'!E20</f>
        <v>461371.76933137607</v>
      </c>
      <c r="E19" s="364">
        <f>'WA Volumes &amp; Revenues'!F20</f>
        <v>591910</v>
      </c>
      <c r="F19" s="365" t="s">
        <v>283</v>
      </c>
      <c r="G19" s="366">
        <f>'WA Volumes &amp; Revenues'!I20</f>
        <v>49.545940000000002</v>
      </c>
      <c r="H19" s="366">
        <f>'WA Volumes &amp; Revenues'!L20</f>
        <v>65</v>
      </c>
      <c r="I19" s="878">
        <f>'WA Volumes &amp; Revenues'!O20</f>
        <v>9</v>
      </c>
      <c r="J19" s="367">
        <f>'WA Volumes &amp; Revenues'!N20</f>
        <v>9</v>
      </c>
      <c r="K19" s="123">
        <f>+'Rates in summary'!D19</f>
        <v>0.64432999999999974</v>
      </c>
      <c r="L19" s="123">
        <f>+'Rates in summary'!J19</f>
        <v>0.67797999999999981</v>
      </c>
      <c r="M19" s="367">
        <f t="shared" si="36"/>
        <v>40.92</v>
      </c>
      <c r="N19" s="367">
        <f>ROUND(I19+(K19*H19),2)</f>
        <v>50.88</v>
      </c>
      <c r="O19" s="367">
        <f>ROUND(+$I19+(L19*$G19),2)</f>
        <v>42.59</v>
      </c>
      <c r="P19" s="367">
        <f t="shared" si="39"/>
        <v>53.07</v>
      </c>
      <c r="Q19" s="368">
        <f>'Rates in summary'!H19-'Rates in summary'!F19</f>
        <v>0.69979999999999976</v>
      </c>
      <c r="R19" s="367">
        <f>ROUND(J19+(Q19*G19),2)</f>
        <v>43.67</v>
      </c>
      <c r="S19" s="369">
        <f t="shared" si="54"/>
        <v>6.7000000000000004E-2</v>
      </c>
      <c r="T19" s="368">
        <f>'Rates in summary'!I19</f>
        <v>0</v>
      </c>
      <c r="U19" s="367">
        <f t="shared" si="15"/>
        <v>9</v>
      </c>
      <c r="V19" s="576">
        <f t="shared" si="42"/>
        <v>-0.82299999999999995</v>
      </c>
      <c r="W19" s="368">
        <f>'Rates in Detail'!J18+'Rates in Detail'!P18</f>
        <v>0.64022999999999974</v>
      </c>
      <c r="X19" s="367">
        <f t="shared" si="43"/>
        <v>40.72</v>
      </c>
      <c r="Y19" s="576">
        <f t="shared" si="44"/>
        <v>-5.0000000000000001E-3</v>
      </c>
      <c r="Z19" s="368">
        <f>'Rates in Detail'!J18+'Rates in Detail'!S18</f>
        <v>0.63027999999999973</v>
      </c>
      <c r="AA19" s="367">
        <f t="shared" si="16"/>
        <v>40.229999999999997</v>
      </c>
      <c r="AB19" s="576">
        <f t="shared" si="17"/>
        <v>-1.7000000000000001E-2</v>
      </c>
      <c r="AC19" s="123">
        <f>'Rates in Detail'!J18+'Rates in Detail'!T18</f>
        <v>0.63655999999999968</v>
      </c>
      <c r="AD19" s="367">
        <f t="shared" si="18"/>
        <v>40.54</v>
      </c>
      <c r="AE19" s="576">
        <f t="shared" si="19"/>
        <v>-8.9999999999999993E-3</v>
      </c>
      <c r="AF19" s="368">
        <f>'Rates in summary'!J19</f>
        <v>0.67797999999999981</v>
      </c>
      <c r="AG19" s="367">
        <f t="shared" si="45"/>
        <v>42.59</v>
      </c>
      <c r="AH19" s="369">
        <f t="shared" si="46"/>
        <v>4.1000000000000002E-2</v>
      </c>
      <c r="AI19" s="1257">
        <f t="shared" si="47"/>
        <v>1.6700000000000017</v>
      </c>
      <c r="AJ19" s="368">
        <f>L19+'Rates in summary'!K19</f>
        <v>0.70590999999999982</v>
      </c>
      <c r="AK19" s="367">
        <f t="shared" si="48"/>
        <v>43.97</v>
      </c>
      <c r="AL19" s="369">
        <f t="shared" si="20"/>
        <v>3.2000000000000001E-2</v>
      </c>
      <c r="AM19" s="368">
        <f>'Rates in summary'!O19</f>
        <v>0</v>
      </c>
      <c r="AN19" s="367">
        <f t="shared" si="49"/>
        <v>9</v>
      </c>
      <c r="AO19" s="576">
        <f t="shared" si="50"/>
        <v>-0.83</v>
      </c>
      <c r="AP19" s="123">
        <f>'Rates in Detail'!W18+'Rates in Detail'!Z18</f>
        <v>0.6775899999999998</v>
      </c>
      <c r="AQ19" s="367">
        <f t="shared" si="21"/>
        <v>42.57</v>
      </c>
      <c r="AR19" s="576">
        <f t="shared" si="22"/>
        <v>0</v>
      </c>
      <c r="AS19" s="368">
        <f>'Rates in summary'!P19</f>
        <v>0.72733999999999976</v>
      </c>
      <c r="AT19" s="367">
        <f t="shared" si="23"/>
        <v>45.04</v>
      </c>
      <c r="AU19" s="369">
        <f t="shared" si="24"/>
        <v>5.8000000000000003E-2</v>
      </c>
      <c r="AV19" s="1262">
        <f t="shared" si="51"/>
        <v>2.4499999999999957</v>
      </c>
      <c r="AW19" s="370"/>
      <c r="AX19" s="370"/>
      <c r="AY19" s="370"/>
      <c r="AZ19" s="370"/>
      <c r="BA19" s="893">
        <v>27</v>
      </c>
      <c r="BB19" s="662">
        <f t="shared" si="25"/>
        <v>2.75</v>
      </c>
      <c r="BC19" s="666">
        <f t="shared" si="26"/>
        <v>6.7000000000000004E-2</v>
      </c>
      <c r="BD19" s="662">
        <f t="shared" si="27"/>
        <v>-41.88</v>
      </c>
      <c r="BE19" s="666">
        <f t="shared" si="52"/>
        <v>-0.82299999999999995</v>
      </c>
      <c r="BF19" s="372">
        <f t="shared" si="28"/>
        <v>1.6700000000000017</v>
      </c>
      <c r="BG19" s="666">
        <f t="shared" si="29"/>
        <v>4.1000000000000002E-2</v>
      </c>
      <c r="BH19" s="662">
        <f t="shared" si="30"/>
        <v>1.3799999999999955</v>
      </c>
      <c r="BI19" s="666">
        <f t="shared" si="31"/>
        <v>3.2000000000000001E-2</v>
      </c>
      <c r="BJ19" s="662">
        <f t="shared" si="32"/>
        <v>-44.07</v>
      </c>
      <c r="BK19" s="666">
        <f t="shared" si="33"/>
        <v>-0.83</v>
      </c>
      <c r="BL19" s="372">
        <f t="shared" si="34"/>
        <v>2.4499999999999957</v>
      </c>
      <c r="BM19" s="666">
        <f t="shared" si="35"/>
        <v>5.8000000000000003E-2</v>
      </c>
    </row>
    <row r="20" spans="1:65" x14ac:dyDescent="0.2">
      <c r="A20" s="86">
        <f t="shared" si="14"/>
        <v>13</v>
      </c>
      <c r="B20" s="733" t="str">
        <f>'WA Volumes &amp; Revenues'!B21</f>
        <v>41C Firm Sales</v>
      </c>
      <c r="C20" s="875" t="s">
        <v>4</v>
      </c>
      <c r="D20" s="299">
        <f>'WA Volumes &amp; Revenues'!E21</f>
        <v>1777065.1510316674</v>
      </c>
      <c r="E20" s="299">
        <f>'WA Volumes &amp; Revenues'!F21</f>
        <v>1992236.2</v>
      </c>
      <c r="F20" s="371">
        <v>2000</v>
      </c>
      <c r="G20" s="300">
        <f>+'WA Volumes &amp; Revenues'!I21</f>
        <v>3436</v>
      </c>
      <c r="H20" s="300">
        <f>'WA Volumes &amp; Revenues'!L21</f>
        <v>3745</v>
      </c>
      <c r="I20" s="879">
        <f>'WA Volumes &amp; Revenues'!O21</f>
        <v>250</v>
      </c>
      <c r="J20" s="372">
        <f>'WA Volumes &amp; Revenues'!N21</f>
        <v>250</v>
      </c>
      <c r="K20" s="122">
        <f>+'Rates in summary'!D20</f>
        <v>0.65150000000000008</v>
      </c>
      <c r="L20" s="122">
        <f>+'Rates in summary'!J20</f>
        <v>0.6852100000000001</v>
      </c>
      <c r="M20" s="372"/>
      <c r="N20" s="372"/>
      <c r="O20" s="966"/>
      <c r="P20" s="966"/>
      <c r="Q20" s="373">
        <f>'Rates in summary'!H20-'Rates in summary'!F20</f>
        <v>0.70707000000000009</v>
      </c>
      <c r="R20" s="372"/>
      <c r="S20" s="374"/>
      <c r="T20" s="373">
        <f>'Rates in summary'!I20</f>
        <v>0</v>
      </c>
      <c r="U20" s="372"/>
      <c r="V20" s="577"/>
      <c r="W20" s="373">
        <f>'Rates in Detail'!J19+'Rates in Detail'!P19</f>
        <v>0.64739000000000013</v>
      </c>
      <c r="X20" s="372"/>
      <c r="Y20" s="577"/>
      <c r="Z20" s="373">
        <f>'Rates in Detail'!J19+'Rates in Detail'!S19</f>
        <v>0.6374200000000001</v>
      </c>
      <c r="AA20" s="372"/>
      <c r="AB20" s="577"/>
      <c r="AC20" s="122">
        <f>'Rates in Detail'!J19+'Rates in Detail'!T19</f>
        <v>0.64372000000000007</v>
      </c>
      <c r="AD20" s="372"/>
      <c r="AE20" s="577"/>
      <c r="AF20" s="373">
        <f>'Rates in summary'!J20</f>
        <v>0.6852100000000001</v>
      </c>
      <c r="AG20" s="372"/>
      <c r="AH20" s="374"/>
      <c r="AI20" s="1258"/>
      <c r="AJ20" s="373">
        <f>L20+'Rates in summary'!K20</f>
        <v>0.71320000000000006</v>
      </c>
      <c r="AK20" s="372"/>
      <c r="AL20" s="374"/>
      <c r="AM20" s="373">
        <f>'Rates in summary'!O20</f>
        <v>0</v>
      </c>
      <c r="AN20" s="372"/>
      <c r="AO20" s="577"/>
      <c r="AP20" s="122">
        <f>'Rates in Detail'!W19+'Rates in Detail'!Z19</f>
        <v>0.68481000000000014</v>
      </c>
      <c r="AQ20" s="372"/>
      <c r="AR20" s="577"/>
      <c r="AS20" s="373">
        <f>'Rates in summary'!P20</f>
        <v>0.73466000000000009</v>
      </c>
      <c r="AT20" s="372"/>
      <c r="AU20" s="374"/>
      <c r="AV20" s="1263"/>
      <c r="BA20" s="893" t="s">
        <v>352</v>
      </c>
      <c r="BB20" s="662">
        <f>R22-M22</f>
        <v>181.46000000000004</v>
      </c>
      <c r="BC20" s="666">
        <f>S22</f>
        <v>7.4999999999999997E-2</v>
      </c>
      <c r="BD20" s="662">
        <f>U22-N22</f>
        <v>-2357.4499999999998</v>
      </c>
      <c r="BE20" s="666">
        <f>V22</f>
        <v>-0.90400000000000003</v>
      </c>
      <c r="BF20" s="372">
        <f>AG22-M22</f>
        <v>110.09000000000015</v>
      </c>
      <c r="BG20" s="666">
        <f>AH22</f>
        <v>4.4999999999999998E-2</v>
      </c>
      <c r="BH20" s="662">
        <f>AK22-O22</f>
        <v>91.389999999999873</v>
      </c>
      <c r="BI20" s="666">
        <f>AL22</f>
        <v>3.5999999999999997E-2</v>
      </c>
      <c r="BJ20" s="662">
        <f>AN22-P22</f>
        <v>-2476.7199999999998</v>
      </c>
      <c r="BK20" s="666">
        <f>AO22</f>
        <v>-0.90800000000000003</v>
      </c>
      <c r="BL20" s="372">
        <f>AT22-O22</f>
        <v>161.46000000000004</v>
      </c>
      <c r="BM20" s="666">
        <f>AU22</f>
        <v>6.4000000000000001E-2</v>
      </c>
    </row>
    <row r="21" spans="1:65" x14ac:dyDescent="0.2">
      <c r="A21" s="86">
        <f t="shared" si="14"/>
        <v>14</v>
      </c>
      <c r="B21" s="725"/>
      <c r="C21" s="875" t="s">
        <v>5</v>
      </c>
      <c r="D21" s="299">
        <f>'WA Volumes &amp; Revenues'!E22</f>
        <v>1974656.4658023661</v>
      </c>
      <c r="E21" s="299">
        <f>'WA Volumes &amp; Revenues'!F22</f>
        <v>2142067.7000000002</v>
      </c>
      <c r="F21" s="371" t="s">
        <v>74</v>
      </c>
      <c r="G21" s="300"/>
      <c r="H21" s="300"/>
      <c r="I21" s="879"/>
      <c r="J21" s="372"/>
      <c r="K21" s="122">
        <f>+'Rates in summary'!D21</f>
        <v>0.60426999999999997</v>
      </c>
      <c r="L21" s="122">
        <f>+'Rates in summary'!J21</f>
        <v>0.63397999999999999</v>
      </c>
      <c r="M21" s="372"/>
      <c r="N21" s="372"/>
      <c r="O21" s="966"/>
      <c r="P21" s="966"/>
      <c r="Q21" s="373">
        <f>'Rates in summary'!H21-'Rates in summary'!F21</f>
        <v>0.65324000000000004</v>
      </c>
      <c r="R21" s="372"/>
      <c r="S21" s="374"/>
      <c r="T21" s="373">
        <f>'Rates in summary'!I21</f>
        <v>0</v>
      </c>
      <c r="U21" s="372"/>
      <c r="V21" s="577"/>
      <c r="W21" s="373">
        <f>'Rates in Detail'!J20+'Rates in Detail'!P20</f>
        <v>0.60065000000000002</v>
      </c>
      <c r="X21" s="372"/>
      <c r="Y21" s="577"/>
      <c r="Z21" s="373">
        <f>'Rates in Detail'!J20+'Rates in Detail'!S20</f>
        <v>0.59187000000000001</v>
      </c>
      <c r="AA21" s="372"/>
      <c r="AB21" s="577"/>
      <c r="AC21" s="122">
        <f>'Rates in Detail'!J20+'Rates in Detail'!T20</f>
        <v>0.59741</v>
      </c>
      <c r="AD21" s="372"/>
      <c r="AE21" s="577"/>
      <c r="AF21" s="373">
        <f>'Rates in summary'!J21</f>
        <v>0.63397999999999999</v>
      </c>
      <c r="AG21" s="372"/>
      <c r="AH21" s="374"/>
      <c r="AI21" s="1258"/>
      <c r="AJ21" s="373">
        <f>L21+'Rates in summary'!K21</f>
        <v>0.65864</v>
      </c>
      <c r="AK21" s="372"/>
      <c r="AL21" s="374"/>
      <c r="AM21" s="373">
        <f>'Rates in summary'!O21</f>
        <v>0</v>
      </c>
      <c r="AN21" s="372"/>
      <c r="AO21" s="577"/>
      <c r="AP21" s="122">
        <f>'Rates in Detail'!W20+'Rates in Detail'!Z20</f>
        <v>0.63363000000000003</v>
      </c>
      <c r="AQ21" s="372"/>
      <c r="AR21" s="577"/>
      <c r="AS21" s="373">
        <f>'Rates in summary'!P21</f>
        <v>0.6775500000000001</v>
      </c>
      <c r="AT21" s="372"/>
      <c r="AU21" s="374"/>
      <c r="AV21" s="1263"/>
      <c r="BA21" s="893" t="s">
        <v>353</v>
      </c>
      <c r="BB21" s="662">
        <f>R25-M25</f>
        <v>233.55999999999995</v>
      </c>
      <c r="BC21" s="666">
        <f>S25</f>
        <v>7.8E-2</v>
      </c>
      <c r="BD21" s="662">
        <f>U25-N25</f>
        <v>-2773.71</v>
      </c>
      <c r="BE21" s="666">
        <f>V25</f>
        <v>-0.91700000000000004</v>
      </c>
      <c r="BF21" s="372">
        <f>AG25-M25</f>
        <v>200.88999999999987</v>
      </c>
      <c r="BG21" s="666">
        <f>AH25</f>
        <v>6.7000000000000004E-2</v>
      </c>
      <c r="BH21" s="662">
        <f>AK25-O25</f>
        <v>117.61000000000013</v>
      </c>
      <c r="BI21" s="666">
        <f>AL25</f>
        <v>3.6999999999999998E-2</v>
      </c>
      <c r="BJ21" s="662">
        <f>AN25-P25</f>
        <v>-2975.76</v>
      </c>
      <c r="BK21" s="666">
        <f>AO25</f>
        <v>-0.92200000000000004</v>
      </c>
      <c r="BL21" s="372">
        <f>AT25-O25</f>
        <v>148.62000000000035</v>
      </c>
      <c r="BM21" s="666">
        <f>AU25</f>
        <v>4.5999999999999999E-2</v>
      </c>
    </row>
    <row r="22" spans="1:65" x14ac:dyDescent="0.2">
      <c r="A22" s="86">
        <f t="shared" si="14"/>
        <v>15</v>
      </c>
      <c r="B22" s="723"/>
      <c r="C22" s="876" t="s">
        <v>78</v>
      </c>
      <c r="D22" s="375"/>
      <c r="E22" s="375"/>
      <c r="F22" s="376"/>
      <c r="G22" s="377"/>
      <c r="H22" s="377"/>
      <c r="I22" s="880"/>
      <c r="J22" s="379"/>
      <c r="K22" s="378"/>
      <c r="L22" s="378"/>
      <c r="M22" s="379">
        <f>$I20+ROUND(IF($G20&lt;$F20,($G20*K20),IF($G20&gt;SUM($F20:$F21),(($F20*K20)+(($G20-$F20)*K21)),0)),2)</f>
        <v>2420.73</v>
      </c>
      <c r="N22" s="379">
        <f>I20+ROUND(IF($H20&lt;$F20,($H20*$K20),IF($H20&gt;SUM(F20:F21),(($F20*K20)+(($H20-F20)*K21)),0)),2)</f>
        <v>2607.4499999999998</v>
      </c>
      <c r="O22" s="379">
        <f>$I20+ROUND(IF($G20&lt;$F20,($G20*L20),IF($G20&gt;SUM($F20:$F21),(($F20*L20)+(($G20-$F20)*L21)),0)),2)</f>
        <v>2530.8200000000002</v>
      </c>
      <c r="P22" s="379">
        <f>I20+ROUND(IF($H20&lt;$F20,($H20*$L20),IF($H20&gt;SUM(F20:F21),(($F20*L20)+(($H20-F20)*L21)),0)),2)</f>
        <v>2726.72</v>
      </c>
      <c r="Q22" s="381"/>
      <c r="R22" s="379">
        <f>$J20+ROUND(IF($G20&lt;$F20,($G20*Q20),IF($G20&gt;SUM($F20:$F21),(($F20*Q20)+(($G20-$F20)*Q21)),0)),2)</f>
        <v>2602.19</v>
      </c>
      <c r="S22" s="382">
        <f>ROUND((R22-M22)/M22,3)</f>
        <v>7.4999999999999997E-2</v>
      </c>
      <c r="T22" s="380"/>
      <c r="U22" s="379">
        <f>$I20+ROUND(IF($H20&lt;$F20,($H20*T20),IF($H20&gt;SUM($F20:$F21),(($F20*T20)+(($H20-$F20)*T21)),0)),2)</f>
        <v>250</v>
      </c>
      <c r="V22" s="578">
        <f>ROUND((U22-N22)/N22,3)</f>
        <v>-0.90400000000000003</v>
      </c>
      <c r="W22" s="380"/>
      <c r="X22" s="379">
        <f>$J20+ROUND(IF($G20&lt;$F20,($G20*W20),IF($G20&gt;SUM($F20:$F21),(($F20*W20)+(($G20-$F20)*W21)),0)),2)</f>
        <v>2407.31</v>
      </c>
      <c r="Y22" s="578">
        <f t="shared" ref="Y22" si="55">ROUND(($X22-$M22)/$M22,3)</f>
        <v>-6.0000000000000001E-3</v>
      </c>
      <c r="Z22" s="380"/>
      <c r="AA22" s="379">
        <f>$J20+ROUND(IF($G20&lt;$F20,($G20*Z20),IF($G20&gt;SUM($F20:$F21),(($F20*Z20)+(($G20-$F20)*Z21)),0)),2)</f>
        <v>2374.77</v>
      </c>
      <c r="AB22" s="578">
        <f>ROUND(($AA22-$M22)/$M22,3)</f>
        <v>-1.9E-2</v>
      </c>
      <c r="AC22" s="379"/>
      <c r="AD22" s="379">
        <f>$J20+ROUND(IF($G20&lt;$F20,($G20*AC20),IF($G20&gt;SUM($F20:$F21),(($F20*AC20)+(($G20-$F20)*AC21)),0)),2)</f>
        <v>2395.3200000000002</v>
      </c>
      <c r="AE22" s="578">
        <f>ROUND(($AD22-$M22)/$M22,3)</f>
        <v>-0.01</v>
      </c>
      <c r="AF22" s="381"/>
      <c r="AG22" s="379">
        <f>$J20+ROUND(IF($G20&lt;$F20,($G20*AF20),IF($G20&gt;SUM($F20:$F21),(($F20*AF20)+(($G20-$F20)*AF21)),0)),2)</f>
        <v>2530.8200000000002</v>
      </c>
      <c r="AH22" s="382">
        <f>ROUND((AG22-M22)/M22,3)</f>
        <v>4.4999999999999998E-2</v>
      </c>
      <c r="AI22" s="1259">
        <f t="shared" si="47"/>
        <v>110.09000000000015</v>
      </c>
      <c r="AJ22" s="381"/>
      <c r="AK22" s="379">
        <f>$J20+ROUND(IF($G20&lt;$F20,($G20*AJ20),IF($G20&gt;SUM($F20:$F21),(($F20*AJ20)+(($G20-$F20)*AJ21)),0)),2)</f>
        <v>2622.21</v>
      </c>
      <c r="AL22" s="382">
        <f>ROUND((AK22-O22)/O22,3)</f>
        <v>3.5999999999999997E-2</v>
      </c>
      <c r="AM22" s="380"/>
      <c r="AN22" s="379">
        <f>$I20+ROUND(IF($H20&lt;$F20,($H20*AM20),IF($H20&gt;SUM($F20:$F21),(($F20*AM20)+(($H20-$F20)*AM21)),0)),2)</f>
        <v>250</v>
      </c>
      <c r="AO22" s="578">
        <f>ROUND((AN22-P22)/P22,3)</f>
        <v>-0.90800000000000003</v>
      </c>
      <c r="AP22" s="379"/>
      <c r="AQ22" s="379">
        <f>$J20+ROUND(IF($G20&lt;$F20,($G20*AP20),IF($G20&gt;SUM($F20:$F21),(($F20*AP20)+(($G20-$F20)*AP21)),0)),2)</f>
        <v>2529.5100000000002</v>
      </c>
      <c r="AR22" s="578">
        <f>ROUND(($AQ22-$O22)/$O22,3)</f>
        <v>-1E-3</v>
      </c>
      <c r="AS22" s="381"/>
      <c r="AT22" s="379">
        <f>$J20+ROUND(IF($G20&lt;$F20,($G20*AS20),IF($G20&gt;SUM($F20:$F21),(($F20*AS20)+(($G20-$F20)*AS21)),0)),2)</f>
        <v>2692.28</v>
      </c>
      <c r="AU22" s="382">
        <f>ROUND((AT22-O22)/O22,3)</f>
        <v>6.4000000000000001E-2</v>
      </c>
      <c r="AV22" s="1264">
        <f t="shared" si="51"/>
        <v>161.46000000000004</v>
      </c>
      <c r="AW22" s="370"/>
      <c r="AX22" s="370"/>
      <c r="AY22" s="370"/>
      <c r="AZ22" s="370"/>
      <c r="BA22" s="893" t="s">
        <v>355</v>
      </c>
      <c r="BB22" s="662">
        <f>R28-M28</f>
        <v>0</v>
      </c>
      <c r="BC22" s="666">
        <f>S28</f>
        <v>0</v>
      </c>
      <c r="BD22" s="662">
        <f>U28-N28</f>
        <v>0</v>
      </c>
      <c r="BE22" s="666">
        <f>V28</f>
        <v>0</v>
      </c>
      <c r="BF22" s="372">
        <f>AG28-M28</f>
        <v>0</v>
      </c>
      <c r="BG22" s="666">
        <f>AH28</f>
        <v>0</v>
      </c>
      <c r="BH22" s="662">
        <f>AK28-O28</f>
        <v>0</v>
      </c>
      <c r="BI22" s="666">
        <f>AL28</f>
        <v>0</v>
      </c>
      <c r="BJ22" s="662">
        <f>AN28-P28</f>
        <v>0</v>
      </c>
      <c r="BK22" s="666">
        <f>AO28</f>
        <v>0</v>
      </c>
      <c r="BL22" s="372">
        <f>AT28-O28</f>
        <v>0</v>
      </c>
      <c r="BM22" s="666">
        <f>AU28</f>
        <v>0</v>
      </c>
    </row>
    <row r="23" spans="1:65" x14ac:dyDescent="0.2">
      <c r="A23" s="86">
        <f t="shared" si="14"/>
        <v>16</v>
      </c>
      <c r="B23" s="733" t="str">
        <f>'WA Volumes &amp; Revenues'!B23</f>
        <v>41I Firm Sales</v>
      </c>
      <c r="C23" s="875" t="s">
        <v>4</v>
      </c>
      <c r="D23" s="299">
        <f>'WA Volumes &amp; Revenues'!E23</f>
        <v>392890.20000000007</v>
      </c>
      <c r="E23" s="299">
        <f>'WA Volumes &amp; Revenues'!F23</f>
        <v>399967</v>
      </c>
      <c r="F23" s="371">
        <v>2000</v>
      </c>
      <c r="G23" s="300">
        <f>'WA Volumes &amp; Revenues'!I23</f>
        <v>4741</v>
      </c>
      <c r="H23" s="300">
        <f>'WA Volumes &amp; Revenues'!L23</f>
        <v>4770</v>
      </c>
      <c r="I23" s="879">
        <f>'WA Volumes &amp; Revenues'!O23</f>
        <v>250</v>
      </c>
      <c r="J23" s="372">
        <f>'WA Volumes &amp; Revenues'!N23</f>
        <v>250</v>
      </c>
      <c r="K23" s="122">
        <f>+'Rates in summary'!D22</f>
        <v>0.60577000000000025</v>
      </c>
      <c r="L23" s="122">
        <f>+'Rates in summary'!J22</f>
        <v>0.65127000000000035</v>
      </c>
      <c r="M23" s="372"/>
      <c r="N23" s="372"/>
      <c r="O23" s="966"/>
      <c r="P23" s="966"/>
      <c r="Q23" s="373">
        <f>'Rates in summary'!H22-'Rates in summary'!F22</f>
        <v>0.65867000000000031</v>
      </c>
      <c r="R23" s="372"/>
      <c r="S23" s="374"/>
      <c r="T23" s="373">
        <f>'Rates in summary'!I22</f>
        <v>0</v>
      </c>
      <c r="U23" s="372"/>
      <c r="V23" s="577"/>
      <c r="W23" s="373">
        <f>'Rates in Detail'!J21+'Rates in Detail'!P21</f>
        <v>0.60186000000000028</v>
      </c>
      <c r="X23" s="372"/>
      <c r="Y23" s="577"/>
      <c r="Z23" s="373">
        <f>'Rates in Detail'!J21+'Rates in Detail'!S21</f>
        <v>0.60577000000000025</v>
      </c>
      <c r="AA23" s="372"/>
      <c r="AB23" s="577"/>
      <c r="AC23" s="122">
        <f>'Rates in Detail'!J21+'Rates in Detail'!T21</f>
        <v>0.59837000000000029</v>
      </c>
      <c r="AD23" s="372"/>
      <c r="AE23" s="577"/>
      <c r="AF23" s="373">
        <f>'Rates in summary'!J22</f>
        <v>0.65127000000000035</v>
      </c>
      <c r="AG23" s="372"/>
      <c r="AH23" s="374"/>
      <c r="AI23" s="1258"/>
      <c r="AJ23" s="373">
        <f>L23+'Rates in summary'!K22</f>
        <v>0.67791000000000035</v>
      </c>
      <c r="AK23" s="372"/>
      <c r="AL23" s="374"/>
      <c r="AM23" s="373">
        <f>'Rates in summary'!O22</f>
        <v>0</v>
      </c>
      <c r="AN23" s="372"/>
      <c r="AO23" s="577"/>
      <c r="AP23" s="122">
        <f>'Rates in Detail'!W21+'Rates in Detail'!Z21</f>
        <v>0.65089000000000019</v>
      </c>
      <c r="AQ23" s="372"/>
      <c r="AR23" s="577"/>
      <c r="AS23" s="373">
        <f>'Rates in summary'!P22</f>
        <v>0.68493000000000026</v>
      </c>
      <c r="AT23" s="372"/>
      <c r="AU23" s="374"/>
      <c r="AV23" s="1263"/>
      <c r="BA23" s="893" t="s">
        <v>356</v>
      </c>
      <c r="BB23" s="662">
        <f>R31-M31</f>
        <v>0</v>
      </c>
      <c r="BC23" s="666">
        <f>S31</f>
        <v>0</v>
      </c>
      <c r="BD23" s="662">
        <f>U31-N31</f>
        <v>0</v>
      </c>
      <c r="BE23" s="666">
        <f>V31</f>
        <v>0</v>
      </c>
      <c r="BF23" s="372">
        <f>AG31-M31</f>
        <v>0</v>
      </c>
      <c r="BG23" s="666">
        <f>AH31</f>
        <v>0</v>
      </c>
      <c r="BH23" s="662">
        <f>AK31-O31</f>
        <v>0</v>
      </c>
      <c r="BI23" s="666">
        <f>AL31</f>
        <v>0</v>
      </c>
      <c r="BJ23" s="662">
        <f>AN31-P31</f>
        <v>0</v>
      </c>
      <c r="BK23" s="666">
        <f>AO31</f>
        <v>0</v>
      </c>
      <c r="BL23" s="372">
        <f>AT31-O31</f>
        <v>0</v>
      </c>
      <c r="BM23" s="666">
        <f>AU31</f>
        <v>0</v>
      </c>
    </row>
    <row r="24" spans="1:65" x14ac:dyDescent="0.2">
      <c r="A24" s="86">
        <f t="shared" si="14"/>
        <v>17</v>
      </c>
      <c r="B24" s="725"/>
      <c r="C24" s="875" t="s">
        <v>5</v>
      </c>
      <c r="D24" s="299">
        <f>'WA Volumes &amp; Revenues'!E24</f>
        <v>621650.00000000012</v>
      </c>
      <c r="E24" s="299">
        <f>'WA Volumes &amp; Revenues'!F24</f>
        <v>630361</v>
      </c>
      <c r="F24" s="371" t="s">
        <v>74</v>
      </c>
      <c r="G24" s="300"/>
      <c r="H24" s="300"/>
      <c r="I24" s="879"/>
      <c r="J24" s="372"/>
      <c r="K24" s="122">
        <f>+'Rates in summary'!D23</f>
        <v>0.56396000000000013</v>
      </c>
      <c r="L24" s="122">
        <f>+'Rates in summary'!J23</f>
        <v>0.6040500000000002</v>
      </c>
      <c r="M24" s="372"/>
      <c r="N24" s="372"/>
      <c r="O24" s="966"/>
      <c r="P24" s="966"/>
      <c r="Q24" s="373">
        <f>'Rates in summary'!H23-'Rates in summary'!F23</f>
        <v>0.61057000000000017</v>
      </c>
      <c r="R24" s="372"/>
      <c r="S24" s="374"/>
      <c r="T24" s="373">
        <f>'Rates in summary'!I23</f>
        <v>0</v>
      </c>
      <c r="U24" s="372"/>
      <c r="V24" s="577"/>
      <c r="W24" s="373">
        <f>'Rates in Detail'!J22+'Rates in Detail'!P22</f>
        <v>0.56052000000000013</v>
      </c>
      <c r="X24" s="372"/>
      <c r="Y24" s="577"/>
      <c r="Z24" s="373">
        <f>'Rates in Detail'!J22+'Rates in Detail'!S22</f>
        <v>0.56396000000000013</v>
      </c>
      <c r="AA24" s="372"/>
      <c r="AB24" s="577"/>
      <c r="AC24" s="122">
        <f>'Rates in Detail'!J22+'Rates in Detail'!T22</f>
        <v>0.55744000000000016</v>
      </c>
      <c r="AD24" s="372"/>
      <c r="AE24" s="577"/>
      <c r="AF24" s="373">
        <f>'Rates in summary'!J23</f>
        <v>0.6040500000000002</v>
      </c>
      <c r="AG24" s="372"/>
      <c r="AH24" s="374"/>
      <c r="AI24" s="1258"/>
      <c r="AJ24" s="373">
        <f>L24+'Rates in summary'!K23</f>
        <v>0.62752000000000019</v>
      </c>
      <c r="AK24" s="372"/>
      <c r="AL24" s="374"/>
      <c r="AM24" s="373">
        <f>'Rates in summary'!O23</f>
        <v>0</v>
      </c>
      <c r="AN24" s="372"/>
      <c r="AO24" s="577"/>
      <c r="AP24" s="122">
        <f>'Rates in Detail'!W22+'Rates in Detail'!Z22</f>
        <v>0.60372000000000003</v>
      </c>
      <c r="AQ24" s="372"/>
      <c r="AR24" s="577"/>
      <c r="AS24" s="373">
        <f>'Rates in summary'!P23</f>
        <v>0.63371000000000011</v>
      </c>
      <c r="AT24" s="372"/>
      <c r="AU24" s="374"/>
      <c r="AV24" s="1263"/>
      <c r="BA24" s="893" t="s">
        <v>357</v>
      </c>
      <c r="BB24" s="662">
        <f>R34-M34</f>
        <v>254.80000000000018</v>
      </c>
      <c r="BC24" s="666">
        <f>S34</f>
        <v>0.127</v>
      </c>
      <c r="BD24" s="662">
        <f>U34-N34</f>
        <v>-1463.1</v>
      </c>
      <c r="BE24" s="666">
        <f>V34</f>
        <v>-0.745</v>
      </c>
      <c r="BF24" s="372">
        <f>AG34-M34</f>
        <v>219.13999999999987</v>
      </c>
      <c r="BG24" s="666">
        <f>AH34</f>
        <v>0.109</v>
      </c>
      <c r="BH24" s="662">
        <f>AK34-O34</f>
        <v>128.30000000000018</v>
      </c>
      <c r="BI24" s="666">
        <f>AL34</f>
        <v>5.7000000000000002E-2</v>
      </c>
      <c r="BJ24" s="662">
        <f>AN34-P34</f>
        <v>-1674.8400000000001</v>
      </c>
      <c r="BK24" s="666">
        <f>AO34</f>
        <v>-0.77</v>
      </c>
      <c r="BL24" s="372">
        <f>AT34-O34</f>
        <v>162.13999999999987</v>
      </c>
      <c r="BM24" s="666">
        <f>AU34</f>
        <v>7.2999999999999995E-2</v>
      </c>
    </row>
    <row r="25" spans="1:65" x14ac:dyDescent="0.2">
      <c r="A25" s="86">
        <f t="shared" si="14"/>
        <v>18</v>
      </c>
      <c r="B25" s="723"/>
      <c r="C25" s="876" t="s">
        <v>78</v>
      </c>
      <c r="D25" s="375"/>
      <c r="E25" s="375"/>
      <c r="F25" s="376"/>
      <c r="G25" s="377"/>
      <c r="H25" s="377"/>
      <c r="I25" s="880"/>
      <c r="J25" s="379"/>
      <c r="K25" s="378"/>
      <c r="L25" s="378"/>
      <c r="M25" s="379">
        <f>$I23+ROUND(IF($G23&lt;$F23,($G23*K23),IF($G23&gt;SUM($F23:$F24),(($F23*K23)+(($G23-$F23)*K24)),0)),2)</f>
        <v>3007.35</v>
      </c>
      <c r="N25" s="379">
        <f>I23+ROUND(IF($H23&lt;$F23,($H23*$K23),IF($H23&gt;SUM(F23:F24),(($F23*K23)+(($H23-F23)*K24)),0)),2)</f>
        <v>3023.71</v>
      </c>
      <c r="O25" s="379">
        <f>$I23+ROUND(IF($G23&lt;$F23,($G23*L23),IF($G23&gt;SUM($F23:$F24),(($F23*L23)+(($G23-$F23)*L24)),0)),2)</f>
        <v>3208.24</v>
      </c>
      <c r="P25" s="379">
        <f>I23+ROUND(IF($H23&lt;$F23,($H23*$L23),IF($H23&gt;SUM(F23:F24),(($F23*L23)+(($H23-F23)*L24)),0)),2)</f>
        <v>3225.76</v>
      </c>
      <c r="Q25" s="381"/>
      <c r="R25" s="379">
        <f>$J23+ROUND(IF($G23&lt;$F23,($G23*Q23),IF($G23&gt;SUM($F23:$F24),(($F23*Q23)+(($G23-$F23)*Q24)),0)),2)</f>
        <v>3240.91</v>
      </c>
      <c r="S25" s="382">
        <f>ROUND((R25-M25)/M25,3)</f>
        <v>7.8E-2</v>
      </c>
      <c r="T25" s="380"/>
      <c r="U25" s="379">
        <f>$I23+ROUND(IF($H23&lt;$F23,($H23*T23),IF($H23&gt;SUM($F23:$F24),(($F23*T23)+(($H23-$F23)*T24)),0)),2)</f>
        <v>250</v>
      </c>
      <c r="V25" s="578">
        <f>ROUND((U25-N25)/N25,3)</f>
        <v>-0.91700000000000004</v>
      </c>
      <c r="W25" s="380"/>
      <c r="X25" s="379">
        <f>$J23+ROUND(IF($G23&lt;$F23,($G23*W23),IF($G23&gt;SUM($F23:$F24),(($F23*W23)+(($G23-$F23)*W24)),0)),2)</f>
        <v>2990.11</v>
      </c>
      <c r="Y25" s="578">
        <f t="shared" ref="Y25" si="56">ROUND(($X25-$M25)/$M25,3)</f>
        <v>-6.0000000000000001E-3</v>
      </c>
      <c r="Z25" s="380"/>
      <c r="AA25" s="379">
        <f>$J23+ROUND(IF($G23&lt;$F23,($G23*Z23),IF($G23&gt;SUM($F23:$F24),(($F23*Z23)+(($G23-$F23)*Z24)),0)),2)</f>
        <v>3007.35</v>
      </c>
      <c r="AB25" s="578">
        <f>ROUND(($AA25-$M25)/$M25,3)</f>
        <v>0</v>
      </c>
      <c r="AC25" s="379"/>
      <c r="AD25" s="379">
        <f>$J23+ROUND(IF($G23&lt;$F23,($G23*AC23),IF($G23&gt;SUM($F23:$F24),(($F23*AC23)+(($G23-$F23)*AC24)),0)),2)</f>
        <v>2974.68</v>
      </c>
      <c r="AE25" s="578">
        <f>ROUND(($AD25-$M25)/$M25,3)</f>
        <v>-1.0999999999999999E-2</v>
      </c>
      <c r="AF25" s="381"/>
      <c r="AG25" s="379">
        <f>$J23+ROUND(IF($G23&lt;$F23,($G23*AF23),IF($G23&gt;SUM($F23:$F24),(($F23*AF23)+(($G23-$F23)*AF24)),0)),2)</f>
        <v>3208.24</v>
      </c>
      <c r="AH25" s="382">
        <f>ROUND((AG25-M25)/M25,3)</f>
        <v>6.7000000000000004E-2</v>
      </c>
      <c r="AI25" s="1259">
        <f t="shared" si="47"/>
        <v>200.88999999999987</v>
      </c>
      <c r="AJ25" s="381"/>
      <c r="AK25" s="379">
        <f>$J23+ROUND(IF($G23&lt;$F23,($G23*AJ23),IF($G23&gt;SUM($F23:$F24),(($F23*AJ23)+(($G23-$F23)*AJ24)),0)),2)</f>
        <v>3325.85</v>
      </c>
      <c r="AL25" s="382">
        <f>ROUND((AK25-O25)/O25,3)</f>
        <v>3.6999999999999998E-2</v>
      </c>
      <c r="AM25" s="380"/>
      <c r="AN25" s="379">
        <f>$I23+ROUND(IF($H23&lt;$F23,($H23*AM23),IF($H23&gt;SUM($F23:$F24),(($F23*AM23)+(($H23-$F23)*AM24)),0)),2)</f>
        <v>250</v>
      </c>
      <c r="AO25" s="578">
        <f>ROUND((AN25-P25)/P25,3)</f>
        <v>-0.92200000000000004</v>
      </c>
      <c r="AP25" s="379"/>
      <c r="AQ25" s="379">
        <f>$J23+ROUND(IF($G23&lt;$F23,($G23*AP23),IF($G23&gt;SUM($F23:$F24),(($F23*AP23)+(($G23-$F23)*AP24)),0)),2)</f>
        <v>3206.58</v>
      </c>
      <c r="AR25" s="578">
        <f>ROUND(($AQ25-$O25)/$O25,3)</f>
        <v>-1E-3</v>
      </c>
      <c r="AS25" s="381"/>
      <c r="AT25" s="379">
        <f>$J23+ROUND(IF($G23&lt;$F23,($G23*AS23),IF($G23&gt;SUM($F23:$F24),(($F23*AS23)+(($G23-$F23)*AS24)),0)),2)</f>
        <v>3356.86</v>
      </c>
      <c r="AU25" s="382">
        <f>ROUND((AT25-O25)/O25,3)</f>
        <v>4.5999999999999999E-2</v>
      </c>
      <c r="AV25" s="1264">
        <f t="shared" si="51"/>
        <v>148.62000000000035</v>
      </c>
      <c r="AW25" s="370"/>
      <c r="AX25" s="370"/>
      <c r="AY25" s="370"/>
      <c r="AZ25" s="370"/>
      <c r="BA25" s="893" t="s">
        <v>358</v>
      </c>
      <c r="BB25" s="662">
        <f>R37-M37</f>
        <v>0</v>
      </c>
      <c r="BC25" s="666">
        <f>S37</f>
        <v>0</v>
      </c>
      <c r="BD25" s="662">
        <f>U37-N37</f>
        <v>0</v>
      </c>
      <c r="BE25" s="666">
        <f>V37</f>
        <v>0</v>
      </c>
      <c r="BF25" s="372">
        <f>AG37-M37</f>
        <v>0</v>
      </c>
      <c r="BG25" s="666">
        <f>AH37</f>
        <v>0</v>
      </c>
      <c r="BH25" s="662">
        <f>AK37-O37</f>
        <v>0</v>
      </c>
      <c r="BI25" s="666">
        <f>AL37</f>
        <v>0</v>
      </c>
      <c r="BJ25" s="662">
        <f>AN37-P37</f>
        <v>0</v>
      </c>
      <c r="BK25" s="666">
        <f>AO37</f>
        <v>0</v>
      </c>
      <c r="BL25" s="372">
        <f>AT37-O37</f>
        <v>0</v>
      </c>
      <c r="BM25" s="666">
        <f>AU37</f>
        <v>0</v>
      </c>
    </row>
    <row r="26" spans="1:65" x14ac:dyDescent="0.2">
      <c r="A26" s="86">
        <f t="shared" si="14"/>
        <v>19</v>
      </c>
      <c r="B26" s="725" t="str">
        <f>'WA Volumes &amp; Revenues'!B25</f>
        <v>41C Interr Sales</v>
      </c>
      <c r="C26" s="875" t="s">
        <v>4</v>
      </c>
      <c r="D26" s="299">
        <f>'WA Volumes &amp; Revenues'!E25</f>
        <v>0</v>
      </c>
      <c r="E26" s="299">
        <f>'WA Volumes &amp; Revenues'!F25</f>
        <v>0</v>
      </c>
      <c r="F26" s="371">
        <v>2000</v>
      </c>
      <c r="G26" s="300">
        <f>'WA Volumes &amp; Revenues'!I25</f>
        <v>0</v>
      </c>
      <c r="H26" s="300">
        <f>'WA Volumes &amp; Revenues'!L25</f>
        <v>0</v>
      </c>
      <c r="I26" s="879">
        <f>'WA Volumes &amp; Revenues'!O25</f>
        <v>250</v>
      </c>
      <c r="J26" s="372">
        <f>'WA Volumes &amp; Revenues'!N25</f>
        <v>250</v>
      </c>
      <c r="K26" s="122">
        <f>+'Rates in summary'!D24</f>
        <v>0.66024999999999989</v>
      </c>
      <c r="L26" s="122">
        <f>+'Rates in summary'!J24</f>
        <v>0.68044999999999989</v>
      </c>
      <c r="M26" s="372"/>
      <c r="N26" s="372"/>
      <c r="O26" s="966"/>
      <c r="P26" s="966"/>
      <c r="Q26" s="373">
        <f>'Rates in summary'!H24-'Rates in summary'!F24</f>
        <v>0.70058999999999994</v>
      </c>
      <c r="R26" s="372"/>
      <c r="S26" s="374"/>
      <c r="T26" s="373">
        <f>'Rates in summary'!I24</f>
        <v>0</v>
      </c>
      <c r="U26" s="372"/>
      <c r="V26" s="577"/>
      <c r="W26" s="373">
        <f>'Rates in Detail'!J23+'Rates in Detail'!P23</f>
        <v>0.65702999999999989</v>
      </c>
      <c r="X26" s="372"/>
      <c r="Y26" s="577"/>
      <c r="Z26" s="373">
        <f>'Rates in Detail'!J23+'Rates in Detail'!S23</f>
        <v>0.64620999999999984</v>
      </c>
      <c r="AA26" s="372"/>
      <c r="AB26" s="577"/>
      <c r="AC26" s="122">
        <f>'Rates in Detail'!J23+'Rates in Detail'!T23</f>
        <v>0.6541499999999999</v>
      </c>
      <c r="AD26" s="372"/>
      <c r="AE26" s="577"/>
      <c r="AF26" s="373">
        <f>'Rates in summary'!J24</f>
        <v>0.68044999999999989</v>
      </c>
      <c r="AG26" s="372"/>
      <c r="AH26" s="374"/>
      <c r="AI26" s="1258"/>
      <c r="AJ26" s="373">
        <f>L26+'Rates in summary'!K24</f>
        <v>0.70219999999999994</v>
      </c>
      <c r="AK26" s="372"/>
      <c r="AL26" s="374"/>
      <c r="AM26" s="373">
        <f>'Rates in summary'!O24</f>
        <v>0</v>
      </c>
      <c r="AN26" s="372"/>
      <c r="AO26" s="577"/>
      <c r="AP26" s="122">
        <f>'Rates in Detail'!W23+'Rates in Detail'!Z23</f>
        <v>0.68013999999999986</v>
      </c>
      <c r="AQ26" s="372"/>
      <c r="AR26" s="577"/>
      <c r="AS26" s="373">
        <f>'Rates in summary'!P24</f>
        <v>0.72202999999999995</v>
      </c>
      <c r="AT26" s="372"/>
      <c r="AU26" s="374"/>
      <c r="AV26" s="1263"/>
      <c r="BA26" s="893" t="s">
        <v>359</v>
      </c>
      <c r="BB26" s="662">
        <f>R44-M44</f>
        <v>491.61000000000058</v>
      </c>
      <c r="BC26" s="666">
        <f>S44</f>
        <v>7.5999999999999998E-2</v>
      </c>
      <c r="BD26" s="662">
        <f>U44-N44</f>
        <v>-7969.41</v>
      </c>
      <c r="BE26" s="666">
        <f>V44</f>
        <v>-0.86</v>
      </c>
      <c r="BF26" s="372">
        <f>AG44-M44</f>
        <v>298.27999999999975</v>
      </c>
      <c r="BG26" s="666">
        <f>AH44</f>
        <v>4.5999999999999999E-2</v>
      </c>
      <c r="BH26" s="662">
        <f>AK44-O44</f>
        <v>247.5600000000004</v>
      </c>
      <c r="BI26" s="666">
        <f>AL44</f>
        <v>3.6999999999999998E-2</v>
      </c>
      <c r="BJ26" s="662">
        <f>AN44-P44</f>
        <v>-8420.74</v>
      </c>
      <c r="BK26" s="666">
        <f>AO44</f>
        <v>-0.86599999999999999</v>
      </c>
      <c r="BL26" s="372">
        <f>AT44-O44</f>
        <v>437.36000000000058</v>
      </c>
      <c r="BM26" s="666">
        <f>AU44</f>
        <v>6.5000000000000002E-2</v>
      </c>
    </row>
    <row r="27" spans="1:65" x14ac:dyDescent="0.2">
      <c r="A27" s="86">
        <f t="shared" si="14"/>
        <v>20</v>
      </c>
      <c r="B27" s="725"/>
      <c r="C27" s="875" t="s">
        <v>5</v>
      </c>
      <c r="D27" s="299">
        <f>'WA Volumes &amp; Revenues'!E26</f>
        <v>0</v>
      </c>
      <c r="E27" s="299">
        <f>'WA Volumes &amp; Revenues'!F26</f>
        <v>0</v>
      </c>
      <c r="F27" s="371" t="s">
        <v>74</v>
      </c>
      <c r="G27" s="300"/>
      <c r="H27" s="300"/>
      <c r="I27" s="879"/>
      <c r="J27" s="372"/>
      <c r="K27" s="122">
        <f>+'Rates in summary'!D25</f>
        <v>0.61316999999999988</v>
      </c>
      <c r="L27" s="122">
        <f>+'Rates in summary'!J25</f>
        <v>0.63096999999999992</v>
      </c>
      <c r="M27" s="372"/>
      <c r="N27" s="372"/>
      <c r="O27" s="966"/>
      <c r="P27" s="966"/>
      <c r="Q27" s="373">
        <f>'Rates in summary'!H25-'Rates in summary'!F25</f>
        <v>0.6487099999999999</v>
      </c>
      <c r="R27" s="372"/>
      <c r="S27" s="374"/>
      <c r="T27" s="373">
        <f>'Rates in summary'!I25</f>
        <v>0</v>
      </c>
      <c r="U27" s="372"/>
      <c r="V27" s="577"/>
      <c r="W27" s="373">
        <f>'Rates in Detail'!J24+'Rates in Detail'!P24</f>
        <v>0.61032999999999993</v>
      </c>
      <c r="X27" s="372"/>
      <c r="Y27" s="577"/>
      <c r="Z27" s="373">
        <f>'Rates in Detail'!J24+'Rates in Detail'!S24</f>
        <v>0.60079999999999989</v>
      </c>
      <c r="AA27" s="372"/>
      <c r="AB27" s="577"/>
      <c r="AC27" s="122">
        <f>'Rates in Detail'!J24+'Rates in Detail'!T24</f>
        <v>0.6077999999999999</v>
      </c>
      <c r="AD27" s="372"/>
      <c r="AE27" s="577"/>
      <c r="AF27" s="373">
        <f>'Rates in summary'!J25</f>
        <v>0.63096999999999992</v>
      </c>
      <c r="AG27" s="372"/>
      <c r="AH27" s="374"/>
      <c r="AI27" s="1258"/>
      <c r="AJ27" s="373">
        <f>L27+'Rates in summary'!K25</f>
        <v>0.65013999999999994</v>
      </c>
      <c r="AK27" s="372"/>
      <c r="AL27" s="374"/>
      <c r="AM27" s="373">
        <f>'Rates in summary'!O25</f>
        <v>0</v>
      </c>
      <c r="AN27" s="372"/>
      <c r="AO27" s="577"/>
      <c r="AP27" s="122">
        <f>'Rates in Detail'!W24+'Rates in Detail'!Z24</f>
        <v>0.63069999999999982</v>
      </c>
      <c r="AQ27" s="372"/>
      <c r="AR27" s="577"/>
      <c r="AS27" s="373">
        <f>'Rates in summary'!P25</f>
        <v>0.66760999999999993</v>
      </c>
      <c r="AT27" s="372"/>
      <c r="AU27" s="374"/>
      <c r="AV27" s="1263"/>
      <c r="BA27" s="893" t="s">
        <v>360</v>
      </c>
      <c r="BB27" s="662">
        <f>R51-M51</f>
        <v>467.92999999999938</v>
      </c>
      <c r="BC27" s="666">
        <f>S51</f>
        <v>7.1999999999999995E-2</v>
      </c>
      <c r="BD27" s="662">
        <f>U51-N51</f>
        <v>-5460.53</v>
      </c>
      <c r="BE27" s="666">
        <f>V51</f>
        <v>-0.80800000000000005</v>
      </c>
      <c r="BF27" s="372">
        <f>AG51-M51</f>
        <v>402.42999999999938</v>
      </c>
      <c r="BG27" s="666">
        <f>AH51</f>
        <v>6.2E-2</v>
      </c>
      <c r="BH27" s="662">
        <f>AK51-O51</f>
        <v>235.64000000000033</v>
      </c>
      <c r="BI27" s="666">
        <f>AL51</f>
        <v>3.4000000000000002E-2</v>
      </c>
      <c r="BJ27" s="662">
        <f>AN51-P51</f>
        <v>-5883.71</v>
      </c>
      <c r="BK27" s="666">
        <f>AO51</f>
        <v>-0.81899999999999995</v>
      </c>
      <c r="BL27" s="372">
        <f>AT51-O51</f>
        <v>297.75</v>
      </c>
      <c r="BM27" s="666">
        <f>AU51</f>
        <v>4.2999999999999997E-2</v>
      </c>
    </row>
    <row r="28" spans="1:65" x14ac:dyDescent="0.2">
      <c r="A28" s="86">
        <f t="shared" si="14"/>
        <v>21</v>
      </c>
      <c r="B28" s="723"/>
      <c r="C28" s="876" t="s">
        <v>78</v>
      </c>
      <c r="D28" s="375"/>
      <c r="E28" s="375"/>
      <c r="F28" s="376"/>
      <c r="G28" s="377"/>
      <c r="H28" s="377"/>
      <c r="I28" s="880"/>
      <c r="J28" s="379"/>
      <c r="K28" s="378"/>
      <c r="L28" s="378"/>
      <c r="M28" s="379">
        <f>$I26+ROUND(IF($G26&lt;$F26,($G26*K26),IF($G26&gt;SUM($F26:$F27),(($F26*K26)+(($G26-$F26)*K27)),0)),2)</f>
        <v>250</v>
      </c>
      <c r="N28" s="379">
        <f>I26+ROUND(IF($H26&lt;$F26,($H26*$K26),IF($H26&gt;SUM(F26:F27),(($F26*K26)+(($H26-F26)*K27)),0)),2)</f>
        <v>250</v>
      </c>
      <c r="O28" s="379">
        <f>$I26+ROUND(IF($G26&lt;$F26,($G26*L26),IF($G26&gt;SUM($F26:$F27),(($F26*L26)+(($G26-$F26)*L27)),0)),2)</f>
        <v>250</v>
      </c>
      <c r="P28" s="379">
        <f>I26+ROUND(IF($H26&lt;$F26,($H26*$L26),IF($H26&gt;SUM(F26:F27),(($F26*L26)+(($H26-F26)*L27)),0)),2)</f>
        <v>250</v>
      </c>
      <c r="Q28" s="381"/>
      <c r="R28" s="379">
        <f>$J26+ROUND(IF($G26&lt;$F26,($G26*Q26),IF($G26&gt;SUM($F26:$F27),(($F26*Q26)+(($G26-$F26)*Q27)),0)),2)</f>
        <v>250</v>
      </c>
      <c r="S28" s="382">
        <f>ROUND((R28-M28)/M28,3)</f>
        <v>0</v>
      </c>
      <c r="T28" s="380"/>
      <c r="U28" s="379">
        <f>$I26+ROUND(IF($H26&lt;$F26,($H26*T26),IF($H26&gt;SUM($F26:$F27),(($F26*T26)+(($H26-$F26)*T27)),0)),2)</f>
        <v>250</v>
      </c>
      <c r="V28" s="578">
        <f>ROUND((U28-N28)/N28,3)</f>
        <v>0</v>
      </c>
      <c r="W28" s="380"/>
      <c r="X28" s="379">
        <f>$J26+ROUND(IF($G26&lt;$F26,($G26*W26),IF($G26&gt;SUM($F26:$F27),(($F26*W26)+(($G26-$F26)*W27)),0)),2)</f>
        <v>250</v>
      </c>
      <c r="Y28" s="578">
        <f t="shared" ref="Y28" si="57">ROUND(($X28-$M28)/$M28,3)</f>
        <v>0</v>
      </c>
      <c r="Z28" s="380"/>
      <c r="AA28" s="379">
        <f>$J26+ROUND(IF($G26&lt;$F26,($G26*Z26),IF($G26&gt;SUM($F26:$F27),(($F26*Z26)+(($G26-$F26)*Z27)),0)),2)</f>
        <v>250</v>
      </c>
      <c r="AB28" s="578">
        <f>ROUND(($AA28-$M28)/$M28,3)</f>
        <v>0</v>
      </c>
      <c r="AC28" s="379"/>
      <c r="AD28" s="379">
        <f>$J26+ROUND(IF($G26&lt;$F26,($G26*AC26),IF($G26&gt;SUM($F26:$F27),(($F26*AC26)+(($G26-$F26)*AC27)),0)),2)</f>
        <v>250</v>
      </c>
      <c r="AE28" s="578">
        <f>ROUND(($AD28-$M28)/$M28,3)</f>
        <v>0</v>
      </c>
      <c r="AF28" s="381"/>
      <c r="AG28" s="379">
        <f>$J26+ROUND(IF($G26&lt;$F26,($G26*AF26),IF($G26&gt;SUM($F26:$F27),(($F26*AF26)+(($G26-$F26)*AF27)),0)),2)</f>
        <v>250</v>
      </c>
      <c r="AH28" s="382">
        <f>ROUND((AG28-M28)/M28,3)</f>
        <v>0</v>
      </c>
      <c r="AI28" s="1259">
        <f t="shared" si="47"/>
        <v>0</v>
      </c>
      <c r="AJ28" s="381"/>
      <c r="AK28" s="379">
        <f>$J26+ROUND(IF($G26&lt;$F26,($G26*AJ26),IF($G26&gt;SUM($F26:$F27),(($F26*AJ26)+(($G26-$F26)*AJ27)),0)),2)</f>
        <v>250</v>
      </c>
      <c r="AL28" s="382">
        <f>ROUND((AK28-O28)/O28,3)</f>
        <v>0</v>
      </c>
      <c r="AM28" s="380"/>
      <c r="AN28" s="379">
        <f>$I26+ROUND(IF($H26&lt;$F26,($H26*AM26),IF($H26&gt;SUM($F26:$F27),(($F26*AM26)+(($H26-$F26)*AM27)),0)),2)</f>
        <v>250</v>
      </c>
      <c r="AO28" s="578">
        <f>ROUND((AN28-P28)/P28,3)</f>
        <v>0</v>
      </c>
      <c r="AP28" s="379"/>
      <c r="AQ28" s="379">
        <f>$J26+ROUND(IF($G26&lt;$F26,($G26*AP26),IF($G26&gt;SUM($F26:$F27),(($F26*AP26)+(($G26-$F26)*AP27)),0)),2)</f>
        <v>250</v>
      </c>
      <c r="AR28" s="578">
        <f>ROUND(($AQ28-$O28)/$O28,3)</f>
        <v>0</v>
      </c>
      <c r="AS28" s="381"/>
      <c r="AT28" s="379">
        <f>$J26+ROUND(IF($G26&lt;$F26,($G26*AS26),IF($G26&gt;SUM($F26:$F27),(($F26*AS26)+(($G26-$F26)*AS27)),0)),2)</f>
        <v>250</v>
      </c>
      <c r="AU28" s="382">
        <f>ROUND((AT28-O28)/O28,3)</f>
        <v>0</v>
      </c>
      <c r="AV28" s="1264">
        <f t="shared" si="51"/>
        <v>0</v>
      </c>
      <c r="AW28" s="370"/>
      <c r="AX28" s="370"/>
      <c r="AY28" s="370"/>
      <c r="AZ28" s="370"/>
      <c r="BA28" s="893" t="s">
        <v>361</v>
      </c>
      <c r="BB28" s="662">
        <f>R58-M58</f>
        <v>1003.8000000000002</v>
      </c>
      <c r="BC28" s="666">
        <f>S58</f>
        <v>0.13500000000000001</v>
      </c>
      <c r="BD28" s="662">
        <f>U58-N58</f>
        <v>-5671.15</v>
      </c>
      <c r="BE28" s="666">
        <f>V58</f>
        <v>-0.78500000000000003</v>
      </c>
      <c r="BF28" s="372">
        <f>AG58-M58</f>
        <v>863.42000000000098</v>
      </c>
      <c r="BG28" s="666">
        <f>AH58</f>
        <v>0.11600000000000001</v>
      </c>
      <c r="BH28" s="662">
        <f>AK58-O58</f>
        <v>505.52000000000044</v>
      </c>
      <c r="BI28" s="666">
        <f>AL58</f>
        <v>6.0999999999999999E-2</v>
      </c>
      <c r="BJ28" s="662">
        <f>AN58-P58</f>
        <v>-6504.1</v>
      </c>
      <c r="BK28" s="666">
        <f>AO58</f>
        <v>-0.80800000000000005</v>
      </c>
      <c r="BL28" s="372">
        <f>AT58-O58</f>
        <v>638.65999999999985</v>
      </c>
      <c r="BM28" s="666">
        <f>AU58</f>
        <v>7.6999999999999999E-2</v>
      </c>
    </row>
    <row r="29" spans="1:65" x14ac:dyDescent="0.2">
      <c r="A29" s="86">
        <f t="shared" si="14"/>
        <v>22</v>
      </c>
      <c r="B29" s="725" t="str">
        <f>'WA Volumes &amp; Revenues'!B27</f>
        <v>41I Interr Sales</v>
      </c>
      <c r="C29" s="875" t="s">
        <v>4</v>
      </c>
      <c r="D29" s="299">
        <f>'WA Volumes &amp; Revenues'!E27</f>
        <v>0</v>
      </c>
      <c r="E29" s="299">
        <f>'WA Volumes &amp; Revenues'!F27</f>
        <v>0</v>
      </c>
      <c r="F29" s="371">
        <v>2000</v>
      </c>
      <c r="G29" s="300">
        <f>'WA Volumes &amp; Revenues'!I27</f>
        <v>0</v>
      </c>
      <c r="H29" s="300">
        <f>'WA Volumes &amp; Revenues'!L27</f>
        <v>0</v>
      </c>
      <c r="I29" s="879">
        <f>'WA Volumes &amp; Revenues'!O27</f>
        <v>250</v>
      </c>
      <c r="J29" s="372">
        <f>'WA Volumes &amp; Revenues'!N27</f>
        <v>250</v>
      </c>
      <c r="K29" s="122">
        <f>+'Rates in summary'!D26</f>
        <v>0.61580999999999997</v>
      </c>
      <c r="L29" s="122">
        <f>+'Rates in summary'!J26</f>
        <v>0.65005000000000002</v>
      </c>
      <c r="M29" s="372"/>
      <c r="N29" s="372"/>
      <c r="O29" s="966"/>
      <c r="P29" s="966"/>
      <c r="Q29" s="373">
        <f>'Rates in summary'!H26-'Rates in summary'!F26</f>
        <v>0.65615000000000001</v>
      </c>
      <c r="R29" s="372"/>
      <c r="S29" s="374"/>
      <c r="T29" s="373">
        <f>'Rates in summary'!I26</f>
        <v>0</v>
      </c>
      <c r="U29" s="372"/>
      <c r="V29" s="577"/>
      <c r="W29" s="373">
        <f>'Rates in Detail'!J25+'Rates in Detail'!P25</f>
        <v>0.61258999999999997</v>
      </c>
      <c r="X29" s="372"/>
      <c r="Y29" s="577"/>
      <c r="Z29" s="373">
        <f>'Rates in Detail'!J25+'Rates in Detail'!S25</f>
        <v>0.61580999999999997</v>
      </c>
      <c r="AA29" s="372"/>
      <c r="AB29" s="577"/>
      <c r="AC29" s="122">
        <f>'Rates in Detail'!J25+'Rates in Detail'!T25</f>
        <v>0.60970999999999997</v>
      </c>
      <c r="AD29" s="372"/>
      <c r="AE29" s="577"/>
      <c r="AF29" s="373">
        <f>'Rates in summary'!J26</f>
        <v>0.65005000000000002</v>
      </c>
      <c r="AG29" s="372"/>
      <c r="AH29" s="374"/>
      <c r="AI29" s="1258"/>
      <c r="AJ29" s="373">
        <f>L29+'Rates in summary'!K26</f>
        <v>0.67180000000000006</v>
      </c>
      <c r="AK29" s="372"/>
      <c r="AL29" s="374"/>
      <c r="AM29" s="373">
        <f>'Rates in summary'!O26</f>
        <v>0</v>
      </c>
      <c r="AN29" s="372"/>
      <c r="AO29" s="577"/>
      <c r="AP29" s="122">
        <f>'Rates in Detail'!W25+'Rates in Detail'!Z25</f>
        <v>0.64973999999999998</v>
      </c>
      <c r="AQ29" s="372"/>
      <c r="AR29" s="577"/>
      <c r="AS29" s="373">
        <f>'Rates in summary'!P26</f>
        <v>0.67759000000000003</v>
      </c>
      <c r="AT29" s="372"/>
      <c r="AU29" s="374"/>
      <c r="AV29" s="1263"/>
      <c r="BA29" s="893" t="s">
        <v>362</v>
      </c>
      <c r="BB29" s="662">
        <f>R65-M65</f>
        <v>1173.8400000000001</v>
      </c>
      <c r="BC29" s="666">
        <f>S65</f>
        <v>0.14000000000000001</v>
      </c>
      <c r="BD29" s="662">
        <f>U65-N65</f>
        <v>-6836.869999999999</v>
      </c>
      <c r="BE29" s="666">
        <f>V65</f>
        <v>-0.81499999999999995</v>
      </c>
      <c r="BF29" s="372">
        <f>AG65-M65</f>
        <v>1009.630000000001</v>
      </c>
      <c r="BG29" s="666">
        <f>AH65</f>
        <v>0.12</v>
      </c>
      <c r="BH29" s="662">
        <f>AK65-O65</f>
        <v>590.96999999999935</v>
      </c>
      <c r="BI29" s="666">
        <f>AL65</f>
        <v>6.3E-2</v>
      </c>
      <c r="BJ29" s="662">
        <f>AN65-P65</f>
        <v>-7843.619999999999</v>
      </c>
      <c r="BK29" s="666">
        <f>AO65</f>
        <v>-0.83499999999999996</v>
      </c>
      <c r="BL29" s="372">
        <f>AT65-O65</f>
        <v>746.86999999999898</v>
      </c>
      <c r="BM29" s="666">
        <f>AU65</f>
        <v>7.9000000000000001E-2</v>
      </c>
    </row>
    <row r="30" spans="1:65" x14ac:dyDescent="0.2">
      <c r="A30" s="86">
        <f t="shared" si="14"/>
        <v>23</v>
      </c>
      <c r="B30" s="725"/>
      <c r="C30" s="875" t="s">
        <v>5</v>
      </c>
      <c r="D30" s="299">
        <f>'WA Volumes &amp; Revenues'!E28</f>
        <v>0</v>
      </c>
      <c r="E30" s="299">
        <f>'WA Volumes &amp; Revenues'!F28</f>
        <v>0</v>
      </c>
      <c r="F30" s="371" t="s">
        <v>74</v>
      </c>
      <c r="G30" s="383"/>
      <c r="H30" s="383"/>
      <c r="I30" s="881"/>
      <c r="J30" s="660"/>
      <c r="K30" s="122">
        <f>+'Rates in summary'!D27</f>
        <v>0.57401999999999986</v>
      </c>
      <c r="L30" s="122">
        <f>+'Rates in summary'!J27</f>
        <v>0.60418999999999989</v>
      </c>
      <c r="M30" s="372"/>
      <c r="N30" s="372"/>
      <c r="O30" s="966"/>
      <c r="P30" s="966"/>
      <c r="Q30" s="373">
        <f>'Rates in summary'!H27-'Rates in summary'!F27</f>
        <v>0.60955999999999988</v>
      </c>
      <c r="R30" s="372"/>
      <c r="S30" s="374"/>
      <c r="T30" s="373">
        <f>'Rates in summary'!I27</f>
        <v>0</v>
      </c>
      <c r="U30" s="372"/>
      <c r="V30" s="577"/>
      <c r="W30" s="373">
        <f>'Rates in Detail'!J26+'Rates in Detail'!P26</f>
        <v>0.57117999999999991</v>
      </c>
      <c r="X30" s="372"/>
      <c r="Y30" s="577"/>
      <c r="Z30" s="373">
        <f>'Rates in Detail'!J26+'Rates in Detail'!S26</f>
        <v>0.57401999999999986</v>
      </c>
      <c r="AA30" s="372"/>
      <c r="AB30" s="577"/>
      <c r="AC30" s="122">
        <f>'Rates in Detail'!J26+'Rates in Detail'!T26</f>
        <v>0.56864999999999988</v>
      </c>
      <c r="AD30" s="372"/>
      <c r="AE30" s="577"/>
      <c r="AF30" s="373">
        <f>'Rates in summary'!J27</f>
        <v>0.60418999999999989</v>
      </c>
      <c r="AG30" s="372"/>
      <c r="AH30" s="374"/>
      <c r="AI30" s="1258"/>
      <c r="AJ30" s="373">
        <f>L30+'Rates in summary'!K27</f>
        <v>0.62335999999999991</v>
      </c>
      <c r="AK30" s="372"/>
      <c r="AL30" s="374"/>
      <c r="AM30" s="373">
        <f>'Rates in summary'!O27</f>
        <v>0</v>
      </c>
      <c r="AN30" s="372"/>
      <c r="AO30" s="577"/>
      <c r="AP30" s="122">
        <f>'Rates in Detail'!W26+'Rates in Detail'!Z26</f>
        <v>0.60391999999999979</v>
      </c>
      <c r="AQ30" s="372"/>
      <c r="AR30" s="577"/>
      <c r="AS30" s="373">
        <f>'Rates in summary'!P27</f>
        <v>0.62845999999999991</v>
      </c>
      <c r="AT30" s="372"/>
      <c r="AU30" s="374"/>
      <c r="AV30" s="1263"/>
      <c r="BA30" s="893" t="s">
        <v>363</v>
      </c>
      <c r="BB30" s="662">
        <f>R72-M72</f>
        <v>852.92999999999665</v>
      </c>
      <c r="BC30" s="666">
        <f>S72</f>
        <v>0.05</v>
      </c>
      <c r="BD30" s="662">
        <f>U72-N72</f>
        <v>-15972.870000000003</v>
      </c>
      <c r="BE30" s="666">
        <f>V72</f>
        <v>-0.92500000000000004</v>
      </c>
      <c r="BF30" s="372">
        <f>AG72-M72</f>
        <v>517.37999999999738</v>
      </c>
      <c r="BG30" s="666">
        <f>AH72</f>
        <v>0.03</v>
      </c>
      <c r="BH30" s="662">
        <f>AK72-O72</f>
        <v>429.47000000000116</v>
      </c>
      <c r="BI30" s="666">
        <f>AL72</f>
        <v>2.4E-2</v>
      </c>
      <c r="BJ30" s="662">
        <f>AN72-P72</f>
        <v>-16493.55</v>
      </c>
      <c r="BK30" s="666">
        <f>AO72</f>
        <v>-0.92700000000000005</v>
      </c>
      <c r="BL30" s="372">
        <f>AT72-O72</f>
        <v>758.90999999999985</v>
      </c>
      <c r="BM30" s="666">
        <f>AU72</f>
        <v>4.2999999999999997E-2</v>
      </c>
    </row>
    <row r="31" spans="1:65" x14ac:dyDescent="0.2">
      <c r="A31" s="86">
        <f t="shared" si="14"/>
        <v>24</v>
      </c>
      <c r="B31" s="723"/>
      <c r="C31" s="876" t="s">
        <v>78</v>
      </c>
      <c r="D31" s="375"/>
      <c r="E31" s="375"/>
      <c r="F31" s="376"/>
      <c r="G31" s="377"/>
      <c r="H31" s="377"/>
      <c r="I31" s="880"/>
      <c r="J31" s="379"/>
      <c r="K31" s="378"/>
      <c r="L31" s="378"/>
      <c r="M31" s="379">
        <f>$I29+ROUND(IF($G29&lt;$F29,($G29*K29),IF($G29&gt;SUM($F29:$F30),(($F29*K29)+(($G29-$F29)*K30)),0)),2)</f>
        <v>250</v>
      </c>
      <c r="N31" s="379">
        <f>I29+ROUND(IF($H29&lt;$F29,($H29*$K29),IF($H29&gt;SUM(F29:F30),(($F29*K29)+(($H29-F29)*K30)),0)),2)</f>
        <v>250</v>
      </c>
      <c r="O31" s="379">
        <f>$I29+ROUND(IF($G29&lt;$F29,($G29*L29),IF($G29&gt;SUM($F29:$F30),(($F29*L29)+(($G29-$F29)*L30)),0)),2)</f>
        <v>250</v>
      </c>
      <c r="P31" s="379">
        <f>I29+ROUND(IF($H29&lt;$F29,($H29*$L29),IF($H29&gt;SUM(F29:F30),(($F29*L29)+(($H29-F29)*L30)),0)),2)</f>
        <v>250</v>
      </c>
      <c r="Q31" s="381"/>
      <c r="R31" s="379">
        <f>$J29+ROUND(IF($G29&lt;$F29,($G29*Q29),IF($G29&gt;SUM($F29:$F30),(($F29*Q29)+(($G29-$F29)*Q30)),0)),2)</f>
        <v>250</v>
      </c>
      <c r="S31" s="382">
        <f>ROUND((R31-M31)/M31,3)</f>
        <v>0</v>
      </c>
      <c r="T31" s="380"/>
      <c r="U31" s="379">
        <f>$I29+ROUND(IF($H29&lt;$F29,($H29*T29),IF($H29&gt;SUM($F29:$F30),(($F29*T29)+(($H29-$F29)*T30)),0)),2)</f>
        <v>250</v>
      </c>
      <c r="V31" s="578">
        <f>ROUND((U31-N31)/N31,3)</f>
        <v>0</v>
      </c>
      <c r="W31" s="380"/>
      <c r="X31" s="379">
        <f>$J29+ROUND(IF($G29&lt;$F29,($G29*W29),IF($G29&gt;SUM($F29:$F30),(($F29*W29)+(($G29-$F29)*W30)),0)),2)</f>
        <v>250</v>
      </c>
      <c r="Y31" s="578">
        <f t="shared" ref="Y31" si="58">ROUND(($X31-$M31)/$M31,3)</f>
        <v>0</v>
      </c>
      <c r="Z31" s="380"/>
      <c r="AA31" s="379">
        <f>$J29+ROUND(IF($G29&lt;$F29,($G29*Z29),IF($G29&gt;SUM($F29:$F30),(($F29*Z29)+(($G29-$F29)*Z30)),0)),2)</f>
        <v>250</v>
      </c>
      <c r="AB31" s="578">
        <f>ROUND(($AA31-$M31)/$M31,3)</f>
        <v>0</v>
      </c>
      <c r="AC31" s="379"/>
      <c r="AD31" s="379">
        <f>$J29+ROUND(IF($G29&lt;$F29,($G29*AC29),IF($G29&gt;SUM($F29:$F30),(($F29*AC29)+(($G29-$F29)*AC30)),0)),2)</f>
        <v>250</v>
      </c>
      <c r="AE31" s="578">
        <f>ROUND(($AD31-$M31)/$M31,3)</f>
        <v>0</v>
      </c>
      <c r="AF31" s="381"/>
      <c r="AG31" s="379">
        <f>$J29+ROUND(IF($G29&lt;$F29,($G29*AF29),IF($G29&gt;SUM($F29:$F30),(($F29*AF29)+(($G29-$F29)*AF30)),0)),2)</f>
        <v>250</v>
      </c>
      <c r="AH31" s="382">
        <f>ROUND((AG31-M31)/M31,3)</f>
        <v>0</v>
      </c>
      <c r="AI31" s="1259">
        <f t="shared" si="47"/>
        <v>0</v>
      </c>
      <c r="AJ31" s="381"/>
      <c r="AK31" s="379">
        <f>$J29+ROUND(IF($G29&lt;$F29,($G29*AJ29),IF($G29&gt;SUM($F29:$F30),(($F29*AJ29)+(($G29-$F29)*AJ30)),0)),2)</f>
        <v>250</v>
      </c>
      <c r="AL31" s="382">
        <f>ROUND((AK31-O31)/O31,3)</f>
        <v>0</v>
      </c>
      <c r="AM31" s="380"/>
      <c r="AN31" s="379">
        <f>$I29+ROUND(IF($H29&lt;$F29,($H29*AM29),IF($H29&gt;SUM($F29:$F30),(($F29*AM29)+(($H29-$F29)*AM30)),0)),2)</f>
        <v>250</v>
      </c>
      <c r="AO31" s="578">
        <f>ROUND((AN31-P31)/P31,3)</f>
        <v>0</v>
      </c>
      <c r="AP31" s="379"/>
      <c r="AQ31" s="379">
        <f>$J29+ROUND(IF($G29&lt;$F29,($G29*AP29),IF($G29&gt;SUM($F29:$F30),(($F29*AP29)+(($G29-$F29)*AP30)),0)),2)</f>
        <v>250</v>
      </c>
      <c r="AR31" s="578">
        <f>ROUND(($AQ31-$O31)/$O31,3)</f>
        <v>0</v>
      </c>
      <c r="AS31" s="381"/>
      <c r="AT31" s="379">
        <f>$J29+ROUND(IF($G29&lt;$F29,($G29*AS29),IF($G29&gt;SUM($F29:$F30),(($F29*AS29)+(($G29-$F29)*AS30)),0)),2)</f>
        <v>250</v>
      </c>
      <c r="AU31" s="382">
        <f>ROUND((AT31-O31)/O31,3)</f>
        <v>0</v>
      </c>
      <c r="AV31" s="1264">
        <f t="shared" si="51"/>
        <v>0</v>
      </c>
      <c r="AW31" s="370"/>
      <c r="AX31" s="370"/>
      <c r="AY31" s="370"/>
      <c r="AZ31" s="370"/>
      <c r="BA31" s="893" t="s">
        <v>364</v>
      </c>
      <c r="BB31" s="662">
        <f>R79-M79</f>
        <v>458.40999999999985</v>
      </c>
      <c r="BC31" s="666">
        <f>S79</f>
        <v>6.6000000000000003E-2</v>
      </c>
      <c r="BD31" s="662">
        <f>U79-N79</f>
        <v>-3545.51</v>
      </c>
      <c r="BE31" s="666">
        <f>V79</f>
        <v>-0.73199999999999998</v>
      </c>
      <c r="BF31" s="372">
        <f>AG79-M79</f>
        <v>394.25</v>
      </c>
      <c r="BG31" s="666">
        <f>AH79</f>
        <v>5.7000000000000002E-2</v>
      </c>
      <c r="BH31" s="662">
        <f>AK79-O79</f>
        <v>230.89999999999964</v>
      </c>
      <c r="BI31" s="666">
        <f>AL79</f>
        <v>3.1E-2</v>
      </c>
      <c r="BJ31" s="662">
        <f>AN79-P79</f>
        <v>-3796.8500000000004</v>
      </c>
      <c r="BK31" s="666">
        <f>AO79</f>
        <v>-0.745</v>
      </c>
      <c r="BL31" s="372">
        <f>AT79-O79</f>
        <v>291.82999999999993</v>
      </c>
      <c r="BM31" s="666">
        <f>AU79</f>
        <v>0.04</v>
      </c>
    </row>
    <row r="32" spans="1:65" x14ac:dyDescent="0.2">
      <c r="A32" s="86">
        <f t="shared" si="14"/>
        <v>25</v>
      </c>
      <c r="B32" s="725" t="str">
        <f>'WA Volumes &amp; Revenues'!B29</f>
        <v>41C Firm Transpt</v>
      </c>
      <c r="C32" s="875" t="s">
        <v>4</v>
      </c>
      <c r="D32" s="299">
        <f>'WA Volumes &amp; Revenues'!E29</f>
        <v>168721</v>
      </c>
      <c r="E32" s="299">
        <f>'WA Volumes &amp; Revenues'!F29</f>
        <v>169264</v>
      </c>
      <c r="F32" s="371">
        <v>2000</v>
      </c>
      <c r="G32" s="300">
        <f>'WA Volumes &amp; Revenues'!I29</f>
        <v>4648</v>
      </c>
      <c r="H32" s="300">
        <f>'WA Volumes &amp; Revenues'!L29</f>
        <v>4482</v>
      </c>
      <c r="I32" s="879">
        <f>'WA Volumes &amp; Revenues'!O29</f>
        <v>500</v>
      </c>
      <c r="J32" s="372">
        <f>'WA Volumes &amp; Revenues'!N29</f>
        <v>500</v>
      </c>
      <c r="K32" s="122">
        <f>+'Rates in summary'!D28</f>
        <v>0.34945999999999999</v>
      </c>
      <c r="L32" s="122">
        <f>+'Rates in summary'!J28</f>
        <v>0.40003</v>
      </c>
      <c r="M32" s="372"/>
      <c r="N32" s="372"/>
      <c r="O32" s="966"/>
      <c r="P32" s="966"/>
      <c r="Q32" s="373">
        <f>'Rates in summary'!H28-'Rates in summary'!F28</f>
        <v>0.40826000000000001</v>
      </c>
      <c r="R32" s="372"/>
      <c r="S32" s="374"/>
      <c r="T32" s="373">
        <f>'Rates in summary'!I28</f>
        <v>0</v>
      </c>
      <c r="U32" s="372"/>
      <c r="V32" s="577"/>
      <c r="W32" s="373">
        <f>'Rates in Detail'!J27+'Rates in Detail'!P27</f>
        <v>0.34510999999999997</v>
      </c>
      <c r="X32" s="372"/>
      <c r="Y32" s="577"/>
      <c r="Z32" s="373">
        <f>'Rates in Detail'!J27+'Rates in Detail'!S27</f>
        <v>0.34945999999999999</v>
      </c>
      <c r="AA32" s="372"/>
      <c r="AB32" s="577"/>
      <c r="AC32" s="122">
        <f>'Rates in Detail'!J27+'Rates in Detail'!T27</f>
        <v>0.34122999999999998</v>
      </c>
      <c r="AD32" s="372"/>
      <c r="AE32" s="577"/>
      <c r="AF32" s="373">
        <f>'Rates in summary'!J28</f>
        <v>0.40003</v>
      </c>
      <c r="AG32" s="372"/>
      <c r="AH32" s="374"/>
      <c r="AI32" s="1258"/>
      <c r="AJ32" s="373">
        <f>L32+'Rates in summary'!K28</f>
        <v>0.42964000000000002</v>
      </c>
      <c r="AK32" s="372"/>
      <c r="AL32" s="374"/>
      <c r="AM32" s="373">
        <f>'Rates in summary'!O28</f>
        <v>0</v>
      </c>
      <c r="AN32" s="372"/>
      <c r="AO32" s="577"/>
      <c r="AP32" s="122">
        <f>'Rates in Detail'!W27+'Rates in Detail'!Z27</f>
        <v>0.39960999999999997</v>
      </c>
      <c r="AQ32" s="372"/>
      <c r="AR32" s="577"/>
      <c r="AS32" s="373">
        <f>'Rates in summary'!P28</f>
        <v>0.43745000000000006</v>
      </c>
      <c r="AT32" s="372"/>
      <c r="AU32" s="374"/>
      <c r="AV32" s="1263"/>
      <c r="BA32" s="893" t="s">
        <v>366</v>
      </c>
      <c r="BB32" s="662">
        <f>R86-M86</f>
        <v>0</v>
      </c>
      <c r="BC32" s="666">
        <f>S86</f>
        <v>0</v>
      </c>
      <c r="BD32" s="662">
        <f>U86-N86</f>
        <v>0</v>
      </c>
      <c r="BE32" s="666">
        <f>V86</f>
        <v>0</v>
      </c>
      <c r="BF32" s="372">
        <f>AG86-M86</f>
        <v>0</v>
      </c>
      <c r="BG32" s="666">
        <f>AH86</f>
        <v>0</v>
      </c>
      <c r="BH32" s="662">
        <f>AK86-O86</f>
        <v>0</v>
      </c>
      <c r="BI32" s="666">
        <f>AL86</f>
        <v>0</v>
      </c>
      <c r="BJ32" s="662">
        <f>AN86-P86</f>
        <v>0</v>
      </c>
      <c r="BK32" s="666">
        <f>AO86</f>
        <v>0</v>
      </c>
      <c r="BL32" s="372">
        <f>AT86-O86</f>
        <v>0</v>
      </c>
      <c r="BM32" s="666">
        <f>AU86</f>
        <v>0</v>
      </c>
    </row>
    <row r="33" spans="1:71" x14ac:dyDescent="0.2">
      <c r="A33" s="86">
        <f t="shared" si="14"/>
        <v>26</v>
      </c>
      <c r="B33" s="725"/>
      <c r="C33" s="875" t="s">
        <v>5</v>
      </c>
      <c r="D33" s="299">
        <f>'WA Volumes &amp; Revenues'!E30</f>
        <v>272866</v>
      </c>
      <c r="E33" s="299">
        <f>'WA Volumes &amp; Revenues'!F30</f>
        <v>260994</v>
      </c>
      <c r="F33" s="371" t="s">
        <v>74</v>
      </c>
      <c r="G33" s="383"/>
      <c r="H33" s="383"/>
      <c r="I33" s="881"/>
      <c r="J33" s="660"/>
      <c r="K33" s="122">
        <f>+'Rates in summary'!D29</f>
        <v>0.30789000000000011</v>
      </c>
      <c r="L33" s="122">
        <f>+'Rates in summary'!J29</f>
        <v>0.35245000000000015</v>
      </c>
      <c r="M33" s="372"/>
      <c r="N33" s="372"/>
      <c r="O33" s="966"/>
      <c r="P33" s="966"/>
      <c r="Q33" s="373">
        <f>'Rates in summary'!H29-'Rates in summary'!F29</f>
        <v>0.35970000000000013</v>
      </c>
      <c r="R33" s="372"/>
      <c r="S33" s="374"/>
      <c r="T33" s="373">
        <f>'Rates in summary'!I29</f>
        <v>0</v>
      </c>
      <c r="U33" s="372"/>
      <c r="V33" s="577"/>
      <c r="W33" s="373">
        <f>'Rates in Detail'!J28+'Rates in Detail'!P28</f>
        <v>0.30406000000000011</v>
      </c>
      <c r="X33" s="372"/>
      <c r="Y33" s="577"/>
      <c r="Z33" s="373">
        <f>'Rates in Detail'!J28+'Rates in Detail'!S28</f>
        <v>0.30789000000000011</v>
      </c>
      <c r="AA33" s="372"/>
      <c r="AB33" s="577"/>
      <c r="AC33" s="122">
        <f>'Rates in Detail'!J28+'Rates in Detail'!T28</f>
        <v>0.30064000000000013</v>
      </c>
      <c r="AD33" s="372"/>
      <c r="AE33" s="577"/>
      <c r="AF33" s="373">
        <f>'Rates in summary'!J29</f>
        <v>0.35245000000000015</v>
      </c>
      <c r="AG33" s="372"/>
      <c r="AH33" s="374"/>
      <c r="AI33" s="1258"/>
      <c r="AJ33" s="373">
        <f>L33+'Rates in summary'!K29</f>
        <v>0.37854000000000015</v>
      </c>
      <c r="AK33" s="372"/>
      <c r="AL33" s="374"/>
      <c r="AM33" s="373">
        <f>'Rates in summary'!O29</f>
        <v>0</v>
      </c>
      <c r="AN33" s="372"/>
      <c r="AO33" s="577"/>
      <c r="AP33" s="122">
        <f>'Rates in Detail'!W28+'Rates in Detail'!Z28</f>
        <v>0.35208000000000017</v>
      </c>
      <c r="AQ33" s="372"/>
      <c r="AR33" s="577"/>
      <c r="AS33" s="373">
        <f>'Rates in summary'!P29</f>
        <v>0.38542000000000015</v>
      </c>
      <c r="AT33" s="372"/>
      <c r="AU33" s="374"/>
      <c r="AV33" s="1263"/>
      <c r="BA33" s="893" t="s">
        <v>367</v>
      </c>
      <c r="BB33" s="662">
        <f>R93-M93</f>
        <v>1345.0599999999995</v>
      </c>
      <c r="BC33" s="666">
        <f>S93</f>
        <v>0.128</v>
      </c>
      <c r="BD33" s="662">
        <f>U93-N93</f>
        <v>-6613.89</v>
      </c>
      <c r="BE33" s="666">
        <f>V93</f>
        <v>-0.81</v>
      </c>
      <c r="BF33" s="372">
        <f>AG93-M93</f>
        <v>1156.7299999999996</v>
      </c>
      <c r="BG33" s="666">
        <f>AH93</f>
        <v>0.11</v>
      </c>
      <c r="BH33" s="662">
        <f>AK93-O93</f>
        <v>677.44000000000051</v>
      </c>
      <c r="BI33" s="666">
        <f>AL93</f>
        <v>5.8000000000000003E-2</v>
      </c>
      <c r="BJ33" s="662">
        <f>AN93-P93</f>
        <v>-7466.32</v>
      </c>
      <c r="BK33" s="666">
        <f>AO93</f>
        <v>-0.82799999999999996</v>
      </c>
      <c r="BL33" s="372">
        <f>AT93-O93</f>
        <v>856.1200000000008</v>
      </c>
      <c r="BM33" s="666">
        <f>AU93</f>
        <v>7.2999999999999995E-2</v>
      </c>
    </row>
    <row r="34" spans="1:71" x14ac:dyDescent="0.2">
      <c r="A34" s="86">
        <f t="shared" si="14"/>
        <v>27</v>
      </c>
      <c r="B34" s="723"/>
      <c r="C34" s="876" t="s">
        <v>78</v>
      </c>
      <c r="D34" s="375"/>
      <c r="E34" s="375"/>
      <c r="F34" s="376"/>
      <c r="G34" s="377"/>
      <c r="H34" s="377"/>
      <c r="I34" s="880"/>
      <c r="J34" s="379"/>
      <c r="K34" s="378"/>
      <c r="L34" s="378"/>
      <c r="M34" s="379">
        <f>$I32+ROUND(IF($G32&lt;$F32,($G32*K32),IF($G32&gt;SUM($F32:$F33),(($F32*K32)+(($G32-$F32)*K33)),0)),2)</f>
        <v>2014.21</v>
      </c>
      <c r="N34" s="379">
        <f>I32+ROUND(IF($H32&lt;$F32,($H32*$K32),IF($H32&gt;SUM(F32:F33),(($F32*K32)+(($H32-F32)*K33)),0)),2)</f>
        <v>1963.1</v>
      </c>
      <c r="O34" s="379">
        <f>$I32+ROUND(IF($G32&lt;$F32,($G32*L32),IF($G32&gt;SUM($F32:$F33),(($F32*L32)+(($G32-$F32)*L33)),0)),2)</f>
        <v>2233.35</v>
      </c>
      <c r="P34" s="379">
        <f>I32+ROUND(IF($H32&lt;$F32,($H32*$L32),IF($H32&gt;SUM(F32:F33),(($F32*L32)+(($H32-F32)*L33)),0)),2)</f>
        <v>2174.84</v>
      </c>
      <c r="Q34" s="381"/>
      <c r="R34" s="379">
        <f>$J32+ROUND(IF($G32&lt;$F32,($G32*Q32),IF($G32&gt;SUM($F32:$F33),(($F32*Q32)+(($G32-$F32)*Q33)),0)),2)</f>
        <v>2269.0100000000002</v>
      </c>
      <c r="S34" s="382">
        <f>ROUND((R34-M34)/M34,3)</f>
        <v>0.127</v>
      </c>
      <c r="T34" s="380"/>
      <c r="U34" s="379">
        <f>$I32+ROUND(IF($H32&lt;$F32,($H32*T32),IF($H32&gt;SUM($F32:$F33),(($F32*T32)+(($H32-$F32)*T33)),0)),2)</f>
        <v>500</v>
      </c>
      <c r="V34" s="578">
        <f>ROUND((U34-N34)/N34,3)</f>
        <v>-0.745</v>
      </c>
      <c r="W34" s="380"/>
      <c r="X34" s="379">
        <f>$J32+ROUND(IF($G32&lt;$F32,($G32*W32),IF($G32&gt;SUM($F32:$F33),(($F32*W32)+(($G32-$F32)*W33)),0)),2)</f>
        <v>1995.37</v>
      </c>
      <c r="Y34" s="578">
        <f t="shared" ref="Y34" si="59">ROUND(($X34-$M34)/$M34,3)</f>
        <v>-8.9999999999999993E-3</v>
      </c>
      <c r="Z34" s="380"/>
      <c r="AA34" s="379">
        <f>$J32+ROUND(IF($G32&lt;$F32,($G32*Z32),IF($G32&gt;SUM($F32:$F33),(($F32*Z32)+(($G32-$F32)*Z33)),0)),2)</f>
        <v>2014.21</v>
      </c>
      <c r="AB34" s="578">
        <f>ROUND(($AA34-$M34)/$M34,3)</f>
        <v>0</v>
      </c>
      <c r="AC34" s="379"/>
      <c r="AD34" s="379">
        <f>$J32+ROUND(IF($G32&lt;$F32,($G32*AC32),IF($G32&gt;SUM($F32:$F33),(($F32*AC32)+(($G32-$F32)*AC33)),0)),2)</f>
        <v>1978.55</v>
      </c>
      <c r="AE34" s="578">
        <f>ROUND(($AD34-$M34)/$M34,3)</f>
        <v>-1.7999999999999999E-2</v>
      </c>
      <c r="AF34" s="381"/>
      <c r="AG34" s="379">
        <f>$J32+ROUND(IF($G32&lt;$F32,($G32*AF32),IF($G32&gt;SUM($F32:$F33),(($F32*AF32)+(($G32-$F32)*AF33)),0)),2)</f>
        <v>2233.35</v>
      </c>
      <c r="AH34" s="382">
        <f>ROUND((AG34-M34)/M34,3)</f>
        <v>0.109</v>
      </c>
      <c r="AI34" s="1259">
        <f t="shared" si="47"/>
        <v>219.13999999999987</v>
      </c>
      <c r="AJ34" s="381"/>
      <c r="AK34" s="379">
        <f>$J32+ROUND(IF($G32&lt;$F32,($G32*AJ32),IF($G32&gt;SUM($F32:$F33),(($F32*AJ32)+(($G32-$F32)*AJ33)),0)),2)</f>
        <v>2361.65</v>
      </c>
      <c r="AL34" s="382">
        <f>ROUND((AK34-O34)/O34,3)</f>
        <v>5.7000000000000002E-2</v>
      </c>
      <c r="AM34" s="380"/>
      <c r="AN34" s="379">
        <f>$I32+ROUND(IF($H32&lt;$F32,($H32*AM32),IF($H32&gt;SUM($F32:$F33),(($F32*AM32)+(($H32-$F32)*AM33)),0)),2)</f>
        <v>500</v>
      </c>
      <c r="AO34" s="578">
        <f>ROUND((AN34-P34)/P34,3)</f>
        <v>-0.77</v>
      </c>
      <c r="AP34" s="379"/>
      <c r="AQ34" s="379">
        <f>$J32+ROUND(IF($G32&lt;$F32,($G32*AP32),IF($G32&gt;SUM($F32:$F33),(($F32*AP32)+(($G32-$F32)*AP33)),0)),2)</f>
        <v>2231.5299999999997</v>
      </c>
      <c r="AR34" s="578">
        <f>ROUND(($AQ34-$O34)/$O34,3)</f>
        <v>-1E-3</v>
      </c>
      <c r="AS34" s="381"/>
      <c r="AT34" s="379">
        <f>$J32+ROUND(IF($G32&lt;$F32,($G32*AS32),IF($G32&gt;SUM($F32:$F33),(($F32*AS32)+(($G32-$F32)*AS33)),0)),2)</f>
        <v>2395.4899999999998</v>
      </c>
      <c r="AU34" s="382">
        <f>ROUND((AT34-O34)/O34,3)</f>
        <v>7.2999999999999995E-2</v>
      </c>
      <c r="AV34" s="1264">
        <f t="shared" si="51"/>
        <v>162.13999999999987</v>
      </c>
      <c r="AW34" s="370"/>
      <c r="AX34" s="370"/>
      <c r="AY34" s="370"/>
      <c r="AZ34" s="370"/>
      <c r="BA34" s="893" t="s">
        <v>56</v>
      </c>
      <c r="BB34" s="662">
        <f>R94-M94</f>
        <v>0</v>
      </c>
      <c r="BC34" s="666">
        <f>S94</f>
        <v>0</v>
      </c>
      <c r="BD34" s="662">
        <f>U94-N94</f>
        <v>0</v>
      </c>
      <c r="BE34" s="666">
        <f>V94</f>
        <v>0</v>
      </c>
      <c r="BF34" s="372">
        <f>AG94-M94</f>
        <v>0</v>
      </c>
      <c r="BG34" s="666">
        <f>AH94</f>
        <v>0</v>
      </c>
      <c r="BH34" s="662">
        <f>AK94-O94</f>
        <v>0</v>
      </c>
      <c r="BI34" s="666">
        <f>AL94</f>
        <v>0</v>
      </c>
      <c r="BJ34" s="662">
        <f>AN94-P94</f>
        <v>0</v>
      </c>
      <c r="BK34" s="666">
        <f>AO94</f>
        <v>0</v>
      </c>
      <c r="BL34" s="372">
        <f>AT94-O94</f>
        <v>0</v>
      </c>
      <c r="BM34" s="666">
        <f>AU94</f>
        <v>0</v>
      </c>
    </row>
    <row r="35" spans="1:71" x14ac:dyDescent="0.2">
      <c r="A35" s="86">
        <f t="shared" si="14"/>
        <v>28</v>
      </c>
      <c r="B35" s="725" t="str">
        <f>'WA Volumes &amp; Revenues'!B31</f>
        <v>41I Firm Transpt</v>
      </c>
      <c r="C35" s="875" t="s">
        <v>4</v>
      </c>
      <c r="D35" s="299">
        <f>'WA Volumes &amp; Revenues'!E31</f>
        <v>0</v>
      </c>
      <c r="E35" s="299">
        <f>'WA Volumes &amp; Revenues'!F31</f>
        <v>0</v>
      </c>
      <c r="F35" s="371">
        <v>2000</v>
      </c>
      <c r="G35" s="300">
        <f>'WA Volumes &amp; Revenues'!I31</f>
        <v>0</v>
      </c>
      <c r="H35" s="300">
        <f>'WA Volumes &amp; Revenues'!L31</f>
        <v>0</v>
      </c>
      <c r="I35" s="879">
        <f>'WA Volumes &amp; Revenues'!O31</f>
        <v>500</v>
      </c>
      <c r="J35" s="372">
        <f>'WA Volumes &amp; Revenues'!N31</f>
        <v>500</v>
      </c>
      <c r="K35" s="122">
        <f>+'Rates in summary'!D30</f>
        <v>0.34945999999999999</v>
      </c>
      <c r="L35" s="122">
        <f>+'Rates in summary'!J30</f>
        <v>0.38411999999999996</v>
      </c>
      <c r="M35" s="372"/>
      <c r="N35" s="372"/>
      <c r="O35" s="966"/>
      <c r="P35" s="966"/>
      <c r="Q35" s="373">
        <f>'Rates in summary'!H30-'Rates in summary'!F30</f>
        <v>0.39028999999999997</v>
      </c>
      <c r="R35" s="372"/>
      <c r="S35" s="374"/>
      <c r="T35" s="373">
        <f>'Rates in summary'!I30</f>
        <v>0</v>
      </c>
      <c r="U35" s="372"/>
      <c r="V35" s="577"/>
      <c r="W35" s="373">
        <f>'Rates in Detail'!J29+'Rates in Detail'!P29</f>
        <v>0.34620000000000001</v>
      </c>
      <c r="X35" s="372"/>
      <c r="Y35" s="577"/>
      <c r="Z35" s="373">
        <f>'Rates in Detail'!J29+'Rates in Detail'!S29</f>
        <v>0.34945999999999999</v>
      </c>
      <c r="AA35" s="372"/>
      <c r="AB35" s="577"/>
      <c r="AC35" s="122">
        <f>'Rates in Detail'!J29+'Rates in Detail'!T29</f>
        <v>0.34328999999999998</v>
      </c>
      <c r="AD35" s="372"/>
      <c r="AE35" s="577"/>
      <c r="AF35" s="373">
        <f>'Rates in summary'!J30</f>
        <v>0.38411999999999996</v>
      </c>
      <c r="AG35" s="372"/>
      <c r="AH35" s="374"/>
      <c r="AI35" s="1258"/>
      <c r="AJ35" s="373">
        <f>L35+'Rates in summary'!K30</f>
        <v>0.40613999999999995</v>
      </c>
      <c r="AK35" s="372"/>
      <c r="AL35" s="374"/>
      <c r="AM35" s="373">
        <f>'Rates in summary'!O30</f>
        <v>0</v>
      </c>
      <c r="AN35" s="372"/>
      <c r="AO35" s="577"/>
      <c r="AP35" s="122">
        <f>'Rates in Detail'!W29+'Rates in Detail'!Z29</f>
        <v>0.38381000000000004</v>
      </c>
      <c r="AQ35" s="372"/>
      <c r="AR35" s="577"/>
      <c r="AS35" s="373">
        <f>'Rates in summary'!P30</f>
        <v>0.41199999999999998</v>
      </c>
      <c r="AT35" s="372"/>
      <c r="AU35" s="374"/>
      <c r="AV35" s="1263"/>
      <c r="BA35" s="893" t="s">
        <v>348</v>
      </c>
      <c r="BB35" s="662">
        <f>R95-M95</f>
        <v>0</v>
      </c>
      <c r="BC35" s="666">
        <f>S95</f>
        <v>0</v>
      </c>
      <c r="BD35" s="662">
        <f>U95-N95</f>
        <v>0</v>
      </c>
      <c r="BE35" s="666">
        <f>V95</f>
        <v>0</v>
      </c>
      <c r="BF35" s="372">
        <f>AG95-M95</f>
        <v>0</v>
      </c>
      <c r="BG35" s="666">
        <f>AH95</f>
        <v>0</v>
      </c>
      <c r="BH35" s="662">
        <f>AK95-O95</f>
        <v>0</v>
      </c>
      <c r="BI35" s="666">
        <f>AL95</f>
        <v>0</v>
      </c>
      <c r="BJ35" s="662">
        <f>AN95-P95</f>
        <v>0</v>
      </c>
      <c r="BK35" s="666">
        <f>AO95</f>
        <v>0</v>
      </c>
      <c r="BL35" s="372">
        <f>AT95-O95</f>
        <v>0</v>
      </c>
      <c r="BM35" s="666">
        <f>AU95</f>
        <v>0</v>
      </c>
    </row>
    <row r="36" spans="1:71" x14ac:dyDescent="0.2">
      <c r="A36" s="86">
        <f t="shared" si="14"/>
        <v>29</v>
      </c>
      <c r="B36" s="725"/>
      <c r="C36" s="875" t="s">
        <v>5</v>
      </c>
      <c r="D36" s="299">
        <f>'WA Volumes &amp; Revenues'!E32</f>
        <v>0</v>
      </c>
      <c r="E36" s="299">
        <f>'WA Volumes &amp; Revenues'!F32</f>
        <v>0</v>
      </c>
      <c r="F36" s="371" t="s">
        <v>74</v>
      </c>
      <c r="G36" s="300"/>
      <c r="H36" s="300"/>
      <c r="I36" s="879"/>
      <c r="J36" s="372"/>
      <c r="K36" s="122">
        <f>+'Rates in summary'!D31</f>
        <v>0.30789000000000011</v>
      </c>
      <c r="L36" s="122">
        <f>+'Rates in summary'!J31</f>
        <v>0.33843000000000012</v>
      </c>
      <c r="M36" s="372"/>
      <c r="N36" s="372"/>
      <c r="O36" s="966"/>
      <c r="P36" s="966"/>
      <c r="Q36" s="373">
        <f>'Rates in summary'!H31-'Rates in summary'!F31</f>
        <v>0.34387000000000012</v>
      </c>
      <c r="R36" s="372"/>
      <c r="S36" s="374"/>
      <c r="T36" s="373">
        <f>'Rates in summary'!I31</f>
        <v>0</v>
      </c>
      <c r="U36" s="372"/>
      <c r="V36" s="577"/>
      <c r="W36" s="373">
        <f>'Rates in Detail'!J30+'Rates in Detail'!P30</f>
        <v>0.30502000000000012</v>
      </c>
      <c r="X36" s="372"/>
      <c r="Y36" s="577"/>
      <c r="Z36" s="373">
        <f>'Rates in Detail'!J30+'Rates in Detail'!S30</f>
        <v>0.30789000000000011</v>
      </c>
      <c r="AA36" s="372"/>
      <c r="AB36" s="577"/>
      <c r="AC36" s="122">
        <f>'Rates in Detail'!J30+'Rates in Detail'!T30</f>
        <v>0.30245000000000011</v>
      </c>
      <c r="AD36" s="372"/>
      <c r="AE36" s="577"/>
      <c r="AF36" s="373">
        <f>'Rates in summary'!J31</f>
        <v>0.33843000000000012</v>
      </c>
      <c r="AG36" s="372"/>
      <c r="AH36" s="374"/>
      <c r="AI36" s="1258"/>
      <c r="AJ36" s="373">
        <f>L36+'Rates in summary'!K31</f>
        <v>0.35783000000000009</v>
      </c>
      <c r="AK36" s="372"/>
      <c r="AL36" s="374"/>
      <c r="AM36" s="373">
        <f>'Rates in summary'!O31</f>
        <v>0</v>
      </c>
      <c r="AN36" s="372"/>
      <c r="AO36" s="577"/>
      <c r="AP36" s="122">
        <f>'Rates in Detail'!W30+'Rates in Detail'!Z30</f>
        <v>0.33815000000000012</v>
      </c>
      <c r="AQ36" s="372"/>
      <c r="AR36" s="577"/>
      <c r="AS36" s="373">
        <f>'Rates in summary'!P31</f>
        <v>0.36299000000000009</v>
      </c>
      <c r="AT36" s="372"/>
      <c r="AU36" s="374"/>
      <c r="AV36" s="1263"/>
      <c r="BA36" s="894" t="s">
        <v>391</v>
      </c>
      <c r="BB36" s="661">
        <f>R96-M96</f>
        <v>0</v>
      </c>
      <c r="BC36" s="667">
        <f>S96</f>
        <v>0</v>
      </c>
      <c r="BD36" s="661">
        <f>U96-N96</f>
        <v>0</v>
      </c>
      <c r="BE36" s="667">
        <f>V96</f>
        <v>0</v>
      </c>
      <c r="BF36" s="367">
        <f>AG96-M96</f>
        <v>0</v>
      </c>
      <c r="BG36" s="667">
        <f>AH96</f>
        <v>0</v>
      </c>
      <c r="BH36" s="661">
        <f>AK96-O96</f>
        <v>0</v>
      </c>
      <c r="BI36" s="667">
        <f>AL96</f>
        <v>0</v>
      </c>
      <c r="BJ36" s="661">
        <f>AN96-P96</f>
        <v>0</v>
      </c>
      <c r="BK36" s="667">
        <f>AO96</f>
        <v>0</v>
      </c>
      <c r="BL36" s="367">
        <f>AT96-O96</f>
        <v>0</v>
      </c>
      <c r="BM36" s="667">
        <f>AU96</f>
        <v>0</v>
      </c>
    </row>
    <row r="37" spans="1:71" x14ac:dyDescent="0.2">
      <c r="A37" s="86">
        <f t="shared" si="14"/>
        <v>30</v>
      </c>
      <c r="B37" s="723"/>
      <c r="C37" s="876" t="s">
        <v>78</v>
      </c>
      <c r="D37" s="375"/>
      <c r="E37" s="375"/>
      <c r="F37" s="376"/>
      <c r="G37" s="377"/>
      <c r="H37" s="377"/>
      <c r="I37" s="880"/>
      <c r="J37" s="379"/>
      <c r="K37" s="378"/>
      <c r="L37" s="378"/>
      <c r="M37" s="379">
        <f>$I35+ROUND(IF($G35&lt;$F35,($G35*K35),IF($G35&gt;SUM($F35:$F36),(($F35*K35)+(($G35-$F35)*K36)),0)),2)</f>
        <v>500</v>
      </c>
      <c r="N37" s="379">
        <f>I35+ROUND(IF($H35&lt;$F35,($H35*$K35),IF($H35&gt;SUM(F35:F36),(($F35*K35)+(($H35-F35)*K36)),0)),2)</f>
        <v>500</v>
      </c>
      <c r="O37" s="379">
        <f>$I35+ROUND(IF($G35&lt;$F35,($G35*L35),IF($G35&gt;SUM($F35:$F36),(($F35*L35)+(($G35-$F35)*L36)),0)),2)</f>
        <v>500</v>
      </c>
      <c r="P37" s="379">
        <f>I35+ROUND(IF($H35&lt;$F35,($H35*$L35),IF($H35&gt;SUM(F35:F36),(($F35*L35)+(($H35-F35)*L36)),0)),2)</f>
        <v>500</v>
      </c>
      <c r="Q37" s="381"/>
      <c r="R37" s="379">
        <f>$J35+ROUND(IF($G35&lt;$F35,($G35*Q35),IF($G35&gt;SUM($F35:$F36),(($F35*Q35)+(($G35-$F35)*Q36)),0)),2)</f>
        <v>500</v>
      </c>
      <c r="S37" s="382">
        <f>ROUND((R37-M37)/M37,3)</f>
        <v>0</v>
      </c>
      <c r="T37" s="380"/>
      <c r="U37" s="379">
        <f>$I35+ROUND(IF($H35&lt;$F35,($H35*T35),IF($H35&gt;SUM($F35:$F36),(($F35*T35)+(($H35-$F35)*T36)),0)),2)</f>
        <v>500</v>
      </c>
      <c r="V37" s="578">
        <f>ROUND((U37-N37)/N37,3)</f>
        <v>0</v>
      </c>
      <c r="W37" s="380"/>
      <c r="X37" s="379">
        <f>$J35+ROUND(IF($G35&lt;$F35,($G35*W35),IF($G35&gt;SUM($F35:$F36),(($F35*W35)+(($G35-$F35)*W36)),0)),2)</f>
        <v>500</v>
      </c>
      <c r="Y37" s="578">
        <f t="shared" ref="Y37" si="60">ROUND(($X37-$M37)/$M37,3)</f>
        <v>0</v>
      </c>
      <c r="Z37" s="380"/>
      <c r="AA37" s="379">
        <f>$J35+ROUND(IF($G35&lt;$F35,($G35*Z35),IF($G35&gt;SUM($F35:$F36),(($F35*Z35)+(($G35-$F35)*Z36)),0)),2)</f>
        <v>500</v>
      </c>
      <c r="AB37" s="578">
        <f>ROUND(($AA37-$M37)/$M37,3)</f>
        <v>0</v>
      </c>
      <c r="AC37" s="379"/>
      <c r="AD37" s="379">
        <f>$J35+ROUND(IF($G35&lt;$F35,($G35*AC35),IF($G35&gt;SUM($F35:$F36),(($F35*AC35)+(($G35-$F35)*AC36)),0)),2)</f>
        <v>500</v>
      </c>
      <c r="AE37" s="578">
        <f>ROUND(($AD37-$M37)/$M37,3)</f>
        <v>0</v>
      </c>
      <c r="AF37" s="381"/>
      <c r="AG37" s="379">
        <f>$J35+ROUND(IF($G35&lt;$F35,($G35*AF35),IF($G35&gt;SUM($F35:$F36),(($F35*AF35)+(($G35-$F35)*AF36)),0)),2)</f>
        <v>500</v>
      </c>
      <c r="AH37" s="382">
        <f>ROUND((AG37-M37)/M37,3)</f>
        <v>0</v>
      </c>
      <c r="AI37" s="1259">
        <f t="shared" si="47"/>
        <v>0</v>
      </c>
      <c r="AJ37" s="381"/>
      <c r="AK37" s="379">
        <f>$J35+ROUND(IF($G35&lt;$F35,($G35*AJ35),IF($G35&gt;SUM($F35:$F36),(($F35*AJ35)+(($G35-$F35)*AJ36)),0)),2)</f>
        <v>500</v>
      </c>
      <c r="AL37" s="382">
        <f>ROUND((AK37-O37)/O37,3)</f>
        <v>0</v>
      </c>
      <c r="AM37" s="380"/>
      <c r="AN37" s="379">
        <f>$I35+ROUND(IF($H35&lt;$F35,($H35*AM35),IF($H35&gt;SUM($F35:$F36),(($F35*AM35)+(($H35-$F35)*AM36)),0)),2)</f>
        <v>500</v>
      </c>
      <c r="AO37" s="578">
        <f>ROUND((AN37-P37)/P37,3)</f>
        <v>0</v>
      </c>
      <c r="AP37" s="379"/>
      <c r="AQ37" s="379">
        <f>$J35+ROUND(IF($G35&lt;$F35,($G35*AP35),IF($G35&gt;SUM($F35:$F36),(($F35*AP35)+(($G35-$F35)*AP36)),0)),2)</f>
        <v>500</v>
      </c>
      <c r="AR37" s="578">
        <f>ROUND(($AQ37-$O37)/$O37,3)</f>
        <v>0</v>
      </c>
      <c r="AS37" s="381"/>
      <c r="AT37" s="379">
        <f>$J35+ROUND(IF($G35&lt;$F35,($G35*AS35),IF($G35&gt;SUM($F35:$F36),(($F35*AS35)+(($G35-$F35)*AS36)),0)),2)</f>
        <v>500</v>
      </c>
      <c r="AU37" s="382">
        <f>ROUND((AT37-O37)/O37,3)</f>
        <v>0</v>
      </c>
      <c r="AV37" s="1264">
        <f t="shared" si="51"/>
        <v>0</v>
      </c>
      <c r="AW37" s="370"/>
      <c r="AX37" s="370"/>
      <c r="AY37" s="370"/>
      <c r="AZ37" s="370"/>
      <c r="BA37" s="668" t="s">
        <v>392</v>
      </c>
    </row>
    <row r="38" spans="1:71" x14ac:dyDescent="0.2">
      <c r="A38" s="86">
        <f t="shared" si="14"/>
        <v>31</v>
      </c>
      <c r="B38" s="725" t="str">
        <f>'WA Volumes &amp; Revenues'!B33</f>
        <v>42C Firm Sales</v>
      </c>
      <c r="C38" s="875" t="s">
        <v>4</v>
      </c>
      <c r="D38" s="299">
        <f>'WA Volumes &amp; Revenues'!E33</f>
        <v>350769.66174469434</v>
      </c>
      <c r="E38" s="299">
        <f>'WA Volumes &amp; Revenues'!F33</f>
        <v>542975.5</v>
      </c>
      <c r="F38" s="299">
        <v>10000</v>
      </c>
      <c r="G38" s="300">
        <f>'WA Volumes &amp; Revenues'!I33</f>
        <v>11949</v>
      </c>
      <c r="H38" s="300">
        <f>'WA Volumes &amp; Revenues'!L33</f>
        <v>18685</v>
      </c>
      <c r="I38" s="879">
        <f>'WA Volumes &amp; Revenues'!O33</f>
        <v>1300</v>
      </c>
      <c r="J38" s="372">
        <f>'WA Volumes &amp; Revenues'!N33</f>
        <v>1300</v>
      </c>
      <c r="K38" s="122">
        <f>+'Rates in summary'!D32</f>
        <v>0.43535000000000001</v>
      </c>
      <c r="L38" s="122">
        <f>+'Rates in summary'!J32</f>
        <v>0.46075000000000005</v>
      </c>
      <c r="M38" s="372"/>
      <c r="N38" s="372"/>
      <c r="O38" s="966"/>
      <c r="P38" s="966"/>
      <c r="Q38" s="373">
        <f>'Rates in summary'!H32-'Rates in summary'!F32</f>
        <v>0.47721000000000002</v>
      </c>
      <c r="R38" s="372"/>
      <c r="S38" s="374"/>
      <c r="T38" s="373">
        <f>'Rates in summary'!I32</f>
        <v>0</v>
      </c>
      <c r="U38" s="372"/>
      <c r="V38" s="577"/>
      <c r="W38" s="373">
        <f>'Rates in Detail'!J31+'Rates in Detail'!P31</f>
        <v>0.43226000000000003</v>
      </c>
      <c r="X38" s="372"/>
      <c r="Y38" s="577"/>
      <c r="Z38" s="373">
        <f>'Rates in Detail'!J31+'Rates in Detail'!S31</f>
        <v>0.42475000000000002</v>
      </c>
      <c r="AA38" s="372"/>
      <c r="AB38" s="577"/>
      <c r="AC38" s="122">
        <f>'Rates in Detail'!J31+'Rates in Detail'!T31</f>
        <v>0.42949000000000004</v>
      </c>
      <c r="AD38" s="372"/>
      <c r="AE38" s="577"/>
      <c r="AF38" s="373">
        <f>'Rates in summary'!J32</f>
        <v>0.46075000000000005</v>
      </c>
      <c r="AG38" s="372"/>
      <c r="AH38" s="374"/>
      <c r="AI38" s="1258"/>
      <c r="AJ38" s="373">
        <f>L38+'Rates in summary'!K32</f>
        <v>0.48183000000000004</v>
      </c>
      <c r="AK38" s="372"/>
      <c r="AL38" s="374"/>
      <c r="AM38" s="373">
        <f>'Rates in summary'!O32</f>
        <v>0</v>
      </c>
      <c r="AN38" s="372"/>
      <c r="AO38" s="577"/>
      <c r="AP38" s="122">
        <f>'Rates in Detail'!W31+'Rates in Detail'!Z31</f>
        <v>0.46044999999999997</v>
      </c>
      <c r="AQ38" s="372"/>
      <c r="AR38" s="577"/>
      <c r="AS38" s="373">
        <f>'Rates in summary'!P32</f>
        <v>0.49798999999999999</v>
      </c>
      <c r="AT38" s="372"/>
      <c r="AU38" s="374"/>
      <c r="AV38" s="1263"/>
      <c r="BA38" s="668" t="s">
        <v>393</v>
      </c>
    </row>
    <row r="39" spans="1:71" ht="13.5" thickBot="1" x14ac:dyDescent="0.25">
      <c r="A39" s="86">
        <f t="shared" si="14"/>
        <v>32</v>
      </c>
      <c r="B39" s="725"/>
      <c r="C39" s="875" t="s">
        <v>5</v>
      </c>
      <c r="D39" s="299">
        <f>'WA Volumes &amp; Revenues'!E34</f>
        <v>303088.75426472601</v>
      </c>
      <c r="E39" s="299">
        <f>'WA Volumes &amp; Revenues'!F34</f>
        <v>474167</v>
      </c>
      <c r="F39" s="299">
        <v>20000</v>
      </c>
      <c r="G39" s="300"/>
      <c r="H39" s="300"/>
      <c r="I39" s="879"/>
      <c r="J39" s="372"/>
      <c r="K39" s="122">
        <f>+'Rates in summary'!D33</f>
        <v>0.41633999999999971</v>
      </c>
      <c r="L39" s="122">
        <f>+'Rates in summary'!J33</f>
        <v>0.43905999999999973</v>
      </c>
      <c r="M39" s="372"/>
      <c r="N39" s="372"/>
      <c r="O39" s="966"/>
      <c r="P39" s="966"/>
      <c r="Q39" s="373">
        <f>'Rates in summary'!H33-'Rates in summary'!F33</f>
        <v>0.4537999999999997</v>
      </c>
      <c r="R39" s="372"/>
      <c r="S39" s="374"/>
      <c r="T39" s="373">
        <f>'Rates in summary'!I33</f>
        <v>0</v>
      </c>
      <c r="U39" s="372"/>
      <c r="V39" s="577"/>
      <c r="W39" s="373">
        <f>'Rates in Detail'!J32+'Rates in Detail'!P32</f>
        <v>0.41356999999999972</v>
      </c>
      <c r="X39" s="372"/>
      <c r="Y39" s="577"/>
      <c r="Z39" s="373">
        <f>'Rates in Detail'!J32+'Rates in Detail'!S32</f>
        <v>0.40684999999999971</v>
      </c>
      <c r="AA39" s="372"/>
      <c r="AB39" s="577"/>
      <c r="AC39" s="122">
        <f>'Rates in Detail'!J32+'Rates in Detail'!T32</f>
        <v>0.41108999999999973</v>
      </c>
      <c r="AD39" s="372"/>
      <c r="AE39" s="577"/>
      <c r="AF39" s="373">
        <f>'Rates in summary'!J33</f>
        <v>0.43905999999999973</v>
      </c>
      <c r="AG39" s="372"/>
      <c r="AH39" s="374"/>
      <c r="AI39" s="1258"/>
      <c r="AJ39" s="373">
        <f>L39+'Rates in summary'!K33</f>
        <v>0.45791999999999972</v>
      </c>
      <c r="AK39" s="372"/>
      <c r="AL39" s="374"/>
      <c r="AM39" s="373">
        <f>'Rates in summary'!O33</f>
        <v>0</v>
      </c>
      <c r="AN39" s="372"/>
      <c r="AO39" s="577"/>
      <c r="AP39" s="122">
        <f>'Rates in Detail'!W32+'Rates in Detail'!Z32</f>
        <v>0.43878999999999968</v>
      </c>
      <c r="AQ39" s="372"/>
      <c r="AR39" s="577"/>
      <c r="AS39" s="373">
        <f>'Rates in summary'!P33</f>
        <v>0.4723899999999997</v>
      </c>
      <c r="AT39" s="372"/>
      <c r="AU39" s="374"/>
      <c r="AV39" s="1263"/>
      <c r="BF39" s="654"/>
    </row>
    <row r="40" spans="1:71" ht="13.5" thickBot="1" x14ac:dyDescent="0.25">
      <c r="A40" s="86">
        <f t="shared" si="14"/>
        <v>33</v>
      </c>
      <c r="B40" s="725"/>
      <c r="C40" s="875" t="s">
        <v>6</v>
      </c>
      <c r="D40" s="299">
        <f>'WA Volumes &amp; Revenues'!E35</f>
        <v>59441.942130257296</v>
      </c>
      <c r="E40" s="299">
        <f>'WA Volumes &amp; Revenues'!F35</f>
        <v>97890.5</v>
      </c>
      <c r="F40" s="299">
        <v>20000</v>
      </c>
      <c r="G40" s="300"/>
      <c r="H40" s="300"/>
      <c r="I40" s="879"/>
      <c r="J40" s="372"/>
      <c r="K40" s="122">
        <f>+'Rates in summary'!D34</f>
        <v>0.37851999999999986</v>
      </c>
      <c r="L40" s="122">
        <f>+'Rates in summary'!J34</f>
        <v>0.39595999999999987</v>
      </c>
      <c r="M40" s="372"/>
      <c r="N40" s="372"/>
      <c r="O40" s="966"/>
      <c r="P40" s="966"/>
      <c r="Q40" s="373">
        <f>'Rates in summary'!H34-'Rates in summary'!F34</f>
        <v>0.40725999999999984</v>
      </c>
      <c r="R40" s="372"/>
      <c r="S40" s="374"/>
      <c r="T40" s="373">
        <f>'Rates in summary'!I34</f>
        <v>0</v>
      </c>
      <c r="U40" s="372"/>
      <c r="V40" s="577"/>
      <c r="W40" s="373">
        <f>'Rates in Detail'!J33+'Rates in Detail'!P33</f>
        <v>0.37639999999999985</v>
      </c>
      <c r="X40" s="372"/>
      <c r="Y40" s="577"/>
      <c r="Z40" s="373">
        <f>'Rates in Detail'!J33+'Rates in Detail'!S33</f>
        <v>0.37123999999999985</v>
      </c>
      <c r="AA40" s="372"/>
      <c r="AB40" s="577"/>
      <c r="AC40" s="122">
        <f>'Rates in Detail'!J33+'Rates in Detail'!T33</f>
        <v>0.37449999999999983</v>
      </c>
      <c r="AD40" s="372"/>
      <c r="AE40" s="577"/>
      <c r="AF40" s="373">
        <f>'Rates in summary'!J34</f>
        <v>0.39595999999999987</v>
      </c>
      <c r="AG40" s="372"/>
      <c r="AH40" s="374"/>
      <c r="AI40" s="1258"/>
      <c r="AJ40" s="373">
        <f>L40+'Rates in summary'!K34</f>
        <v>0.41042999999999985</v>
      </c>
      <c r="AK40" s="372"/>
      <c r="AL40" s="374"/>
      <c r="AM40" s="373">
        <f>'Rates in summary'!O34</f>
        <v>0</v>
      </c>
      <c r="AN40" s="372"/>
      <c r="AO40" s="577"/>
      <c r="AP40" s="122">
        <f>'Rates in Detail'!W33+'Rates in Detail'!Z33</f>
        <v>0.39575999999999983</v>
      </c>
      <c r="AQ40" s="372"/>
      <c r="AR40" s="577"/>
      <c r="AS40" s="373">
        <f>'Rates in summary'!P34</f>
        <v>0.42152999999999985</v>
      </c>
      <c r="AT40" s="372"/>
      <c r="AU40" s="374"/>
      <c r="AV40" s="1263"/>
      <c r="BB40" s="1606" t="s">
        <v>565</v>
      </c>
      <c r="BC40" s="1607"/>
      <c r="BD40" s="1607"/>
      <c r="BE40" s="1607"/>
      <c r="BF40" s="1607"/>
      <c r="BG40" s="1608"/>
      <c r="BH40" s="1609" t="s">
        <v>566</v>
      </c>
      <c r="BI40" s="1610"/>
      <c r="BJ40" s="1610"/>
      <c r="BK40" s="1610"/>
      <c r="BL40" s="1610"/>
      <c r="BM40" s="1611"/>
    </row>
    <row r="41" spans="1:71" x14ac:dyDescent="0.2">
      <c r="A41" s="86">
        <f t="shared" si="14"/>
        <v>34</v>
      </c>
      <c r="B41" s="725"/>
      <c r="C41" s="875" t="s">
        <v>7</v>
      </c>
      <c r="D41" s="299">
        <f>'WA Volumes &amp; Revenues'!E36</f>
        <v>3614.6071898605187</v>
      </c>
      <c r="E41" s="299">
        <f>'WA Volumes &amp; Revenues'!F36</f>
        <v>6094</v>
      </c>
      <c r="F41" s="299">
        <v>100000</v>
      </c>
      <c r="G41" s="300"/>
      <c r="H41" s="300"/>
      <c r="I41" s="879"/>
      <c r="J41" s="372"/>
      <c r="K41" s="122">
        <f>+'Rates in summary'!D35</f>
        <v>0.35361000000000004</v>
      </c>
      <c r="L41" s="122">
        <f>+'Rates in summary'!J35</f>
        <v>0.36755000000000004</v>
      </c>
      <c r="M41" s="372"/>
      <c r="N41" s="372"/>
      <c r="O41" s="966"/>
      <c r="P41" s="966"/>
      <c r="Q41" s="373">
        <f>'Rates in summary'!H35-'Rates in summary'!F35</f>
        <v>0.37659000000000004</v>
      </c>
      <c r="R41" s="372"/>
      <c r="S41" s="374"/>
      <c r="T41" s="373">
        <f>'Rates in summary'!I35</f>
        <v>0</v>
      </c>
      <c r="U41" s="372"/>
      <c r="V41" s="577"/>
      <c r="W41" s="373">
        <f>'Rates in Detail'!J34+'Rates in Detail'!P34</f>
        <v>0.35191000000000006</v>
      </c>
      <c r="X41" s="372"/>
      <c r="Y41" s="577"/>
      <c r="Z41" s="373">
        <f>'Rates in Detail'!J34+'Rates in Detail'!S34</f>
        <v>0.34779000000000004</v>
      </c>
      <c r="AA41" s="372"/>
      <c r="AB41" s="577"/>
      <c r="AC41" s="122">
        <f>'Rates in Detail'!J34+'Rates in Detail'!T34</f>
        <v>0.35039000000000003</v>
      </c>
      <c r="AD41" s="372"/>
      <c r="AE41" s="577"/>
      <c r="AF41" s="373">
        <f>'Rates in summary'!J35</f>
        <v>0.36755000000000004</v>
      </c>
      <c r="AG41" s="372"/>
      <c r="AH41" s="374"/>
      <c r="AI41" s="1258"/>
      <c r="AJ41" s="373">
        <f>L41+'Rates in summary'!K35</f>
        <v>0.37912000000000007</v>
      </c>
      <c r="AK41" s="372"/>
      <c r="AL41" s="374"/>
      <c r="AM41" s="373">
        <f>'Rates in summary'!O35</f>
        <v>0</v>
      </c>
      <c r="AN41" s="372"/>
      <c r="AO41" s="577"/>
      <c r="AP41" s="122">
        <f>'Rates in Detail'!W34+'Rates in Detail'!Z34</f>
        <v>0.36739000000000005</v>
      </c>
      <c r="AQ41" s="372"/>
      <c r="AR41" s="577"/>
      <c r="AS41" s="373">
        <f>'Rates in summary'!P35</f>
        <v>0.38800000000000007</v>
      </c>
      <c r="AT41" s="372"/>
      <c r="AU41" s="374"/>
      <c r="AV41" s="1263"/>
      <c r="BA41" s="890" t="s">
        <v>269</v>
      </c>
      <c r="BB41" s="1285" t="s">
        <v>557</v>
      </c>
      <c r="BC41" s="741" t="s">
        <v>557</v>
      </c>
      <c r="BD41" s="1214"/>
      <c r="BE41" s="1214"/>
      <c r="BF41" s="1602" t="s">
        <v>268</v>
      </c>
      <c r="BG41" s="1604" t="s">
        <v>270</v>
      </c>
      <c r="BH41" s="1285" t="s">
        <v>557</v>
      </c>
      <c r="BI41" s="741" t="s">
        <v>557</v>
      </c>
      <c r="BJ41" s="1214"/>
      <c r="BK41" s="1214"/>
      <c r="BL41" s="1602" t="s">
        <v>268</v>
      </c>
      <c r="BM41" s="1604" t="s">
        <v>270</v>
      </c>
    </row>
    <row r="42" spans="1:71" x14ac:dyDescent="0.2">
      <c r="A42" s="86">
        <f t="shared" si="14"/>
        <v>35</v>
      </c>
      <c r="B42" s="725"/>
      <c r="C42" s="875" t="s">
        <v>8</v>
      </c>
      <c r="D42" s="299">
        <f>'WA Volumes &amp; Revenues'!E37</f>
        <v>0</v>
      </c>
      <c r="E42" s="299">
        <f>'WA Volumes &amp; Revenues'!F37</f>
        <v>0</v>
      </c>
      <c r="F42" s="299">
        <v>600000</v>
      </c>
      <c r="G42" s="300"/>
      <c r="H42" s="300"/>
      <c r="I42" s="879"/>
      <c r="J42" s="372"/>
      <c r="K42" s="122">
        <f>+'Rates in summary'!D36</f>
        <v>0.32038</v>
      </c>
      <c r="L42" s="122">
        <f>+'Rates in summary'!J36</f>
        <v>0.32967000000000002</v>
      </c>
      <c r="M42" s="372"/>
      <c r="N42" s="372"/>
      <c r="O42" s="966"/>
      <c r="P42" s="966"/>
      <c r="Q42" s="373">
        <f>'Rates in summary'!H36-'Rates in summary'!F36</f>
        <v>0.3357</v>
      </c>
      <c r="R42" s="372"/>
      <c r="S42" s="374"/>
      <c r="T42" s="373">
        <f>'Rates in summary'!I36</f>
        <v>0</v>
      </c>
      <c r="U42" s="372"/>
      <c r="V42" s="577"/>
      <c r="W42" s="373">
        <f>'Rates in Detail'!J35+'Rates in Detail'!P35</f>
        <v>0.31924999999999998</v>
      </c>
      <c r="X42" s="372"/>
      <c r="Y42" s="577"/>
      <c r="Z42" s="373">
        <f>'Rates in Detail'!J35+'Rates in Detail'!S35</f>
        <v>0.3165</v>
      </c>
      <c r="AA42" s="372"/>
      <c r="AB42" s="577"/>
      <c r="AC42" s="122">
        <f>'Rates in Detail'!J35+'Rates in Detail'!T35</f>
        <v>0.31823000000000001</v>
      </c>
      <c r="AD42" s="372"/>
      <c r="AE42" s="577"/>
      <c r="AF42" s="373">
        <f>'Rates in summary'!J36</f>
        <v>0.32967000000000002</v>
      </c>
      <c r="AG42" s="372"/>
      <c r="AH42" s="374"/>
      <c r="AI42" s="1258"/>
      <c r="AJ42" s="373">
        <f>L42+'Rates in summary'!K36</f>
        <v>0.33738000000000001</v>
      </c>
      <c r="AK42" s="372"/>
      <c r="AL42" s="374"/>
      <c r="AM42" s="373">
        <f>'Rates in summary'!O36</f>
        <v>0</v>
      </c>
      <c r="AN42" s="372"/>
      <c r="AO42" s="577"/>
      <c r="AP42" s="122">
        <f>'Rates in Detail'!W35+'Rates in Detail'!Z35</f>
        <v>0.32956000000000002</v>
      </c>
      <c r="AQ42" s="372"/>
      <c r="AR42" s="577"/>
      <c r="AS42" s="373">
        <f>'Rates in summary'!P36</f>
        <v>0.34329999999999999</v>
      </c>
      <c r="AT42" s="372"/>
      <c r="AU42" s="374"/>
      <c r="AV42" s="1263"/>
      <c r="BA42" s="891" t="s">
        <v>2</v>
      </c>
      <c r="BB42" s="459" t="s">
        <v>556</v>
      </c>
      <c r="BC42" s="722" t="s">
        <v>558</v>
      </c>
      <c r="BD42" s="1153"/>
      <c r="BE42" s="1153"/>
      <c r="BF42" s="1603"/>
      <c r="BG42" s="1605"/>
      <c r="BH42" s="459" t="s">
        <v>556</v>
      </c>
      <c r="BI42" s="722" t="s">
        <v>558</v>
      </c>
      <c r="BJ42" s="1153"/>
      <c r="BK42" s="1153"/>
      <c r="BL42" s="1603"/>
      <c r="BM42" s="1605"/>
      <c r="BR42" s="1289" t="s">
        <v>422</v>
      </c>
      <c r="BS42" s="1289" t="s">
        <v>417</v>
      </c>
    </row>
    <row r="43" spans="1:71" x14ac:dyDescent="0.2">
      <c r="A43" s="86">
        <f t="shared" si="14"/>
        <v>36</v>
      </c>
      <c r="B43" s="725"/>
      <c r="C43" s="875" t="s">
        <v>9</v>
      </c>
      <c r="D43" s="299">
        <f>'WA Volumes &amp; Revenues'!E38</f>
        <v>0</v>
      </c>
      <c r="E43" s="299">
        <f>'WA Volumes &amp; Revenues'!F38</f>
        <v>0</v>
      </c>
      <c r="F43" s="371" t="s">
        <v>74</v>
      </c>
      <c r="G43" s="300"/>
      <c r="H43" s="300"/>
      <c r="I43" s="879"/>
      <c r="J43" s="372"/>
      <c r="K43" s="122">
        <f>+'Rates in summary'!D37</f>
        <v>0.27890000000000004</v>
      </c>
      <c r="L43" s="122">
        <f>+'Rates in summary'!J37</f>
        <v>0.28240000000000004</v>
      </c>
      <c r="M43" s="372"/>
      <c r="N43" s="372"/>
      <c r="O43" s="966"/>
      <c r="P43" s="966"/>
      <c r="Q43" s="373">
        <f>'Rates in summary'!H37-'Rates in summary'!F37</f>
        <v>0.28465000000000001</v>
      </c>
      <c r="R43" s="372"/>
      <c r="S43" s="374"/>
      <c r="T43" s="373">
        <f>'Rates in summary'!I37</f>
        <v>0</v>
      </c>
      <c r="U43" s="372"/>
      <c r="V43" s="577"/>
      <c r="W43" s="373">
        <f>'Rates in Detail'!J36+'Rates in Detail'!P36</f>
        <v>0.27848000000000006</v>
      </c>
      <c r="X43" s="372"/>
      <c r="Y43" s="577"/>
      <c r="Z43" s="373">
        <f>'Rates in Detail'!J36+'Rates in Detail'!S36</f>
        <v>0.27745000000000003</v>
      </c>
      <c r="AA43" s="372"/>
      <c r="AB43" s="577"/>
      <c r="AC43" s="122">
        <f>'Rates in Detail'!J36+'Rates in Detail'!T36</f>
        <v>0.27810000000000001</v>
      </c>
      <c r="AD43" s="372"/>
      <c r="AE43" s="577"/>
      <c r="AF43" s="373">
        <f>'Rates in summary'!J37</f>
        <v>0.28240000000000004</v>
      </c>
      <c r="AG43" s="372"/>
      <c r="AH43" s="374"/>
      <c r="AI43" s="1258"/>
      <c r="AJ43" s="373">
        <f>L43+'Rates in summary'!K37</f>
        <v>0.28529000000000004</v>
      </c>
      <c r="AK43" s="372"/>
      <c r="AL43" s="374"/>
      <c r="AM43" s="373">
        <f>'Rates in summary'!O37</f>
        <v>0</v>
      </c>
      <c r="AN43" s="372"/>
      <c r="AO43" s="577"/>
      <c r="AP43" s="122">
        <f>'Rates in Detail'!W36+'Rates in Detail'!Z36</f>
        <v>0.28236000000000006</v>
      </c>
      <c r="AQ43" s="372"/>
      <c r="AR43" s="577"/>
      <c r="AS43" s="373">
        <f>'Rates in summary'!P37</f>
        <v>0.28750000000000003</v>
      </c>
      <c r="AT43" s="372"/>
      <c r="AU43" s="374"/>
      <c r="AV43" s="1263"/>
      <c r="BA43" s="892" t="s">
        <v>281</v>
      </c>
      <c r="BB43" s="662">
        <f>M14</f>
        <v>28.14</v>
      </c>
      <c r="BC43" s="372">
        <f t="shared" ref="BC43:BC48" si="61">AG14</f>
        <v>29.6</v>
      </c>
      <c r="BF43" s="1284">
        <f>BC43-BB43</f>
        <v>1.4600000000000009</v>
      </c>
      <c r="BG43" s="1286">
        <f>SUM(BC43-BB43)/BB43</f>
        <v>5.1883439943141464E-2</v>
      </c>
      <c r="BH43" s="662">
        <f t="shared" ref="BH43:BH48" si="62">O14</f>
        <v>29.6</v>
      </c>
      <c r="BI43" s="372">
        <f t="shared" ref="BI43:BI48" si="63">AT14</f>
        <v>31.75</v>
      </c>
      <c r="BL43" s="1284">
        <f>BI43-BH43</f>
        <v>2.1499999999999986</v>
      </c>
      <c r="BM43" s="1286">
        <f>SUM(BI43-BH43)/BH43</f>
        <v>7.2635135135135087E-2</v>
      </c>
      <c r="BN43" s="293" t="s">
        <v>264</v>
      </c>
    </row>
    <row r="44" spans="1:71" x14ac:dyDescent="0.2">
      <c r="A44" s="86">
        <f t="shared" si="14"/>
        <v>37</v>
      </c>
      <c r="B44" s="723"/>
      <c r="C44" s="876" t="s">
        <v>78</v>
      </c>
      <c r="D44" s="375"/>
      <c r="E44" s="375"/>
      <c r="F44" s="376"/>
      <c r="G44" s="377"/>
      <c r="H44" s="377"/>
      <c r="I44" s="880"/>
      <c r="J44" s="379"/>
      <c r="K44" s="378"/>
      <c r="L44" s="378"/>
      <c r="M44" s="379">
        <f>$I38+ROUND(IF($G38&lt;$F38,($G38*K38),IF($G38&lt;SUM($F38:$F39),(($F38*K38)+(($G38-$F38)*K39)),IF($G38&lt;SUM($F38:$F40),(($F38*K38)+($F39*K39)+(($G38-$F38-$F39)*K40)),IF($G38&lt;SUM($F38:$F41),(($F38*K38)+($F39*K39)+($F40*K40)+(($G38-SUM($F38:$F40))*K41)),IF($G38&lt;SUM($F38:$F42),(($F38*K38)+($F39*K39)+($F40*K40)+($F41*K41)+(($G38-SUM($F38:$F41))*K42)),(($F38*K38)+($F39*K39)+($F40*K40)+($F41*K40)+($F42*K42)+(($G38-SUM($F38:$F42))*K43))))))),2)</f>
        <v>6464.95</v>
      </c>
      <c r="N44" s="379">
        <f>$I38+ROUND(IF($H38&lt;$F38,($H38*K38),IF($H38&lt;SUM($F38:$F39),(($F38*K38)+(($H38-$F38)*K39)),IF($H38&lt;SUM($F38:$F40),(($F38*K38)+($F39*K39)+(($H38-$F38-$F39)*K40)),IF($H38&lt;SUM($F38:$F41),(($F38*K38)+($F39*K39)+($F40*K40)+(($H38-SUM($F38:$F40))*K41)),IF($H38&lt;SUM($F38:$F42),(($F38*K38)+($F39*K39)+($F40*K40)+($F41*K41)+(($H38-SUM($F38:$F41))*K42)),(($F38*K38)+($F39*K39)+($F40*K40)+($F41*K40)+($F42*K42)+(($H38-SUM($F38:$F42))*K43))))))),2)</f>
        <v>9269.41</v>
      </c>
      <c r="O44" s="379">
        <f>$I38+ROUND(IF($G38&lt;$F38,($G38*L38),IF($G38&lt;SUM($F38:$F39),(($F38*L38)+(($G38-$F38)*L39)),IF($G38&lt;SUM($F38:$F40),(($F38*L38)+($F39*L39)+(($G38-$F38-$F39)*L40)),IF($G38&lt;SUM($F38:$F41),(($F38*L38)+($F39*L39)+($F40*L40)+(($G38-SUM($F38:$F40))*L41)),IF($G38&lt;SUM($F38:$F42),(($F38*L38)+($F39*L39)+($F40*L40)+($F41*L41)+(($G38-SUM($F38:$F41))*L42)),(($F38*L38)+($F39*L39)+($F40*L40)+($F41*L40)+($F42*L42)+(($G38-SUM($F38:$F42))*L43))))))),2)</f>
        <v>6763.23</v>
      </c>
      <c r="P44" s="379">
        <f>$I38+ROUND(IF($H38&lt;$F38,($H38*L38),IF($H38&lt;SUM($F38:$F39),(($F38*L38)+(($H38-$F38)*L39)),IF($H38&lt;SUM($F38:$F40),(($F38*L38)+($F39*L39)+(($H38-$F38-$F39)*L40)),IF($H38&lt;SUM($F38:$F41),(($F38*L38)+($F39*L39)+($F40*L40)+(($H38-SUM($F38:$F40))*L41)),IF($H38&lt;SUM($F38:$F42),(($F38*L38)+($F39*L39)+($F40*L40)+($F41*LB41)+(($H38-SUM($F38:$F41))*L42)),(($F38*L38)+($F39*L39)+($F40*L40)+($F41*L40)+($F42*L42)+(($H38-SUM($F38:$F42))*L43))))))),2)</f>
        <v>9720.74</v>
      </c>
      <c r="Q44" s="381"/>
      <c r="R44" s="379">
        <f>$J38+ROUND(IF($G38&lt;$F38,($G38*Q38),IF($G38&lt;SUM($F38:$F39),(($F38*Q38)+(($G38-$F38)*Q39)),IF($G38&lt;SUM($F38:$F40),(($F38*Q38)+($F39*Q39)+(($G38-$F38-$F39)*Q40)),IF($G38&lt;SUM($F38:$F41),(($F38*Q38)+($F39*Q39)+($F40*Q40)+(($G38-SUM($F38:$F40))*Q41)),IF($G38&lt;SUM($F38:$F42),(($F38*Q38)+($F39*Q39)+($F40*Q40)+($F41*Q41)+(($G38-SUM($F38:$F41))*Q42)),(($F38*Q38)+($F39*Q39)+($F40*Q40)+($F41*Q40)+($F42*Q42)+(($G38-SUM($F38:$F42))*Q43))))))),2)</f>
        <v>6956.56</v>
      </c>
      <c r="S44" s="382">
        <f>ROUND((R44-M44)/M44,3)</f>
        <v>7.5999999999999998E-2</v>
      </c>
      <c r="T44" s="380"/>
      <c r="U44" s="379">
        <f>$I38+ROUND(IF($H38&lt;$F38,($H38*T38),IF($H38&lt;SUM($F38:$F39),(($F38*T38)+(($H38-$F38)*T39)),IF($H38&lt;SUM($F38:$F40),(($F38*T38)+($F39*T39)+(($H38-$F38-$F39)*T40)),IF($H38&lt;SUM($F38:$F41),(($F38*T38)+($F39*T39)+($F40*T40)+(($H38-SUM($F38:$F40))*T41)),IF($H38&lt;SUM($F38:$F42),(($F38*T38)+($F39*T39)+($F40*T40)+($F41*T41)+(($H38-SUM($F38:$F41))*T42)),(($F38*T38)+($F39*T39)+($F40*T40)+($F41*T40)+($F42*T42)+(($H38-SUM($F38:$F42))*T43))))))),2)</f>
        <v>1300</v>
      </c>
      <c r="V44" s="578">
        <f>ROUND((U44-N44)/N44,3)</f>
        <v>-0.86</v>
      </c>
      <c r="W44" s="380"/>
      <c r="X44" s="379">
        <f>$J38+ROUND(IF($G38&lt;$F38,($G38*W38),IF($G38&lt;SUM($F38:$F39),(($F38*W38)+(($G38-$F38)*W39)),IF($G38&lt;SUM($F38:$F40),(($F38*W38)+($F39*W39)+(($G38-$F38-$F39)*W40)),IF($G38&lt;SUM($F38:$F41),(($F38*W38)+($F39*W39)+($F40*W40)+(($G38-SUM($F38:$F40))*W41)),IF($G38&lt;SUM($F38:$F42),(($F38*W38)+($F39*W39)+($F40*W40)+($F41*W41)+(($G38-SUM($F38:$F41))*W42)),(($F38*W38)+($F39*W39)+($F40*W40)+($F41*W40)+($F42*W42)+(($G38-SUM($F38:$F42))*W43))))))),2)</f>
        <v>6428.65</v>
      </c>
      <c r="Y44" s="578">
        <f t="shared" ref="Y44" si="64">ROUND(($X44-$M44)/$M44,3)</f>
        <v>-6.0000000000000001E-3</v>
      </c>
      <c r="Z44" s="380"/>
      <c r="AA44" s="379">
        <f>$J38+ROUND(IF($G38&lt;$F38,($G38*Z38),IF($G38&lt;SUM($F38:$F39),(($F38*Z38)+(($G38-$F38)*Z39)),IF($G38&lt;SUM($F38:$F40),(($F38*Z38)+($F39*Z39)+(($G38-$F38-$F39)*Z40)),IF($G38&lt;SUM($F38:$F41),(($F38*Z38)+($F39*Z39)+($F40*Z40)+(($G38-SUM($F38:$F40))*Z41)),IF($G38&lt;SUM($F38:$F42),(($F38*Z38)+($F39*Z39)+($F40*Z40)+($F41*Z41)+(($G38-SUM($F38:$F41))*Z42)),(($F38*Z38)+($F39*Z39)+($F40*Z40)+($F41*Z40)+($F42*Z42)+(($G38-SUM($F38:$F42))*Z43))))))),2)</f>
        <v>6340.45</v>
      </c>
      <c r="AB44" s="578">
        <f>ROUND(($AA44-$M44)/$M44,3)</f>
        <v>-1.9E-2</v>
      </c>
      <c r="AC44" s="379"/>
      <c r="AD44" s="379">
        <f>$J38+ROUND(IF($G38&lt;$F38,($G38*AC38),IF($G38&lt;SUM($F38:$F39),(($F38*AC38)+(($G38-$F38)*AC39)),IF($G38&lt;SUM($F38:$F40),(($F38*AC38)+($F39*AC39)+(($G38-$F38-$F39)*AC40)),IF($G38&lt;SUM($F38:$F41),(($F38*AC38)+($F39*AC39)+($F40*AC40)+(($G38-SUM($F38:$F40))*AC41)),IF($G38&lt;SUM($F38:$F42),(($F38*AC38)+($F39*AC39)+($F40*AC40)+($F41*AC41)+(($G38-SUM($F38:$F41))*AC42)),(($F38*AC38)+($F39*AC39)+($F40*AC40)+($F41*AC40)+($F42*AC42)+(($G38-SUM($F38:$F42))*AC43))))))),2)</f>
        <v>6396.11</v>
      </c>
      <c r="AE44" s="578">
        <f>ROUND(($AD44-$M44)/$M44,3)</f>
        <v>-1.0999999999999999E-2</v>
      </c>
      <c r="AF44" s="381"/>
      <c r="AG44" s="379">
        <f>$J38+ROUND(IF($G38&lt;$F38,($G38*AF38),IF($G38&lt;SUM($F38:$F39),(($F38*AF38)+(($G38-$F38)*AF39)),IF($G38&lt;SUM($F38:$F40),(($F38*AF38)+($F39*AF39)+(($G38-$F38-$F39)*AF40)),IF($G38&lt;SUM($F38:$F41),(($F38*AF38)+($F39*AF39)+($F40*AF40)+(($G38-SUM($F38:$F40))*AF41)),IF($G38&lt;SUM($F38:$F42),(($F38*AF38)+($F39*AF39)+($F40*AF40)+($F41*AF41)+(($G38-SUM($F38:$F41))*AF42)),(($F38*AF38)+($F39*AF39)+($F40*AF40)+($F41*AF40)+($F42*AF42)+(($G38-SUM($F38:$F42))*AF43))))))),2)</f>
        <v>6763.23</v>
      </c>
      <c r="AH44" s="382">
        <f>ROUND((AG44-M44)/M44,3)</f>
        <v>4.5999999999999999E-2</v>
      </c>
      <c r="AI44" s="1259">
        <f t="shared" si="47"/>
        <v>298.27999999999975</v>
      </c>
      <c r="AJ44" s="381"/>
      <c r="AK44" s="379">
        <f>$J38+ROUND(IF($G38&lt;$F38,($G38*AJ38),IF($G38&lt;SUM($F38:$F39),(($F38*AJ38)+(($G38-$F38)*AJ39)),IF($G38&lt;SUM($F38:$F40),(($F38*AJ38)+($F39*AJ39)+(($G38-$F38-$F39)*AJ40)),IF($G38&lt;SUM($F38:$F41),(($F38*AJ38)+($F39*AJ39)+($F40*AJ40)+(($G38-SUM($F38:$F40))*AJ41)),IF($G38&lt;SUM($F38:$F42),(($F38*AJ38)+($F39*AJ39)+($F40*AJ40)+($F41*AJ41)+(($G38-SUM($F38:$F41))*AJ42)),(($F38*AJ38)+($F39*AJ39)+($F40*AJ40)+($F41*AJ40)+($F42*AJ42)+(($G38-SUM($F38:$F42))*AJ43))))))),2)</f>
        <v>7010.79</v>
      </c>
      <c r="AL44" s="382">
        <f>ROUND((AK44-O44)/O44,3)</f>
        <v>3.6999999999999998E-2</v>
      </c>
      <c r="AM44" s="380"/>
      <c r="AN44" s="379">
        <f>$I38+ROUND(IF($H38&lt;$F38,($H38*AM38),IF($H38&lt;SUM($F38:$F39),(($F38*AM38)+(($H38-$F38)*AM39)),IF($H38&lt;SUM($F38:$F40),(($F38*AM38)+($F39*AM39)+(($H38-$F38-$F39)*AM40)),IF($H38&lt;SUM($F38:$F41),(($F38*AM38)+($F39*AM39)+($F40*AM40)+(($H38-SUM($F38:$F40))*AM41)),IF($H38&lt;SUM($F38:$F42),(($F38*AM38)+($F39*AM39)+($F40*AM40)+($F41*AM41)+(($H38-SUM($F38:$F41))*AM42)),(($F38*AM38)+($F39*AM39)+($F40*AM40)+($F41*AM40)+($F42*AM42)+(($H38-SUM($F38:$F42))*AM43))))))),2)</f>
        <v>1300</v>
      </c>
      <c r="AO44" s="578">
        <f>ROUND((AN44-P44)/P44,3)</f>
        <v>-0.86599999999999999</v>
      </c>
      <c r="AP44" s="379"/>
      <c r="AQ44" s="379">
        <f>$J38+ROUND(IF($G38&lt;$F38,($G38*AP38),IF($G38&lt;SUM($F38:$F39),(($F38*AP38)+(($G38-$F38)*AP39)),IF($G38&lt;SUM($F38:$F40),(($F38*AP38)+($F39*AP39)+(($G38-$F38-$F39)*AP40)),IF($G38&lt;SUM($F38:$F41),(($F38*AP38)+($F39*AP39)+($F40*AP40)+(($G38-SUM($F38:$F40))*AP41)),IF($G38&lt;SUM($F38:$F42),(($F38*AP38)+($F39*AP39)+($F40*AP40)+($F41*AP41)+(($G38-SUM($F38:$F41))*AP42)),(($F38*AP38)+($F39*AP39)+($F40*AP40)+($F41*AP40)+($F42*AP42)+(($G38-SUM($F38:$F42))*AP43))))))),2)</f>
        <v>6759.7</v>
      </c>
      <c r="AR44" s="578">
        <f>ROUND(($AQ44-$O44)/$O44,3)</f>
        <v>-1E-3</v>
      </c>
      <c r="AS44" s="381"/>
      <c r="AT44" s="379">
        <f>$J38+ROUND(IF($G38&lt;$F38,($G38*AS38),IF($G38&lt;SUM($F38:$F39),(($F38*AS38)+(($G38-$F38)*AS39)),IF($G38&lt;SUM($F38:$F40),(($F38*AS38)+($F39*AS39)+(($G38-$F38-$F39)*AS40)),IF($G38&lt;SUM($F38:$F41),(($F38*AS38)+($F39*AS39)+($F40*AS40)+(($G38-SUM($F38:$F40))*AS41)),IF($G38&lt;SUM($F38:$F42),(($F38*AS38)+($F39*AS39)+($F40*AS40)+($F41*AS41)+(($G38-SUM($F38:$F41))*AS42)),(($F38*AS38)+($F39*AS39)+($F40*AS40)+($F41*AS40)+($F42*AS42)+(($G38-SUM($F38:$F42))*AS43))))))),2)</f>
        <v>7200.59</v>
      </c>
      <c r="AU44" s="382">
        <f>ROUND((AT44-O44)/O44,3)</f>
        <v>6.5000000000000002E-2</v>
      </c>
      <c r="AV44" s="1264">
        <f t="shared" si="51"/>
        <v>437.36000000000058</v>
      </c>
      <c r="AW44" s="370"/>
      <c r="AX44" s="370"/>
      <c r="AY44" s="370"/>
      <c r="AZ44" s="370"/>
      <c r="BA44" s="893" t="s">
        <v>282</v>
      </c>
      <c r="BB44" s="662">
        <f t="shared" ref="BB44:BB48" si="65">M15</f>
        <v>142.66</v>
      </c>
      <c r="BC44" s="372">
        <f t="shared" si="61"/>
        <v>149.75</v>
      </c>
      <c r="BF44" s="1284">
        <f t="shared" ref="BF44:BF65" si="66">BC44-BB44</f>
        <v>7.0900000000000034</v>
      </c>
      <c r="BG44" s="1286">
        <f t="shared" ref="BG44:BG65" si="67">SUM(BC44-BB44)/BB44</f>
        <v>4.9698584045983485E-2</v>
      </c>
      <c r="BH44" s="662">
        <f t="shared" si="62"/>
        <v>149.75</v>
      </c>
      <c r="BI44" s="372">
        <f t="shared" si="63"/>
        <v>160.13999999999999</v>
      </c>
      <c r="BL44" s="1284">
        <f t="shared" ref="BL44:BL65" si="68">BI44-BH44</f>
        <v>10.389999999999986</v>
      </c>
      <c r="BM44" s="1286">
        <f t="shared" ref="BM44:BM65" si="69">SUM(BI44-BH44)/BH44</f>
        <v>6.9382303839732803E-2</v>
      </c>
      <c r="BN44" s="293" t="s">
        <v>26</v>
      </c>
      <c r="BQ44" s="653" t="s">
        <v>264</v>
      </c>
      <c r="BR44" s="372">
        <f>SUMIF($BN$43:$BN$65,BQ44,$BC$43:$BC$65)-SUMIF($BN$43:$BN$65,BQ44,$BB$43:$BB$65)</f>
        <v>4.1300000000000097</v>
      </c>
      <c r="BS44" s="372">
        <f>SUMIF($BN$43:$BN$65,BQ44,$BI$43:$BI$65)-SUMIF($BN$43:$BN$65,BQ44,$BH$43:$BH$65)</f>
        <v>6.0699999999999932</v>
      </c>
    </row>
    <row r="45" spans="1:71" x14ac:dyDescent="0.2">
      <c r="A45" s="86">
        <f t="shared" si="14"/>
        <v>38</v>
      </c>
      <c r="B45" s="725" t="str">
        <f>'WA Volumes &amp; Revenues'!B39</f>
        <v>42I Firm Sales</v>
      </c>
      <c r="C45" s="875" t="s">
        <v>4</v>
      </c>
      <c r="D45" s="299">
        <f>'WA Volumes &amp; Revenues'!E39</f>
        <v>1093724.2000000002</v>
      </c>
      <c r="E45" s="299">
        <f>'WA Volumes &amp; Revenues'!F39</f>
        <v>1086353</v>
      </c>
      <c r="F45" s="299">
        <v>10000</v>
      </c>
      <c r="G45" s="300">
        <f>'WA Volumes &amp; Revenues'!I39</f>
        <v>12869</v>
      </c>
      <c r="H45" s="300">
        <f>'WA Volumes &amp; Revenues'!L39</f>
        <v>13593</v>
      </c>
      <c r="I45" s="879">
        <f>'WA Volumes &amp; Revenues'!O39</f>
        <v>1300</v>
      </c>
      <c r="J45" s="372">
        <f>'WA Volumes &amp; Revenues'!N39</f>
        <v>1300</v>
      </c>
      <c r="K45" s="122">
        <f>+'Rates in summary'!D38</f>
        <v>0.40593000000000001</v>
      </c>
      <c r="L45" s="122">
        <f>+'Rates in summary'!J38</f>
        <v>0.43795000000000001</v>
      </c>
      <c r="M45" s="372"/>
      <c r="N45" s="372"/>
      <c r="O45" s="966"/>
      <c r="P45" s="966"/>
      <c r="Q45" s="373">
        <f>'Rates in summary'!H38-'Rates in summary'!F38</f>
        <v>0.44316</v>
      </c>
      <c r="R45" s="372"/>
      <c r="S45" s="374"/>
      <c r="T45" s="373">
        <f>'Rates in summary'!I38</f>
        <v>0</v>
      </c>
      <c r="U45" s="372"/>
      <c r="V45" s="577"/>
      <c r="W45" s="373">
        <f>'Rates in Detail'!J37+'Rates in Detail'!P37</f>
        <v>0.40318000000000004</v>
      </c>
      <c r="X45" s="372"/>
      <c r="Y45" s="577"/>
      <c r="Z45" s="373">
        <f>'Rates in Detail'!J37+'Rates in Detail'!S37</f>
        <v>0.40593000000000001</v>
      </c>
      <c r="AA45" s="372"/>
      <c r="AB45" s="577"/>
      <c r="AC45" s="122">
        <f>'Rates in Detail'!J37+'Rates in Detail'!T37</f>
        <v>0.40072000000000002</v>
      </c>
      <c r="AD45" s="372"/>
      <c r="AE45" s="577"/>
      <c r="AF45" s="373">
        <f>'Rates in summary'!J38</f>
        <v>0.43795000000000001</v>
      </c>
      <c r="AG45" s="372"/>
      <c r="AH45" s="374"/>
      <c r="AI45" s="1258"/>
      <c r="AJ45" s="373">
        <f>L45+'Rates in summary'!K38</f>
        <v>0.45669999999999999</v>
      </c>
      <c r="AK45" s="372"/>
      <c r="AL45" s="374"/>
      <c r="AM45" s="373">
        <f>'Rates in summary'!O38</f>
        <v>0</v>
      </c>
      <c r="AN45" s="372"/>
      <c r="AO45" s="577"/>
      <c r="AP45" s="122">
        <f>'Rates in Detail'!W37+'Rates in Detail'!Z37</f>
        <v>0.43768000000000007</v>
      </c>
      <c r="AQ45" s="372"/>
      <c r="AR45" s="577"/>
      <c r="AS45" s="373">
        <f>'Rates in summary'!P38</f>
        <v>0.46163999999999999</v>
      </c>
      <c r="AT45" s="372"/>
      <c r="AU45" s="374"/>
      <c r="AV45" s="1263"/>
      <c r="BA45" s="893" t="s">
        <v>12</v>
      </c>
      <c r="BB45" s="662">
        <f t="shared" si="65"/>
        <v>58.21</v>
      </c>
      <c r="BC45" s="372">
        <f t="shared" si="61"/>
        <v>60.88</v>
      </c>
      <c r="BF45" s="1284">
        <f t="shared" si="66"/>
        <v>2.6700000000000017</v>
      </c>
      <c r="BG45" s="1286">
        <f t="shared" si="67"/>
        <v>4.5868407490121998E-2</v>
      </c>
      <c r="BH45" s="662">
        <f t="shared" si="62"/>
        <v>60.88</v>
      </c>
      <c r="BI45" s="372">
        <f t="shared" si="63"/>
        <v>64.8</v>
      </c>
      <c r="BL45" s="1284">
        <f t="shared" si="68"/>
        <v>3.9199999999999946</v>
      </c>
      <c r="BM45" s="1286">
        <f t="shared" si="69"/>
        <v>6.4388961892246951E-2</v>
      </c>
      <c r="BN45" s="293" t="s">
        <v>264</v>
      </c>
      <c r="BQ45" s="653" t="s">
        <v>26</v>
      </c>
      <c r="BR45" s="372">
        <f>SUMIF($BN$43:$BN$65,BQ45,$BC$43:$BC$65)-SUMIF($BN$43:$BN$65,BQ45,$BB$43:$BB$65)</f>
        <v>425.46000000000095</v>
      </c>
      <c r="BS45" s="372">
        <f t="shared" ref="BS45:BS48" si="70">SUMIF($BN$43:$BN$65,BQ45,$BI$43:$BI$65)-SUMIF($BN$43:$BN$65,BQ45,$BH$43:$BH$65)</f>
        <v>623.88999999999942</v>
      </c>
    </row>
    <row r="46" spans="1:71" x14ac:dyDescent="0.2">
      <c r="A46" s="86">
        <f t="shared" si="14"/>
        <v>39</v>
      </c>
      <c r="B46" s="725"/>
      <c r="C46" s="875" t="s">
        <v>5</v>
      </c>
      <c r="D46" s="299">
        <f>'WA Volumes &amp; Revenues'!E40</f>
        <v>655939.80000000005</v>
      </c>
      <c r="E46" s="299">
        <f>'WA Volumes &amp; Revenues'!F40</f>
        <v>638955</v>
      </c>
      <c r="F46" s="299">
        <v>20000</v>
      </c>
      <c r="G46" s="300"/>
      <c r="H46" s="300"/>
      <c r="I46" s="879"/>
      <c r="J46" s="372"/>
      <c r="K46" s="122">
        <f>+'Rates in summary'!D39</f>
        <v>0.38999</v>
      </c>
      <c r="L46" s="122">
        <f>+'Rates in summary'!J39</f>
        <v>0.41865000000000002</v>
      </c>
      <c r="M46" s="372"/>
      <c r="N46" s="372"/>
      <c r="O46" s="966"/>
      <c r="P46" s="966"/>
      <c r="Q46" s="373">
        <f>'Rates in summary'!H39-'Rates in summary'!F39</f>
        <v>0.42332000000000003</v>
      </c>
      <c r="R46" s="372"/>
      <c r="S46" s="374"/>
      <c r="T46" s="373">
        <f>'Rates in summary'!I39</f>
        <v>0</v>
      </c>
      <c r="U46" s="372"/>
      <c r="V46" s="577"/>
      <c r="W46" s="373">
        <f>'Rates in Detail'!J38+'Rates in Detail'!P38</f>
        <v>0.38752999999999999</v>
      </c>
      <c r="X46" s="372"/>
      <c r="Y46" s="577"/>
      <c r="Z46" s="373">
        <f>'Rates in Detail'!J38+'Rates in Detail'!S38</f>
        <v>0.38999</v>
      </c>
      <c r="AA46" s="372"/>
      <c r="AB46" s="577"/>
      <c r="AC46" s="122">
        <f>'Rates in Detail'!J38+'Rates in Detail'!T38</f>
        <v>0.38532</v>
      </c>
      <c r="AD46" s="372"/>
      <c r="AE46" s="577"/>
      <c r="AF46" s="373">
        <f>'Rates in summary'!J39</f>
        <v>0.41865000000000002</v>
      </c>
      <c r="AG46" s="372"/>
      <c r="AH46" s="374"/>
      <c r="AI46" s="1258"/>
      <c r="AJ46" s="373">
        <f>L46+'Rates in summary'!K39</f>
        <v>0.43543000000000004</v>
      </c>
      <c r="AK46" s="372"/>
      <c r="AL46" s="374"/>
      <c r="AM46" s="373">
        <f>'Rates in summary'!O39</f>
        <v>0</v>
      </c>
      <c r="AN46" s="372"/>
      <c r="AO46" s="577"/>
      <c r="AP46" s="122">
        <f>'Rates in Detail'!W38+'Rates in Detail'!Z38</f>
        <v>0.41840999999999995</v>
      </c>
      <c r="AQ46" s="372"/>
      <c r="AR46" s="577"/>
      <c r="AS46" s="373">
        <f>'Rates in summary'!P39</f>
        <v>0.43986000000000003</v>
      </c>
      <c r="AT46" s="372"/>
      <c r="AU46" s="374"/>
      <c r="AV46" s="1263"/>
      <c r="BA46" s="893" t="s">
        <v>10</v>
      </c>
      <c r="BB46" s="662">
        <f t="shared" si="65"/>
        <v>226.3</v>
      </c>
      <c r="BC46" s="372">
        <f t="shared" si="61"/>
        <v>236.3</v>
      </c>
      <c r="BF46" s="1284">
        <f t="shared" si="66"/>
        <v>10</v>
      </c>
      <c r="BG46" s="1286">
        <f t="shared" si="67"/>
        <v>4.4189129474149359E-2</v>
      </c>
      <c r="BH46" s="662">
        <f t="shared" si="62"/>
        <v>236.3</v>
      </c>
      <c r="BI46" s="372">
        <f t="shared" si="63"/>
        <v>250.98</v>
      </c>
      <c r="BL46" s="1284">
        <f t="shared" si="68"/>
        <v>14.679999999999978</v>
      </c>
      <c r="BM46" s="1286">
        <f t="shared" si="69"/>
        <v>6.2124418112568677E-2</v>
      </c>
      <c r="BN46" s="293" t="s">
        <v>26</v>
      </c>
      <c r="BQ46" s="653" t="s">
        <v>540</v>
      </c>
      <c r="BR46" s="372">
        <f t="shared" ref="BR46:BR48" si="71">SUMIF($BN$43:$BN$65,BQ46,$BC$43:$BC$65)-SUMIF($BN$43:$BN$65,BQ46,$BB$43:$BB$65)</f>
        <v>656.46999999999935</v>
      </c>
      <c r="BS46" s="372">
        <f t="shared" si="70"/>
        <v>485.68999999999869</v>
      </c>
    </row>
    <row r="47" spans="1:71" x14ac:dyDescent="0.2">
      <c r="A47" s="86">
        <f t="shared" si="14"/>
        <v>40</v>
      </c>
      <c r="B47" s="725"/>
      <c r="C47" s="875" t="s">
        <v>6</v>
      </c>
      <c r="D47" s="299">
        <f>'WA Volumes &amp; Revenues'!E41</f>
        <v>81241.3</v>
      </c>
      <c r="E47" s="299">
        <f>'WA Volumes &amp; Revenues'!F41</f>
        <v>68923</v>
      </c>
      <c r="F47" s="299">
        <v>20000</v>
      </c>
      <c r="G47" s="300"/>
      <c r="H47" s="300"/>
      <c r="I47" s="879"/>
      <c r="J47" s="372"/>
      <c r="K47" s="122">
        <f>+'Rates in summary'!D40</f>
        <v>0.35830999999999985</v>
      </c>
      <c r="L47" s="122">
        <f>+'Rates in summary'!J40</f>
        <v>0.38027999999999984</v>
      </c>
      <c r="M47" s="372"/>
      <c r="N47" s="372"/>
      <c r="O47" s="966"/>
      <c r="P47" s="966"/>
      <c r="Q47" s="373">
        <f>'Rates in summary'!H40-'Rates in summary'!F40</f>
        <v>0.38385999999999987</v>
      </c>
      <c r="R47" s="372"/>
      <c r="S47" s="374"/>
      <c r="T47" s="373">
        <f>'Rates in summary'!I40</f>
        <v>0</v>
      </c>
      <c r="U47" s="372"/>
      <c r="V47" s="577"/>
      <c r="W47" s="373">
        <f>'Rates in Detail'!J39+'Rates in Detail'!P39</f>
        <v>0.35641999999999985</v>
      </c>
      <c r="X47" s="372"/>
      <c r="Y47" s="577"/>
      <c r="Z47" s="373">
        <f>'Rates in Detail'!J39+'Rates in Detail'!S39</f>
        <v>0.35830999999999985</v>
      </c>
      <c r="AA47" s="372"/>
      <c r="AB47" s="577"/>
      <c r="AC47" s="122">
        <f>'Rates in Detail'!J39+'Rates in Detail'!T39</f>
        <v>0.35472999999999988</v>
      </c>
      <c r="AD47" s="372"/>
      <c r="AE47" s="577"/>
      <c r="AF47" s="373">
        <f>'Rates in summary'!J40</f>
        <v>0.38027999999999984</v>
      </c>
      <c r="AG47" s="372"/>
      <c r="AH47" s="374"/>
      <c r="AI47" s="1258"/>
      <c r="AJ47" s="373">
        <f>L47+'Rates in summary'!K40</f>
        <v>0.39314999999999983</v>
      </c>
      <c r="AK47" s="372"/>
      <c r="AL47" s="374"/>
      <c r="AM47" s="373">
        <f>'Rates in summary'!O40</f>
        <v>0</v>
      </c>
      <c r="AN47" s="372"/>
      <c r="AO47" s="577"/>
      <c r="AP47" s="122">
        <f>'Rates in Detail'!W39+'Rates in Detail'!Z39</f>
        <v>0.38009999999999983</v>
      </c>
      <c r="AQ47" s="372"/>
      <c r="AR47" s="577"/>
      <c r="AS47" s="373">
        <f>'Rates in summary'!P40</f>
        <v>0.39654999999999985</v>
      </c>
      <c r="AT47" s="372"/>
      <c r="AU47" s="374"/>
      <c r="AV47" s="1263"/>
      <c r="BA47" s="893" t="s">
        <v>11</v>
      </c>
      <c r="BB47" s="662">
        <f t="shared" si="65"/>
        <v>828.25</v>
      </c>
      <c r="BC47" s="372">
        <f t="shared" si="61"/>
        <v>881.4</v>
      </c>
      <c r="BF47" s="1284">
        <f t="shared" si="66"/>
        <v>53.149999999999977</v>
      </c>
      <c r="BG47" s="1286">
        <f t="shared" si="67"/>
        <v>6.4171445819498921E-2</v>
      </c>
      <c r="BH47" s="662">
        <f t="shared" si="62"/>
        <v>881.4</v>
      </c>
      <c r="BI47" s="372">
        <f t="shared" si="63"/>
        <v>920.72</v>
      </c>
      <c r="BL47" s="1284">
        <f t="shared" si="68"/>
        <v>39.32000000000005</v>
      </c>
      <c r="BM47" s="1286">
        <f t="shared" si="69"/>
        <v>4.4610846380757942E-2</v>
      </c>
      <c r="BN47" s="293" t="s">
        <v>540</v>
      </c>
      <c r="BQ47" s="653" t="s">
        <v>541</v>
      </c>
      <c r="BR47" s="372">
        <f t="shared" si="71"/>
        <v>913.29999999999927</v>
      </c>
      <c r="BS47" s="372">
        <f t="shared" si="70"/>
        <v>1053.1900000000023</v>
      </c>
    </row>
    <row r="48" spans="1:71" x14ac:dyDescent="0.2">
      <c r="A48" s="86">
        <f t="shared" si="14"/>
        <v>41</v>
      </c>
      <c r="B48" s="725"/>
      <c r="C48" s="875" t="s">
        <v>7</v>
      </c>
      <c r="D48" s="299">
        <f>'WA Volumes &amp; Revenues'!E42</f>
        <v>9320.1</v>
      </c>
      <c r="E48" s="299">
        <f>'WA Volumes &amp; Revenues'!F42</f>
        <v>0</v>
      </c>
      <c r="F48" s="299">
        <v>100000</v>
      </c>
      <c r="G48" s="300"/>
      <c r="H48" s="300"/>
      <c r="I48" s="879"/>
      <c r="J48" s="372"/>
      <c r="K48" s="122">
        <f>+'Rates in summary'!D41</f>
        <v>0.33743999999999996</v>
      </c>
      <c r="L48" s="122">
        <f>+'Rates in summary'!J41</f>
        <v>0.35503000000000001</v>
      </c>
      <c r="M48" s="372"/>
      <c r="N48" s="372"/>
      <c r="O48" s="966"/>
      <c r="P48" s="966"/>
      <c r="Q48" s="373">
        <f>'Rates in summary'!H41-'Rates in summary'!F41</f>
        <v>0.35788999999999999</v>
      </c>
      <c r="R48" s="372"/>
      <c r="S48" s="374"/>
      <c r="T48" s="373">
        <f>'Rates in summary'!I41</f>
        <v>0</v>
      </c>
      <c r="U48" s="372"/>
      <c r="V48" s="577"/>
      <c r="W48" s="373">
        <f>'Rates in Detail'!J40+'Rates in Detail'!P40</f>
        <v>0.33592999999999995</v>
      </c>
      <c r="X48" s="372"/>
      <c r="Y48" s="577"/>
      <c r="Z48" s="373">
        <f>'Rates in Detail'!J40+'Rates in Detail'!S40</f>
        <v>0.33743999999999996</v>
      </c>
      <c r="AA48" s="372"/>
      <c r="AB48" s="577"/>
      <c r="AC48" s="122">
        <f>'Rates in Detail'!J40+'Rates in Detail'!T40</f>
        <v>0.33457999999999999</v>
      </c>
      <c r="AD48" s="372"/>
      <c r="AE48" s="577"/>
      <c r="AF48" s="373">
        <f>'Rates in summary'!J41</f>
        <v>0.35503000000000001</v>
      </c>
      <c r="AG48" s="372"/>
      <c r="AH48" s="374"/>
      <c r="AI48" s="1258"/>
      <c r="AJ48" s="373">
        <f>L48+'Rates in summary'!K41</f>
        <v>0.36532999999999999</v>
      </c>
      <c r="AK48" s="372"/>
      <c r="AL48" s="374"/>
      <c r="AM48" s="373">
        <f>'Rates in summary'!O41</f>
        <v>0</v>
      </c>
      <c r="AN48" s="372"/>
      <c r="AO48" s="577"/>
      <c r="AP48" s="122">
        <f>'Rates in Detail'!W40+'Rates in Detail'!Z40</f>
        <v>0.35487999999999997</v>
      </c>
      <c r="AQ48" s="372"/>
      <c r="AR48" s="577"/>
      <c r="AS48" s="373">
        <f>'Rates in summary'!P41</f>
        <v>0.36803999999999998</v>
      </c>
      <c r="AT48" s="372"/>
      <c r="AU48" s="374"/>
      <c r="AV48" s="1263"/>
      <c r="BA48" s="893">
        <v>27</v>
      </c>
      <c r="BB48" s="662">
        <f t="shared" si="65"/>
        <v>40.92</v>
      </c>
      <c r="BC48" s="372">
        <f t="shared" si="61"/>
        <v>42.59</v>
      </c>
      <c r="BF48" s="1284">
        <f t="shared" si="66"/>
        <v>1.6700000000000017</v>
      </c>
      <c r="BG48" s="1286">
        <f t="shared" si="67"/>
        <v>4.0811339198436013E-2</v>
      </c>
      <c r="BH48" s="662">
        <f t="shared" si="62"/>
        <v>42.59</v>
      </c>
      <c r="BI48" s="372">
        <f t="shared" si="63"/>
        <v>45.04</v>
      </c>
      <c r="BL48" s="1284">
        <f t="shared" si="68"/>
        <v>2.4499999999999957</v>
      </c>
      <c r="BM48" s="1286">
        <f t="shared" si="69"/>
        <v>5.7525240666823095E-2</v>
      </c>
      <c r="BN48" s="293" t="s">
        <v>541</v>
      </c>
      <c r="BQ48" s="653" t="s">
        <v>137</v>
      </c>
      <c r="BR48" s="372">
        <f t="shared" si="71"/>
        <v>3248.9199999999983</v>
      </c>
      <c r="BS48" s="372">
        <f t="shared" si="70"/>
        <v>2403.7900000000081</v>
      </c>
    </row>
    <row r="49" spans="1:66" x14ac:dyDescent="0.2">
      <c r="A49" s="86">
        <f t="shared" si="14"/>
        <v>42</v>
      </c>
      <c r="B49" s="725"/>
      <c r="C49" s="875" t="s">
        <v>8</v>
      </c>
      <c r="D49" s="299">
        <f>'WA Volumes &amp; Revenues'!E43</f>
        <v>0</v>
      </c>
      <c r="E49" s="299">
        <f>'WA Volumes &amp; Revenues'!F43</f>
        <v>0</v>
      </c>
      <c r="F49" s="299">
        <v>600000</v>
      </c>
      <c r="G49" s="300"/>
      <c r="H49" s="300"/>
      <c r="I49" s="879"/>
      <c r="J49" s="372"/>
      <c r="K49" s="122">
        <f>+'Rates in summary'!D42</f>
        <v>0.30965000000000004</v>
      </c>
      <c r="L49" s="122">
        <f>+'Rates in summary'!J42</f>
        <v>0.32136999999999999</v>
      </c>
      <c r="M49" s="372"/>
      <c r="N49" s="372"/>
      <c r="O49" s="966"/>
      <c r="P49" s="966"/>
      <c r="Q49" s="373">
        <f>'Rates in summary'!H42-'Rates in summary'!F42</f>
        <v>0.32328000000000001</v>
      </c>
      <c r="R49" s="372"/>
      <c r="S49" s="374"/>
      <c r="T49" s="373">
        <f>'Rates in summary'!I42</f>
        <v>0</v>
      </c>
      <c r="U49" s="372"/>
      <c r="V49" s="577"/>
      <c r="W49" s="373">
        <f>'Rates in Detail'!J41+'Rates in Detail'!P41</f>
        <v>0.30864000000000003</v>
      </c>
      <c r="X49" s="372"/>
      <c r="Y49" s="577"/>
      <c r="Z49" s="373">
        <f>'Rates in Detail'!J41+'Rates in Detail'!S41</f>
        <v>0.30965000000000004</v>
      </c>
      <c r="AA49" s="372"/>
      <c r="AB49" s="577"/>
      <c r="AC49" s="122">
        <f>'Rates in Detail'!J41+'Rates in Detail'!T41</f>
        <v>0.30774000000000001</v>
      </c>
      <c r="AD49" s="372"/>
      <c r="AE49" s="577"/>
      <c r="AF49" s="373">
        <f>'Rates in summary'!J42</f>
        <v>0.32136999999999999</v>
      </c>
      <c r="AG49" s="372"/>
      <c r="AH49" s="374"/>
      <c r="AI49" s="1258"/>
      <c r="AJ49" s="373">
        <f>L49+'Rates in summary'!K42</f>
        <v>0.32823999999999998</v>
      </c>
      <c r="AK49" s="372"/>
      <c r="AL49" s="374"/>
      <c r="AM49" s="373">
        <f>'Rates in summary'!O42</f>
        <v>0</v>
      </c>
      <c r="AN49" s="372"/>
      <c r="AO49" s="577"/>
      <c r="AP49" s="122">
        <f>'Rates in Detail'!W41+'Rates in Detail'!Z41</f>
        <v>0.32127000000000006</v>
      </c>
      <c r="AQ49" s="372"/>
      <c r="AR49" s="577"/>
      <c r="AS49" s="373">
        <f>'Rates in summary'!P42</f>
        <v>0.33005000000000001</v>
      </c>
      <c r="AT49" s="372"/>
      <c r="AU49" s="374"/>
      <c r="AV49" s="1263"/>
      <c r="BA49" s="893" t="s">
        <v>352</v>
      </c>
      <c r="BB49" s="662">
        <f>M22</f>
        <v>2420.73</v>
      </c>
      <c r="BC49" s="372">
        <f>AG22</f>
        <v>2530.8200000000002</v>
      </c>
      <c r="BF49" s="1284">
        <f t="shared" si="66"/>
        <v>110.09000000000015</v>
      </c>
      <c r="BG49" s="1286">
        <f t="shared" si="67"/>
        <v>4.5478016961825622E-2</v>
      </c>
      <c r="BH49" s="662">
        <f>O22</f>
        <v>2530.8200000000002</v>
      </c>
      <c r="BI49" s="372">
        <f>AT22</f>
        <v>2692.28</v>
      </c>
      <c r="BL49" s="1284">
        <f t="shared" si="68"/>
        <v>161.46000000000004</v>
      </c>
      <c r="BM49" s="1286">
        <f t="shared" si="69"/>
        <v>6.3797504366173818E-2</v>
      </c>
      <c r="BN49" s="293" t="s">
        <v>26</v>
      </c>
    </row>
    <row r="50" spans="1:66" x14ac:dyDescent="0.2">
      <c r="A50" s="86">
        <f t="shared" si="14"/>
        <v>43</v>
      </c>
      <c r="B50" s="725"/>
      <c r="C50" s="875" t="s">
        <v>9</v>
      </c>
      <c r="D50" s="299">
        <f>'WA Volumes &amp; Revenues'!E44</f>
        <v>0</v>
      </c>
      <c r="E50" s="299">
        <f>'WA Volumes &amp; Revenues'!F44</f>
        <v>0</v>
      </c>
      <c r="F50" s="371" t="s">
        <v>74</v>
      </c>
      <c r="G50" s="300"/>
      <c r="H50" s="300"/>
      <c r="I50" s="879"/>
      <c r="J50" s="372"/>
      <c r="K50" s="122">
        <f>+'Rates in summary'!D43</f>
        <v>0.27485999999999999</v>
      </c>
      <c r="L50" s="122">
        <f>+'Rates in summary'!J43</f>
        <v>0.27925</v>
      </c>
      <c r="M50" s="372"/>
      <c r="N50" s="372"/>
      <c r="O50" s="966"/>
      <c r="P50" s="966"/>
      <c r="Q50" s="373">
        <f>'Rates in summary'!H43-'Rates in summary'!F43</f>
        <v>0.27997</v>
      </c>
      <c r="R50" s="372"/>
      <c r="S50" s="374"/>
      <c r="T50" s="373">
        <f>'Rates in summary'!I43</f>
        <v>0</v>
      </c>
      <c r="U50" s="372"/>
      <c r="V50" s="577"/>
      <c r="W50" s="373">
        <f>'Rates in Detail'!J42+'Rates in Detail'!P42</f>
        <v>0.27448</v>
      </c>
      <c r="X50" s="372"/>
      <c r="Y50" s="577"/>
      <c r="Z50" s="373">
        <f>'Rates in Detail'!J42+'Rates in Detail'!S42</f>
        <v>0.27485999999999999</v>
      </c>
      <c r="AA50" s="372"/>
      <c r="AB50" s="577"/>
      <c r="AC50" s="122">
        <f>'Rates in Detail'!J42+'Rates in Detail'!T42</f>
        <v>0.27413999999999999</v>
      </c>
      <c r="AD50" s="372"/>
      <c r="AE50" s="577"/>
      <c r="AF50" s="373">
        <f>'Rates in summary'!J43</f>
        <v>0.27925</v>
      </c>
      <c r="AG50" s="372"/>
      <c r="AH50" s="374"/>
      <c r="AI50" s="1258"/>
      <c r="AJ50" s="373">
        <f>L50+'Rates in summary'!K43</f>
        <v>0.28182000000000001</v>
      </c>
      <c r="AK50" s="372"/>
      <c r="AL50" s="374"/>
      <c r="AM50" s="373">
        <f>'Rates in summary'!O43</f>
        <v>0</v>
      </c>
      <c r="AN50" s="372"/>
      <c r="AO50" s="577"/>
      <c r="AP50" s="122">
        <f>'Rates in Detail'!W42+'Rates in Detail'!Z42</f>
        <v>0.27921000000000001</v>
      </c>
      <c r="AQ50" s="372"/>
      <c r="AR50" s="577"/>
      <c r="AS50" s="373">
        <f>'Rates in summary'!P43</f>
        <v>0.28250000000000003</v>
      </c>
      <c r="AT50" s="372"/>
      <c r="AU50" s="374"/>
      <c r="AV50" s="1263"/>
      <c r="BA50" s="893" t="s">
        <v>353</v>
      </c>
      <c r="BB50" s="662">
        <f>M25</f>
        <v>3007.35</v>
      </c>
      <c r="BC50" s="372">
        <f>AG25</f>
        <v>3208.24</v>
      </c>
      <c r="BF50" s="1284">
        <f t="shared" si="66"/>
        <v>200.88999999999987</v>
      </c>
      <c r="BG50" s="1286">
        <f t="shared" si="67"/>
        <v>6.6799674131710604E-2</v>
      </c>
      <c r="BH50" s="662">
        <f>O25</f>
        <v>3208.24</v>
      </c>
      <c r="BI50" s="372">
        <f>AT25</f>
        <v>3356.86</v>
      </c>
      <c r="BL50" s="1284">
        <f t="shared" si="68"/>
        <v>148.62000000000035</v>
      </c>
      <c r="BM50" s="1286">
        <f t="shared" si="69"/>
        <v>4.6324464503902561E-2</v>
      </c>
      <c r="BN50" s="293" t="s">
        <v>540</v>
      </c>
    </row>
    <row r="51" spans="1:66" x14ac:dyDescent="0.2">
      <c r="A51" s="86">
        <f t="shared" si="14"/>
        <v>44</v>
      </c>
      <c r="B51" s="723"/>
      <c r="C51" s="876" t="s">
        <v>78</v>
      </c>
      <c r="D51" s="375"/>
      <c r="E51" s="375"/>
      <c r="F51" s="376"/>
      <c r="G51" s="377"/>
      <c r="H51" s="377"/>
      <c r="I51" s="880"/>
      <c r="J51" s="379"/>
      <c r="K51" s="378"/>
      <c r="L51" s="378"/>
      <c r="M51" s="379">
        <f>$I45+ROUND(IF($G45&lt;$F45,($G45*K45),IF($G45&lt;SUM($F45:$F46),(($F45*K45)+(($G45-$F45)*K46)),IF($G45&lt;SUM($F45:$F47),(($F45*K45)+($F46*K46)+(($G45-$F45-$F46)*K47)),IF($G45&lt;SUM($F45:$F48),(($F45*K45)+($F46*K46)+($F47*K47)+(($G45-SUM($F45:$F47))*K48)),IF($G45&lt;SUM($F45:$F49),(($F45*K45)+($F46*K46)+($F47*K47)+($F48*K48)+(($G45-SUM($F45:$F48))*K49)),(($F45*K45)+($F46*K46)+($F47*K47)+($F48*K47)+($F49*K49)+(($G45-SUM($F45:$F49))*K50))))))),2)</f>
        <v>6478.18</v>
      </c>
      <c r="N51" s="379">
        <f>$I45+ROUND(IF($H45&lt;$F45,($H45*K45),IF($H45&lt;SUM($F45:$F46),(($F45*K45)+(($H45-$F45)*K46)),IF($H45&lt;SUM($F45:$F47),(($F45*K45)+($F46*K46)+(($H45-$F45-$F46)*K47)),IF($H45&lt;SUM($F45:$F48),(($F45*K45)+($F46*K46)+($F47*K47)+(($H45-SUM($F45:$F47))*K48)),IF($H45&lt;SUM($F45:$F49),(($F45*K45)+($F46*K46)+($F47*K47)+($F48*K48)+(($H45-SUM($F45:$F48))*K49)),(($F45*K45)+($F46*K46)+($F47*K47)+($F48*K47)+($F49*K49)+(($H45-SUM($F45:$F49))*K50))))))),2)</f>
        <v>6760.53</v>
      </c>
      <c r="O51" s="379">
        <f>$I45+ROUND(IF($G45&lt;$F45,($G45*L45),IF($G45&lt;SUM($F45:$F46),(($F45*L45)+(($G45-$F45)*L46)),IF($G45&lt;SUM($F45:$F47),(($F45*L45)+($F46*L46)+(($G45-$F45-$F46)*L47)),IF($G45&lt;SUM($F45:$F48),(($F45*L45)+($F46*L46)+($F47*L47)+(($G45-SUM($F45:$F47))*L48)),IF($G45&lt;SUM($F45:$F49),(($F45*L45)+($F46*L46)+($F47*L47)+($F48*L48)+(($G45-SUM($F45:$F48))*L49)),(($F45*L45)+($F46*L46)+($F47*L47)+($F48*L47)+($F49*L49)+(($G45-SUM($F45:$F49))*L50))))))),2)</f>
        <v>6880.61</v>
      </c>
      <c r="P51" s="379">
        <f>$I45+ROUND(IF($H45&lt;$F45,($H45*L45),IF($H45&lt;SUM($F45:$F46),(($F45*L45)+(($H45-$F45)*L46)),IF($H45&lt;SUM($F45:$F47),(($F45*L45)+($F46*L46)+(($H45-$F45-$F46)*L47)),IF($H45&lt;SUM($F45:$F48),(($F45*L45)+($F46*L46)+($F47*L47)+(($H45-SUM($F45:$F47))*L48)),IF($H45&lt;SUM($F45:$F49),(($F45*L45)+($F46*L46)+($F47*L47)+($F48*L48)+(($H45-SUM($F45:$F48))*L49)),(($F45*L45)+($F46*L46)+($F47*L47)+($F48*L47)+($F49*L49)+(($H45-SUM($F45:$F49))*L50))))))),2)</f>
        <v>7183.71</v>
      </c>
      <c r="Q51" s="381"/>
      <c r="R51" s="379">
        <f>$J45+ROUND(IF($G45&lt;$F45,($G45*Q45),IF($G45&lt;SUM($F45:$F46),(($F45*Q45)+(($G45-$F45)*Q46)),IF($G45&lt;SUM($F45:$F47),(($F45*Q45)+($F46*Q46)+(($G45-$F45-$F46)*Q47)),IF($G45&lt;SUM($F45:$F48),(($F45*Q45)+($F46*Q46)+($F47*Q47)+(($G45-SUM($F45:$F47))*Q48)),IF($G45&lt;SUM($F45:$F49),(($F45*Q45)+($F46*Q46)+($F47*Q47)+($F48*Q48)+(($G45-SUM($F45:$F48))*Q49)),(($F45*Q45)+($F46*Q46)+($F47*Q47)+($F48*Q47)+($F49*Q49)+(($G45-SUM($F45:$F49))*Q50))))))),2)</f>
        <v>6946.11</v>
      </c>
      <c r="S51" s="382">
        <f>ROUND((R51-M51)/M51,3)</f>
        <v>7.1999999999999995E-2</v>
      </c>
      <c r="T51" s="380"/>
      <c r="U51" s="379">
        <f>$I45+ROUND(IF($H45&lt;$F45,($H45*T45),IF($H45&lt;SUM($F45:$F46),(($F45*T45)+(($H45-$F45)*T46)),IF($H45&lt;SUM($F45:$F47),(($F45*T45)+($F46*T46)+(($H45-$F45-$F46)*T47)),IF($H45&lt;SUM($F45:$F48),(($F45*T45)+($F46*T46)+($F47*T47)+(($H45-SUM($F45:$F47))*T48)),IF($H45&lt;SUM($F45:$F49),(($F45*T45)+($F46*T46)+($F47*T47)+($F48*T48)+(($H45-SUM($F45:$F48))*T49)),(($F45*T45)+($F46*T46)+($F47*T47)+($F48*T47)+($F49*T49)+(($H45-SUM($F45:$F49))*T50))))))),2)</f>
        <v>1300</v>
      </c>
      <c r="V51" s="578">
        <f>ROUND((U51-N51)/N51,3)</f>
        <v>-0.80800000000000005</v>
      </c>
      <c r="W51" s="380"/>
      <c r="X51" s="379">
        <f>$J45+ROUND(IF($G45&lt;$F45,($G45*W45),IF($G45&lt;SUM($F45:$F46),(($F45*W45)+(($G45-$F45)*W46)),IF($G45&lt;SUM($F45:$F47),(($F45*W45)+($F46*W46)+(($G45-$F45-$F46)*W47)),IF($G45&lt;SUM($F45:$F48),(($F45*W45)+($F46*W46)+($F47*W47)+(($G45-SUM($F45:$F47))*W48)),IF($G45&lt;SUM($F45:$F49),(($F45*W45)+($F46*W46)+($F47*W47)+($F48*W48)+(($G45-SUM($F45:$F48))*W49)),(($F45*W45)+($F46*W46)+($F47*W47)+($F48*W47)+($F49*W49)+(($G45-SUM($F45:$F49))*W50))))))),2)</f>
        <v>6443.62</v>
      </c>
      <c r="Y51" s="578">
        <f t="shared" ref="Y51" si="72">ROUND(($X51-$M51)/$M51,3)</f>
        <v>-5.0000000000000001E-3</v>
      </c>
      <c r="Z51" s="380"/>
      <c r="AA51" s="379">
        <f>$J45+ROUND(IF($G45&lt;$F45,($G45*Z45),IF($G45&lt;SUM($F45:$F46),(($F45*Z45)+(($G45-$F45)*Z46)),IF($G45&lt;SUM($F45:$F47),(($F45*Z45)+($F46*Z46)+(($G45-$F45-$F46)*Z47)),IF($G45&lt;SUM($F45:$F48),(($F45*Z45)+($F46*Z46)+($F47*Z47)+(($G45-SUM($F45:$F47))*Z48)),IF($G45&lt;SUM($F45:$F49),(($F45*Z45)+($F46*Z46)+($F47*Z47)+($F48*Z48)+(($G45-SUM($F45:$F48))*Z49)),(($F45*Z45)+($F46*Z46)+($F47*Z47)+($F48*Z47)+($F49*Z49)+(($G45-SUM($F45:$F49))*Z50))))))),2)</f>
        <v>6478.18</v>
      </c>
      <c r="AB51" s="578">
        <f>ROUND(($AA51-$M51)/$M51,3)</f>
        <v>0</v>
      </c>
      <c r="AC51" s="379"/>
      <c r="AD51" s="379">
        <f>$J45+ROUND(IF($G45&lt;$F45,($G45*AC45),IF($G45&lt;SUM($F45:$F46),(($F45*AC45)+(($G45-$F45)*AC46)),IF($G45&lt;SUM($F45:$F47),(($F45*AC45)+($F46*AC46)+(($G45-$F45-$F46)*AC47)),IF($G45&lt;SUM($F45:$F48),(($F45*AC45)+($F46*AC46)+($F47*AC47)+(($G45-SUM($F45:$F47))*AC48)),IF($G45&lt;SUM($F45:$F49),(($F45*AC45)+($F46*AC46)+($F47*AC47)+($F48*AC48)+(($G45-SUM($F45:$F48))*AC49)),(($F45*AC45)+($F46*AC46)+($F47*AC47)+($F48*AC47)+($F49*AC49)+(($G45-SUM($F45:$F49))*AC50))))))),2)</f>
        <v>6412.68</v>
      </c>
      <c r="AE51" s="578">
        <f>ROUND(($AD51-$M51)/$M51,3)</f>
        <v>-0.01</v>
      </c>
      <c r="AF51" s="381"/>
      <c r="AG51" s="379">
        <f>$J45+ROUND(IF($G45&lt;$F45,($G45*AF45),IF($G45&lt;SUM($F45:$F46),(($F45*AF45)+(($G45-$F45)*AF46)),IF($G45&lt;SUM($F45:$F47),(($F45*AF45)+($F46*AF46)+(($G45-$F45-$F46)*AF47)),IF($G45&lt;SUM($F45:$F48),(($F45*AF45)+($F46*AF46)+($F47*AF47)+(($G45-SUM($F45:$F47))*AF48)),IF($G45&lt;SUM($F45:$F49),(($F45*AF45)+($F46*AF46)+($F47*AF47)+($F48*AF48)+(($G45-SUM($F45:$F48))*AF49)),(($F45*AF45)+($F46*AF46)+($F47*AF47)+($F48*AF47)+($F49*AF49)+(($G45-SUM($F45:$F49))*AF50))))))),2)</f>
        <v>6880.61</v>
      </c>
      <c r="AH51" s="382">
        <f>ROUND((AG51-M51)/M51,3)</f>
        <v>6.2E-2</v>
      </c>
      <c r="AI51" s="1259">
        <f t="shared" si="47"/>
        <v>402.42999999999938</v>
      </c>
      <c r="AJ51" s="381"/>
      <c r="AK51" s="379">
        <f>$J45+ROUND(IF($G45&lt;$F45,($G45*AJ45),IF($G45&lt;SUM($F45:$F46),(($F45*AJ45)+(($G45-$F45)*AJ46)),IF($G45&lt;SUM($F45:$F47),(($F45*AJ45)+($F46*AJ46)+(($G45-$F45-$F46)*AJ47)),IF($G45&lt;SUM($F45:$F48),(($F45*AJ45)+($F46*AJ46)+($F47*AJ47)+(($G45-SUM($F45:$F47))*AJ48)),IF($G45&lt;SUM($F45:$F49),(($F45*AJ45)+($F46*AJ46)+($F47*AJ47)+($F48*AJ48)+(($G45-SUM($F45:$F48))*AJ49)),(($F45*AJ45)+($F46*AJ46)+($F47*AJ47)+($F48*AJ47)+($F49*AJ49)+(($G45-SUM($F45:$F49))*AJ50))))))),2)</f>
        <v>7116.25</v>
      </c>
      <c r="AL51" s="382">
        <f>ROUND((AK51-O51)/O51,3)</f>
        <v>3.4000000000000002E-2</v>
      </c>
      <c r="AM51" s="380"/>
      <c r="AN51" s="379">
        <f>$I45+ROUND(IF($H45&lt;$F45,($H45*AM45),IF($H45&lt;SUM($F45:$F46),(($F45*AM45)+(($H45-$F45)*AM46)),IF($H45&lt;SUM($F45:$F47),(($F45*AM45)+($F46*AM46)+(($H45-$F45-$F46)*AM47)),IF($H45&lt;SUM($F45:$F48),(($F45*AM45)+($F46*AM46)+($F47*AM47)+(($H45-SUM($F45:$F47))*AM48)),IF($H45&lt;SUM($F45:$F49),(($F45*AM45)+($F46*AM46)+($F47*AM47)+($F48*AM48)+(($H45-SUM($F45:$F48))*AM49)),(($F45*AM45)+($F46*AM46)+($F47*AM47)+($F48*AM47)+($F49*AM49)+(($H45-SUM($F45:$F49))*AM50))))))),2)</f>
        <v>1300</v>
      </c>
      <c r="AO51" s="578">
        <f>ROUND((AN51-P51)/P51,3)</f>
        <v>-0.81899999999999995</v>
      </c>
      <c r="AP51" s="379"/>
      <c r="AQ51" s="379">
        <f>$J45+ROUND(IF($G45&lt;$F45,($G45*AP45),IF($G45&lt;SUM($F45:$F46),(($F45*AP45)+(($G45-$F45)*AP46)),IF($G45&lt;SUM($F45:$F47),(($F45*AP45)+($F46*AP46)+(($G45-$F45-$F46)*AP47)),IF($G45&lt;SUM($F45:$F48),(($F45*AP45)+($F46*AP46)+($F47*AP47)+(($G45-SUM($F45:$F47))*AP48)),IF($G45&lt;SUM($F45:$F49),(($F45*AP45)+($F46*AP46)+($F47*AP47)+($F48*AP48)+(($G45-SUM($F45:$F48))*AP49)),(($F45*AP45)+($F46*AP46)+($F47*AP47)+($F48*AP47)+($F49*AP49)+(($G45-SUM($F45:$F49))*AP50))))))),2)</f>
        <v>6877.22</v>
      </c>
      <c r="AR51" s="578">
        <f>ROUND(($AQ51-$O51)/$O51,3)</f>
        <v>0</v>
      </c>
      <c r="AS51" s="381"/>
      <c r="AT51" s="379">
        <f>$J45+ROUND(IF($G45&lt;$F45,($G45*AS45),IF($G45&lt;SUM($F45:$F46),(($F45*AS45)+(($G45-$F45)*AS46)),IF($G45&lt;SUM($F45:$F47),(($F45*AS45)+($F46*AS46)+(($G45-$F45-$F46)*AS47)),IF($G45&lt;SUM($F45:$F48),(($F45*AS45)+($F46*AS46)+($F47*AS47)+(($G45-SUM($F45:$F47))*AS48)),IF($G45&lt;SUM($F45:$F49),(($F45*AS45)+($F46*AS46)+($F47*AS47)+($F48*AS48)+(($G45-SUM($F45:$F48))*AS49)),(($F45*AS45)+($F46*AS46)+($F47*AS47)+($F48*AS47)+($F49*AS49)+(($G45-SUM($F45:$F49))*AS50))))))),2)</f>
        <v>7178.36</v>
      </c>
      <c r="AU51" s="382">
        <f>ROUND((AT51-O51)/O51,3)</f>
        <v>4.2999999999999997E-2</v>
      </c>
      <c r="AV51" s="1264">
        <f t="shared" si="51"/>
        <v>297.75</v>
      </c>
      <c r="AW51" s="370"/>
      <c r="AX51" s="370"/>
      <c r="AY51" s="370"/>
      <c r="AZ51" s="370"/>
      <c r="BA51" s="893" t="s">
        <v>355</v>
      </c>
      <c r="BB51" s="662">
        <f>M28</f>
        <v>250</v>
      </c>
      <c r="BC51" s="372">
        <f>AG28</f>
        <v>250</v>
      </c>
      <c r="BF51" s="1284">
        <f t="shared" si="66"/>
        <v>0</v>
      </c>
      <c r="BG51" s="1286">
        <f t="shared" si="67"/>
        <v>0</v>
      </c>
      <c r="BH51" s="662">
        <f>O28</f>
        <v>250</v>
      </c>
      <c r="BI51" s="372">
        <f>AT28</f>
        <v>250</v>
      </c>
      <c r="BL51" s="1284">
        <f t="shared" si="68"/>
        <v>0</v>
      </c>
      <c r="BM51" s="1286">
        <f t="shared" si="69"/>
        <v>0</v>
      </c>
      <c r="BN51" s="55" t="s">
        <v>541</v>
      </c>
    </row>
    <row r="52" spans="1:66" x14ac:dyDescent="0.2">
      <c r="A52" s="86">
        <f t="shared" si="14"/>
        <v>45</v>
      </c>
      <c r="B52" s="725" t="str">
        <f>'WA Volumes &amp; Revenues'!B45</f>
        <v>42C Firm Transpt</v>
      </c>
      <c r="C52" s="875" t="s">
        <v>4</v>
      </c>
      <c r="D52" s="299">
        <f>'WA Volumes &amp; Revenues'!E45</f>
        <v>480000</v>
      </c>
      <c r="E52" s="299">
        <f>'WA Volumes &amp; Revenues'!F45</f>
        <v>479847</v>
      </c>
      <c r="F52" s="299">
        <v>10000</v>
      </c>
      <c r="G52" s="300">
        <f>+'WA Volumes &amp; Revenues'!I45</f>
        <v>51470</v>
      </c>
      <c r="H52" s="300">
        <f>'WA Volumes &amp; Revenues'!L45</f>
        <v>48994</v>
      </c>
      <c r="I52" s="879">
        <f>'WA Volumes &amp; Revenues'!O45</f>
        <v>1550</v>
      </c>
      <c r="J52" s="372">
        <f>'WA Volumes &amp; Revenues'!N45</f>
        <v>1550</v>
      </c>
      <c r="K52" s="122">
        <f>+'Rates in summary'!D44</f>
        <v>0.13851999999999998</v>
      </c>
      <c r="L52" s="122">
        <f>+'Rates in summary'!J44</f>
        <v>0.15885999999999997</v>
      </c>
      <c r="M52" s="372"/>
      <c r="N52" s="372"/>
      <c r="O52" s="966"/>
      <c r="P52" s="966"/>
      <c r="Q52" s="373">
        <f>'Rates in summary'!H44-'Rates in summary'!F44</f>
        <v>0.16216999999999998</v>
      </c>
      <c r="R52" s="372"/>
      <c r="S52" s="374"/>
      <c r="T52" s="373">
        <f>'Rates in summary'!I44</f>
        <v>0</v>
      </c>
      <c r="U52" s="372"/>
      <c r="V52" s="577"/>
      <c r="W52" s="373">
        <f>'Rates in Detail'!J43+'Rates in Detail'!P43</f>
        <v>0.13676999999999997</v>
      </c>
      <c r="X52" s="372"/>
      <c r="Y52" s="577"/>
      <c r="Z52" s="373">
        <f>'Rates in Detail'!J43+'Rates in Detail'!S43</f>
        <v>0.13851999999999998</v>
      </c>
      <c r="AA52" s="372"/>
      <c r="AB52" s="577"/>
      <c r="AC52" s="122">
        <f>'Rates in Detail'!J43+'Rates in Detail'!T43</f>
        <v>0.13520999999999997</v>
      </c>
      <c r="AD52" s="372"/>
      <c r="AE52" s="577"/>
      <c r="AF52" s="373">
        <f>'Rates in summary'!J44</f>
        <v>0.15885999999999997</v>
      </c>
      <c r="AG52" s="372"/>
      <c r="AH52" s="374"/>
      <c r="AI52" s="1258"/>
      <c r="AJ52" s="373">
        <f>L52+'Rates in summary'!K44</f>
        <v>0.17076999999999998</v>
      </c>
      <c r="AK52" s="372"/>
      <c r="AL52" s="374"/>
      <c r="AM52" s="373">
        <f>'Rates in summary'!O44</f>
        <v>0</v>
      </c>
      <c r="AN52" s="372"/>
      <c r="AO52" s="577"/>
      <c r="AP52" s="122">
        <f>'Rates in Detail'!W43+'Rates in Detail'!Z43</f>
        <v>0.15868999999999997</v>
      </c>
      <c r="AQ52" s="372"/>
      <c r="AR52" s="577"/>
      <c r="AS52" s="373">
        <f>'Rates in summary'!P44</f>
        <v>0.17390999999999998</v>
      </c>
      <c r="AT52" s="372"/>
      <c r="AU52" s="374"/>
      <c r="AV52" s="1263"/>
      <c r="BA52" s="893" t="s">
        <v>356</v>
      </c>
      <c r="BB52" s="662">
        <f>M31</f>
        <v>250</v>
      </c>
      <c r="BC52" s="372">
        <f>AG31</f>
        <v>250</v>
      </c>
      <c r="BF52" s="1284">
        <f t="shared" si="66"/>
        <v>0</v>
      </c>
      <c r="BG52" s="1286">
        <f t="shared" si="67"/>
        <v>0</v>
      </c>
      <c r="BH52" s="662">
        <f>O31</f>
        <v>250</v>
      </c>
      <c r="BI52" s="372">
        <f>AT31</f>
        <v>250</v>
      </c>
      <c r="BL52" s="1284">
        <f t="shared" si="68"/>
        <v>0</v>
      </c>
      <c r="BM52" s="1286">
        <f t="shared" si="69"/>
        <v>0</v>
      </c>
      <c r="BN52" s="55" t="s">
        <v>541</v>
      </c>
    </row>
    <row r="53" spans="1:66" x14ac:dyDescent="0.2">
      <c r="A53" s="86">
        <f t="shared" si="14"/>
        <v>46</v>
      </c>
      <c r="B53" s="725"/>
      <c r="C53" s="875" t="s">
        <v>5</v>
      </c>
      <c r="D53" s="299">
        <f>'WA Volumes &amp; Revenues'!E46</f>
        <v>807846</v>
      </c>
      <c r="E53" s="299">
        <f>'WA Volumes &amp; Revenues'!F46</f>
        <v>792463</v>
      </c>
      <c r="F53" s="299">
        <v>20000</v>
      </c>
      <c r="G53" s="300"/>
      <c r="H53" s="300"/>
      <c r="I53" s="879"/>
      <c r="J53" s="372"/>
      <c r="K53" s="122">
        <f>+'Rates in summary'!D45</f>
        <v>0.12399999999999999</v>
      </c>
      <c r="L53" s="122">
        <f>+'Rates in summary'!J45</f>
        <v>0.14221</v>
      </c>
      <c r="M53" s="372"/>
      <c r="N53" s="372"/>
      <c r="O53" s="966"/>
      <c r="P53" s="966"/>
      <c r="Q53" s="373">
        <f>'Rates in summary'!H45-'Rates in summary'!F45</f>
        <v>0.14516999999999999</v>
      </c>
      <c r="R53" s="372"/>
      <c r="S53" s="374"/>
      <c r="T53" s="373">
        <f>'Rates in summary'!I45</f>
        <v>0</v>
      </c>
      <c r="U53" s="372"/>
      <c r="V53" s="577"/>
      <c r="W53" s="373">
        <f>'Rates in Detail'!J44+'Rates in Detail'!P44</f>
        <v>0.12242999999999998</v>
      </c>
      <c r="X53" s="372"/>
      <c r="Y53" s="577"/>
      <c r="Z53" s="373">
        <f>'Rates in Detail'!J44+'Rates in Detail'!S44</f>
        <v>0.12399999999999999</v>
      </c>
      <c r="AA53" s="372"/>
      <c r="AB53" s="577"/>
      <c r="AC53" s="122">
        <f>'Rates in Detail'!J44+'Rates in Detail'!T44</f>
        <v>0.12103999999999998</v>
      </c>
      <c r="AD53" s="372"/>
      <c r="AE53" s="577"/>
      <c r="AF53" s="373">
        <f>'Rates in summary'!J45</f>
        <v>0.14221</v>
      </c>
      <c r="AG53" s="372"/>
      <c r="AH53" s="374"/>
      <c r="AI53" s="1258"/>
      <c r="AJ53" s="373">
        <f>L53+'Rates in summary'!K45</f>
        <v>0.15287000000000001</v>
      </c>
      <c r="AK53" s="372"/>
      <c r="AL53" s="374"/>
      <c r="AM53" s="373">
        <f>'Rates in summary'!O45</f>
        <v>0</v>
      </c>
      <c r="AN53" s="372"/>
      <c r="AO53" s="577"/>
      <c r="AP53" s="122">
        <f>'Rates in Detail'!W44+'Rates in Detail'!Z44</f>
        <v>0.14205999999999999</v>
      </c>
      <c r="AQ53" s="372"/>
      <c r="AR53" s="577"/>
      <c r="AS53" s="373">
        <f>'Rates in summary'!P45</f>
        <v>0.15567999999999999</v>
      </c>
      <c r="AT53" s="372"/>
      <c r="AU53" s="374"/>
      <c r="AV53" s="1263"/>
      <c r="BA53" s="893" t="s">
        <v>357</v>
      </c>
      <c r="BB53" s="662">
        <f>M34</f>
        <v>2014.21</v>
      </c>
      <c r="BC53" s="372">
        <f>AG34</f>
        <v>2233.35</v>
      </c>
      <c r="BF53" s="1284">
        <f t="shared" si="66"/>
        <v>219.13999999999987</v>
      </c>
      <c r="BG53" s="1286">
        <f t="shared" si="67"/>
        <v>0.10879699733394227</v>
      </c>
      <c r="BH53" s="662">
        <f>O34</f>
        <v>2233.35</v>
      </c>
      <c r="BI53" s="372">
        <f>AT34</f>
        <v>2395.4899999999998</v>
      </c>
      <c r="BL53" s="1284">
        <f t="shared" si="68"/>
        <v>162.13999999999987</v>
      </c>
      <c r="BM53" s="1286">
        <f t="shared" si="69"/>
        <v>7.2599458212998361E-2</v>
      </c>
      <c r="BN53" s="55" t="s">
        <v>137</v>
      </c>
    </row>
    <row r="54" spans="1:66" x14ac:dyDescent="0.2">
      <c r="A54" s="86">
        <f t="shared" si="14"/>
        <v>47</v>
      </c>
      <c r="B54" s="725"/>
      <c r="C54" s="875" t="s">
        <v>6</v>
      </c>
      <c r="D54" s="299">
        <f>'WA Volumes &amp; Revenues'!E47</f>
        <v>583779</v>
      </c>
      <c r="E54" s="299">
        <f>'WA Volumes &amp; Revenues'!F47</f>
        <v>542281</v>
      </c>
      <c r="F54" s="299">
        <v>20000</v>
      </c>
      <c r="G54" s="300"/>
      <c r="H54" s="300"/>
      <c r="I54" s="879"/>
      <c r="J54" s="372"/>
      <c r="K54" s="122">
        <f>+'Rates in summary'!D46</f>
        <v>9.5079999999999998E-2</v>
      </c>
      <c r="L54" s="122">
        <f>+'Rates in summary'!J46</f>
        <v>0.10905000000000001</v>
      </c>
      <c r="M54" s="372"/>
      <c r="N54" s="372"/>
      <c r="O54" s="966"/>
      <c r="P54" s="966"/>
      <c r="Q54" s="373">
        <f>'Rates in summary'!H46-'Rates in summary'!F46</f>
        <v>0.11132</v>
      </c>
      <c r="R54" s="372"/>
      <c r="S54" s="374"/>
      <c r="T54" s="373">
        <f>'Rates in summary'!I46</f>
        <v>0</v>
      </c>
      <c r="U54" s="372"/>
      <c r="V54" s="577"/>
      <c r="W54" s="373">
        <f>'Rates in Detail'!J45+'Rates in Detail'!P45</f>
        <v>9.3879999999999991E-2</v>
      </c>
      <c r="X54" s="372"/>
      <c r="Y54" s="577"/>
      <c r="Z54" s="373">
        <f>'Rates in Detail'!J45+'Rates in Detail'!S45</f>
        <v>9.5079999999999998E-2</v>
      </c>
      <c r="AA54" s="372"/>
      <c r="AB54" s="577"/>
      <c r="AC54" s="122">
        <f>'Rates in Detail'!J45+'Rates in Detail'!T45</f>
        <v>9.2810000000000004E-2</v>
      </c>
      <c r="AD54" s="372"/>
      <c r="AE54" s="577"/>
      <c r="AF54" s="373">
        <f>'Rates in summary'!J46</f>
        <v>0.10905000000000001</v>
      </c>
      <c r="AG54" s="372"/>
      <c r="AH54" s="374"/>
      <c r="AI54" s="1258"/>
      <c r="AJ54" s="373">
        <f>L54+'Rates in summary'!K46</f>
        <v>0.11723</v>
      </c>
      <c r="AK54" s="372"/>
      <c r="AL54" s="374"/>
      <c r="AM54" s="373">
        <f>'Rates in summary'!O46</f>
        <v>0</v>
      </c>
      <c r="AN54" s="372"/>
      <c r="AO54" s="577"/>
      <c r="AP54" s="122">
        <f>'Rates in Detail'!W45+'Rates in Detail'!Z45</f>
        <v>0.10893</v>
      </c>
      <c r="AQ54" s="372"/>
      <c r="AR54" s="577"/>
      <c r="AS54" s="373">
        <f>'Rates in summary'!P46</f>
        <v>0.11938</v>
      </c>
      <c r="AT54" s="372"/>
      <c r="AU54" s="374"/>
      <c r="AV54" s="1263"/>
      <c r="BA54" s="893" t="s">
        <v>358</v>
      </c>
      <c r="BB54" s="662">
        <f>M37</f>
        <v>500</v>
      </c>
      <c r="BC54" s="372">
        <f>AG37</f>
        <v>500</v>
      </c>
      <c r="BF54" s="1284">
        <f t="shared" si="66"/>
        <v>0</v>
      </c>
      <c r="BG54" s="1286">
        <f t="shared" si="67"/>
        <v>0</v>
      </c>
      <c r="BH54" s="662">
        <f>O37</f>
        <v>500</v>
      </c>
      <c r="BI54" s="372">
        <f>AT37</f>
        <v>500</v>
      </c>
      <c r="BL54" s="1284">
        <f t="shared" si="68"/>
        <v>0</v>
      </c>
      <c r="BM54" s="1286">
        <f t="shared" si="69"/>
        <v>0</v>
      </c>
      <c r="BN54" s="55" t="s">
        <v>137</v>
      </c>
    </row>
    <row r="55" spans="1:66" x14ac:dyDescent="0.2">
      <c r="A55" s="86">
        <f t="shared" si="14"/>
        <v>48</v>
      </c>
      <c r="B55" s="725"/>
      <c r="C55" s="875" t="s">
        <v>7</v>
      </c>
      <c r="D55" s="299">
        <f>'WA Volumes &amp; Revenues'!E48</f>
        <v>598933</v>
      </c>
      <c r="E55" s="299">
        <f>'WA Volumes &amp; Revenues'!F48</f>
        <v>537117</v>
      </c>
      <c r="F55" s="299">
        <v>100000</v>
      </c>
      <c r="G55" s="300"/>
      <c r="H55" s="300"/>
      <c r="I55" s="879"/>
      <c r="J55" s="372"/>
      <c r="K55" s="122">
        <f>+'Rates in summary'!D47</f>
        <v>7.6070000000000013E-2</v>
      </c>
      <c r="L55" s="122">
        <f>+'Rates in summary'!J47</f>
        <v>8.7240000000000012E-2</v>
      </c>
      <c r="M55" s="372"/>
      <c r="N55" s="372"/>
      <c r="O55" s="966"/>
      <c r="P55" s="966"/>
      <c r="Q55" s="373">
        <f>'Rates in summary'!H47-'Rates in summary'!F47</f>
        <v>8.9060000000000014E-2</v>
      </c>
      <c r="R55" s="372"/>
      <c r="S55" s="374"/>
      <c r="T55" s="373">
        <f>'Rates in summary'!I47</f>
        <v>0</v>
      </c>
      <c r="U55" s="372"/>
      <c r="V55" s="577"/>
      <c r="W55" s="373">
        <f>'Rates in Detail'!J46+'Rates in Detail'!P46</f>
        <v>7.511000000000001E-2</v>
      </c>
      <c r="X55" s="372"/>
      <c r="Y55" s="577"/>
      <c r="Z55" s="373">
        <f>'Rates in Detail'!J46+'Rates in Detail'!S46</f>
        <v>7.6070000000000013E-2</v>
      </c>
      <c r="AA55" s="372"/>
      <c r="AB55" s="577"/>
      <c r="AC55" s="122">
        <f>'Rates in Detail'!J46+'Rates in Detail'!T46</f>
        <v>7.425000000000001E-2</v>
      </c>
      <c r="AD55" s="372"/>
      <c r="AE55" s="577"/>
      <c r="AF55" s="373">
        <f>'Rates in summary'!J47</f>
        <v>8.7240000000000012E-2</v>
      </c>
      <c r="AG55" s="372"/>
      <c r="AH55" s="374"/>
      <c r="AI55" s="1258"/>
      <c r="AJ55" s="373">
        <f>L55+'Rates in summary'!K47</f>
        <v>9.3780000000000016E-2</v>
      </c>
      <c r="AK55" s="372"/>
      <c r="AL55" s="374"/>
      <c r="AM55" s="373">
        <f>'Rates in summary'!O47</f>
        <v>0</v>
      </c>
      <c r="AN55" s="372"/>
      <c r="AO55" s="577"/>
      <c r="AP55" s="122">
        <f>'Rates in Detail'!W46+'Rates in Detail'!Z46</f>
        <v>8.7150000000000005E-2</v>
      </c>
      <c r="AQ55" s="372"/>
      <c r="AR55" s="577"/>
      <c r="AS55" s="373">
        <f>'Rates in summary'!P47</f>
        <v>9.5510000000000012E-2</v>
      </c>
      <c r="AT55" s="372"/>
      <c r="AU55" s="374"/>
      <c r="AV55" s="1263"/>
      <c r="BA55" s="893" t="s">
        <v>359</v>
      </c>
      <c r="BB55" s="662">
        <f>M44</f>
        <v>6464.95</v>
      </c>
      <c r="BC55" s="372">
        <f>AG44</f>
        <v>6763.23</v>
      </c>
      <c r="BF55" s="1284">
        <f t="shared" si="66"/>
        <v>298.27999999999975</v>
      </c>
      <c r="BG55" s="1286">
        <f t="shared" si="67"/>
        <v>4.6138021175724443E-2</v>
      </c>
      <c r="BH55" s="662">
        <f>O44</f>
        <v>6763.23</v>
      </c>
      <c r="BI55" s="372">
        <f>AT44</f>
        <v>7200.59</v>
      </c>
      <c r="BL55" s="1284">
        <f t="shared" si="68"/>
        <v>437.36000000000058</v>
      </c>
      <c r="BM55" s="1286">
        <f t="shared" si="69"/>
        <v>6.4667326114888984E-2</v>
      </c>
      <c r="BN55" s="55" t="s">
        <v>26</v>
      </c>
    </row>
    <row r="56" spans="1:66" x14ac:dyDescent="0.2">
      <c r="A56" s="86">
        <f t="shared" si="14"/>
        <v>49</v>
      </c>
      <c r="B56" s="725"/>
      <c r="C56" s="875" t="s">
        <v>8</v>
      </c>
      <c r="D56" s="299">
        <f>'WA Volumes &amp; Revenues'!E49</f>
        <v>0</v>
      </c>
      <c r="E56" s="299">
        <f>'WA Volumes &amp; Revenues'!F49</f>
        <v>0</v>
      </c>
      <c r="F56" s="299">
        <v>600000</v>
      </c>
      <c r="G56" s="300"/>
      <c r="H56" s="300"/>
      <c r="I56" s="879"/>
      <c r="J56" s="372"/>
      <c r="K56" s="122">
        <f>+'Rates in summary'!D48</f>
        <v>5.0710000000000005E-2</v>
      </c>
      <c r="L56" s="122">
        <f>+'Rates in summary'!J48</f>
        <v>5.8160000000000003E-2</v>
      </c>
      <c r="M56" s="372"/>
      <c r="N56" s="372"/>
      <c r="O56" s="966"/>
      <c r="P56" s="966"/>
      <c r="Q56" s="373">
        <f>'Rates in summary'!H48-'Rates in summary'!F48</f>
        <v>5.9370000000000006E-2</v>
      </c>
      <c r="R56" s="372"/>
      <c r="S56" s="374"/>
      <c r="T56" s="373">
        <f>'Rates in summary'!I48</f>
        <v>0</v>
      </c>
      <c r="U56" s="372"/>
      <c r="V56" s="577"/>
      <c r="W56" s="373">
        <f>'Rates in Detail'!J47+'Rates in Detail'!P47</f>
        <v>5.0070000000000003E-2</v>
      </c>
      <c r="X56" s="372"/>
      <c r="Y56" s="577"/>
      <c r="Z56" s="373">
        <f>'Rates in Detail'!J47+'Rates in Detail'!S47</f>
        <v>5.0710000000000005E-2</v>
      </c>
      <c r="AA56" s="372"/>
      <c r="AB56" s="577"/>
      <c r="AC56" s="122">
        <f>'Rates in Detail'!J47+'Rates in Detail'!T47</f>
        <v>4.9500000000000002E-2</v>
      </c>
      <c r="AD56" s="372"/>
      <c r="AE56" s="577"/>
      <c r="AF56" s="373">
        <f>'Rates in summary'!J48</f>
        <v>5.8160000000000003E-2</v>
      </c>
      <c r="AG56" s="372"/>
      <c r="AH56" s="374"/>
      <c r="AI56" s="1258"/>
      <c r="AJ56" s="373">
        <f>L56+'Rates in summary'!K48</f>
        <v>6.2520000000000006E-2</v>
      </c>
      <c r="AK56" s="372"/>
      <c r="AL56" s="374"/>
      <c r="AM56" s="373">
        <f>'Rates in summary'!O48</f>
        <v>0</v>
      </c>
      <c r="AN56" s="372"/>
      <c r="AO56" s="577"/>
      <c r="AP56" s="122">
        <f>'Rates in Detail'!W47+'Rates in Detail'!Z47</f>
        <v>5.8100000000000006E-2</v>
      </c>
      <c r="AQ56" s="372"/>
      <c r="AR56" s="577"/>
      <c r="AS56" s="373">
        <f>'Rates in summary'!P48</f>
        <v>6.3670000000000004E-2</v>
      </c>
      <c r="AT56" s="372"/>
      <c r="AU56" s="374"/>
      <c r="AV56" s="1263"/>
      <c r="BA56" s="893" t="s">
        <v>360</v>
      </c>
      <c r="BB56" s="662">
        <f>M51</f>
        <v>6478.18</v>
      </c>
      <c r="BC56" s="372">
        <f>AG51</f>
        <v>6880.61</v>
      </c>
      <c r="BF56" s="1284">
        <f t="shared" si="66"/>
        <v>402.42999999999938</v>
      </c>
      <c r="BG56" s="1286">
        <f t="shared" si="67"/>
        <v>6.2120842582330124E-2</v>
      </c>
      <c r="BH56" s="662">
        <f>O51</f>
        <v>6880.61</v>
      </c>
      <c r="BI56" s="372">
        <f>AT51</f>
        <v>7178.36</v>
      </c>
      <c r="BL56" s="1284">
        <f t="shared" si="68"/>
        <v>297.75</v>
      </c>
      <c r="BM56" s="1286">
        <f t="shared" si="69"/>
        <v>4.327377950501482E-2</v>
      </c>
      <c r="BN56" s="55" t="s">
        <v>540</v>
      </c>
    </row>
    <row r="57" spans="1:66" x14ac:dyDescent="0.2">
      <c r="A57" s="86">
        <f t="shared" si="14"/>
        <v>50</v>
      </c>
      <c r="B57" s="725"/>
      <c r="C57" s="875" t="s">
        <v>9</v>
      </c>
      <c r="D57" s="299">
        <f>'WA Volumes &amp; Revenues'!E50</f>
        <v>0</v>
      </c>
      <c r="E57" s="299">
        <f>'WA Volumes &amp; Revenues'!F50</f>
        <v>0</v>
      </c>
      <c r="F57" s="371" t="s">
        <v>74</v>
      </c>
      <c r="G57" s="300"/>
      <c r="H57" s="300"/>
      <c r="I57" s="879"/>
      <c r="J57" s="372"/>
      <c r="K57" s="122">
        <f>+'Rates in summary'!D49</f>
        <v>1.9009999999999999E-2</v>
      </c>
      <c r="L57" s="122">
        <f>+'Rates in summary'!J49</f>
        <v>2.181E-2</v>
      </c>
      <c r="M57" s="372"/>
      <c r="N57" s="372"/>
      <c r="O57" s="966"/>
      <c r="P57" s="966"/>
      <c r="Q57" s="373">
        <f>'Rates in summary'!H49-'Rates in summary'!F49</f>
        <v>2.2259999999999999E-2</v>
      </c>
      <c r="R57" s="372"/>
      <c r="S57" s="374"/>
      <c r="T57" s="373">
        <f>'Rates in summary'!I49</f>
        <v>0</v>
      </c>
      <c r="U57" s="372"/>
      <c r="V57" s="577"/>
      <c r="W57" s="373">
        <f>'Rates in Detail'!J48+'Rates in Detail'!P48</f>
        <v>1.8769999999999998E-2</v>
      </c>
      <c r="X57" s="372"/>
      <c r="Y57" s="577"/>
      <c r="Z57" s="373">
        <f>'Rates in Detail'!J48+'Rates in Detail'!S48</f>
        <v>1.9009999999999999E-2</v>
      </c>
      <c r="AA57" s="372"/>
      <c r="AB57" s="577"/>
      <c r="AC57" s="122">
        <f>'Rates in Detail'!J48+'Rates in Detail'!T48</f>
        <v>1.856E-2</v>
      </c>
      <c r="AD57" s="372"/>
      <c r="AE57" s="577"/>
      <c r="AF57" s="373">
        <f>'Rates in summary'!J49</f>
        <v>2.181E-2</v>
      </c>
      <c r="AG57" s="372"/>
      <c r="AH57" s="374"/>
      <c r="AI57" s="1258"/>
      <c r="AJ57" s="373">
        <f>L57+'Rates in summary'!K49</f>
        <v>2.3449999999999999E-2</v>
      </c>
      <c r="AK57" s="372"/>
      <c r="AL57" s="374"/>
      <c r="AM57" s="373">
        <f>'Rates in summary'!O49</f>
        <v>0</v>
      </c>
      <c r="AN57" s="372"/>
      <c r="AO57" s="577"/>
      <c r="AP57" s="122">
        <f>'Rates in Detail'!W48+'Rates in Detail'!Z48</f>
        <v>2.179E-2</v>
      </c>
      <c r="AQ57" s="372"/>
      <c r="AR57" s="577"/>
      <c r="AS57" s="373">
        <f>'Rates in summary'!P49</f>
        <v>2.3879999999999998E-2</v>
      </c>
      <c r="AT57" s="372"/>
      <c r="AU57" s="374"/>
      <c r="AV57" s="1263"/>
      <c r="BA57" s="893" t="s">
        <v>361</v>
      </c>
      <c r="BB57" s="662">
        <f>M58</f>
        <v>7428.62</v>
      </c>
      <c r="BC57" s="372">
        <f>AG58</f>
        <v>8292.0400000000009</v>
      </c>
      <c r="BF57" s="1284">
        <f t="shared" si="66"/>
        <v>863.42000000000098</v>
      </c>
      <c r="BG57" s="1286">
        <f t="shared" si="67"/>
        <v>0.11622885542671466</v>
      </c>
      <c r="BH57" s="662">
        <f>O58</f>
        <v>8292.0400000000009</v>
      </c>
      <c r="BI57" s="372">
        <f>AT58</f>
        <v>8930.7000000000007</v>
      </c>
      <c r="BL57" s="1284">
        <f t="shared" si="68"/>
        <v>638.65999999999985</v>
      </c>
      <c r="BM57" s="1286">
        <f t="shared" si="69"/>
        <v>7.7020853734424799E-2</v>
      </c>
      <c r="BN57" s="293" t="s">
        <v>137</v>
      </c>
    </row>
    <row r="58" spans="1:66" x14ac:dyDescent="0.2">
      <c r="A58" s="86">
        <f t="shared" si="14"/>
        <v>51</v>
      </c>
      <c r="B58" s="723"/>
      <c r="C58" s="876" t="s">
        <v>78</v>
      </c>
      <c r="D58" s="375"/>
      <c r="E58" s="375"/>
      <c r="F58" s="376"/>
      <c r="G58" s="377"/>
      <c r="H58" s="377"/>
      <c r="I58" s="880"/>
      <c r="J58" s="379"/>
      <c r="K58" s="378"/>
      <c r="L58" s="378"/>
      <c r="M58" s="379">
        <f>$I52+ROUND(IF($G52&lt;$F52,($G52*K52),IF($G52&lt;SUM($F52:$F53),(($F52*K52)+(($G52-$F52)*K53)),IF($G52&lt;SUM($F52:$F54),(($F52*K52)+($F53*K53)+(($G52-$F52-$F53)*K54)),IF($G52&lt;SUM($F52:$F55),(($F52*K52)+($F53*K53)+($F54*K54)+(($G52-SUM($F52:$F54))*K55)),IF($G52&lt;SUM($F52:$F56),(($F52*K52)+($F53*K53)+($F54*K54)+($F55*K55)+(($G52-SUM($F52:$F55))*K56)),(($F52*K52)+($F53*K53)+($F54*K54)+($F55*K54)+($F56*K56)+(($G52-SUM($F52:$F56))*K57))))))),2)</f>
        <v>7428.62</v>
      </c>
      <c r="N58" s="379">
        <f>$I52+ROUND(IF($H52&lt;$F52,($H52*K52),IF($H52&lt;SUM($F52:$F53),(($F52*K52)+(($H52-$F52)*K53)),IF($H52&lt;SUM($F52:$F54),(($F52*K52)+($F53*K53)+(($H52-$F52-$F53)*K54)),IF($H52&lt;SUM($F52:$F55),(($F52*K52)+($F53*K53)+($F54*K54)+(($H52-SUM($F52:$F54))*K55)),IF($H52&lt;SUM($F52:$F56),(($F52*K52)+($F53*K53)+($F54*K54)+($F55*K55)+(($H52-SUM($F52:$F55))*K56)),(($F52*K52)+($F53*K53)+($F54*K54)+($F55*K54)+($F56*K56)+(($H52-SUM($F52:$F56))*K57))))))),2)</f>
        <v>7221.15</v>
      </c>
      <c r="O58" s="379">
        <f>$I52+ROUND(IF($G52&lt;$F52,($G52*L52),IF($G52&lt;SUM($F52:$F53),(($F52*L52)+(($G52-$F52)*L53)),IF($G52&lt;SUM($F52:$F54),(($F52*L52)+($F53*L53)+(($G52-$F52-$F53)*L54)),IF($G52&lt;SUM($F52:$F55),(($F52*L52)+($F53*L53)+($F54*L54)+(($G52-SUM($F52:$F54))*L55)),IF($G52&lt;SUM($F52:$F56),(($F52*L52)+($F53*L53)+($F54*L54)+($F55*L55)+(($G52-SUM($F52:$F55))*L56)),(($F52*L52)+($F53*L53)+($F54*L54)+($F55*L54)+($F56*L56)+(($G52-SUM($F52:$F56))*L57))))))),2)</f>
        <v>8292.0400000000009</v>
      </c>
      <c r="P58" s="379">
        <f>$I52+ROUND(IF($H52&lt;$F52,($H52*L52),IF($H52&lt;SUM($F52:$F53),(($F52*L52)+(($H52-$F52)*L53)),IF($H52&lt;SUM($F52:$F54),(($F52*L52)+($F53*L53)+(($H52-$F52-$F53)*L54)),IF($H52&lt;SUM($F52:$F55),(($F52*L52)+($F53*L53)+($F54*L54)+(($H52-SUM($F52:$F54))*L55)),IF($H52&lt;SUM($F52:$F56),(($F52*L52)+($F53*L53)+($F54*L54)+($F55*L55)+(($H52-SUM($F52:$F55))*L56)),(($F52*L52)+($F53*L53)+($F54*L54)+($F55*L54)+($F56*L56)+(($H52-SUM($F52:$F56))*L57))))))),2)</f>
        <v>8054.1</v>
      </c>
      <c r="Q58" s="381"/>
      <c r="R58" s="379">
        <f>$J52+ROUND(IF($G52&lt;$F52,($G52*Q52),IF($G52&lt;SUM($F52:$F53),(($F52*Q52)+(($G52-$F52)*Q53)),IF($G52&lt;SUM($F52:$F54),(($F52*Q52)+($F53*Q53)+(($G52-$F52-$F53)*Q54)),IF($G52&lt;SUM($F52:$F55),(($F52*Q52)+($F53*Q53)+($F54*Q54)+(($G52-SUM($F52:$F54))*Q55)),IF($G52&lt;SUM($F52:$F56),(($F52*Q52)+($F53*Q53)+($F54*Q54)+($F55*Q55)+(($G52-SUM($F52:$F55))*Q56)),(($F52*Q52)+($F53*Q53)+($F54*Q54)+($F55*Q54)+($F56*Q56)+(($G52-SUM($F52:$F56))*Q57))))))),2)</f>
        <v>8432.42</v>
      </c>
      <c r="S58" s="382">
        <f>ROUND((R58-M58)/M58,3)</f>
        <v>0.13500000000000001</v>
      </c>
      <c r="T58" s="380"/>
      <c r="U58" s="379">
        <f>$I52+ROUND(IF($H52&lt;$F52,($H52*T52),IF($H52&lt;SUM($F52:$F53),(($F52*T52)+(($H52-$F52)*T53)),IF($H52&lt;SUM($F52:$F54),(($F52*T52)+($F53*T53)+(($H52-$F52-$F53)*T54)),IF($H52&lt;SUM($F52:$F55),(($F52*T52)+($F53*T53)+($F54*T54)+(($H52-SUM($F52:$F54))*T55)),IF($H52&lt;SUM($F52:$F56),(($F52*T52)+($F53*T53)+($F54*T54)+($F55*T55)+(($H52-SUM($F52:$F55))*T56)),(($F52*T52)+($F53*T53)+($F54*T54)+($F55*T54)+($F56*T56)+(($H52-SUM($F52:$F56))*T57))))))),2)</f>
        <v>1550</v>
      </c>
      <c r="V58" s="578">
        <f>ROUND((U58-N58)/N58,3)</f>
        <v>-0.78500000000000003</v>
      </c>
      <c r="W58" s="380"/>
      <c r="X58" s="379">
        <f>$J52+ROUND(IF($G52&lt;$F52,($G52*W52),IF($G52&lt;SUM($F52:$F53),(($F52*W52)+(($G52-$F52)*W53)),IF($G52&lt;SUM($F52:$F54),(($F52*W52)+($F53*W53)+(($G52-$F52-$F53)*W54)),IF($G52&lt;SUM($F52:$F55),(($F52*W52)+($F53*W53)+($F54*W54)+(($G52-SUM($F52:$F54))*W55)),IF($G52&lt;SUM($F52:$F56),(($F52*W52)+($F53*W53)+($F54*W54)+($F55*W55)+(($G52-SUM($F52:$F55))*W56)),(($F52*W52)+($F53*W53)+($F54*W54)+($F55*W54)+($F56*W56)+(($G52-SUM($F52:$F56))*W57))))))),2)</f>
        <v>7354.31</v>
      </c>
      <c r="Y58" s="578">
        <f t="shared" ref="Y58" si="73">ROUND(($X58-$M58)/$M58,3)</f>
        <v>-0.01</v>
      </c>
      <c r="Z58" s="380"/>
      <c r="AA58" s="379">
        <f>$J52+ROUND(IF($G52&lt;$F52,($G52*Z52),IF($G52&lt;SUM($F52:$F53),(($F52*Z52)+(($G52-$F52)*Z53)),IF($G52&lt;SUM($F52:$F54),(($F52*Z52)+($F53*Z53)+(($G52-$F52-$F53)*Z54)),IF($G52&lt;SUM($F52:$F55),(($F52*Z52)+($F53*Z53)+($F54*Z54)+(($G52-SUM($F52:$F54))*Z55)),IF($G52&lt;SUM($F52:$F56),(($F52*Z52)+($F53*Z53)+($F54*Z54)+($F55*Z55)+(($G52-SUM($F52:$F55))*Z56)),(($F52*Z52)+($F53*Z53)+($F54*Z54)+($F55*Z54)+($F56*Z56)+(($G52-SUM($F52:$F56))*Z57))))))),2)</f>
        <v>7428.62</v>
      </c>
      <c r="AB58" s="578">
        <f>ROUND(($AA58-$M58)/$M58,3)</f>
        <v>0</v>
      </c>
      <c r="AC58" s="379"/>
      <c r="AD58" s="379">
        <f>$J52+ROUND(IF($G52&lt;$F52,($G52*AC52),IF($G52&lt;SUM($F52:$F53),(($F52*AC52)+(($G52-$F52)*AC53)),IF($G52&lt;SUM($F52:$F54),(($F52*AC52)+($F53*AC53)+(($G52-$F52-$F53)*AC54)),IF($G52&lt;SUM($F52:$F55),(($F52*AC52)+($F53*AC53)+($F54*AC54)+(($G52-SUM($F52:$F54))*AC55)),IF($G52&lt;SUM($F52:$F56),(($F52*AC52)+($F53*AC53)+($F54*AC54)+($F55*AC55)+(($G52-SUM($F52:$F55))*AC56)),(($F52*AC52)+($F53*AC53)+($F54*AC54)+($F55*AC54)+($F56*AC56)+(($G52-SUM($F52:$F56))*AC57))))))),2)</f>
        <v>7288.25</v>
      </c>
      <c r="AE58" s="578">
        <f>ROUND(($AD58-$M58)/$M58,3)</f>
        <v>-1.9E-2</v>
      </c>
      <c r="AF58" s="381"/>
      <c r="AG58" s="379">
        <f>$J52+ROUND(IF($G52&lt;$F52,($G52*AF52),IF($G52&lt;SUM($F52:$F53),(($F52*AF52)+(($G52-$F52)*AF53)),IF($G52&lt;SUM($F52:$F54),(($F52*AF52)+($F53*AF53)+(($G52-$F52-$F53)*AF54)),IF($G52&lt;SUM($F52:$F55),(($F52*AF52)+($F53*AF53)+($F54*AF54)+(($G52-SUM($F52:$F54))*AF55)),IF($G52&lt;SUM($F52:$F56),(($F52*AF52)+($F53*AF53)+($F54*AF54)+($F55*AF55)+(($G52-SUM($F52:$F55))*AF56)),(($F52*AF52)+($F53*AF53)+($F54*AF54)+($F55*AF54)+($F56*AF56)+(($G52-SUM($F52:$F56))*AF57))))))),2)</f>
        <v>8292.0400000000009</v>
      </c>
      <c r="AH58" s="382">
        <f>ROUND((AG58-M58)/M58,3)</f>
        <v>0.11600000000000001</v>
      </c>
      <c r="AI58" s="1259">
        <f t="shared" si="47"/>
        <v>863.42000000000098</v>
      </c>
      <c r="AJ58" s="381"/>
      <c r="AK58" s="379">
        <f>$J52+ROUND(IF($G52&lt;$F52,($G52*AJ52),IF($G52&lt;SUM($F52:$F53),(($F52*AJ52)+(($G52-$F52)*AJ53)),IF($G52&lt;SUM($F52:$F54),(($F52*AJ52)+($F53*AJ53)+(($G52-$F52-$F53)*AJ54)),IF($G52&lt;SUM($F52:$F55),(($F52*AJ52)+($F53*AJ53)+($F54*AJ54)+(($G52-SUM($F52:$F54))*AJ55)),IF($G52&lt;SUM($F52:$F56),(($F52*AJ52)+($F53*AJ53)+($F54*AJ54)+($F55*AJ55)+(($G52-SUM($F52:$F55))*AJ56)),(($F52*AJ52)+($F53*AJ53)+($F54*AJ54)+($F55*AJ54)+($F56*AJ56)+(($G52-SUM($F52:$F56))*AJ57))))))),2)</f>
        <v>8797.5600000000013</v>
      </c>
      <c r="AL58" s="382">
        <f>ROUND((AK58-O58)/O58,3)</f>
        <v>6.0999999999999999E-2</v>
      </c>
      <c r="AM58" s="380"/>
      <c r="AN58" s="379">
        <f>$I52+ROUND(IF($H52&lt;$F52,($H52*AM52),IF($H52&lt;SUM($F52:$F53),(($F52*AM52)+(($H52-$F52)*AM53)),IF($H52&lt;SUM($F52:$F54),(($F52*AM52)+($F53*AM53)+(($H52-$F52-$F53)*AM54)),IF($H52&lt;SUM($F52:$F55),(($F52*AM52)+($F53*AM53)+($F54*AM54)+(($H52-SUM($F52:$F54))*AM55)),IF($H52&lt;SUM($F52:$F56),(($F52*AM52)+($F53*AM53)+($F54*AM54)+($F55*AM55)+(($H52-SUM($F52:$F55))*AM56)),(($F52*AM52)+($F53*AM53)+($F54*AM54)+($F55*AM54)+($F56*AM56)+(($H52-SUM($F52:$F56))*AM57))))))),2)</f>
        <v>1550</v>
      </c>
      <c r="AO58" s="578">
        <f>ROUND((AN58-P58)/P58,3)</f>
        <v>-0.80800000000000005</v>
      </c>
      <c r="AP58" s="379"/>
      <c r="AQ58" s="379">
        <f>$J52+ROUND(IF($G52&lt;$F52,($G52*AP52),IF($G52&lt;SUM($F52:$F53),(($F52*AP52)+(($G52-$F52)*AP53)),IF($G52&lt;SUM($F52:$F54),(($F52*AP52)+($F53*AP53)+(($G52-$F52-$F53)*AP54)),IF($G52&lt;SUM($F52:$F55),(($F52*AP52)+($F53*AP53)+($F54*AP54)+(($G52-SUM($F52:$F54))*AP55)),IF($G52&lt;SUM($F52:$F56),(($F52*AP52)+($F53*AP53)+($F54*AP54)+($F55*AP55)+(($G52-SUM($F52:$F55))*AP56)),(($F52*AP52)+($F53*AP53)+($F54*AP54)+($F55*AP54)+($F56*AP56)+(($G52-SUM($F52:$F56))*AP57))))))),2)</f>
        <v>8284.8100000000013</v>
      </c>
      <c r="AR58" s="578">
        <f>ROUND(($AQ58-$O58)/$O58,3)</f>
        <v>-1E-3</v>
      </c>
      <c r="AS58" s="381"/>
      <c r="AT58" s="379">
        <f>$J52+ROUND(IF($G52&lt;$F52,($G52*AS52),IF($G52&lt;SUM($F52:$F53),(($F52*AS52)+(($G52-$F52)*AS53)),IF($G52&lt;SUM($F52:$F54),(($F52*AS52)+($F53*AS53)+(($G52-$F52-$F53)*AS54)),IF($G52&lt;SUM($F52:$F55),(($F52*AS52)+($F53*AS53)+($F54*AS54)+(($G52-SUM($F52:$F54))*AS55)),IF($G52&lt;SUM($F52:$F56),(($F52*AS52)+($F53*AS53)+($F54*AS54)+($F55*AS55)+(($G52-SUM($F52:$F55))*AS56)),(($F52*AS52)+($F53*AS53)+($F54*AS54)+($F55*AS54)+($F56*AS56)+(($G52-SUM($F52:$F56))*AS57))))))),2)</f>
        <v>8930.7000000000007</v>
      </c>
      <c r="AU58" s="382">
        <f>ROUND((AT58-O58)/O58,3)</f>
        <v>7.6999999999999999E-2</v>
      </c>
      <c r="AV58" s="1264">
        <f t="shared" si="51"/>
        <v>638.65999999999985</v>
      </c>
      <c r="AW58" s="370"/>
      <c r="AX58" s="370"/>
      <c r="AY58" s="370"/>
      <c r="AZ58" s="370"/>
      <c r="BA58" s="893" t="s">
        <v>362</v>
      </c>
      <c r="BB58" s="662">
        <f>M65</f>
        <v>8406.39</v>
      </c>
      <c r="BC58" s="372">
        <f>AG65</f>
        <v>9416.02</v>
      </c>
      <c r="BF58" s="1284">
        <f t="shared" si="66"/>
        <v>1009.630000000001</v>
      </c>
      <c r="BG58" s="1286">
        <f t="shared" si="67"/>
        <v>0.12010268379173475</v>
      </c>
      <c r="BH58" s="662">
        <f>O65</f>
        <v>9416.02</v>
      </c>
      <c r="BI58" s="372">
        <f>AT65</f>
        <v>10162.89</v>
      </c>
      <c r="BL58" s="1284">
        <f t="shared" si="68"/>
        <v>746.86999999999898</v>
      </c>
      <c r="BM58" s="1286">
        <f t="shared" si="69"/>
        <v>7.931907536305137E-2</v>
      </c>
      <c r="BN58" s="293" t="s">
        <v>137</v>
      </c>
    </row>
    <row r="59" spans="1:66" x14ac:dyDescent="0.2">
      <c r="A59" s="86">
        <f t="shared" si="14"/>
        <v>52</v>
      </c>
      <c r="B59" s="725" t="str">
        <f>'WA Volumes &amp; Revenues'!B51</f>
        <v>42I Firm Transpt</v>
      </c>
      <c r="C59" s="875" t="s">
        <v>4</v>
      </c>
      <c r="D59" s="299">
        <f>'WA Volumes &amp; Revenues'!E51</f>
        <v>924395</v>
      </c>
      <c r="E59" s="299">
        <f>'WA Volumes &amp; Revenues'!F51</f>
        <v>901597</v>
      </c>
      <c r="F59" s="299">
        <v>10000</v>
      </c>
      <c r="G59" s="300">
        <f>+'WA Volumes &amp; Revenues'!I51</f>
        <v>63374</v>
      </c>
      <c r="H59" s="300">
        <f>'WA Volumes &amp; Revenues'!L51</f>
        <v>63120</v>
      </c>
      <c r="I59" s="879">
        <f>'WA Volumes &amp; Revenues'!O51</f>
        <v>1550</v>
      </c>
      <c r="J59" s="372">
        <f>'WA Volumes &amp; Revenues'!N51</f>
        <v>1550</v>
      </c>
      <c r="K59" s="122">
        <f>+'Rates in summary'!D50</f>
        <v>0.14000000000000001</v>
      </c>
      <c r="L59" s="122">
        <f>+'Rates in summary'!J50</f>
        <v>0.16061</v>
      </c>
      <c r="M59" s="372"/>
      <c r="N59" s="372"/>
      <c r="O59" s="966"/>
      <c r="P59" s="966"/>
      <c r="Q59" s="373">
        <f>'Rates in summary'!H50-'Rates in summary'!F50</f>
        <v>0.16397</v>
      </c>
      <c r="R59" s="372"/>
      <c r="S59" s="374"/>
      <c r="T59" s="373">
        <f>'Rates in summary'!I50</f>
        <v>0</v>
      </c>
      <c r="U59" s="372"/>
      <c r="V59" s="577"/>
      <c r="W59" s="373">
        <f>'Rates in Detail'!J49+'Rates in Detail'!P49</f>
        <v>0.13823000000000002</v>
      </c>
      <c r="X59" s="372"/>
      <c r="Y59" s="577"/>
      <c r="Z59" s="373">
        <f>'Rates in Detail'!J49+'Rates in Detail'!S49</f>
        <v>0.14000000000000001</v>
      </c>
      <c r="AA59" s="372"/>
      <c r="AB59" s="577"/>
      <c r="AC59" s="122">
        <f>'Rates in Detail'!J49+'Rates in Detail'!T49</f>
        <v>0.13664000000000001</v>
      </c>
      <c r="AD59" s="372"/>
      <c r="AE59" s="577"/>
      <c r="AF59" s="373">
        <f>'Rates in summary'!J50</f>
        <v>0.16061</v>
      </c>
      <c r="AG59" s="372"/>
      <c r="AH59" s="374"/>
      <c r="AI59" s="1258"/>
      <c r="AJ59" s="373">
        <f>L59+'Rates in summary'!K50</f>
        <v>0.17268</v>
      </c>
      <c r="AK59" s="372"/>
      <c r="AL59" s="374"/>
      <c r="AM59" s="373">
        <f>'Rates in summary'!O50</f>
        <v>0</v>
      </c>
      <c r="AN59" s="372"/>
      <c r="AO59" s="577"/>
      <c r="AP59" s="122">
        <f>'Rates in Detail'!W49+'Rates in Detail'!Z49</f>
        <v>0.16044000000000003</v>
      </c>
      <c r="AQ59" s="372"/>
      <c r="AR59" s="577"/>
      <c r="AS59" s="373">
        <f>'Rates in summary'!P50</f>
        <v>0.17587</v>
      </c>
      <c r="AT59" s="372"/>
      <c r="AU59" s="374"/>
      <c r="AV59" s="1263"/>
      <c r="BA59" s="893" t="s">
        <v>363</v>
      </c>
      <c r="BB59" s="662">
        <f>M72</f>
        <v>17153.690000000002</v>
      </c>
      <c r="BC59" s="372">
        <f>AG72</f>
        <v>17671.07</v>
      </c>
      <c r="BF59" s="1284">
        <f t="shared" si="66"/>
        <v>517.37999999999738</v>
      </c>
      <c r="BG59" s="1286">
        <f t="shared" si="67"/>
        <v>3.0161440483067917E-2</v>
      </c>
      <c r="BH59" s="662">
        <f>O72</f>
        <v>17671.07</v>
      </c>
      <c r="BI59" s="372">
        <f>AT72</f>
        <v>18429.98</v>
      </c>
      <c r="BL59" s="1284">
        <f t="shared" si="68"/>
        <v>758.90999999999985</v>
      </c>
      <c r="BM59" s="1286">
        <f t="shared" si="69"/>
        <v>4.2946465607345781E-2</v>
      </c>
      <c r="BN59" s="55" t="s">
        <v>541</v>
      </c>
    </row>
    <row r="60" spans="1:66" x14ac:dyDescent="0.2">
      <c r="A60" s="86">
        <f t="shared" si="14"/>
        <v>53</v>
      </c>
      <c r="B60" s="725"/>
      <c r="C60" s="875" t="s">
        <v>5</v>
      </c>
      <c r="D60" s="299">
        <f>'WA Volumes &amp; Revenues'!E52</f>
        <v>1036796</v>
      </c>
      <c r="E60" s="299">
        <f>'WA Volumes &amp; Revenues'!F52</f>
        <v>1041722</v>
      </c>
      <c r="F60" s="299">
        <v>20000</v>
      </c>
      <c r="G60" s="300"/>
      <c r="H60" s="300"/>
      <c r="I60" s="879"/>
      <c r="J60" s="372"/>
      <c r="K60" s="122">
        <f>+'Rates in summary'!D51</f>
        <v>0.12530999999999998</v>
      </c>
      <c r="L60" s="122">
        <f>+'Rates in summary'!J51</f>
        <v>0.14375999999999997</v>
      </c>
      <c r="M60" s="372"/>
      <c r="N60" s="372"/>
      <c r="O60" s="966"/>
      <c r="P60" s="966"/>
      <c r="Q60" s="373">
        <f>'Rates in summary'!H51-'Rates in summary'!F51</f>
        <v>0.14675999999999997</v>
      </c>
      <c r="R60" s="372"/>
      <c r="S60" s="374"/>
      <c r="T60" s="373">
        <f>'Rates in summary'!I51</f>
        <v>0</v>
      </c>
      <c r="U60" s="372"/>
      <c r="V60" s="577"/>
      <c r="W60" s="373">
        <f>'Rates in Detail'!J50+'Rates in Detail'!P50</f>
        <v>0.12371999999999998</v>
      </c>
      <c r="X60" s="372"/>
      <c r="Y60" s="577"/>
      <c r="Z60" s="373">
        <f>'Rates in Detail'!J50+'Rates in Detail'!S50</f>
        <v>0.12530999999999998</v>
      </c>
      <c r="AA60" s="372"/>
      <c r="AB60" s="577"/>
      <c r="AC60" s="122">
        <f>'Rates in Detail'!J50+'Rates in Detail'!T50</f>
        <v>0.12230999999999997</v>
      </c>
      <c r="AD60" s="372"/>
      <c r="AE60" s="577"/>
      <c r="AF60" s="373">
        <f>'Rates in summary'!J51</f>
        <v>0.14375999999999997</v>
      </c>
      <c r="AG60" s="372"/>
      <c r="AH60" s="374"/>
      <c r="AI60" s="1258"/>
      <c r="AJ60" s="373">
        <f>L60+'Rates in summary'!K51</f>
        <v>0.15455999999999998</v>
      </c>
      <c r="AK60" s="372"/>
      <c r="AL60" s="374"/>
      <c r="AM60" s="373">
        <f>'Rates in summary'!O51</f>
        <v>0</v>
      </c>
      <c r="AN60" s="372"/>
      <c r="AO60" s="577"/>
      <c r="AP60" s="122">
        <f>'Rates in Detail'!W50+'Rates in Detail'!Z50</f>
        <v>0.14360999999999993</v>
      </c>
      <c r="AQ60" s="372"/>
      <c r="AR60" s="577"/>
      <c r="AS60" s="373">
        <f>'Rates in summary'!P51</f>
        <v>0.15740999999999997</v>
      </c>
      <c r="AT60" s="372"/>
      <c r="AU60" s="374"/>
      <c r="AV60" s="1263"/>
      <c r="BA60" s="893" t="s">
        <v>364</v>
      </c>
      <c r="BB60" s="662">
        <f>M79</f>
        <v>6965.46</v>
      </c>
      <c r="BC60" s="372">
        <f>AG79</f>
        <v>7359.71</v>
      </c>
      <c r="BF60" s="1284">
        <f t="shared" si="66"/>
        <v>394.25</v>
      </c>
      <c r="BG60" s="1286">
        <f t="shared" si="67"/>
        <v>5.6600712659321852E-2</v>
      </c>
      <c r="BH60" s="662">
        <f>O79</f>
        <v>7359.71</v>
      </c>
      <c r="BI60" s="372">
        <f>AT79</f>
        <v>7651.54</v>
      </c>
      <c r="BL60" s="1284">
        <f t="shared" si="68"/>
        <v>291.82999999999993</v>
      </c>
      <c r="BM60" s="1286">
        <f t="shared" si="69"/>
        <v>3.9652377607269841E-2</v>
      </c>
      <c r="BN60" s="55" t="s">
        <v>541</v>
      </c>
    </row>
    <row r="61" spans="1:66" x14ac:dyDescent="0.2">
      <c r="A61" s="86">
        <f t="shared" si="14"/>
        <v>54</v>
      </c>
      <c r="B61" s="725"/>
      <c r="C61" s="875" t="s">
        <v>6</v>
      </c>
      <c r="D61" s="299">
        <f>'WA Volumes &amp; Revenues'!E53</f>
        <v>937215</v>
      </c>
      <c r="E61" s="299">
        <f>'WA Volumes &amp; Revenues'!F53</f>
        <v>957215</v>
      </c>
      <c r="F61" s="299">
        <v>20000</v>
      </c>
      <c r="G61" s="300"/>
      <c r="H61" s="300"/>
      <c r="I61" s="879"/>
      <c r="J61" s="372"/>
      <c r="K61" s="122">
        <f>+'Rates in summary'!D52</f>
        <v>9.6100000000000005E-2</v>
      </c>
      <c r="L61" s="122">
        <f>+'Rates in summary'!J52</f>
        <v>0.11025000000000001</v>
      </c>
      <c r="M61" s="372"/>
      <c r="N61" s="372"/>
      <c r="O61" s="966"/>
      <c r="P61" s="966"/>
      <c r="Q61" s="373">
        <f>'Rates in summary'!H52-'Rates in summary'!F52</f>
        <v>0.11255000000000001</v>
      </c>
      <c r="R61" s="372"/>
      <c r="S61" s="374"/>
      <c r="T61" s="373">
        <f>'Rates in summary'!I52</f>
        <v>0</v>
      </c>
      <c r="U61" s="372"/>
      <c r="V61" s="577"/>
      <c r="W61" s="373">
        <f>'Rates in Detail'!J51+'Rates in Detail'!P51</f>
        <v>9.4880000000000006E-2</v>
      </c>
      <c r="X61" s="372"/>
      <c r="Y61" s="577"/>
      <c r="Z61" s="373">
        <f>'Rates in Detail'!J51+'Rates in Detail'!S51</f>
        <v>9.6100000000000005E-2</v>
      </c>
      <c r="AA61" s="372"/>
      <c r="AB61" s="577"/>
      <c r="AC61" s="122">
        <f>'Rates in Detail'!J51+'Rates in Detail'!T51</f>
        <v>9.3800000000000008E-2</v>
      </c>
      <c r="AD61" s="372"/>
      <c r="AE61" s="577"/>
      <c r="AF61" s="373">
        <f>'Rates in summary'!J52</f>
        <v>0.11025000000000001</v>
      </c>
      <c r="AG61" s="372"/>
      <c r="AH61" s="374"/>
      <c r="AI61" s="1258"/>
      <c r="AJ61" s="373">
        <f>L61+'Rates in summary'!K52</f>
        <v>0.11853000000000001</v>
      </c>
      <c r="AK61" s="372"/>
      <c r="AL61" s="374"/>
      <c r="AM61" s="373">
        <f>'Rates in summary'!O52</f>
        <v>0</v>
      </c>
      <c r="AN61" s="372"/>
      <c r="AO61" s="577"/>
      <c r="AP61" s="122">
        <f>'Rates in Detail'!W51+'Rates in Detail'!Z51</f>
        <v>0.11013000000000002</v>
      </c>
      <c r="AQ61" s="372"/>
      <c r="AR61" s="577"/>
      <c r="AS61" s="373">
        <f>'Rates in summary'!P52</f>
        <v>0.12071000000000001</v>
      </c>
      <c r="AT61" s="372"/>
      <c r="AU61" s="374"/>
      <c r="AV61" s="1263"/>
      <c r="BA61" s="893" t="s">
        <v>366</v>
      </c>
      <c r="BB61" s="662">
        <f>M86</f>
        <v>1550</v>
      </c>
      <c r="BC61" s="372">
        <f>AG86</f>
        <v>1550</v>
      </c>
      <c r="BF61" s="1284">
        <f t="shared" si="66"/>
        <v>0</v>
      </c>
      <c r="BG61" s="1286">
        <f t="shared" si="67"/>
        <v>0</v>
      </c>
      <c r="BH61" s="662">
        <f>O86</f>
        <v>1550</v>
      </c>
      <c r="BI61" s="372">
        <f>AT86</f>
        <v>1550</v>
      </c>
      <c r="BL61" s="1284">
        <f t="shared" si="68"/>
        <v>0</v>
      </c>
      <c r="BM61" s="1286">
        <f t="shared" si="69"/>
        <v>0</v>
      </c>
      <c r="BN61" s="293" t="s">
        <v>137</v>
      </c>
    </row>
    <row r="62" spans="1:66" x14ac:dyDescent="0.2">
      <c r="A62" s="86">
        <f t="shared" si="14"/>
        <v>55</v>
      </c>
      <c r="B62" s="725"/>
      <c r="C62" s="875" t="s">
        <v>7</v>
      </c>
      <c r="D62" s="299">
        <f>'WA Volumes &amp; Revenues'!E54</f>
        <v>2390318</v>
      </c>
      <c r="E62" s="299">
        <f>'WA Volumes &amp; Revenues'!F54</f>
        <v>2490044</v>
      </c>
      <c r="F62" s="299">
        <v>100000</v>
      </c>
      <c r="G62" s="300"/>
      <c r="H62" s="300"/>
      <c r="I62" s="879"/>
      <c r="J62" s="372"/>
      <c r="K62" s="122">
        <f>+'Rates in summary'!D53</f>
        <v>7.6880000000000018E-2</v>
      </c>
      <c r="L62" s="122">
        <f>+'Rates in summary'!J53</f>
        <v>8.8210000000000025E-2</v>
      </c>
      <c r="M62" s="372"/>
      <c r="N62" s="372"/>
      <c r="O62" s="966"/>
      <c r="P62" s="966"/>
      <c r="Q62" s="373">
        <f>'Rates in summary'!H53-'Rates in summary'!F53</f>
        <v>9.0050000000000019E-2</v>
      </c>
      <c r="R62" s="372"/>
      <c r="S62" s="374"/>
      <c r="T62" s="373">
        <f>'Rates in summary'!I53</f>
        <v>0</v>
      </c>
      <c r="U62" s="372"/>
      <c r="V62" s="577"/>
      <c r="W62" s="373">
        <f>'Rates in Detail'!J52+'Rates in Detail'!P52</f>
        <v>7.5910000000000019E-2</v>
      </c>
      <c r="X62" s="372"/>
      <c r="Y62" s="577"/>
      <c r="Z62" s="373">
        <f>'Rates in Detail'!J52+'Rates in Detail'!S52</f>
        <v>7.6880000000000018E-2</v>
      </c>
      <c r="AA62" s="372"/>
      <c r="AB62" s="577"/>
      <c r="AC62" s="122">
        <f>'Rates in Detail'!J52+'Rates in Detail'!T52</f>
        <v>7.5040000000000023E-2</v>
      </c>
      <c r="AD62" s="372"/>
      <c r="AE62" s="577"/>
      <c r="AF62" s="373">
        <f>'Rates in summary'!J53</f>
        <v>8.8210000000000025E-2</v>
      </c>
      <c r="AG62" s="372"/>
      <c r="AH62" s="374"/>
      <c r="AI62" s="1258"/>
      <c r="AJ62" s="373">
        <f>L62+'Rates in summary'!K53</f>
        <v>9.4840000000000022E-2</v>
      </c>
      <c r="AK62" s="372"/>
      <c r="AL62" s="374"/>
      <c r="AM62" s="373">
        <f>'Rates in summary'!O53</f>
        <v>0</v>
      </c>
      <c r="AN62" s="372"/>
      <c r="AO62" s="577"/>
      <c r="AP62" s="122">
        <f>'Rates in Detail'!W52+'Rates in Detail'!Z52</f>
        <v>8.8120000000000018E-2</v>
      </c>
      <c r="AQ62" s="372"/>
      <c r="AR62" s="577"/>
      <c r="AS62" s="373">
        <f>'Rates in summary'!P53</f>
        <v>9.6590000000000009E-2</v>
      </c>
      <c r="AT62" s="372"/>
      <c r="AU62" s="374"/>
      <c r="AV62" s="1263"/>
      <c r="BA62" s="893" t="s">
        <v>367</v>
      </c>
      <c r="BB62" s="662">
        <f>M93</f>
        <v>10526.67</v>
      </c>
      <c r="BC62" s="372">
        <f>AG93</f>
        <v>11683.4</v>
      </c>
      <c r="BF62" s="1284">
        <f t="shared" si="66"/>
        <v>1156.7299999999996</v>
      </c>
      <c r="BG62" s="1286">
        <f t="shared" si="67"/>
        <v>0.10988565234779846</v>
      </c>
      <c r="BH62" s="662">
        <f>O93</f>
        <v>11683.4</v>
      </c>
      <c r="BI62" s="372">
        <f>AT93</f>
        <v>12539.52</v>
      </c>
      <c r="BL62" s="1284">
        <f t="shared" si="68"/>
        <v>856.1200000000008</v>
      </c>
      <c r="BM62" s="1286">
        <f t="shared" si="69"/>
        <v>7.3276614684081753E-2</v>
      </c>
      <c r="BN62" s="293" t="s">
        <v>137</v>
      </c>
    </row>
    <row r="63" spans="1:66" x14ac:dyDescent="0.2">
      <c r="A63" s="86">
        <f t="shared" si="14"/>
        <v>56</v>
      </c>
      <c r="B63" s="725"/>
      <c r="C63" s="875" t="s">
        <v>8</v>
      </c>
      <c r="D63" s="299">
        <f>'WA Volumes &amp; Revenues'!E55</f>
        <v>1492257</v>
      </c>
      <c r="E63" s="299">
        <f>'WA Volumes &amp; Revenues'!F55</f>
        <v>1426372</v>
      </c>
      <c r="F63" s="299">
        <v>600000</v>
      </c>
      <c r="G63" s="300"/>
      <c r="H63" s="300"/>
      <c r="I63" s="879"/>
      <c r="J63" s="372"/>
      <c r="K63" s="122">
        <f>+'Rates in summary'!D54</f>
        <v>5.1250000000000004E-2</v>
      </c>
      <c r="L63" s="122">
        <f>+'Rates in summary'!J54</f>
        <v>5.8790000000000002E-2</v>
      </c>
      <c r="M63" s="372"/>
      <c r="N63" s="372"/>
      <c r="O63" s="966"/>
      <c r="P63" s="966"/>
      <c r="Q63" s="373">
        <f>'Rates in summary'!H54-'Rates in summary'!F54</f>
        <v>6.0020000000000004E-2</v>
      </c>
      <c r="R63" s="372"/>
      <c r="S63" s="374"/>
      <c r="T63" s="373">
        <f>'Rates in summary'!I54</f>
        <v>0</v>
      </c>
      <c r="U63" s="372"/>
      <c r="V63" s="577"/>
      <c r="W63" s="373">
        <f>'Rates in Detail'!J53+'Rates in Detail'!P53</f>
        <v>5.0600000000000006E-2</v>
      </c>
      <c r="X63" s="372"/>
      <c r="Y63" s="577"/>
      <c r="Z63" s="373">
        <f>'Rates in Detail'!J53+'Rates in Detail'!S53</f>
        <v>5.1250000000000004E-2</v>
      </c>
      <c r="AA63" s="372"/>
      <c r="AB63" s="577"/>
      <c r="AC63" s="122">
        <f>'Rates in Detail'!J53+'Rates in Detail'!T53</f>
        <v>5.0020000000000002E-2</v>
      </c>
      <c r="AD63" s="372"/>
      <c r="AE63" s="577"/>
      <c r="AF63" s="373">
        <f>'Rates in summary'!J54</f>
        <v>5.8790000000000002E-2</v>
      </c>
      <c r="AG63" s="372"/>
      <c r="AH63" s="374"/>
      <c r="AI63" s="1258"/>
      <c r="AJ63" s="373">
        <f>L63+'Rates in summary'!K54</f>
        <v>6.3210000000000002E-2</v>
      </c>
      <c r="AK63" s="372"/>
      <c r="AL63" s="374"/>
      <c r="AM63" s="373">
        <f>'Rates in summary'!O54</f>
        <v>0</v>
      </c>
      <c r="AN63" s="372"/>
      <c r="AO63" s="577"/>
      <c r="AP63" s="122">
        <f>'Rates in Detail'!W53+'Rates in Detail'!Z53</f>
        <v>5.8730000000000004E-2</v>
      </c>
      <c r="AQ63" s="372"/>
      <c r="AR63" s="577"/>
      <c r="AS63" s="373">
        <f>'Rates in summary'!P54</f>
        <v>6.4379999999999993E-2</v>
      </c>
      <c r="AT63" s="372"/>
      <c r="AU63" s="374"/>
      <c r="AV63" s="1263"/>
      <c r="BA63" s="893" t="s">
        <v>56</v>
      </c>
      <c r="BB63" s="662">
        <f t="shared" ref="BB63:BB65" si="74">M94</f>
        <v>38000</v>
      </c>
      <c r="BC63" s="372">
        <f>AG94</f>
        <v>38000</v>
      </c>
      <c r="BF63" s="1284">
        <f t="shared" si="66"/>
        <v>0</v>
      </c>
      <c r="BG63" s="1286">
        <f t="shared" si="67"/>
        <v>0</v>
      </c>
      <c r="BH63" s="662">
        <f>O94</f>
        <v>38000</v>
      </c>
      <c r="BI63" s="372">
        <f>AT94</f>
        <v>38000</v>
      </c>
      <c r="BL63" s="1284">
        <f t="shared" si="68"/>
        <v>0</v>
      </c>
      <c r="BM63" s="1286">
        <f t="shared" si="69"/>
        <v>0</v>
      </c>
      <c r="BN63" s="293" t="s">
        <v>137</v>
      </c>
    </row>
    <row r="64" spans="1:66" x14ac:dyDescent="0.2">
      <c r="A64" s="86">
        <f t="shared" si="14"/>
        <v>57</v>
      </c>
      <c r="B64" s="725"/>
      <c r="C64" s="875" t="s">
        <v>9</v>
      </c>
      <c r="D64" s="299">
        <f>'WA Volumes &amp; Revenues'!E56</f>
        <v>0</v>
      </c>
      <c r="E64" s="299">
        <f>'WA Volumes &amp; Revenues'!F56</f>
        <v>0</v>
      </c>
      <c r="F64" s="371" t="s">
        <v>74</v>
      </c>
      <c r="G64" s="300"/>
      <c r="H64" s="300"/>
      <c r="I64" s="879"/>
      <c r="J64" s="372"/>
      <c r="K64" s="122">
        <f>+'Rates in summary'!D55</f>
        <v>1.9220000000000001E-2</v>
      </c>
      <c r="L64" s="122">
        <f>+'Rates in summary'!J55</f>
        <v>2.2050000000000004E-2</v>
      </c>
      <c r="M64" s="372"/>
      <c r="N64" s="372"/>
      <c r="O64" s="966"/>
      <c r="P64" s="966"/>
      <c r="Q64" s="373">
        <f>'Rates in summary'!H55-'Rates in summary'!F55</f>
        <v>2.2510000000000002E-2</v>
      </c>
      <c r="R64" s="372"/>
      <c r="S64" s="374"/>
      <c r="T64" s="373">
        <f>'Rates in summary'!I55</f>
        <v>0</v>
      </c>
      <c r="U64" s="372"/>
      <c r="V64" s="577"/>
      <c r="W64" s="373">
        <f>'Rates in Detail'!J54+'Rates in Detail'!P54</f>
        <v>1.898E-2</v>
      </c>
      <c r="X64" s="372"/>
      <c r="Y64" s="577"/>
      <c r="Z64" s="373">
        <f>'Rates in Detail'!J54+'Rates in Detail'!S54</f>
        <v>1.9220000000000001E-2</v>
      </c>
      <c r="AA64" s="372"/>
      <c r="AB64" s="577"/>
      <c r="AC64" s="122">
        <f>'Rates in Detail'!J54+'Rates in Detail'!T54</f>
        <v>1.8760000000000002E-2</v>
      </c>
      <c r="AD64" s="372"/>
      <c r="AE64" s="577"/>
      <c r="AF64" s="373">
        <f>'Rates in summary'!J55</f>
        <v>2.2050000000000004E-2</v>
      </c>
      <c r="AG64" s="372"/>
      <c r="AH64" s="374"/>
      <c r="AI64" s="1258"/>
      <c r="AJ64" s="373">
        <f>L64+'Rates in summary'!K55</f>
        <v>2.3710000000000002E-2</v>
      </c>
      <c r="AK64" s="372"/>
      <c r="AL64" s="374"/>
      <c r="AM64" s="373">
        <f>'Rates in summary'!O55</f>
        <v>0</v>
      </c>
      <c r="AN64" s="372"/>
      <c r="AO64" s="577"/>
      <c r="AP64" s="122">
        <f>'Rates in Detail'!W54+'Rates in Detail'!Z54</f>
        <v>2.2030000000000004E-2</v>
      </c>
      <c r="AQ64" s="372"/>
      <c r="AR64" s="577"/>
      <c r="AS64" s="373">
        <f>'Rates in summary'!P55</f>
        <v>2.4150000000000001E-2</v>
      </c>
      <c r="AT64" s="372"/>
      <c r="AU64" s="374"/>
      <c r="AV64" s="1263"/>
      <c r="BA64" s="893" t="s">
        <v>348</v>
      </c>
      <c r="BB64" s="662">
        <f t="shared" si="74"/>
        <v>38000</v>
      </c>
      <c r="BC64" s="372">
        <f>AG95</f>
        <v>38000</v>
      </c>
      <c r="BF64" s="1284">
        <f t="shared" si="66"/>
        <v>0</v>
      </c>
      <c r="BG64" s="1286">
        <f t="shared" si="67"/>
        <v>0</v>
      </c>
      <c r="BH64" s="662">
        <f>O95</f>
        <v>38000</v>
      </c>
      <c r="BI64" s="372">
        <f>AT95</f>
        <v>38000</v>
      </c>
      <c r="BL64" s="1284">
        <f t="shared" si="68"/>
        <v>0</v>
      </c>
      <c r="BM64" s="1286">
        <f t="shared" si="69"/>
        <v>0</v>
      </c>
      <c r="BN64" s="293" t="s">
        <v>137</v>
      </c>
    </row>
    <row r="65" spans="1:65" x14ac:dyDescent="0.2">
      <c r="A65" s="86">
        <f t="shared" si="14"/>
        <v>58</v>
      </c>
      <c r="B65" s="723"/>
      <c r="C65" s="876" t="s">
        <v>78</v>
      </c>
      <c r="D65" s="375"/>
      <c r="E65" s="375"/>
      <c r="F65" s="376"/>
      <c r="G65" s="377"/>
      <c r="H65" s="377"/>
      <c r="I65" s="880"/>
      <c r="J65" s="379"/>
      <c r="K65" s="378"/>
      <c r="L65" s="378"/>
      <c r="M65" s="379">
        <f>$I59+ROUND(IF($G59&lt;$F59,($G59*K59),IF($G59&lt;SUM($F59:$F60),(($F59*K59)+(($G59-$F59)*K60)),IF($G59&lt;SUM($F59:$F61),(($F59*K59)+($F60*K60)+(($G59-$F59-$F60)*K61)),IF($G59&lt;SUM($F59:$F62),(($F59*K59)+($F60*K60)+($F61*K61)+(($G59-SUM($F59:$F61))*K62)),IF($G59&lt;SUM($F59:$F63),(($F59*K59)+($F60*K60)+($F61*K61)+($F62*K62)+(($G59-SUM($F59:$F62))*K63)),(($F59*K59)+($F60*K60)+($F61*K61)+($F62*K61)+($F63*K63)+(($G59-SUM($F59:$F63))*K64))))))),2)</f>
        <v>8406.39</v>
      </c>
      <c r="N65" s="379">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9">
        <f>$I59+ROUND(IF($G59&lt;$F59,($G59*L59),IF($G59&lt;SUM($F59:$F60),(($F59*L59)+(($G59-$F59)*L60)),IF($G59&lt;SUM($F59:$F61),(($F59*L59)+($F60*L60)+(($G59-$F59-$F60)*L61)),IF($G59&lt;SUM($F59:$F62),(($F59*L59)+($F60*L60)+($F61*L61)+(($G59-SUM($F59:$F61))*L62)),IF($G59&lt;SUM($F59:$F63),(($F59*L59)+($F60*L60)+($F61*L61)+($F62*L62)+(($G59-SUM($F59:$F62))*L63)),(($F59*L59)+($F60*L60)+($F61*L61)+($F62*L61)+($F63*L63)+(($G59-SUM($F59:$F63))*L64))))))),2)</f>
        <v>9416.02</v>
      </c>
      <c r="P65" s="379">
        <f>$I59+ROUND(IF($H59&lt;$F59,($H59*L59),IF($H59&lt;SUM($F59:$F60),(($F59*L59)+(($H59-$F59)*L60)),IF($H59&lt;SUM($F59:$F61),(($F59*L59)+($F60*L60)+(($H59-$F59-$F60)*L61)),IF($H59&lt;SUM($F59:$F62),(($F59*L59)+($F60*L60)+($F61*L61)+(($H59-SUM($F59:$F61))*L62)),IF($H59&lt;SUM($F59:$F63),(($F59*L59)+($F60*L60)+($F61*L61)+($F62*L62)+(($H59-SUM($F59:$F62))*L63)),(($F59*L59)+($F60*L60)+($F61*L61)+($F62*L61)+($F63*L63)+(($H59-SUM($F59:$F63))*L64))))))),2)</f>
        <v>9393.619999999999</v>
      </c>
      <c r="Q65" s="381"/>
      <c r="R65" s="379">
        <f>$J59+ROUND(IF($G59&lt;$F59,($G59*Q59),IF($G59&lt;SUM($F59:$F60),(($F59*Q59)+(($G59-$F59)*Q60)),IF($G59&lt;SUM($F59:$F61),(($F59*Q59)+($F60*Q60)+(($G59-$F59-$F60)*Q61)),IF($G59&lt;SUM($F59:$F62),(($F59*Q59)+($F60*Q60)+($F61*Q61)+(($G59-SUM($F59:$F61))*Q62)),IF($G59&lt;SUM($F59:$F63),(($F59*Q59)+($F60*Q60)+($F61*Q61)+($F62*Q62)+(($G59-SUM($F59:$F62))*Q63)),(($F59*Q59)+($F60*Q60)+($F61*Q61)+($F62*Q61)+($F63*Q63)+(($G59-SUM($F59:$F63))*Q64))))))),2)</f>
        <v>9580.23</v>
      </c>
      <c r="S65" s="382">
        <f>ROUND((R65-M65)/M65,3)</f>
        <v>0.14000000000000001</v>
      </c>
      <c r="T65" s="380"/>
      <c r="U65" s="379">
        <f>$I59+ROUND(IF($H59&lt;$F59,($H59*T59),IF($H59&lt;SUM($F59:$F60),(($F59*T59)+(($H59-$F59)*T60)),IF($H59&lt;SUM($F59:$F61),(($F59*T59)+($F60*T60)+(($H59-$F59-$F60)*T61)),IF($H59&lt;SUM($F59:$F62),(($F59*T59)+($F60*T60)+($F61*T61)+(($H59-SUM($F59:$F61))*T62)),IF($H59&lt;SUM($F59:$F63),(($F59*T59)+($F60*T60)+($F61*T61)+($F62*T62)+(($H59-SUM($F59:$F62))*T63)),(($F59*T59)+($F60*T60)+($F61*T61)+($F62*T61)+($F63*T63)+(($H59-SUM($F59:$F63))*T64))))))),2)</f>
        <v>1550</v>
      </c>
      <c r="V65" s="578">
        <f>ROUND((U65-N65)/N65,3)</f>
        <v>-0.81499999999999995</v>
      </c>
      <c r="W65" s="380"/>
      <c r="X65" s="379">
        <f>$I59+ROUND(IF($H59&lt;$F59,($H59*W59),IF($H59&lt;SUM($F59:$F60),(($F59*W59)+(($H59-$F59)*W60)),IF($H59&lt;SUM($F59:$F61),(($F59*W59)+($F60*W60)+(($H59-$F59-$F60)*W61)),IF($H59&lt;SUM($F59:$F62),(($F59*W59)+($F60*W60)+($F61*W61)+(($H59-SUM($F59:$F61))*W62)),IF($H59&lt;SUM($F59:$F63),(($F59*W59)+($F60*W60)+($F61*W61)+($F62*W62)+(($H59-SUM($F59:$F62))*W63)),(($F59*W59)+($F60*W60)+($F61*W61)+($F62*W61)+($F63*W63)+(($H59-SUM($F59:$F63))*W64))))))),2)</f>
        <v>8300.24</v>
      </c>
      <c r="Y65" s="578">
        <f t="shared" ref="Y65" si="75">ROUND(($X65-$M65)/$M65,3)</f>
        <v>-1.2999999999999999E-2</v>
      </c>
      <c r="Z65" s="380"/>
      <c r="AA65" s="379">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8">
        <f>ROUND(($AA65-$M65)/$M65,3)</f>
        <v>-2E-3</v>
      </c>
      <c r="AC65" s="379"/>
      <c r="AD65" s="379">
        <f>$I59+ROUND(IF($H59&lt;$F59,($H59*AC59),IF($H59&lt;SUM($F59:$F60),(($F59*AC59)+(($H59-$F59)*AC60)),IF($H59&lt;SUM($F59:$F61),(($F59*AC59)+($F60*AC60)+(($H59-$F59-$F60)*AC61)),IF($H59&lt;SUM($F59:$F62),(($F59*AC59)+($F60*AC60)+($F61*AC61)+(($H59-SUM($F59:$F61))*AC62)),IF($H59&lt;SUM($F59:$F63),(($F59*AC59)+($F60*AC60)+($F61*AC61)+($F62*AC62)+(($H59-SUM($F59:$F62))*AC63)),(($F59*AC59)+($F60*AC60)+($F61*AC61)+($F62*AC61)+($F63*AC63)+(($H59-SUM($F59:$F63))*AC64))))))),2)</f>
        <v>8223.119999999999</v>
      </c>
      <c r="AE65" s="578">
        <f>ROUND(($AD65-$M65)/$M65,3)</f>
        <v>-2.1999999999999999E-2</v>
      </c>
      <c r="AF65" s="381"/>
      <c r="AG65" s="379">
        <f>$J59+ROUND(IF($G59&lt;$F59,($G59*AF59),IF($G59&lt;SUM($F59:$F60),(($F59*AF59)+(($G59-$F59)*AF60)),IF($G59&lt;SUM($F59:$F61),(($F59*AF59)+($F60*AF60)+(($G59-$F59-$F60)*AF61)),IF($G59&lt;SUM($F59:$F62),(($F59*AF59)+($F60*AF60)+($F61*AF61)+(($G59-SUM($F59:$F61))*AF62)),IF($G59&lt;SUM($F59:$F63),(($F59*AF59)+($F60*AF60)+($F61*AF61)+($F62*AF62)+(($G59-SUM($F59:$F62))*AF63)),(($F59*AF59)+($F60*AF60)+($F61*AF61)+($F62*AF61)+($F63*AF63)+(($G59-SUM($F59:$F63))*AF64))))))),2)</f>
        <v>9416.02</v>
      </c>
      <c r="AH65" s="382">
        <f>ROUND((AG65-M65)/M65,3)</f>
        <v>0.12</v>
      </c>
      <c r="AI65" s="1259">
        <f t="shared" si="47"/>
        <v>1009.630000000001</v>
      </c>
      <c r="AJ65" s="381"/>
      <c r="AK65" s="379">
        <f>$J59+ROUND(IF($G59&lt;$F59,($G59*AJ59),IF($G59&lt;SUM($F59:$F60),(($F59*AJ59)+(($G59-$F59)*AJ60)),IF($G59&lt;SUM($F59:$F61),(($F59*AJ59)+($F60*AJ60)+(($G59-$F59-$F60)*AJ61)),IF($G59&lt;SUM($F59:$F62),(($F59*AJ59)+($F60*AJ60)+($F61*AJ61)+(($G59-SUM($F59:$F61))*AJ62)),IF($G59&lt;SUM($F59:$F63),(($F59*AJ59)+($F60*AJ60)+($F61*AJ61)+($F62*AJ62)+(($G59-SUM($F59:$F62))*AJ63)),(($F59*AJ59)+($F60*AJ60)+($F61*AJ61)+($F62*AJ61)+($F63*AJ63)+(($G59-SUM($F59:$F63))*AJ64))))))),2)</f>
        <v>10006.99</v>
      </c>
      <c r="AL65" s="382">
        <f>ROUND((AK65-O65)/O65,3)</f>
        <v>6.3E-2</v>
      </c>
      <c r="AM65" s="380"/>
      <c r="AN65" s="379">
        <f>$I59+ROUND(IF($H59&lt;$F59,($H59*AM59),IF($H59&lt;SUM($F59:$F60),(($F59*AM59)+(($H59-$F59)*AM60)),IF($H59&lt;SUM($F59:$F61),(($F59*AM59)+($F60*AM60)+(($H59-$F59-$F60)*AM61)),IF($H59&lt;SUM($F59:$F62),(($F59*AM59)+($F60*AM60)+($F61*AM61)+(($H59-SUM($F59:$F61))*AM62)),IF($H59&lt;SUM($F59:$F63),(($F59*AM59)+($F60*AM60)+($F61*AM61)+($F62*AM62)+(($H59-SUM($F59:$F62))*AM63)),(($F59*AM59)+($F60*AM60)+($F61*AM61)+($F62*AM61)+($F63*AM63)+(($H59-SUM($F59:$F63))*AM64))))))),2)</f>
        <v>1550</v>
      </c>
      <c r="AO65" s="578">
        <f>ROUND((AN65-P65)/P65,3)</f>
        <v>-0.83499999999999996</v>
      </c>
      <c r="AP65" s="379"/>
      <c r="AQ65" s="379">
        <f>$I59+ROUND(IF($H59&lt;$F59,($H59*AP59),IF($H59&lt;SUM($F59:$F60),(($F59*AP59)+(($H59-$F59)*AP60)),IF($H59&lt;SUM($F59:$F61),(($F59*AP59)+($F60*AP60)+(($H59-$F59-$F60)*AP61)),IF($H59&lt;SUM($F59:$F62),(($F59*AP59)+($F60*AP60)+($F61*AP61)+(($H59-SUM($F59:$F61))*AP62)),IF($H59&lt;SUM($F59:$F63),(($F59*AP59)+($F60*AP60)+($F61*AP61)+($F62*AP62)+(($H59-SUM($F59:$F62))*AP63)),(($F59*AP59)+($F60*AP60)+($F61*AP61)+($F62*AP61)+($F63*AP63)+(($H59-SUM($F59:$F63))*AP64))))))),2)</f>
        <v>9385.33</v>
      </c>
      <c r="AR65" s="578">
        <f>ROUND(($AQ65-$O65)/$O65,3)</f>
        <v>-3.0000000000000001E-3</v>
      </c>
      <c r="AS65" s="381"/>
      <c r="AT65" s="379">
        <f>$J59+ROUND(IF($G59&lt;$F59,($G59*AS59),IF($G59&lt;SUM($F59:$F60),(($F59*AS59)+(($G59-$F59)*AS60)),IF($G59&lt;SUM($F59:$F61),(($F59*AS59)+($F60*AS60)+(($G59-$F59-$F60)*AS61)),IF($G59&lt;SUM($F59:$F62),(($F59*AS59)+($F60*AS60)+($F61*AS61)+(($G59-SUM($F59:$F61))*AS62)),IF($G59&lt;SUM($F59:$F63),(($F59*AS59)+($F60*AS60)+($F61*AS61)+($F62*AS62)+(($G59-SUM($F59:$F62))*AS63)),(($F59*AS59)+($F60*AS60)+($F61*AS61)+($F62*AS61)+($F63*AS63)+(($G59-SUM($F59:$F63))*AS64))))))),2)</f>
        <v>10162.89</v>
      </c>
      <c r="AU65" s="382">
        <f>ROUND((AT65-O65)/O65,3)</f>
        <v>7.9000000000000001E-2</v>
      </c>
      <c r="AV65" s="1264">
        <f t="shared" si="51"/>
        <v>746.86999999999898</v>
      </c>
      <c r="AW65" s="370"/>
      <c r="AX65" s="370"/>
      <c r="AY65" s="370"/>
      <c r="AZ65" s="370"/>
      <c r="BA65" s="894" t="s">
        <v>391</v>
      </c>
      <c r="BB65" s="661">
        <f t="shared" si="74"/>
        <v>0</v>
      </c>
      <c r="BC65" s="367">
        <f>AG96</f>
        <v>0</v>
      </c>
      <c r="BD65" s="1153"/>
      <c r="BE65" s="1153"/>
      <c r="BF65" s="1287">
        <f t="shared" si="66"/>
        <v>0</v>
      </c>
      <c r="BG65" s="1288" t="e">
        <f t="shared" si="67"/>
        <v>#DIV/0!</v>
      </c>
      <c r="BH65" s="661">
        <f>O96</f>
        <v>0</v>
      </c>
      <c r="BI65" s="367">
        <f>AT96</f>
        <v>0</v>
      </c>
      <c r="BJ65" s="1153"/>
      <c r="BK65" s="1153"/>
      <c r="BL65" s="1287">
        <f t="shared" si="68"/>
        <v>0</v>
      </c>
      <c r="BM65" s="1288" t="e">
        <f t="shared" si="69"/>
        <v>#DIV/0!</v>
      </c>
    </row>
    <row r="66" spans="1:65" x14ac:dyDescent="0.2">
      <c r="A66" s="86">
        <f t="shared" si="14"/>
        <v>59</v>
      </c>
      <c r="B66" s="725" t="str">
        <f>'WA Volumes &amp; Revenues'!B57</f>
        <v>42C Interr Sales</v>
      </c>
      <c r="C66" s="875" t="s">
        <v>4</v>
      </c>
      <c r="D66" s="299">
        <f>'WA Volumes &amp; Revenues'!E57</f>
        <v>240000</v>
      </c>
      <c r="E66" s="299">
        <f>'WA Volumes &amp; Revenues'!F57</f>
        <v>239999</v>
      </c>
      <c r="F66" s="299">
        <v>10000</v>
      </c>
      <c r="G66" s="300">
        <f>+'WA Volumes &amp; Revenues'!I57</f>
        <v>39322</v>
      </c>
      <c r="H66" s="300">
        <f>'WA Volumes &amp; Revenues'!L57</f>
        <v>39641</v>
      </c>
      <c r="I66" s="879">
        <f>'WA Volumes &amp; Revenues'!O57</f>
        <v>1300</v>
      </c>
      <c r="J66" s="372">
        <f>'WA Volumes &amp; Revenues'!N57</f>
        <v>1300</v>
      </c>
      <c r="K66" s="122">
        <f>+'Rates in summary'!D56</f>
        <v>0.42349000000000003</v>
      </c>
      <c r="L66" s="122">
        <f>+'Rates in summary'!J56</f>
        <v>0.43857000000000002</v>
      </c>
      <c r="M66" s="372"/>
      <c r="N66" s="372"/>
      <c r="O66" s="966"/>
      <c r="P66" s="966"/>
      <c r="Q66" s="373">
        <f>'Rates in summary'!H56-'Rates in summary'!F56</f>
        <v>0.44835000000000003</v>
      </c>
      <c r="R66" s="372"/>
      <c r="S66" s="374"/>
      <c r="T66" s="373">
        <f>'Rates in summary'!I56</f>
        <v>0</v>
      </c>
      <c r="U66" s="372"/>
      <c r="V66" s="577"/>
      <c r="W66" s="373">
        <f>'Rates in Detail'!J55+'Rates in Detail'!P55</f>
        <v>0.42165000000000002</v>
      </c>
      <c r="X66" s="372"/>
      <c r="Y66" s="577"/>
      <c r="Z66" s="373">
        <f>'Rates in Detail'!J55+'Rates in Detail'!S55</f>
        <v>0.41719000000000006</v>
      </c>
      <c r="AA66" s="372"/>
      <c r="AB66" s="577"/>
      <c r="AC66" s="122">
        <f>'Rates in Detail'!J55+'Rates in Detail'!T55</f>
        <v>0.42001000000000005</v>
      </c>
      <c r="AD66" s="372"/>
      <c r="AE66" s="577"/>
      <c r="AF66" s="373">
        <f>'Rates in summary'!J56</f>
        <v>0.43857000000000002</v>
      </c>
      <c r="AG66" s="372"/>
      <c r="AH66" s="374"/>
      <c r="AI66" s="1258"/>
      <c r="AJ66" s="373">
        <f>L66+'Rates in summary'!K56</f>
        <v>0.45108999999999999</v>
      </c>
      <c r="AK66" s="372"/>
      <c r="AL66" s="374"/>
      <c r="AM66" s="373">
        <f>'Rates in summary'!O56</f>
        <v>0</v>
      </c>
      <c r="AN66" s="372"/>
      <c r="AO66" s="577"/>
      <c r="AP66" s="122">
        <f>'Rates in Detail'!W55+'Rates in Detail'!Z55</f>
        <v>0.43839</v>
      </c>
      <c r="AQ66" s="372"/>
      <c r="AR66" s="577"/>
      <c r="AS66" s="373">
        <f>'Rates in summary'!P56</f>
        <v>0.46068999999999999</v>
      </c>
      <c r="AT66" s="372"/>
      <c r="AU66" s="374"/>
      <c r="AV66" s="1263"/>
      <c r="BF66" s="654"/>
    </row>
    <row r="67" spans="1:65" x14ac:dyDescent="0.2">
      <c r="A67" s="86">
        <f t="shared" si="14"/>
        <v>60</v>
      </c>
      <c r="B67" s="725"/>
      <c r="C67" s="875" t="s">
        <v>5</v>
      </c>
      <c r="D67" s="299">
        <f>'WA Volumes &amp; Revenues'!E58</f>
        <v>467511</v>
      </c>
      <c r="E67" s="299">
        <f>'WA Volumes &amp; Revenues'!F58</f>
        <v>454151</v>
      </c>
      <c r="F67" s="299">
        <v>20000</v>
      </c>
      <c r="G67" s="383"/>
      <c r="H67" s="383"/>
      <c r="I67" s="881"/>
      <c r="J67" s="660"/>
      <c r="K67" s="122">
        <f>+'Rates in summary'!D57</f>
        <v>0.40679999999999994</v>
      </c>
      <c r="L67" s="122">
        <f>+'Rates in summary'!J57</f>
        <v>0.42029999999999995</v>
      </c>
      <c r="M67" s="372"/>
      <c r="N67" s="372"/>
      <c r="O67" s="966"/>
      <c r="P67" s="966"/>
      <c r="Q67" s="373">
        <f>'Rates in summary'!H57-'Rates in summary'!F57</f>
        <v>0.42905999999999994</v>
      </c>
      <c r="R67" s="372"/>
      <c r="S67" s="374"/>
      <c r="T67" s="373">
        <f>'Rates in summary'!I57</f>
        <v>0</v>
      </c>
      <c r="U67" s="372"/>
      <c r="V67" s="577"/>
      <c r="W67" s="373">
        <f>'Rates in Detail'!J56+'Rates in Detail'!P56</f>
        <v>0.40515999999999996</v>
      </c>
      <c r="X67" s="372"/>
      <c r="Y67" s="577"/>
      <c r="Z67" s="373">
        <f>'Rates in Detail'!J56+'Rates in Detail'!S56</f>
        <v>0.40115999999999996</v>
      </c>
      <c r="AA67" s="372"/>
      <c r="AB67" s="577"/>
      <c r="AC67" s="122">
        <f>'Rates in Detail'!J56+'Rates in Detail'!T56</f>
        <v>0.40367999999999993</v>
      </c>
      <c r="AD67" s="372"/>
      <c r="AE67" s="577"/>
      <c r="AF67" s="373">
        <f>'Rates in summary'!J57</f>
        <v>0.42029999999999995</v>
      </c>
      <c r="AG67" s="372"/>
      <c r="AH67" s="374"/>
      <c r="AI67" s="1258"/>
      <c r="AJ67" s="373">
        <f>L67+'Rates in summary'!K57</f>
        <v>0.43150999999999995</v>
      </c>
      <c r="AK67" s="372"/>
      <c r="AL67" s="374"/>
      <c r="AM67" s="373">
        <f>'Rates in summary'!O57</f>
        <v>0</v>
      </c>
      <c r="AN67" s="372"/>
      <c r="AO67" s="577"/>
      <c r="AP67" s="122">
        <f>'Rates in Detail'!W56+'Rates in Detail'!Z56</f>
        <v>0.42014000000000001</v>
      </c>
      <c r="AQ67" s="372"/>
      <c r="AR67" s="577"/>
      <c r="AS67" s="373">
        <f>'Rates in summary'!P57</f>
        <v>0.44010999999999995</v>
      </c>
      <c r="AT67" s="372"/>
      <c r="AU67" s="374"/>
      <c r="AV67" s="1263"/>
    </row>
    <row r="68" spans="1:65" x14ac:dyDescent="0.2">
      <c r="A68" s="86">
        <f t="shared" si="14"/>
        <v>61</v>
      </c>
      <c r="B68" s="725"/>
      <c r="C68" s="875" t="s">
        <v>6</v>
      </c>
      <c r="D68" s="299">
        <f>'WA Volumes &amp; Revenues'!E59</f>
        <v>218004</v>
      </c>
      <c r="E68" s="299">
        <f>'WA Volumes &amp; Revenues'!F59</f>
        <v>230285</v>
      </c>
      <c r="F68" s="299">
        <v>20000</v>
      </c>
      <c r="G68" s="383"/>
      <c r="H68" s="383"/>
      <c r="I68" s="881"/>
      <c r="J68" s="660"/>
      <c r="K68" s="122">
        <f>+'Rates in summary'!D58</f>
        <v>0.37361</v>
      </c>
      <c r="L68" s="122">
        <f>+'Rates in summary'!J58</f>
        <v>0.38396999999999998</v>
      </c>
      <c r="M68" s="372"/>
      <c r="N68" s="372"/>
      <c r="O68" s="966"/>
      <c r="P68" s="966"/>
      <c r="Q68" s="373">
        <f>'Rates in summary'!H58-'Rates in summary'!F58</f>
        <v>0.39067999999999997</v>
      </c>
      <c r="R68" s="372"/>
      <c r="S68" s="374"/>
      <c r="T68" s="373">
        <f>'Rates in summary'!I58</f>
        <v>0</v>
      </c>
      <c r="U68" s="372"/>
      <c r="V68" s="577"/>
      <c r="W68" s="373">
        <f>'Rates in Detail'!J57+'Rates in Detail'!P57</f>
        <v>0.37235000000000001</v>
      </c>
      <c r="X68" s="372"/>
      <c r="Y68" s="577"/>
      <c r="Z68" s="373">
        <f>'Rates in Detail'!J57+'Rates in Detail'!S57</f>
        <v>0.36929000000000001</v>
      </c>
      <c r="AA68" s="372"/>
      <c r="AB68" s="577"/>
      <c r="AC68" s="122">
        <f>'Rates in Detail'!J57+'Rates in Detail'!T57</f>
        <v>0.37121999999999999</v>
      </c>
      <c r="AD68" s="372"/>
      <c r="AE68" s="577"/>
      <c r="AF68" s="373">
        <f>'Rates in summary'!J58</f>
        <v>0.38396999999999998</v>
      </c>
      <c r="AG68" s="372"/>
      <c r="AH68" s="374"/>
      <c r="AI68" s="1258"/>
      <c r="AJ68" s="373">
        <f>L68+'Rates in summary'!K58</f>
        <v>0.39255999999999996</v>
      </c>
      <c r="AK68" s="372"/>
      <c r="AL68" s="374"/>
      <c r="AM68" s="373">
        <f>'Rates in summary'!O58</f>
        <v>0</v>
      </c>
      <c r="AN68" s="372"/>
      <c r="AO68" s="577"/>
      <c r="AP68" s="122">
        <f>'Rates in Detail'!W57+'Rates in Detail'!Z57</f>
        <v>0.38385000000000002</v>
      </c>
      <c r="AQ68" s="372"/>
      <c r="AR68" s="577"/>
      <c r="AS68" s="373">
        <f>'Rates in summary'!P58</f>
        <v>0.39914999999999995</v>
      </c>
      <c r="AT68" s="372"/>
      <c r="AU68" s="374"/>
      <c r="AV68" s="1263"/>
      <c r="BF68" s="655"/>
    </row>
    <row r="69" spans="1:65" x14ac:dyDescent="0.2">
      <c r="A69" s="86">
        <f t="shared" si="14"/>
        <v>62</v>
      </c>
      <c r="B69" s="725"/>
      <c r="C69" s="875" t="s">
        <v>7</v>
      </c>
      <c r="D69" s="299">
        <f>'WA Volumes &amp; Revenues'!E60</f>
        <v>18208</v>
      </c>
      <c r="E69" s="299">
        <f>'WA Volumes &amp; Revenues'!F60</f>
        <v>26942</v>
      </c>
      <c r="F69" s="299">
        <v>100000</v>
      </c>
      <c r="G69" s="383"/>
      <c r="H69" s="383"/>
      <c r="I69" s="881"/>
      <c r="J69" s="660"/>
      <c r="K69" s="122">
        <f>+'Rates in summary'!D59</f>
        <v>0.35180000000000006</v>
      </c>
      <c r="L69" s="122">
        <f>+'Rates in summary'!J59</f>
        <v>0.36008000000000007</v>
      </c>
      <c r="M69" s="372"/>
      <c r="N69" s="372"/>
      <c r="O69" s="966"/>
      <c r="P69" s="966"/>
      <c r="Q69" s="373">
        <f>'Rates in summary'!H59-'Rates in summary'!F59</f>
        <v>0.36545000000000005</v>
      </c>
      <c r="R69" s="372"/>
      <c r="S69" s="374"/>
      <c r="T69" s="373">
        <f>'Rates in summary'!I59</f>
        <v>0</v>
      </c>
      <c r="U69" s="372"/>
      <c r="V69" s="577"/>
      <c r="W69" s="373">
        <f>'Rates in Detail'!J58+'Rates in Detail'!P58</f>
        <v>0.35079000000000005</v>
      </c>
      <c r="X69" s="372"/>
      <c r="Y69" s="577"/>
      <c r="Z69" s="373">
        <f>'Rates in Detail'!J58+'Rates in Detail'!S58</f>
        <v>0.34834000000000004</v>
      </c>
      <c r="AA69" s="372"/>
      <c r="AB69" s="577"/>
      <c r="AC69" s="122">
        <f>'Rates in Detail'!J58+'Rates in Detail'!T58</f>
        <v>0.34989000000000003</v>
      </c>
      <c r="AD69" s="372"/>
      <c r="AE69" s="577"/>
      <c r="AF69" s="373">
        <f>'Rates in summary'!J59</f>
        <v>0.36008000000000007</v>
      </c>
      <c r="AG69" s="372"/>
      <c r="AH69" s="374"/>
      <c r="AI69" s="1258"/>
      <c r="AJ69" s="373">
        <f>L69+'Rates in summary'!K59</f>
        <v>0.36696000000000006</v>
      </c>
      <c r="AK69" s="372"/>
      <c r="AL69" s="374"/>
      <c r="AM69" s="373">
        <f>'Rates in summary'!O59</f>
        <v>0</v>
      </c>
      <c r="AN69" s="372"/>
      <c r="AO69" s="577"/>
      <c r="AP69" s="122">
        <f>'Rates in Detail'!W58+'Rates in Detail'!Z58</f>
        <v>0.35998000000000008</v>
      </c>
      <c r="AQ69" s="372"/>
      <c r="AR69" s="577"/>
      <c r="AS69" s="373">
        <f>'Rates in summary'!P59</f>
        <v>0.37223000000000006</v>
      </c>
      <c r="AT69" s="372"/>
      <c r="AU69" s="374"/>
      <c r="AV69" s="1263"/>
    </row>
    <row r="70" spans="1:65" x14ac:dyDescent="0.2">
      <c r="A70" s="86">
        <f t="shared" si="14"/>
        <v>63</v>
      </c>
      <c r="B70" s="725"/>
      <c r="C70" s="875" t="s">
        <v>8</v>
      </c>
      <c r="D70" s="299">
        <f>'WA Volumes &amp; Revenues'!E61</f>
        <v>0</v>
      </c>
      <c r="E70" s="299">
        <f>'WA Volumes &amp; Revenues'!F61</f>
        <v>0</v>
      </c>
      <c r="F70" s="299">
        <v>600000</v>
      </c>
      <c r="G70" s="383"/>
      <c r="H70" s="383"/>
      <c r="I70" s="881"/>
      <c r="J70" s="660"/>
      <c r="K70" s="122">
        <f>+'Rates in summary'!D60</f>
        <v>0.32268999999999998</v>
      </c>
      <c r="L70" s="122">
        <f>+'Rates in summary'!J60</f>
        <v>0.32821999999999996</v>
      </c>
      <c r="M70" s="372"/>
      <c r="N70" s="372"/>
      <c r="O70" s="966"/>
      <c r="P70" s="966"/>
      <c r="Q70" s="373">
        <f>'Rates in summary'!H60-'Rates in summary'!F60</f>
        <v>0.33179999999999998</v>
      </c>
      <c r="R70" s="372"/>
      <c r="S70" s="374"/>
      <c r="T70" s="373">
        <f>'Rates in summary'!I60</f>
        <v>0</v>
      </c>
      <c r="U70" s="372"/>
      <c r="V70" s="577"/>
      <c r="W70" s="373">
        <f>'Rates in Detail'!J59+'Rates in Detail'!P59</f>
        <v>0.32201999999999997</v>
      </c>
      <c r="X70" s="372"/>
      <c r="Y70" s="577"/>
      <c r="Z70" s="373">
        <f>'Rates in Detail'!J59+'Rates in Detail'!S59</f>
        <v>0.32038</v>
      </c>
      <c r="AA70" s="372"/>
      <c r="AB70" s="577"/>
      <c r="AC70" s="122">
        <f>'Rates in Detail'!J59+'Rates in Detail'!T59</f>
        <v>0.32141999999999998</v>
      </c>
      <c r="AD70" s="372"/>
      <c r="AE70" s="577"/>
      <c r="AF70" s="373">
        <f>'Rates in summary'!J60</f>
        <v>0.32821999999999996</v>
      </c>
      <c r="AG70" s="372"/>
      <c r="AH70" s="374"/>
      <c r="AI70" s="1258"/>
      <c r="AJ70" s="373">
        <f>L70+'Rates in summary'!K60</f>
        <v>0.33279999999999993</v>
      </c>
      <c r="AK70" s="372"/>
      <c r="AL70" s="374"/>
      <c r="AM70" s="373">
        <f>'Rates in summary'!O60</f>
        <v>0</v>
      </c>
      <c r="AN70" s="372"/>
      <c r="AO70" s="577"/>
      <c r="AP70" s="122">
        <f>'Rates in Detail'!W59+'Rates in Detail'!Z59</f>
        <v>0.32815999999999995</v>
      </c>
      <c r="AQ70" s="372"/>
      <c r="AR70" s="577"/>
      <c r="AS70" s="373">
        <f>'Rates in summary'!P60</f>
        <v>0.33631999999999995</v>
      </c>
      <c r="AT70" s="372"/>
      <c r="AU70" s="374"/>
      <c r="AV70" s="1263"/>
      <c r="BF70" s="655"/>
    </row>
    <row r="71" spans="1:65" x14ac:dyDescent="0.2">
      <c r="A71" s="86">
        <f t="shared" si="14"/>
        <v>64</v>
      </c>
      <c r="B71" s="725"/>
      <c r="C71" s="875" t="s">
        <v>9</v>
      </c>
      <c r="D71" s="299">
        <f>'WA Volumes &amp; Revenues'!E62</f>
        <v>0</v>
      </c>
      <c r="E71" s="299">
        <f>'WA Volumes &amp; Revenues'!F62</f>
        <v>0</v>
      </c>
      <c r="F71" s="371" t="s">
        <v>74</v>
      </c>
      <c r="G71" s="383"/>
      <c r="H71" s="383"/>
      <c r="I71" s="881"/>
      <c r="J71" s="660"/>
      <c r="K71" s="122">
        <f>+'Rates in summary'!D61</f>
        <v>0.28632000000000002</v>
      </c>
      <c r="L71" s="122">
        <f>+'Rates in summary'!J61</f>
        <v>0.28838999999999998</v>
      </c>
      <c r="M71" s="372"/>
      <c r="N71" s="372"/>
      <c r="O71" s="966"/>
      <c r="P71" s="966"/>
      <c r="Q71" s="373">
        <f>'Rates in summary'!H61-'Rates in summary'!F61</f>
        <v>0.28974</v>
      </c>
      <c r="R71" s="372"/>
      <c r="S71" s="374"/>
      <c r="T71" s="373">
        <f>'Rates in summary'!I61</f>
        <v>0</v>
      </c>
      <c r="U71" s="372"/>
      <c r="V71" s="577"/>
      <c r="W71" s="373">
        <f>'Rates in Detail'!J60+'Rates in Detail'!P60</f>
        <v>0.28607000000000005</v>
      </c>
      <c r="X71" s="372"/>
      <c r="Y71" s="577"/>
      <c r="Z71" s="373">
        <f>'Rates in Detail'!J60+'Rates in Detail'!S60</f>
        <v>0.28545000000000004</v>
      </c>
      <c r="AA71" s="372"/>
      <c r="AB71" s="577"/>
      <c r="AC71" s="122">
        <f>'Rates in Detail'!J60+'Rates in Detail'!T60</f>
        <v>0.28584000000000004</v>
      </c>
      <c r="AD71" s="372"/>
      <c r="AE71" s="577"/>
      <c r="AF71" s="373">
        <f>'Rates in summary'!J61</f>
        <v>0.28838999999999998</v>
      </c>
      <c r="AG71" s="372"/>
      <c r="AH71" s="374"/>
      <c r="AI71" s="1258"/>
      <c r="AJ71" s="373">
        <f>L71+'Rates in summary'!K61</f>
        <v>0.29010999999999998</v>
      </c>
      <c r="AK71" s="372"/>
      <c r="AL71" s="374"/>
      <c r="AM71" s="373">
        <f>'Rates in summary'!O61</f>
        <v>0</v>
      </c>
      <c r="AN71" s="372"/>
      <c r="AO71" s="577"/>
      <c r="AP71" s="122">
        <f>'Rates in Detail'!W60+'Rates in Detail'!Z60</f>
        <v>0.28836999999999996</v>
      </c>
      <c r="AQ71" s="372"/>
      <c r="AR71" s="577"/>
      <c r="AS71" s="373">
        <f>'Rates in summary'!P61</f>
        <v>0.29143999999999998</v>
      </c>
      <c r="AT71" s="372"/>
      <c r="AU71" s="374"/>
      <c r="AV71" s="1263"/>
    </row>
    <row r="72" spans="1:65" x14ac:dyDescent="0.2">
      <c r="A72" s="86">
        <f t="shared" si="14"/>
        <v>65</v>
      </c>
      <c r="B72" s="723"/>
      <c r="C72" s="876" t="s">
        <v>78</v>
      </c>
      <c r="D72" s="375"/>
      <c r="E72" s="375"/>
      <c r="F72" s="376"/>
      <c r="G72" s="377"/>
      <c r="H72" s="377"/>
      <c r="I72" s="880"/>
      <c r="J72" s="379"/>
      <c r="K72" s="378"/>
      <c r="L72" s="378"/>
      <c r="M72" s="379">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9">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9">
        <f>$I66+ROUND(IF($G66&lt;$F66,($G66*L66),IF($G66&lt;SUM($F66:$F67),(($F66*L66)+(($G66-$F66)*L67)),IF($G66&lt;SUM($F66:$F68),(($F66*L66)+($F67*L67)+(($G66-$F66-$F67)*L68)),IF($G66&lt;SUM($F66:$F69),(($F66*L66)+($F67*L67)+($F68*L68)+(($G66-SUM($F66:$F68))*L69)),IF($G66&lt;SUM($F66:$F70),(($F66*L66)+($F67*L67)+($F68*L68)+($F69*L69)+(($G66-SUM($F66:$F69))*L70)),(($F66*L66)+($F67*L67)+($F68*L68)+($F69*L68)+($F70*L70)+(($G66-SUM($F66:$F70))*L71))))))),2)</f>
        <v>17671.07</v>
      </c>
      <c r="P72" s="379">
        <f>$I66+ROUND(IF($H66&lt;$F66,($H66*L66),IF($H66&lt;SUM($F66:$F67),(($F66*L66)+(($H66-$F66)*L67)),IF($H66&lt;SUM($F66:$F68),(($F66*L66)+($F67*L67)+(($H66-$F66-$F67)*L68)),IF($H66&lt;SUM($F66:$F69),(($F66*L66)+($F67*L67)+($F68*L68)+(($H66-SUM($F66:$F68))*L69)),IF($H66&lt;SUM($F66:$F70),(($F66*L66)+($F67*L67)+($F68*L68)+($F69*L69)+(($H66-SUM($F66:$F69))*L70)),(($F66*L66)+($F67*L67)+($F68*L68)+($F69*L68)+($F70*L70)+(($H66-SUM($F66:$F70))*L71))))))),2)</f>
        <v>17793.55</v>
      </c>
      <c r="Q72" s="381"/>
      <c r="R72" s="379">
        <f>$J66+ROUND(IF($G66&lt;$F66,($G66*Q66),IF($G66&lt;SUM($F66:$F67),(($F66*Q66)+(($G66-$F66)*Q67)),IF($G66&lt;SUM($F66:$F68),(($F66*Q66)+($F67*Q67)+(($G66-$F66-$F67)*Q68)),IF($G66&lt;SUM($F66:$F69),(($F66*Q66)+($F67*Q67)+($F68*Q68)+(($G66-SUM($F66:$F68))*Q69)),IF($G66&lt;SUM($F66:$F70),(($F66*Q66)+($F67*Q67)+($F68*Q68)+($F69*Q69)+(($G66-SUM($F66:$F69))*Q70)),(($F66*Q66)+($F67*Q67)+($F68*Q68)+($F69*Q68)+($F70*Q70)+(($G66-SUM($F66:$F70))*Q71))))))),2)</f>
        <v>18006.62</v>
      </c>
      <c r="S72" s="382">
        <f>ROUND((R72-M72)/M72,3)</f>
        <v>0.05</v>
      </c>
      <c r="T72" s="380"/>
      <c r="U72" s="379">
        <f>$I66+ROUND(IF($H66&lt;$F66,($H66*T66),IF($H66&lt;SUM($F66:$F67),(($F66*T66)+(($H66-$F66)*T67)),IF($H66&lt;SUM($F66:$F68),(($F66*T66)+($F67*T67)+(($H66-$F66-$F67)*T68)),IF($H66&lt;SUM($F66:$F69),(($F66*T66)+($F67*T67)+($F68*T68)+(($H66-SUM($F66:$F68))*T69)),IF($H66&lt;SUM($F66:$F70),(($F66*T66)+($F67*T67)+($F68*T68)+($F69*T69)+(($H66-SUM($F66:$F69))*T70)),(($F66*T66)+($F67*T67)+($F68*T68)+($F69*T68)+($F70*T70)+(($H66-SUM($F66:$F70))*T71))))))),2)</f>
        <v>1300</v>
      </c>
      <c r="V72" s="578">
        <f>ROUND((U72-N72)/N72,3)</f>
        <v>-0.92500000000000004</v>
      </c>
      <c r="W72" s="380"/>
      <c r="X72" s="379">
        <f>$J66+ROUND(IF($G66&lt;$F66,($G66*W66),IF($G66&lt;SUM($F66:$F67),(($F66*W66)+(($G66-$F66)*W67)),IF($G66&lt;SUM($F66:$F68),(($F66*W66)+($F67*W67)+(($G66-$F66-$F67)*W68)),IF($G66&lt;SUM($F66:$F69),(($F66*W66)+($F67*W67)+($F68*W68)+(($G66-SUM($F66:$F68))*W69)),IF($G66&lt;SUM($F66:$F70),(($F66*W66)+($F67*W67)+($F68*W68)+($F69*W69)+(($G66-SUM($F66:$F69))*W70)),(($F66*W66)+($F67*W67)+($F68*W68)+($F69*W68)+($F70*W70)+(($G66-SUM($F66:$F70))*W71))))))),2)</f>
        <v>17090.75</v>
      </c>
      <c r="Y72" s="578">
        <f t="shared" ref="Y72" si="76">ROUND(($X72-$M72)/$M72,3)</f>
        <v>-4.0000000000000001E-3</v>
      </c>
      <c r="Z72" s="380"/>
      <c r="AA72" s="379">
        <f>$J66+ROUND(IF($G66&lt;$F66,($G66*Z66),IF($G66&lt;SUM($F66:$F67),(($F66*Z66)+(($G66-$F66)*Z67)),IF($G66&lt;SUM($F66:$F68),(($F66*Z66)+($F67*Z67)+(($G66-$F66-$F67)*Z68)),IF($G66&lt;SUM($F66:$F69),(($F66*Z66)+($F67*Z67)+($F68*Z68)+(($G66-SUM($F66:$F68))*Z69)),IF($G66&lt;SUM($F66:$F70),(($F66*Z66)+($F67*Z67)+($F68*Z68)+($F69*Z69)+(($G66-SUM($F66:$F69))*Z70)),(($F66*Z66)+($F67*Z67)+($F68*Z68)+($F69*Z68)+($F70*Z70)+(($G66-SUM($F66:$F70))*Z71))))))),2)</f>
        <v>16937.620000000003</v>
      </c>
      <c r="AB72" s="578">
        <f>ROUND(($AA72-$M72)/$M72,3)</f>
        <v>-1.2999999999999999E-2</v>
      </c>
      <c r="AC72" s="379"/>
      <c r="AD72" s="379">
        <f>$J66+ROUND(IF($G66&lt;$F66,($G66*AC66),IF($G66&lt;SUM($F66:$F67),(($F66*AC66)+(($G66-$F66)*AC67)),IF($G66&lt;SUM($F66:$F68),(($F66*AC66)+($F67*AC67)+(($G66-$F66-$F67)*AC68)),IF($G66&lt;SUM($F66:$F69),(($F66*AC66)+($F67*AC67)+($F68*AC68)+(($G66-SUM($F66:$F68))*AC69)),IF($G66&lt;SUM($F66:$F70),(($F66*AC66)+($F67*AC67)+($F68*AC68)+($F69*AC69)+(($G66-SUM($F66:$F69))*AC70)),(($F66*AC66)+($F67*AC67)+($F68*AC68)+($F69*AC68)+($F70*AC70)+(($G66-SUM($F66:$F70))*AC71))))))),2)</f>
        <v>17034.21</v>
      </c>
      <c r="AE72" s="578">
        <f>ROUND(($AD72-$M72)/$M72,3)</f>
        <v>-7.0000000000000001E-3</v>
      </c>
      <c r="AF72" s="381"/>
      <c r="AG72" s="379">
        <f>$J66+ROUND(IF($G66&lt;$F66,($G66*AF66),IF($G66&lt;SUM($F66:$F67),(($F66*AF66)+(($G66-$F66)*AF67)),IF($G66&lt;SUM($F66:$F68),(($F66*AF66)+($F67*AF67)+(($G66-$F66-$F67)*AF68)),IF($G66&lt;SUM($F66:$F69),(($F66*AF66)+($F67*AF67)+($F68*AF68)+(($G66-SUM($F66:$F68))*AF69)),IF($G66&lt;SUM($F66:$F70),(($F66*AF66)+($F67*AF67)+($F68*AF68)+($F69*AF69)+(($G66-SUM($F66:$F69))*AF70)),(($F66*AF66)+($F67*AF67)+($F68*AF68)+($F69*AF68)+($F70*AF70)+(($G66-SUM($F66:$F70))*AF71))))))),2)</f>
        <v>17671.07</v>
      </c>
      <c r="AH72" s="382">
        <f>ROUND((AG72-M72)/M72,3)</f>
        <v>0.03</v>
      </c>
      <c r="AI72" s="1259">
        <f t="shared" si="47"/>
        <v>517.37999999999738</v>
      </c>
      <c r="AJ72" s="381"/>
      <c r="AK72" s="379">
        <f>$J66+ROUND(IF($G66&lt;$F66,($G66*AJ66),IF($G66&lt;SUM($F66:$F67),(($F66*AJ66)+(($G66-$F66)*AJ67)),IF($G66&lt;SUM($F66:$F68),(($F66*AJ66)+($F67*AJ67)+(($G66-$F66-$F67)*AJ68)),IF($G66&lt;SUM($F66:$F69),(($F66*AJ66)+($F67*AJ67)+($F68*AJ68)+(($G66-SUM($F66:$F68))*AJ69)),IF($G66&lt;SUM($F66:$F70),(($F66*AJ66)+($F67*AJ67)+($F68*AJ68)+($F69*AJ69)+(($G66-SUM($F66:$F69))*AJ70)),(($F66*AJ66)+($F67*AJ67)+($F68*AJ68)+($F69*AJ68)+($F70*AJ70)+(($G66-SUM($F66:$F70))*AJ71))))))),2)</f>
        <v>18100.54</v>
      </c>
      <c r="AL72" s="382">
        <f>ROUND((AK72-O72)/O72,3)</f>
        <v>2.4E-2</v>
      </c>
      <c r="AM72" s="380"/>
      <c r="AN72" s="379">
        <f>$I66+ROUND(IF($H66&lt;$F66,($H66*AM66),IF($H66&lt;SUM($F66:$F67),(($F66*AM66)+(($H66-$F66)*AM67)),IF($H66&lt;SUM($F66:$F68),(($F66*AM66)+($F67*AM67)+(($H66-$F66-$F67)*AM68)),IF($H66&lt;SUM($F66:$F69),(($F66*AM66)+($F67*AM67)+($F68*AM68)+(($H66-SUM($F66:$F68))*AM69)),IF($H66&lt;SUM($F66:$F70),(($F66*AM66)+($F67*AM67)+($F68*AM68)+($F69*AM69)+(($H66-SUM($F66:$F69))*AM70)),(($F66*AM66)+($F67*AM67)+($F68*AM68)+($F69*AM68)+($F70*AM70)+(($H66-SUM($F66:$F70))*AM71))))))),2)</f>
        <v>1300</v>
      </c>
      <c r="AO72" s="578">
        <f>ROUND((AN72-P72)/P72,3)</f>
        <v>-0.92700000000000005</v>
      </c>
      <c r="AP72" s="379"/>
      <c r="AQ72" s="379">
        <f>$J66+ROUND(IF($G66&lt;$F66,($G66*AP66),IF($G66&lt;SUM($F66:$F67),(($F66*AP66)+(($G66-$F66)*AP67)),IF($G66&lt;SUM($F66:$F68),(($F66*AP66)+($F67*AP67)+(($G66-$F66-$F67)*AP68)),IF($G66&lt;SUM($F66:$F69),(($F66*AP66)+($F67*AP67)+($F68*AP68)+(($G66-SUM($F66:$F68))*AP69)),IF($G66&lt;SUM($F66:$F70),(($F66*AP66)+($F67*AP67)+($F68*AP68)+($F69*AP69)+(($G66-SUM($F66:$F69))*AP70)),(($F66*AP66)+($F67*AP67)+($F68*AP68)+($F69*AP68)+($F70*AP70)+(($G66-SUM($F66:$F70))*AP71))))))),2)</f>
        <v>17664.95</v>
      </c>
      <c r="AR72" s="578">
        <f>ROUND(($AQ72-$O72)/$O72,3)</f>
        <v>0</v>
      </c>
      <c r="AS72" s="381"/>
      <c r="AT72" s="379">
        <f>$J66+ROUND(IF($G66&lt;$F66,($G66*AS66),IF($G66&lt;SUM($F66:$F67),(($F66*AS66)+(($G66-$F66)*AS67)),IF($G66&lt;SUM($F66:$F68),(($F66*AS66)+($F67*AS67)+(($G66-$F66-$F67)*AS68)),IF($G66&lt;SUM($F66:$F69),(($F66*AS66)+($F67*AS67)+($F68*AS68)+(($G66-SUM($F66:$F68))*AS69)),IF($G66&lt;SUM($F66:$F70),(($F66*AS66)+($F67*AS67)+($F68*AS68)+($F69*AS69)+(($G66-SUM($F66:$F69))*AS70)),(($F66*AS66)+($F67*AS67)+($F68*AS68)+($F69*AS68)+($F70*AS70)+(($G66-SUM($F66:$F70))*AS71))))))),2)</f>
        <v>18429.98</v>
      </c>
      <c r="AU72" s="382">
        <f>ROUND((AT72-O72)/O72,3)</f>
        <v>4.2999999999999997E-2</v>
      </c>
      <c r="AV72" s="1264">
        <f t="shared" si="51"/>
        <v>758.90999999999985</v>
      </c>
      <c r="AW72" s="370"/>
      <c r="AX72" s="370"/>
      <c r="AY72" s="370"/>
      <c r="AZ72" s="370"/>
    </row>
    <row r="73" spans="1:65" x14ac:dyDescent="0.2">
      <c r="A73" s="86">
        <f t="shared" si="14"/>
        <v>66</v>
      </c>
      <c r="B73" s="725" t="str">
        <f>'WA Volumes &amp; Revenues'!B63</f>
        <v>42I Interr Sales</v>
      </c>
      <c r="C73" s="875" t="s">
        <v>4</v>
      </c>
      <c r="D73" s="299">
        <f>'WA Volumes &amp; Revenues'!E63</f>
        <v>156740</v>
      </c>
      <c r="E73" s="299">
        <f>'WA Volumes &amp; Revenues'!F63</f>
        <v>160966</v>
      </c>
      <c r="F73" s="299">
        <v>10000</v>
      </c>
      <c r="G73" s="300">
        <f>+'WA Volumes &amp; Revenues'!I63</f>
        <v>13758</v>
      </c>
      <c r="H73" s="300">
        <f>'WA Volumes &amp; Revenues'!L63</f>
        <v>8520</v>
      </c>
      <c r="I73" s="879">
        <f>'WA Volumes &amp; Revenues'!O63</f>
        <v>1300</v>
      </c>
      <c r="J73" s="372">
        <f>'WA Volumes &amp; Revenues'!N63</f>
        <v>1300</v>
      </c>
      <c r="K73" s="122">
        <f>+'Rates in summary'!D62</f>
        <v>0.4161399999999999</v>
      </c>
      <c r="L73" s="122">
        <f>+'Rates in summary'!J62</f>
        <v>0.44563999999999987</v>
      </c>
      <c r="M73" s="372"/>
      <c r="N73" s="372"/>
      <c r="O73" s="966"/>
      <c r="P73" s="966"/>
      <c r="Q73" s="373">
        <f>'Rates in summary'!H62-'Rates in summary'!F62</f>
        <v>0.4504399999999999</v>
      </c>
      <c r="R73" s="372"/>
      <c r="S73" s="374"/>
      <c r="T73" s="373">
        <f>'Rates in summary'!I62</f>
        <v>0</v>
      </c>
      <c r="U73" s="372"/>
      <c r="V73" s="577"/>
      <c r="W73" s="373">
        <f>'Rates in Detail'!J61+'Rates in Detail'!P61</f>
        <v>0.41359999999999991</v>
      </c>
      <c r="X73" s="372"/>
      <c r="Y73" s="577"/>
      <c r="Z73" s="373">
        <f>'Rates in Detail'!J61+'Rates in Detail'!S61</f>
        <v>0.4161399999999999</v>
      </c>
      <c r="AA73" s="372"/>
      <c r="AB73" s="577"/>
      <c r="AC73" s="122">
        <f>'Rates in Detail'!J61+'Rates in Detail'!T61</f>
        <v>0.41133999999999987</v>
      </c>
      <c r="AD73" s="372"/>
      <c r="AE73" s="577"/>
      <c r="AF73" s="373">
        <f>'Rates in summary'!J62</f>
        <v>0.44563999999999987</v>
      </c>
      <c r="AG73" s="372"/>
      <c r="AH73" s="374"/>
      <c r="AI73" s="1258"/>
      <c r="AJ73" s="373">
        <f>L73+'Rates in summary'!K62</f>
        <v>0.46291999999999989</v>
      </c>
      <c r="AK73" s="372"/>
      <c r="AL73" s="374"/>
      <c r="AM73" s="373">
        <f>'Rates in summary'!O62</f>
        <v>0</v>
      </c>
      <c r="AN73" s="372"/>
      <c r="AO73" s="577"/>
      <c r="AP73" s="122">
        <f>'Rates in Detail'!W61+'Rates in Detail'!Z61</f>
        <v>0.44539999999999991</v>
      </c>
      <c r="AQ73" s="372"/>
      <c r="AR73" s="577"/>
      <c r="AS73" s="373">
        <f>'Rates in summary'!P62</f>
        <v>0.4674799999999999</v>
      </c>
      <c r="AT73" s="372"/>
      <c r="AU73" s="374"/>
      <c r="AV73" s="1263"/>
    </row>
    <row r="74" spans="1:65" x14ac:dyDescent="0.2">
      <c r="A74" s="86">
        <f t="shared" si="14"/>
        <v>67</v>
      </c>
      <c r="B74" s="725"/>
      <c r="C74" s="875" t="s">
        <v>5</v>
      </c>
      <c r="D74" s="299">
        <f>'WA Volumes &amp; Revenues'!E64</f>
        <v>159690</v>
      </c>
      <c r="E74" s="299">
        <f>'WA Volumes &amp; Revenues'!F64</f>
        <v>145741</v>
      </c>
      <c r="F74" s="299">
        <v>20000</v>
      </c>
      <c r="G74" s="300"/>
      <c r="H74" s="300"/>
      <c r="I74" s="879"/>
      <c r="J74" s="372"/>
      <c r="K74" s="122">
        <f>+'Rates in summary'!D63</f>
        <v>0.40022999999999992</v>
      </c>
      <c r="L74" s="122">
        <f>+'Rates in summary'!J63</f>
        <v>0.42663999999999991</v>
      </c>
      <c r="M74" s="372"/>
      <c r="N74" s="372"/>
      <c r="O74" s="966"/>
      <c r="P74" s="966"/>
      <c r="Q74" s="373">
        <f>'Rates in summary'!H63-'Rates in summary'!F63</f>
        <v>0.43093999999999993</v>
      </c>
      <c r="R74" s="372"/>
      <c r="S74" s="374"/>
      <c r="T74" s="373">
        <f>'Rates in summary'!I63</f>
        <v>0</v>
      </c>
      <c r="U74" s="372"/>
      <c r="V74" s="577"/>
      <c r="W74" s="373">
        <f>'Rates in Detail'!J62+'Rates in Detail'!P62</f>
        <v>0.39795999999999992</v>
      </c>
      <c r="X74" s="372"/>
      <c r="Y74" s="577"/>
      <c r="Z74" s="373">
        <f>'Rates in Detail'!J62+'Rates in Detail'!S62</f>
        <v>0.40022999999999992</v>
      </c>
      <c r="AA74" s="372"/>
      <c r="AB74" s="577"/>
      <c r="AC74" s="122">
        <f>'Rates in Detail'!J62+'Rates in Detail'!T62</f>
        <v>0.39592999999999989</v>
      </c>
      <c r="AD74" s="372"/>
      <c r="AE74" s="577"/>
      <c r="AF74" s="373">
        <f>'Rates in summary'!J63</f>
        <v>0.42663999999999991</v>
      </c>
      <c r="AG74" s="372"/>
      <c r="AH74" s="374"/>
      <c r="AI74" s="1258"/>
      <c r="AJ74" s="373">
        <f>L74+'Rates in summary'!K63</f>
        <v>0.44209999999999988</v>
      </c>
      <c r="AK74" s="372"/>
      <c r="AL74" s="374"/>
      <c r="AM74" s="373">
        <f>'Rates in summary'!O63</f>
        <v>0</v>
      </c>
      <c r="AN74" s="372"/>
      <c r="AO74" s="577"/>
      <c r="AP74" s="122">
        <f>'Rates in Detail'!W62+'Rates in Detail'!Z62</f>
        <v>0.42641999999999997</v>
      </c>
      <c r="AQ74" s="372"/>
      <c r="AR74" s="577"/>
      <c r="AS74" s="373">
        <f>'Rates in summary'!P63</f>
        <v>0.44617999999999991</v>
      </c>
      <c r="AT74" s="372"/>
      <c r="AU74" s="374"/>
      <c r="AV74" s="1263"/>
    </row>
    <row r="75" spans="1:65" x14ac:dyDescent="0.2">
      <c r="A75" s="86">
        <f t="shared" si="14"/>
        <v>68</v>
      </c>
      <c r="B75" s="725"/>
      <c r="C75" s="875" t="s">
        <v>6</v>
      </c>
      <c r="D75" s="299">
        <f>'WA Volumes &amp; Revenues'!E65</f>
        <v>0</v>
      </c>
      <c r="E75" s="299">
        <f>'WA Volumes &amp; Revenues'!F65</f>
        <v>0</v>
      </c>
      <c r="F75" s="299">
        <v>20000</v>
      </c>
      <c r="G75" s="300"/>
      <c r="H75" s="300"/>
      <c r="I75" s="879"/>
      <c r="J75" s="372"/>
      <c r="K75" s="122">
        <f>+'Rates in summary'!D64</f>
        <v>0.36857999999999996</v>
      </c>
      <c r="L75" s="122">
        <f>+'Rates in summary'!J64</f>
        <v>0.38882999999999995</v>
      </c>
      <c r="M75" s="372"/>
      <c r="N75" s="372"/>
      <c r="O75" s="966"/>
      <c r="P75" s="966"/>
      <c r="Q75" s="373">
        <f>'Rates in summary'!H64-'Rates in summary'!F64</f>
        <v>0.39212999999999998</v>
      </c>
      <c r="R75" s="372"/>
      <c r="S75" s="374"/>
      <c r="T75" s="373">
        <f>'Rates in summary'!I64</f>
        <v>0</v>
      </c>
      <c r="U75" s="372"/>
      <c r="V75" s="577"/>
      <c r="W75" s="373">
        <f>'Rates in Detail'!J63+'Rates in Detail'!P63</f>
        <v>0.36683999999999994</v>
      </c>
      <c r="X75" s="372"/>
      <c r="Y75" s="577"/>
      <c r="Z75" s="373">
        <f>'Rates in Detail'!J63+'Rates in Detail'!S63</f>
        <v>0.36857999999999996</v>
      </c>
      <c r="AA75" s="372"/>
      <c r="AB75" s="577"/>
      <c r="AC75" s="122">
        <f>'Rates in Detail'!J63+'Rates in Detail'!T63</f>
        <v>0.36527999999999994</v>
      </c>
      <c r="AD75" s="372"/>
      <c r="AE75" s="577"/>
      <c r="AF75" s="373">
        <f>'Rates in summary'!J64</f>
        <v>0.38882999999999995</v>
      </c>
      <c r="AG75" s="372"/>
      <c r="AH75" s="374"/>
      <c r="AI75" s="1258"/>
      <c r="AJ75" s="373">
        <f>L75+'Rates in summary'!K64</f>
        <v>0.40068999999999994</v>
      </c>
      <c r="AK75" s="372"/>
      <c r="AL75" s="374"/>
      <c r="AM75" s="373">
        <f>'Rates in summary'!O64</f>
        <v>0</v>
      </c>
      <c r="AN75" s="372"/>
      <c r="AO75" s="577"/>
      <c r="AP75" s="122">
        <f>'Rates in Detail'!W63+'Rates in Detail'!Z63</f>
        <v>0.38865999999999995</v>
      </c>
      <c r="AQ75" s="372"/>
      <c r="AR75" s="577"/>
      <c r="AS75" s="373">
        <f>'Rates in summary'!P64</f>
        <v>0.40381999999999996</v>
      </c>
      <c r="AT75" s="372"/>
      <c r="AU75" s="374"/>
      <c r="AV75" s="1263"/>
    </row>
    <row r="76" spans="1:65" x14ac:dyDescent="0.2">
      <c r="A76" s="86">
        <f t="shared" si="14"/>
        <v>69</v>
      </c>
      <c r="B76" s="725"/>
      <c r="C76" s="875" t="s">
        <v>7</v>
      </c>
      <c r="D76" s="299">
        <f>'WA Volumes &amp; Revenues'!E66</f>
        <v>0</v>
      </c>
      <c r="E76" s="299">
        <f>'WA Volumes &amp; Revenues'!F66</f>
        <v>0</v>
      </c>
      <c r="F76" s="299">
        <v>100000</v>
      </c>
      <c r="G76" s="300"/>
      <c r="H76" s="300"/>
      <c r="I76" s="879"/>
      <c r="J76" s="372"/>
      <c r="K76" s="122">
        <f>+'Rates in summary'!D65</f>
        <v>0.34777000000000002</v>
      </c>
      <c r="L76" s="122">
        <f>+'Rates in summary'!J65</f>
        <v>0.36397000000000007</v>
      </c>
      <c r="M76" s="372"/>
      <c r="N76" s="372"/>
      <c r="O76" s="966"/>
      <c r="P76" s="966"/>
      <c r="Q76" s="373">
        <f>'Rates in summary'!H65-'Rates in summary'!F65</f>
        <v>0.36661000000000005</v>
      </c>
      <c r="R76" s="372"/>
      <c r="S76" s="374"/>
      <c r="T76" s="373">
        <f>'Rates in summary'!I65</f>
        <v>0</v>
      </c>
      <c r="U76" s="372"/>
      <c r="V76" s="577"/>
      <c r="W76" s="373">
        <f>'Rates in Detail'!J64+'Rates in Detail'!P64</f>
        <v>0.34638000000000002</v>
      </c>
      <c r="X76" s="372"/>
      <c r="Y76" s="577"/>
      <c r="Z76" s="373">
        <f>'Rates in Detail'!J64+'Rates in Detail'!S64</f>
        <v>0.34777000000000002</v>
      </c>
      <c r="AA76" s="372"/>
      <c r="AB76" s="577"/>
      <c r="AC76" s="122">
        <f>'Rates in Detail'!J64+'Rates in Detail'!T64</f>
        <v>0.34513000000000005</v>
      </c>
      <c r="AD76" s="372"/>
      <c r="AE76" s="577"/>
      <c r="AF76" s="373">
        <f>'Rates in summary'!J65</f>
        <v>0.36397000000000007</v>
      </c>
      <c r="AG76" s="372"/>
      <c r="AH76" s="374"/>
      <c r="AI76" s="1258"/>
      <c r="AJ76" s="373">
        <f>L76+'Rates in summary'!K65</f>
        <v>0.37346000000000007</v>
      </c>
      <c r="AK76" s="372"/>
      <c r="AL76" s="374"/>
      <c r="AM76" s="373">
        <f>'Rates in summary'!O65</f>
        <v>0</v>
      </c>
      <c r="AN76" s="372"/>
      <c r="AO76" s="577"/>
      <c r="AP76" s="122">
        <f>'Rates in Detail'!W64+'Rates in Detail'!Z64</f>
        <v>0.36384</v>
      </c>
      <c r="AQ76" s="372"/>
      <c r="AR76" s="577"/>
      <c r="AS76" s="373">
        <f>'Rates in summary'!P65</f>
        <v>0.37597000000000003</v>
      </c>
      <c r="AT76" s="372"/>
      <c r="AU76" s="374"/>
      <c r="AV76" s="1263"/>
    </row>
    <row r="77" spans="1:65" x14ac:dyDescent="0.2">
      <c r="A77" s="86">
        <f t="shared" si="14"/>
        <v>70</v>
      </c>
      <c r="B77" s="725"/>
      <c r="C77" s="875" t="s">
        <v>8</v>
      </c>
      <c r="D77" s="299">
        <f>'WA Volumes &amp; Revenues'!E67</f>
        <v>0</v>
      </c>
      <c r="E77" s="299">
        <f>'WA Volumes &amp; Revenues'!F67</f>
        <v>0</v>
      </c>
      <c r="F77" s="299">
        <v>600000</v>
      </c>
      <c r="G77" s="300"/>
      <c r="H77" s="300"/>
      <c r="I77" s="879"/>
      <c r="J77" s="372"/>
      <c r="K77" s="122">
        <f>+'Rates in summary'!D66</f>
        <v>0.32002000000000003</v>
      </c>
      <c r="L77" s="122">
        <f>+'Rates in summary'!J66</f>
        <v>0.33082000000000006</v>
      </c>
      <c r="M77" s="372"/>
      <c r="N77" s="372"/>
      <c r="O77" s="966"/>
      <c r="P77" s="966"/>
      <c r="Q77" s="373">
        <f>'Rates in summary'!H66-'Rates in summary'!F66</f>
        <v>0.33258000000000004</v>
      </c>
      <c r="R77" s="372"/>
      <c r="S77" s="374"/>
      <c r="T77" s="373">
        <f>'Rates in summary'!I66</f>
        <v>0</v>
      </c>
      <c r="U77" s="372"/>
      <c r="V77" s="577"/>
      <c r="W77" s="373">
        <f>'Rates in Detail'!J65+'Rates in Detail'!P65</f>
        <v>0.31909000000000004</v>
      </c>
      <c r="X77" s="372"/>
      <c r="Y77" s="577"/>
      <c r="Z77" s="373">
        <f>'Rates in Detail'!J65+'Rates in Detail'!S65</f>
        <v>0.32002000000000003</v>
      </c>
      <c r="AA77" s="372"/>
      <c r="AB77" s="577"/>
      <c r="AC77" s="122">
        <f>'Rates in Detail'!J65+'Rates in Detail'!T65</f>
        <v>0.31826000000000004</v>
      </c>
      <c r="AD77" s="372"/>
      <c r="AE77" s="577"/>
      <c r="AF77" s="373">
        <f>'Rates in summary'!J66</f>
        <v>0.33082000000000006</v>
      </c>
      <c r="AG77" s="372"/>
      <c r="AH77" s="374"/>
      <c r="AI77" s="1258"/>
      <c r="AJ77" s="373">
        <f>L77+'Rates in summary'!K66</f>
        <v>0.33714000000000005</v>
      </c>
      <c r="AK77" s="372"/>
      <c r="AL77" s="374"/>
      <c r="AM77" s="373">
        <f>'Rates in summary'!O66</f>
        <v>0</v>
      </c>
      <c r="AN77" s="372"/>
      <c r="AO77" s="577"/>
      <c r="AP77" s="122">
        <f>'Rates in Detail'!W65+'Rates in Detail'!Z65</f>
        <v>0.33073000000000008</v>
      </c>
      <c r="AQ77" s="372"/>
      <c r="AR77" s="577"/>
      <c r="AS77" s="373">
        <f>'Rates in summary'!P66</f>
        <v>0.33881000000000006</v>
      </c>
      <c r="AT77" s="372"/>
      <c r="AU77" s="374"/>
      <c r="AV77" s="1263"/>
    </row>
    <row r="78" spans="1:65" x14ac:dyDescent="0.2">
      <c r="A78" s="86">
        <f t="shared" si="14"/>
        <v>71</v>
      </c>
      <c r="B78" s="725"/>
      <c r="C78" s="875" t="s">
        <v>9</v>
      </c>
      <c r="D78" s="299">
        <f>'WA Volumes &amp; Revenues'!E68</f>
        <v>0</v>
      </c>
      <c r="E78" s="299">
        <f>'WA Volumes &amp; Revenues'!F68</f>
        <v>0</v>
      </c>
      <c r="F78" s="371" t="s">
        <v>74</v>
      </c>
      <c r="G78" s="300"/>
      <c r="H78" s="300"/>
      <c r="I78" s="879"/>
      <c r="J78" s="372"/>
      <c r="K78" s="122">
        <f>+'Rates in summary'!D67</f>
        <v>0.2853</v>
      </c>
      <c r="L78" s="122">
        <f>+'Rates in summary'!J67</f>
        <v>0.28935</v>
      </c>
      <c r="M78" s="372"/>
      <c r="N78" s="372"/>
      <c r="O78" s="966"/>
      <c r="P78" s="966"/>
      <c r="Q78" s="373">
        <f>'Rates in summary'!H67-'Rates in summary'!F67</f>
        <v>0.29000999999999999</v>
      </c>
      <c r="R78" s="372"/>
      <c r="S78" s="374"/>
      <c r="T78" s="373">
        <f>'Rates in summary'!I67</f>
        <v>0</v>
      </c>
      <c r="U78" s="372"/>
      <c r="V78" s="577"/>
      <c r="W78" s="373">
        <f>'Rates in Detail'!J66+'Rates in Detail'!P66</f>
        <v>0.28494999999999998</v>
      </c>
      <c r="X78" s="372"/>
      <c r="Y78" s="577"/>
      <c r="Z78" s="373">
        <f>'Rates in Detail'!J66+'Rates in Detail'!S66</f>
        <v>0.2853</v>
      </c>
      <c r="AA78" s="372"/>
      <c r="AB78" s="577"/>
      <c r="AC78" s="122">
        <f>'Rates in Detail'!J66+'Rates in Detail'!T66</f>
        <v>0.28464</v>
      </c>
      <c r="AD78" s="372"/>
      <c r="AE78" s="577"/>
      <c r="AF78" s="373">
        <f>'Rates in summary'!J67</f>
        <v>0.28935</v>
      </c>
      <c r="AG78" s="372"/>
      <c r="AH78" s="374"/>
      <c r="AI78" s="1258"/>
      <c r="AJ78" s="373">
        <f>L78+'Rates in summary'!K67</f>
        <v>0.29171999999999998</v>
      </c>
      <c r="AK78" s="372"/>
      <c r="AL78" s="374"/>
      <c r="AM78" s="373">
        <f>'Rates in summary'!O67</f>
        <v>0</v>
      </c>
      <c r="AN78" s="372"/>
      <c r="AO78" s="577"/>
      <c r="AP78" s="122">
        <f>'Rates in Detail'!W66+'Rates in Detail'!Z66</f>
        <v>0.28932000000000002</v>
      </c>
      <c r="AQ78" s="372"/>
      <c r="AR78" s="577"/>
      <c r="AS78" s="373">
        <f>'Rates in summary'!P67</f>
        <v>0.29235</v>
      </c>
      <c r="AT78" s="372"/>
      <c r="AU78" s="374"/>
      <c r="AV78" s="1263"/>
    </row>
    <row r="79" spans="1:65" x14ac:dyDescent="0.2">
      <c r="A79" s="86">
        <f t="shared" si="14"/>
        <v>72</v>
      </c>
      <c r="B79" s="723"/>
      <c r="C79" s="876" t="s">
        <v>78</v>
      </c>
      <c r="D79" s="375"/>
      <c r="E79" s="375"/>
      <c r="F79" s="376"/>
      <c r="G79" s="377"/>
      <c r="H79" s="377"/>
      <c r="I79" s="880"/>
      <c r="J79" s="379"/>
      <c r="K79" s="378"/>
      <c r="L79" s="378"/>
      <c r="M79" s="379">
        <f>$I73+ROUND(IF($G73&lt;$F73,($G73*K73),IF($G73&lt;SUM($F73:$F74),(($F73*K73)+(($G73-$F73)*K74)),IF($G73&lt;SUM($F73:$F75),(($F73*K73)+($F74*K74)+(($G73-$F73-$F74)*K75)),IF($G73&lt;SUM($F73:$F76),(($F73*K73)+($F74*K74)+($F75*K75)+(($G73-SUM($F73:$F75))*K76)),IF($G73&lt;SUM($F73:$F77),(($F73*K73)+($F74*K74)+($F75*K75)+($F76*K76)+(($G73-SUM($F73:$F76))*K77)),(($F73*K73)+($F74*K74)+($F75*K75)+($F76*K75)+($F77*K77)+(($G73-SUM($F73:$F77))*K78))))))),2)</f>
        <v>6965.46</v>
      </c>
      <c r="N79" s="379">
        <f>$I73+ROUND(IF($H73&lt;$F73,($H73*K73),IF($H73&lt;SUM($F73:$F74),(($F73*K73)+(($H73-$F73)*K74)),IF($H73&lt;SUM($F73:$F75),(($F73*K73)+($F74*K74)+(($H73-$F73-$F74)*K75)),IF($H73&lt;SUM($F73:$F76),(($F73*K73)+($F74*K74)+($F75*K75)+(($H73-SUM($F73:$F75))*K76)),IF($H73&lt;SUM($F73:$F77),(($F73*K73)+($F74*K74)+($F75*K75)+($F76*K76)+(($H73-SUM($F73:$F76))*K77)),(($F73*K73)+($F74*K74)+($F75*K75)+($F76*K75)+($F77*K77)+(($H73-SUM($F73:$F77))*K78))))))),2)</f>
        <v>4845.51</v>
      </c>
      <c r="O79" s="379">
        <f>$I73+ROUND(IF($G73&lt;$F73,($G73*L73),IF($G73&lt;SUM($F73:$F74),(($F73*L73)+(($G73-$F73)*L74)),IF($G73&lt;SUM($F73:$F75),(($F73*L73)+($F74*L74)+(($G73-$F73-$F74)*L75)),IF($G73&lt;SUM($F73:$F76),(($F73*L73)+($F74*L74)+($F75*L75)+(($G73-SUM($F73:$F75))*L76)),IF($G73&lt;SUM($F73:$F77),(($F73*L73)+($F74*L74)+($F75*L75)+($F76*L76)+(($G73-SUM($F73:$F76))*L77)),(($F73*L73)+($F74*L74)+($F75*L75)+($F76*L75)+($F77*L77)+(($G73-SUM($F73:$F77))*L78))))))),2)</f>
        <v>7359.71</v>
      </c>
      <c r="P79" s="379">
        <f>$I73+ROUND(IF($H73&lt;$F73,($H73*L73),IF($H73&lt;SUM($F73:$F74),(($F73*L73)+(($H73-$F73)*L74)),IF($H73&lt;SUM($F73:$F75),(($F73*L73)+($F74*L74)+(($H73-$F73-$F74)*L75)),IF($H73&lt;SUM($F73:$F76),(($F73*L73)+($F74*L74)+($F75*L75)+(($H73-SUM($F73:$F75))*L76)),IF($H73&lt;SUM($F73:$F77),(($F73*L73)+($F74*L74)+($F75*L75)+($F76*L76)+(($H73-SUM($F73:$F76))*L77)),(($F73*L73)+($F74*L74)+($F75*L75)+($F76*L75)+($F77*L77)+(($H73-SUM($F73:$F77))*L78))))))),2)</f>
        <v>5096.8500000000004</v>
      </c>
      <c r="Q79" s="381"/>
      <c r="R79" s="379">
        <f>$J73+ROUND(IF($G73&lt;$F73,($G73*Q73),IF($G73&lt;SUM($F73:$F74),(($F73*Q73)+(($G73-$F73)*Q74)),IF($G73&lt;SUM($F73:$F75),(($F73*Q73)+($F74*Q74)+(($G73-$F73-$F74)*Q75)),IF($G73&lt;SUM($F73:$F76),(($F73*Q73)+($F74*Q74)+($F75*Q75)+(($G73-SUM($F73:$F75))*Q76)),IF($G73&lt;SUM($F73:$F77),(($F73*Q73)+($F74*Q74)+($F75*Q75)+($F76*Q76)+(($G73-SUM($F73:$F76))*Q77)),(($F73*Q73)+($F74*Q74)+($F75*Q75)+($F76*Q75)+($F77*Q77)+(($G73-SUM($F73:$F77))*Q78))))))),2)</f>
        <v>7423.87</v>
      </c>
      <c r="S79" s="382">
        <f>ROUND((R79-M79)/M79,3)</f>
        <v>6.6000000000000003E-2</v>
      </c>
      <c r="T79" s="380"/>
      <c r="U79" s="379">
        <f>$I73+ROUND(IF($H73&lt;$F73,($H73*T73),IF($H73&lt;SUM($F73:$F74),(($F73*T73)+(($H73-$F73)*T74)),IF($H73&lt;SUM($F73:$F75),(($F73*T73)+($F74*T74)+(($H73-$F73-$F74)*T75)),IF($H73&lt;SUM($F73:$F76),(($F73*T73)+($F74*T74)+($F75*T75)+(($H73-SUM($F73:$F75))*T76)),IF($H73&lt;SUM($F73:$F77),(($F73*T73)+($F74*T74)+($F75*T75)+($F76*T76)+(($H73-SUM($F73:$F76))*T77)),(($F73*T73)+($F74*T74)+($F75*T75)+($F76*T75)+($F77*T77)+(($H73-SUM($F73:$F77))*T78))))))),2)</f>
        <v>1300</v>
      </c>
      <c r="V79" s="578">
        <f>ROUND((U79-N79)/N79,3)</f>
        <v>-0.73199999999999998</v>
      </c>
      <c r="W79" s="380"/>
      <c r="X79" s="379">
        <f>$J73+ROUND(IF($G73&lt;$F73,($G73*W73),IF($G73&lt;SUM($F73:$F74),(($F73*W73)+(($G73-$F73)*W74)),IF($G73&lt;SUM($F73:$F75),(($F73*W73)+($F74*W74)+(($G73-$F73-$F74)*W75)),IF($G73&lt;SUM($F73:$F76),(($F73*W73)+($F74*W74)+($F75*W75)+(($G73-SUM($F73:$F75))*W76)),IF($G73&lt;SUM($F73:$F77),(($F73*W73)+($F74*W74)+($F75*W75)+($F76*W76)+(($G73-SUM($F73:$F76))*W77)),(($F73*W73)+($F74*W74)+($F75*W75)+($F76*W75)+($F77*W77)+(($G73-SUM($F73:$F77))*W78))))))),2)</f>
        <v>6931.53</v>
      </c>
      <c r="Y79" s="578">
        <f t="shared" ref="Y79" si="77">ROUND(($X79-$M79)/$M79,3)</f>
        <v>-5.0000000000000001E-3</v>
      </c>
      <c r="Z79" s="380"/>
      <c r="AA79" s="379">
        <f>$J73+ROUND(IF($G73&lt;$F73,($G73*Z73),IF($G73&lt;SUM($F73:$F74),(($F73*Z73)+(($G73-$F73)*Z74)),IF($G73&lt;SUM($F73:$F75),(($F73*Z73)+($F74*Z74)+(($G73-$F73-$F74)*Z75)),IF($G73&lt;SUM($F73:$F76),(($F73*Z73)+($F74*Z74)+($F75*Z75)+(($G73-SUM($F73:$F75))*Z76)),IF($G73&lt;SUM($F73:$F77),(($F73*Z73)+($F74*Z74)+($F75*Z75)+($F76*Z76)+(($G73-SUM($F73:$F76))*Z77)),(($F73*Z73)+($F74*Z74)+($F75*Z75)+($F76*Z75)+($F77*Z77)+(($G73-SUM($F73:$F77))*Z78))))))),2)</f>
        <v>6965.46</v>
      </c>
      <c r="AB79" s="578">
        <f>ROUND(($AA79-$M79)/$M79,3)</f>
        <v>0</v>
      </c>
      <c r="AC79" s="379"/>
      <c r="AD79" s="379">
        <f>$J73+ROUND(IF($G73&lt;$F73,($G73*AC73),IF($G73&lt;SUM($F73:$F74),(($F73*AC73)+(($G73-$F73)*AC74)),IF($G73&lt;SUM($F73:$F75),(($F73*AC73)+($F74*AC74)+(($G73-$F73-$F74)*AC75)),IF($G73&lt;SUM($F73:$F76),(($F73*AC73)+($F74*AC74)+($F75*AC75)+(($G73-SUM($F73:$F75))*AC76)),IF($G73&lt;SUM($F73:$F77),(($F73*AC73)+($F74*AC74)+($F75*AC75)+($F76*AC76)+(($G73-SUM($F73:$F76))*AC77)),(($F73*AC73)+($F74*AC74)+($F75*AC75)+($F76*AC75)+($F77*AC77)+(($G73-SUM($F73:$F77))*AC78))))))),2)</f>
        <v>6901.3</v>
      </c>
      <c r="AE79" s="578">
        <f>ROUND(($AD79-$M79)/$M79,3)</f>
        <v>-8.9999999999999993E-3</v>
      </c>
      <c r="AF79" s="381"/>
      <c r="AG79" s="379">
        <f>$J73+ROUND(IF($G73&lt;$F73,($G73*AF73),IF($G73&lt;SUM($F73:$F74),(($F73*AF73)+(($G73-$F73)*AF74)),IF($G73&lt;SUM($F73:$F75),(($F73*AF73)+($F74*AF74)+(($G73-$F73-$F74)*AF75)),IF($G73&lt;SUM($F73:$F76),(($F73*AF73)+($F74*AF74)+($F75*AF75)+(($G73-SUM($F73:$F75))*AF76)),IF($G73&lt;SUM($F73:$F77),(($F73*AF73)+($F74*AF74)+($F75*AF75)+($F76*AF76)+(($G73-SUM($F73:$F76))*AF77)),(($F73*AF73)+($F74*AF74)+($F75*AF75)+($F76*AF75)+($F77*AF77)+(($G73-SUM($F73:$F77))*AF78))))))),2)</f>
        <v>7359.71</v>
      </c>
      <c r="AH79" s="382">
        <f>ROUND((AG79-M79)/M79,3)</f>
        <v>5.7000000000000002E-2</v>
      </c>
      <c r="AI79" s="1259">
        <f t="shared" ref="AI79:AI96" si="78">AG79-M79</f>
        <v>394.25</v>
      </c>
      <c r="AJ79" s="381"/>
      <c r="AK79" s="379">
        <f>$J73+ROUND(IF($G73&lt;$F73,($G73*AJ73),IF($G73&lt;SUM($F73:$F74),(($F73*AJ73)+(($G73-$F73)*AJ74)),IF($G73&lt;SUM($F73:$F75),(($F73*AJ73)+($F74*AJ74)+(($G73-$F73-$F74)*AJ75)),IF($G73&lt;SUM($F73:$F76),(($F73*AJ73)+($F74*AJ74)+($F75*AJ75)+(($G73-SUM($F73:$F75))*AJ76)),IF($G73&lt;SUM($F73:$F77),(($F73*AJ73)+($F74*AJ74)+($F75*AJ75)+($F76*AJ76)+(($G73-SUM($F73:$F76))*AJ77)),(($F73*AJ73)+($F74*AJ74)+($F75*AJ75)+($F76*AJ75)+($F77*AJ77)+(($G73-SUM($F73:$F77))*AJ78))))))),2)</f>
        <v>7590.61</v>
      </c>
      <c r="AL79" s="382">
        <f>ROUND((AK79-O79)/O79,3)</f>
        <v>3.1E-2</v>
      </c>
      <c r="AM79" s="380"/>
      <c r="AN79" s="379">
        <f>$I73+ROUND(IF($H73&lt;$F73,($H73*AM73),IF($H73&lt;SUM($F73:$F74),(($F73*AM73)+(($H73-$F73)*AM74)),IF($H73&lt;SUM($F73:$F75),(($F73*AM73)+($F74*AM74)+(($H73-$F73-$F74)*AM75)),IF($H73&lt;SUM($F73:$F76),(($F73*AM73)+($F74*AM74)+($F75*AM75)+(($H73-SUM($F73:$F75))*AM76)),IF($H73&lt;SUM($F73:$F77),(($F73*AM73)+($F74*AM74)+($F75*AM75)+($F76*AM76)+(($H73-SUM($F73:$F76))*AM77)),(($F73*AM73)+($F74*AM74)+($F75*AM75)+($F76*AM75)+($F77*AM77)+(($H73-SUM($F73:$F77))*AM78))))))),2)</f>
        <v>1300</v>
      </c>
      <c r="AO79" s="578">
        <f>ROUND((AN79-P79)/P79,3)</f>
        <v>-0.745</v>
      </c>
      <c r="AP79" s="379"/>
      <c r="AQ79" s="379">
        <f>$J73+ROUND(IF($G73&lt;$F73,($G73*AP73),IF($G73&lt;SUM($F73:$F74),(($F73*AP73)+(($G73-$F73)*AP74)),IF($G73&lt;SUM($F73:$F75),(($F73*AP73)+($F74*AP74)+(($G73-$F73-$F74)*AP75)),IF($G73&lt;SUM($F73:$F76),(($F73*AP73)+($F74*AP74)+($F75*AP75)+(($G73-SUM($F73:$F75))*AP76)),IF($G73&lt;SUM($F73:$F77),(($F73*AP73)+($F74*AP74)+($F75*AP75)+($F76*AP76)+(($G73-SUM($F73:$F76))*AP77)),(($F73*AP73)+($F74*AP74)+($F75*AP75)+($F76*AP75)+($F77*AP77)+(($G73-SUM($F73:$F77))*AP78))))))),2)</f>
        <v>7356.49</v>
      </c>
      <c r="AR79" s="578">
        <f>ROUND(($AQ79-$O79)/$O79,3)</f>
        <v>0</v>
      </c>
      <c r="AS79" s="381"/>
      <c r="AT79" s="379">
        <f>$J73+ROUND(IF($G73&lt;$F73,($G73*AS73),IF($G73&lt;SUM($F73:$F74),(($F73*AS73)+(($G73-$F73)*AS74)),IF($G73&lt;SUM($F73:$F75),(($F73*AS73)+($F74*AS74)+(($G73-$F73-$F74)*AS75)),IF($G73&lt;SUM($F73:$F76),(($F73*AS73)+($F74*AS74)+($F75*AS75)+(($G73-SUM($F73:$F75))*AS76)),IF($G73&lt;SUM($F73:$F77),(($F73*AS73)+($F74*AS74)+($F75*AS75)+($F76*AS76)+(($G73-SUM($F73:$F76))*AS77)),(($F73*AS73)+($F74*AS74)+($F75*AS75)+($F76*AS75)+($F77*AS77)+(($G73-SUM($F73:$F77))*AS78))))))),2)</f>
        <v>7651.54</v>
      </c>
      <c r="AU79" s="382">
        <f>ROUND((AT79-O79)/O79,3)</f>
        <v>0.04</v>
      </c>
      <c r="AV79" s="1264">
        <f t="shared" ref="AV79:AV96" si="79">AT79-O79</f>
        <v>291.82999999999993</v>
      </c>
      <c r="AW79" s="370"/>
      <c r="AX79" s="370"/>
      <c r="AY79" s="370"/>
      <c r="AZ79" s="370"/>
    </row>
    <row r="80" spans="1:65" x14ac:dyDescent="0.2">
      <c r="A80" s="86">
        <f t="shared" si="14"/>
        <v>73</v>
      </c>
      <c r="B80" s="725" t="str">
        <f>'WA Volumes &amp; Revenues'!B69</f>
        <v>42C Inter Transpt</v>
      </c>
      <c r="C80" s="875" t="s">
        <v>4</v>
      </c>
      <c r="D80" s="384">
        <f>'WA Volumes &amp; Revenues'!E69</f>
        <v>0</v>
      </c>
      <c r="E80" s="384">
        <f>'WA Volumes &amp; Revenues'!F69</f>
        <v>0</v>
      </c>
      <c r="F80" s="299">
        <v>10000</v>
      </c>
      <c r="G80" s="385">
        <f>'WA Volumes &amp; Revenues'!I69</f>
        <v>0</v>
      </c>
      <c r="H80" s="543">
        <f>'WA Volumes &amp; Revenues'!L69</f>
        <v>0</v>
      </c>
      <c r="I80" s="879">
        <f>'WA Volumes &amp; Revenues'!O69</f>
        <v>1550</v>
      </c>
      <c r="J80" s="372">
        <f>'WA Volumes &amp; Revenues'!N69</f>
        <v>1550</v>
      </c>
      <c r="K80" s="386">
        <f>+'Rates in summary'!D68</f>
        <v>0.13459999999999997</v>
      </c>
      <c r="L80" s="386">
        <f>+'Rates in summary'!J68</f>
        <v>0.14794999999999997</v>
      </c>
      <c r="M80" s="372"/>
      <c r="N80" s="372"/>
      <c r="O80" s="966"/>
      <c r="P80" s="966"/>
      <c r="Q80" s="387">
        <f>'Rates in summary'!H68-'Rates in summary'!F68</f>
        <v>0.15032999999999996</v>
      </c>
      <c r="R80" s="372"/>
      <c r="S80" s="374"/>
      <c r="T80" s="373">
        <f>'Rates in summary'!I68</f>
        <v>0</v>
      </c>
      <c r="U80" s="372"/>
      <c r="V80" s="577"/>
      <c r="W80" s="373">
        <f>'Rates in Detail'!J67+'Rates in Detail'!P67</f>
        <v>0.13333999999999996</v>
      </c>
      <c r="X80" s="372"/>
      <c r="Y80" s="577"/>
      <c r="Z80" s="373">
        <f>'Rates in Detail'!J67+'Rates in Detail'!S67</f>
        <v>0.13459999999999997</v>
      </c>
      <c r="AA80" s="372"/>
      <c r="AB80" s="577"/>
      <c r="AC80" s="122">
        <f>'Rates in Detail'!J67+'Rates in Detail'!T67</f>
        <v>0.13221999999999998</v>
      </c>
      <c r="AD80" s="372"/>
      <c r="AE80" s="577"/>
      <c r="AF80" s="373">
        <f>'Rates in summary'!J68</f>
        <v>0.14794999999999997</v>
      </c>
      <c r="AG80" s="372"/>
      <c r="AH80" s="374"/>
      <c r="AI80" s="1258"/>
      <c r="AJ80" s="373">
        <f>L80+'Rates in summary'!K68</f>
        <v>0.15642999999999996</v>
      </c>
      <c r="AK80" s="372"/>
      <c r="AL80" s="374"/>
      <c r="AM80" s="373">
        <f>'Rates in summary'!O68</f>
        <v>0</v>
      </c>
      <c r="AN80" s="372"/>
      <c r="AO80" s="577"/>
      <c r="AP80" s="122">
        <f>'Rates in Detail'!W67+'Rates in Detail'!Z67</f>
        <v>0.14782999999999996</v>
      </c>
      <c r="AQ80" s="372"/>
      <c r="AR80" s="577"/>
      <c r="AS80" s="373">
        <f>'Rates in summary'!P68</f>
        <v>0.15868999999999994</v>
      </c>
      <c r="AT80" s="372"/>
      <c r="AU80" s="374"/>
      <c r="AV80" s="1263"/>
    </row>
    <row r="81" spans="1:52" x14ac:dyDescent="0.2">
      <c r="A81" s="86">
        <f t="shared" si="14"/>
        <v>74</v>
      </c>
      <c r="B81" s="725"/>
      <c r="C81" s="875" t="s">
        <v>5</v>
      </c>
      <c r="D81" s="384">
        <f>'WA Volumes &amp; Revenues'!E70</f>
        <v>0</v>
      </c>
      <c r="E81" s="384">
        <f>'WA Volumes &amp; Revenues'!F70</f>
        <v>0</v>
      </c>
      <c r="F81" s="299">
        <v>20000</v>
      </c>
      <c r="G81" s="385"/>
      <c r="H81" s="385"/>
      <c r="I81" s="882"/>
      <c r="J81" s="663"/>
      <c r="K81" s="386">
        <f>+'Rates in summary'!D69</f>
        <v>0.12048999999999999</v>
      </c>
      <c r="L81" s="386">
        <f>+'Rates in summary'!J69</f>
        <v>0.13244999999999998</v>
      </c>
      <c r="M81" s="372"/>
      <c r="N81" s="372"/>
      <c r="O81" s="966"/>
      <c r="P81" s="966"/>
      <c r="Q81" s="387">
        <f>'Rates in summary'!H69-'Rates in summary'!F69</f>
        <v>0.13457999999999998</v>
      </c>
      <c r="R81" s="372"/>
      <c r="S81" s="374"/>
      <c r="T81" s="373">
        <f>'Rates in summary'!I69</f>
        <v>0</v>
      </c>
      <c r="U81" s="372"/>
      <c r="V81" s="577"/>
      <c r="W81" s="373">
        <f>'Rates in Detail'!J68+'Rates in Detail'!P68</f>
        <v>0.11936999999999999</v>
      </c>
      <c r="X81" s="372"/>
      <c r="Y81" s="577"/>
      <c r="Z81" s="373">
        <f>'Rates in Detail'!J68+'Rates in Detail'!S68</f>
        <v>0.12048999999999999</v>
      </c>
      <c r="AA81" s="372"/>
      <c r="AB81" s="577"/>
      <c r="AC81" s="122">
        <f>'Rates in Detail'!J68+'Rates in Detail'!T68</f>
        <v>0.11835999999999999</v>
      </c>
      <c r="AD81" s="372"/>
      <c r="AE81" s="577"/>
      <c r="AF81" s="373">
        <f>'Rates in summary'!J69</f>
        <v>0.13244999999999998</v>
      </c>
      <c r="AG81" s="372"/>
      <c r="AH81" s="374"/>
      <c r="AI81" s="1258"/>
      <c r="AJ81" s="373">
        <f>L81+'Rates in summary'!K69</f>
        <v>0.14004</v>
      </c>
      <c r="AK81" s="372"/>
      <c r="AL81" s="374"/>
      <c r="AM81" s="373">
        <f>'Rates in summary'!O69</f>
        <v>0</v>
      </c>
      <c r="AN81" s="372"/>
      <c r="AO81" s="577"/>
      <c r="AP81" s="122">
        <f>'Rates in Detail'!W68+'Rates in Detail'!Z68</f>
        <v>0.13233999999999999</v>
      </c>
      <c r="AQ81" s="372"/>
      <c r="AR81" s="577"/>
      <c r="AS81" s="373">
        <f>'Rates in summary'!P69</f>
        <v>0.14205999999999999</v>
      </c>
      <c r="AT81" s="372"/>
      <c r="AU81" s="374"/>
      <c r="AV81" s="1263"/>
    </row>
    <row r="82" spans="1:52" x14ac:dyDescent="0.2">
      <c r="A82" s="86">
        <f t="shared" si="14"/>
        <v>75</v>
      </c>
      <c r="B82" s="725"/>
      <c r="C82" s="875" t="s">
        <v>6</v>
      </c>
      <c r="D82" s="384">
        <f>'WA Volumes &amp; Revenues'!E71</f>
        <v>0</v>
      </c>
      <c r="E82" s="384">
        <f>'WA Volumes &amp; Revenues'!F71</f>
        <v>0</v>
      </c>
      <c r="F82" s="299">
        <v>20000</v>
      </c>
      <c r="G82" s="385"/>
      <c r="H82" s="385"/>
      <c r="I82" s="882"/>
      <c r="J82" s="663"/>
      <c r="K82" s="386">
        <f>+'Rates in summary'!D70</f>
        <v>9.2380000000000004E-2</v>
      </c>
      <c r="L82" s="386">
        <f>+'Rates in summary'!J70</f>
        <v>0.10155</v>
      </c>
      <c r="M82" s="372"/>
      <c r="N82" s="372"/>
      <c r="O82" s="966"/>
      <c r="P82" s="966"/>
      <c r="Q82" s="387">
        <f>'Rates in summary'!H70-'Rates in summary'!F70</f>
        <v>0.10318000000000001</v>
      </c>
      <c r="R82" s="372"/>
      <c r="S82" s="374"/>
      <c r="T82" s="373">
        <f>'Rates in summary'!I70</f>
        <v>0</v>
      </c>
      <c r="U82" s="372"/>
      <c r="V82" s="577"/>
      <c r="W82" s="373">
        <f>'Rates in Detail'!J69+'Rates in Detail'!P69</f>
        <v>9.1520000000000004E-2</v>
      </c>
      <c r="X82" s="372"/>
      <c r="Y82" s="577"/>
      <c r="Z82" s="373">
        <f>'Rates in Detail'!J69+'Rates in Detail'!S69</f>
        <v>9.2380000000000004E-2</v>
      </c>
      <c r="AA82" s="372"/>
      <c r="AB82" s="577"/>
      <c r="AC82" s="122">
        <f>'Rates in Detail'!J69+'Rates in Detail'!T69</f>
        <v>9.0749999999999997E-2</v>
      </c>
      <c r="AD82" s="372"/>
      <c r="AE82" s="577"/>
      <c r="AF82" s="373">
        <f>'Rates in summary'!J70</f>
        <v>0.10155</v>
      </c>
      <c r="AG82" s="372"/>
      <c r="AH82" s="374"/>
      <c r="AI82" s="1258"/>
      <c r="AJ82" s="373">
        <f>L82+'Rates in summary'!K70</f>
        <v>0.10737000000000001</v>
      </c>
      <c r="AK82" s="372"/>
      <c r="AL82" s="374"/>
      <c r="AM82" s="373">
        <f>'Rates in summary'!O70</f>
        <v>0</v>
      </c>
      <c r="AN82" s="372"/>
      <c r="AO82" s="577"/>
      <c r="AP82" s="122">
        <f>'Rates in Detail'!W69+'Rates in Detail'!Z69</f>
        <v>0.10147</v>
      </c>
      <c r="AQ82" s="372"/>
      <c r="AR82" s="577"/>
      <c r="AS82" s="373">
        <f>'Rates in summary'!P70</f>
        <v>0.10892000000000002</v>
      </c>
      <c r="AT82" s="372"/>
      <c r="AU82" s="374"/>
      <c r="AV82" s="1263"/>
    </row>
    <row r="83" spans="1:52" x14ac:dyDescent="0.2">
      <c r="A83" s="86">
        <f t="shared" si="14"/>
        <v>76</v>
      </c>
      <c r="B83" s="725"/>
      <c r="C83" s="875" t="s">
        <v>7</v>
      </c>
      <c r="D83" s="384">
        <f>'WA Volumes &amp; Revenues'!E72</f>
        <v>0</v>
      </c>
      <c r="E83" s="384">
        <f>'WA Volumes &amp; Revenues'!F72</f>
        <v>0</v>
      </c>
      <c r="F83" s="299">
        <v>100000</v>
      </c>
      <c r="G83" s="385"/>
      <c r="H83" s="385"/>
      <c r="I83" s="882"/>
      <c r="J83" s="663"/>
      <c r="K83" s="386">
        <f>+'Rates in summary'!D71</f>
        <v>7.392E-2</v>
      </c>
      <c r="L83" s="386">
        <f>+'Rates in summary'!J71</f>
        <v>8.1249999999999989E-2</v>
      </c>
      <c r="M83" s="372"/>
      <c r="N83" s="372"/>
      <c r="O83" s="966"/>
      <c r="P83" s="966"/>
      <c r="Q83" s="387">
        <f>'Rates in summary'!H71-'Rates in summary'!F71</f>
        <v>8.2559999999999995E-2</v>
      </c>
      <c r="R83" s="372"/>
      <c r="S83" s="374"/>
      <c r="T83" s="373">
        <f>'Rates in summary'!I71</f>
        <v>0</v>
      </c>
      <c r="U83" s="372"/>
      <c r="V83" s="577"/>
      <c r="W83" s="373">
        <f>'Rates in Detail'!J70+'Rates in Detail'!P70</f>
        <v>7.3230000000000003E-2</v>
      </c>
      <c r="X83" s="372"/>
      <c r="Y83" s="577"/>
      <c r="Z83" s="373">
        <f>'Rates in Detail'!J70+'Rates in Detail'!S70</f>
        <v>7.392E-2</v>
      </c>
      <c r="AA83" s="372"/>
      <c r="AB83" s="577"/>
      <c r="AC83" s="122">
        <f>'Rates in Detail'!J70+'Rates in Detail'!T70</f>
        <v>7.2609999999999994E-2</v>
      </c>
      <c r="AD83" s="372"/>
      <c r="AE83" s="577"/>
      <c r="AF83" s="373">
        <f>'Rates in summary'!J71</f>
        <v>8.1249999999999989E-2</v>
      </c>
      <c r="AG83" s="372"/>
      <c r="AH83" s="374"/>
      <c r="AI83" s="1258"/>
      <c r="AJ83" s="373">
        <f>L83+'Rates in summary'!K71</f>
        <v>8.5909999999999986E-2</v>
      </c>
      <c r="AK83" s="372"/>
      <c r="AL83" s="374"/>
      <c r="AM83" s="373">
        <f>'Rates in summary'!O71</f>
        <v>0</v>
      </c>
      <c r="AN83" s="372"/>
      <c r="AO83" s="577"/>
      <c r="AP83" s="122">
        <f>'Rates in Detail'!W70+'Rates in Detail'!Z70</f>
        <v>8.1180000000000002E-2</v>
      </c>
      <c r="AQ83" s="372"/>
      <c r="AR83" s="577"/>
      <c r="AS83" s="373">
        <f>'Rates in summary'!P71</f>
        <v>8.7149999999999991E-2</v>
      </c>
      <c r="AT83" s="372"/>
      <c r="AU83" s="374"/>
      <c r="AV83" s="1263"/>
    </row>
    <row r="84" spans="1:52" x14ac:dyDescent="0.2">
      <c r="A84" s="86">
        <f t="shared" si="14"/>
        <v>77</v>
      </c>
      <c r="B84" s="725"/>
      <c r="C84" s="875" t="s">
        <v>8</v>
      </c>
      <c r="D84" s="384">
        <f>'WA Volumes &amp; Revenues'!E73</f>
        <v>0</v>
      </c>
      <c r="E84" s="384">
        <f>'WA Volumes &amp; Revenues'!F73</f>
        <v>0</v>
      </c>
      <c r="F84" s="299">
        <v>600000</v>
      </c>
      <c r="G84" s="385"/>
      <c r="H84" s="385"/>
      <c r="I84" s="882"/>
      <c r="J84" s="663"/>
      <c r="K84" s="386">
        <f>+'Rates in summary'!D72</f>
        <v>4.929E-2</v>
      </c>
      <c r="L84" s="386">
        <f>+'Rates in summary'!J72</f>
        <v>5.4179999999999999E-2</v>
      </c>
      <c r="M84" s="372"/>
      <c r="N84" s="372"/>
      <c r="O84" s="966"/>
      <c r="P84" s="966"/>
      <c r="Q84" s="387">
        <f>'Rates in summary'!H72-'Rates in summary'!F72</f>
        <v>5.5050000000000002E-2</v>
      </c>
      <c r="R84" s="372"/>
      <c r="S84" s="374"/>
      <c r="T84" s="373">
        <f>'Rates in summary'!I72</f>
        <v>0</v>
      </c>
      <c r="U84" s="372"/>
      <c r="V84" s="577"/>
      <c r="W84" s="373">
        <f>'Rates in Detail'!J71+'Rates in Detail'!P71</f>
        <v>4.8829999999999998E-2</v>
      </c>
      <c r="X84" s="372"/>
      <c r="Y84" s="577"/>
      <c r="Z84" s="373">
        <f>'Rates in Detail'!J71+'Rates in Detail'!S71</f>
        <v>4.929E-2</v>
      </c>
      <c r="AA84" s="372"/>
      <c r="AB84" s="577"/>
      <c r="AC84" s="122">
        <f>'Rates in Detail'!J71+'Rates in Detail'!T71</f>
        <v>4.8419999999999998E-2</v>
      </c>
      <c r="AD84" s="372"/>
      <c r="AE84" s="577"/>
      <c r="AF84" s="373">
        <f>'Rates in summary'!J72</f>
        <v>5.4179999999999999E-2</v>
      </c>
      <c r="AG84" s="372"/>
      <c r="AH84" s="374"/>
      <c r="AI84" s="1258"/>
      <c r="AJ84" s="373">
        <f>L84+'Rates in summary'!K72</f>
        <v>5.7290000000000001E-2</v>
      </c>
      <c r="AK84" s="372"/>
      <c r="AL84" s="374"/>
      <c r="AM84" s="373">
        <f>'Rates in summary'!O72</f>
        <v>0</v>
      </c>
      <c r="AN84" s="372"/>
      <c r="AO84" s="577"/>
      <c r="AP84" s="122">
        <f>'Rates in Detail'!W71+'Rates in Detail'!Z71</f>
        <v>5.4140000000000001E-2</v>
      </c>
      <c r="AQ84" s="372"/>
      <c r="AR84" s="577"/>
      <c r="AS84" s="373">
        <f>'Rates in summary'!P72</f>
        <v>5.8120000000000005E-2</v>
      </c>
      <c r="AT84" s="372"/>
      <c r="AU84" s="374"/>
      <c r="AV84" s="1263"/>
    </row>
    <row r="85" spans="1:52" x14ac:dyDescent="0.2">
      <c r="A85" s="86">
        <f t="shared" si="14"/>
        <v>78</v>
      </c>
      <c r="B85" s="725"/>
      <c r="C85" s="875" t="s">
        <v>9</v>
      </c>
      <c r="D85" s="384">
        <f>'WA Volumes &amp; Revenues'!E74</f>
        <v>0</v>
      </c>
      <c r="E85" s="384">
        <f>'WA Volumes &amp; Revenues'!F74</f>
        <v>0</v>
      </c>
      <c r="F85" s="371" t="s">
        <v>74</v>
      </c>
      <c r="G85" s="385"/>
      <c r="H85" s="385"/>
      <c r="I85" s="882"/>
      <c r="J85" s="663"/>
      <c r="K85" s="386">
        <f>+'Rates in summary'!D73</f>
        <v>1.8460000000000001E-2</v>
      </c>
      <c r="L85" s="386">
        <f>+'Rates in summary'!J73</f>
        <v>2.0289999999999999E-2</v>
      </c>
      <c r="M85" s="372"/>
      <c r="N85" s="372"/>
      <c r="O85" s="966"/>
      <c r="P85" s="966"/>
      <c r="Q85" s="387">
        <f>'Rates in summary'!H73-'Rates in summary'!F73</f>
        <v>2.0619999999999999E-2</v>
      </c>
      <c r="R85" s="372"/>
      <c r="S85" s="374"/>
      <c r="T85" s="373">
        <f>'Rates in summary'!I73</f>
        <v>0</v>
      </c>
      <c r="U85" s="372"/>
      <c r="V85" s="577"/>
      <c r="W85" s="373">
        <f>'Rates in Detail'!J72+'Rates in Detail'!P72</f>
        <v>1.8290000000000001E-2</v>
      </c>
      <c r="X85" s="372"/>
      <c r="Y85" s="577"/>
      <c r="Z85" s="373">
        <f>'Rates in Detail'!J72+'Rates in Detail'!S72</f>
        <v>1.8460000000000001E-2</v>
      </c>
      <c r="AA85" s="372"/>
      <c r="AB85" s="577"/>
      <c r="AC85" s="122">
        <f>'Rates in Detail'!J72+'Rates in Detail'!T72</f>
        <v>1.813E-2</v>
      </c>
      <c r="AD85" s="372"/>
      <c r="AE85" s="577"/>
      <c r="AF85" s="373">
        <f>'Rates in summary'!J73</f>
        <v>2.0289999999999999E-2</v>
      </c>
      <c r="AG85" s="372"/>
      <c r="AH85" s="374"/>
      <c r="AI85" s="1258"/>
      <c r="AJ85" s="373">
        <f>L85+'Rates in summary'!K73</f>
        <v>2.145E-2</v>
      </c>
      <c r="AK85" s="372"/>
      <c r="AL85" s="374"/>
      <c r="AM85" s="373">
        <f>'Rates in summary'!O73</f>
        <v>0</v>
      </c>
      <c r="AN85" s="372"/>
      <c r="AO85" s="577"/>
      <c r="AP85" s="122">
        <f>'Rates in Detail'!W72+'Rates in Detail'!Z72</f>
        <v>2.027E-2</v>
      </c>
      <c r="AQ85" s="372"/>
      <c r="AR85" s="577"/>
      <c r="AS85" s="373">
        <f>'Rates in summary'!P73</f>
        <v>2.1760000000000002E-2</v>
      </c>
      <c r="AT85" s="372"/>
      <c r="AU85" s="374"/>
      <c r="AV85" s="1263"/>
    </row>
    <row r="86" spans="1:52" x14ac:dyDescent="0.2">
      <c r="A86" s="86">
        <f t="shared" si="14"/>
        <v>79</v>
      </c>
      <c r="B86" s="723"/>
      <c r="C86" s="876" t="s">
        <v>78</v>
      </c>
      <c r="D86" s="375"/>
      <c r="E86" s="375"/>
      <c r="F86" s="376"/>
      <c r="G86" s="377"/>
      <c r="H86" s="377"/>
      <c r="I86" s="880"/>
      <c r="J86" s="379"/>
      <c r="K86" s="378"/>
      <c r="L86" s="378"/>
      <c r="M86" s="379">
        <f>$I80+ROUND(IF($G80&lt;$F80,($G80*K80),IF($G80&lt;SUM($F80:$F81),(($F80*K80)+(($G80-$F80)*K81)),IF($G80&lt;SUM($F80:$F82),(($F80*K80)+($F81*K81)+(($G80-$F80-$F81)*K82)),IF($G80&lt;SUM($F80:$F83),(($F80*K80)+($F81*K81)+($F82*K82)+(($G80-SUM($F80:$F82))*K83)),IF($G80&lt;SUM($F80:$F84),(($F80*K80)+($F81*K81)+($F82*K82)+($F83*K83)+(($G80-SUM($F80:$F83))*K84)),(($F80*K80)+($F81*K81)+($F82*K82)+($F83*K82)+($F84*K84)+(($G80-SUM($F80:$F84))*K85))))))),2)</f>
        <v>1550</v>
      </c>
      <c r="N86" s="379">
        <f>$I80+ROUND(IF($H80&lt;$F80,($H80*K80),IF($H80&lt;SUM($F80:$F81),(($F80*K80)+(($H80-$F80)*K81)),IF($H80&lt;SUM($F80:$F82),(($F80*K80)+($F81*K81)+(($H80-$F80-$F81)*K82)),IF($H80&lt;SUM($F80:$F83),(($F80*K80)+($F81*K81)+($F82*K82)+(($H80-SUM($F80:$F82))*K83)),IF($H80&lt;SUM($F80:$F84),(($F80*K80)+($F81*K81)+($F82*K82)+($F83*K83)+(($H80-SUM($F80:$F83))*K84)),(($F80*K80)+($F81*K81)+($F82*K82)+($F83*K82)+($F84*K84)+(($H80-SUM($F80:$F84))*K85))))))),2)</f>
        <v>1550</v>
      </c>
      <c r="O86" s="379">
        <f>$I80+ROUND(IF($G80&lt;$F80,($G80*L80),IF($G80&lt;SUM($F80:$F81),(($F80*L80)+(($G80-$F80)*L81)),IF($G80&lt;SUM($F80:$F82),(($F80*L80)+($F81*L81)+(($G80-$F80-$F81)*L82)),IF($G80&lt;SUM($F80:$F83),(($F80*L80)+($F81*L81)+($F82*L82)+(($G80-SUM($F80:$F82))*L83)),IF($G80&lt;SUM($F80:$F84),(($F80*L80)+($F81*L81)+($F82*L82)+($F83*L83)+(($G80-SUM($F80:$F83))*L84)),(($F80*L80)+($F81*L81)+($F82*L82)+($F83*L82)+($F84*L84)+(($G80-SUM($F80:$F84))*L85))))))),2)</f>
        <v>1550</v>
      </c>
      <c r="P86" s="379">
        <f>$I80+ROUND(IF($H80&lt;$F80,($H80*L80),IF($H80&lt;SUM($F80:$F81),(($F80*L80)+(($H80-$F80)*L81)),IF($H80&lt;SUM($F80:$F82),(($F80*L80)+($F81*L81)+(($H80-$F80-$F81)*L82)),IF($H80&lt;SUM($F80:$F83),(($F80*L80)+($F81*L81)+($F82*L82)+(($H80-SUM($F80:$F82))*L83)),IF($H80&lt;SUM($F80:$F84),(($F80*L80)+($F81*L81)+($F82*L82)+($F83*L83)+(($H80-SUM($F80:$F83))*L84)),(($F80*L80)+($F81*L81)+($F82*L82)+($F83*L82)+($F84*L84)+(($H80-SUM($F80:$F84))*L85))))))),2)</f>
        <v>1550</v>
      </c>
      <c r="Q86" s="381"/>
      <c r="R86" s="379">
        <f>$J80+ROUND(IF($G80&lt;$F80,($G80*Q80),IF($G80&lt;SUM($F80:$F81),(($F80*Q80)+(($G80-$F80)*Q81)),IF($G80&lt;SUM($F80:$F82),(($F80*Q80)+($F81*Q81)+(($G80-$F80-$F81)*Q82)),IF($G80&lt;SUM($F80:$F83),(($F80*Q80)+($F81*Q81)+($F82*Q82)+(($G80-SUM($F80:$F82))*Q83)),IF($G80&lt;SUM($F80:$F84),(($F80*Q80)+($F81*Q81)+($F82*Q82)+($F83*Q83)+(($G80-SUM($F80:$F83))*Q84)),(($F80*Q80)+($F81*Q81)+($F82*Q82)+($F83*Q82)+($F84*Q84)+(($G80-SUM($F80:$F84))*Q85))))))),2)</f>
        <v>1550</v>
      </c>
      <c r="S86" s="382">
        <f>ROUND((R86-M86)/M86,3)</f>
        <v>0</v>
      </c>
      <c r="T86" s="380"/>
      <c r="U86" s="379">
        <f>$I80+ROUND(IF($H80&lt;$F80,($H80*T80),IF($H80&lt;SUM($F80:$F81),(($F80*T80)+(($H80-$F80)*T81)),IF($H80&lt;SUM($F80:$F82),(($F80*T80)+($F81*T81)+(($H80-$F80-$F81)*T82)),IF($H80&lt;SUM($F80:$F83),(($F80*T80)+($F81*T81)+($F82*T82)+(($H80-SUM($F80:$F82))*T83)),IF($H80&lt;SUM($F80:$F84),(($F80*T80)+($F81*T81)+($F82*T82)+($F83*T83)+(($H80-SUM($F80:$F83))*T84)),(($F80*T80)+($F81*T81)+($F82*T82)+($F83*T82)+($F84*T84)+(($H80-SUM($F80:$F84))*T85))))))),2)</f>
        <v>1550</v>
      </c>
      <c r="V86" s="578">
        <f>ROUND((U86-N86)/N86,3)</f>
        <v>0</v>
      </c>
      <c r="W86" s="380"/>
      <c r="X86" s="379">
        <f>$J80+ROUND(IF($G80&lt;$F80,($G80*W80),IF($G80&lt;SUM($F80:$F81),(($F80*W80)+(($G80-$F80)*W81)),IF($G80&lt;SUM($F80:$F82),(($F80*W80)+($F81*W81)+(($G80-$F80-$F81)*W82)),IF($G80&lt;SUM($F80:$F83),(($F80*W80)+($F81*W81)+($F82*W82)+(($G80-SUM($F80:$F82))*W83)),IF($G80&lt;SUM($F80:$F84),(($F80*W80)+($F81*W81)+($F82*W82)+($F83*W83)+(($G80-SUM($F80:$F83))*W84)),(($F80*W80)+($F81*W81)+($F82*W82)+($F83*W82)+($F84*W84)+(($G80-SUM($F80:$F84))*W85))))))),2)</f>
        <v>1550</v>
      </c>
      <c r="Y86" s="578">
        <f t="shared" ref="Y86" si="80">ROUND(($X86-$M86)/$M86,3)</f>
        <v>0</v>
      </c>
      <c r="Z86" s="380"/>
      <c r="AA86" s="379">
        <f>$J80+ROUND(IF($G80&lt;$F80,($G80*Z80),IF($G80&lt;SUM($F80:$F81),(($F80*Z80)+(($G80-$F80)*Z81)),IF($G80&lt;SUM($F80:$F82),(($F80*Z80)+($F81*Z81)+(($G80-$F80-$F81)*Z82)),IF($G80&lt;SUM($F80:$F83),(($F80*Z80)+($F81*Z81)+($F82*Z82)+(($G80-SUM($F80:$F82))*Z83)),IF($G80&lt;SUM($F80:$F84),(($F80*Z80)+($F81*Z81)+($F82*Z82)+($F83*Z83)+(($G80-SUM($F80:$F83))*Z84)),(($F80*Z80)+($F81*Z81)+($F82*Z82)+($F83*Z82)+($F84*Z84)+(($G80-SUM($F80:$F84))*Z85))))))),2)</f>
        <v>1550</v>
      </c>
      <c r="AB86" s="578">
        <f>ROUND(($AA86-$M86)/$M86,3)</f>
        <v>0</v>
      </c>
      <c r="AC86" s="379"/>
      <c r="AD86" s="379">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8">
        <f>ROUND(($AD86-$M86)/$M86,3)</f>
        <v>0</v>
      </c>
      <c r="AF86" s="381"/>
      <c r="AG86" s="379">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382">
        <f>ROUND((AG86-M86)/M86,3)</f>
        <v>0</v>
      </c>
      <c r="AI86" s="1259">
        <f t="shared" si="78"/>
        <v>0</v>
      </c>
      <c r="AJ86" s="381"/>
      <c r="AK86" s="379">
        <f>$J80+ROUND(IF($G80&lt;$F80,($G80*AJ80),IF($G80&lt;SUM($F80:$F81),(($F80*AJ80)+(($G80-$F80)*AJ81)),IF($G80&lt;SUM($F80:$F82),(($F80*AJ80)+($F81*AJ81)+(($G80-$F80-$F81)*AJ82)),IF($G80&lt;SUM($F80:$F83),(($F80*AJ80)+($F81*AJ81)+($F82*AJ82)+(($G80-SUM($F80:$F82))*AJ83)),IF($G80&lt;SUM($F80:$F84),(($F80*AJ80)+($F81*AJ81)+($F82*AJ82)+($F83*AJ83)+(($G80-SUM($F80:$F83))*AJ84)),(($F80*AJ80)+($F81*AJ81)+($F82*AJ82)+($F83*AJ82)+($F84*AJ84)+(($G80-SUM($F80:$F84))*AJ85))))))),2)</f>
        <v>1550</v>
      </c>
      <c r="AL86" s="382">
        <f>ROUND((AK86-O86)/O86,3)</f>
        <v>0</v>
      </c>
      <c r="AM86" s="380"/>
      <c r="AN86" s="379">
        <f>$I80+ROUND(IF($H80&lt;$F80,($H80*AM80),IF($H80&lt;SUM($F80:$F81),(($F80*AM80)+(($H80-$F80)*AM81)),IF($H80&lt;SUM($F80:$F82),(($F80*AM80)+($F81*AM81)+(($H80-$F80-$F81)*AM82)),IF($H80&lt;SUM($F80:$F83),(($F80*AM80)+($F81*AM81)+($F82*AM82)+(($H80-SUM($F80:$F82))*AM83)),IF($H80&lt;SUM($F80:$F84),(($F80*AM80)+($F81*AM81)+($F82*AM82)+($F83*AM83)+(($H80-SUM($F80:$F83))*AM84)),(($F80*AM80)+($F81*AM81)+($F82*AM82)+($F83*AM82)+($F84*AM84)+(($H80-SUM($F80:$F84))*AM85))))))),2)</f>
        <v>1550</v>
      </c>
      <c r="AO86" s="578">
        <f>ROUND((AN86-P86)/P86,3)</f>
        <v>0</v>
      </c>
      <c r="AP86" s="379"/>
      <c r="AQ86" s="379">
        <f>$J80+ROUND(IF($G80&lt;$F80,($G80*AP80),IF($G80&lt;SUM($F80:$F81),(($F80*AP80)+(($G80-$F80)*AP81)),IF($G80&lt;SUM($F80:$F82),(($F80*AP80)+($F81*AP81)+(($G80-$F80-$F81)*AP82)),IF($G80&lt;SUM($F80:$F83),(($F80*AP80)+($F81*AP81)+($F82*AP82)+(($G80-SUM($F80:$F82))*AP83)),IF($G80&lt;SUM($F80:$F84),(($F80*AP80)+($F81*AP81)+($F82*AP82)+($F83*AP83)+(($G80-SUM($F80:$F83))*AP84)),(($F80*AP80)+($F81*AP81)+($F82*AP82)+($F83*AP82)+($F84*AP84)+(($G80-SUM($F80:$F84))*AP85))))))),2)</f>
        <v>1550</v>
      </c>
      <c r="AR86" s="578">
        <f>ROUND(($AQ86-$O86)/$O86,3)</f>
        <v>0</v>
      </c>
      <c r="AS86" s="381"/>
      <c r="AT86" s="379">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82">
        <f>ROUND((AT86-O86)/O86,3)</f>
        <v>0</v>
      </c>
      <c r="AV86" s="1264">
        <f t="shared" si="79"/>
        <v>0</v>
      </c>
      <c r="AW86" s="370"/>
      <c r="AX86" s="370"/>
      <c r="AY86" s="370"/>
      <c r="AZ86" s="370"/>
    </row>
    <row r="87" spans="1:52" x14ac:dyDescent="0.2">
      <c r="A87" s="86">
        <f t="shared" si="14"/>
        <v>80</v>
      </c>
      <c r="B87" s="725" t="str">
        <f>'WA Volumes &amp; Revenues'!B75</f>
        <v>42I Inter Transpt</v>
      </c>
      <c r="C87" s="875" t="s">
        <v>4</v>
      </c>
      <c r="D87" s="384">
        <f>'WA Volumes &amp; Revenues'!E75</f>
        <v>844078</v>
      </c>
      <c r="E87" s="384">
        <f>'WA Volumes &amp; Revenues'!F75</f>
        <v>861932</v>
      </c>
      <c r="F87" s="299">
        <v>10000</v>
      </c>
      <c r="G87" s="385">
        <f>'WA Volumes &amp; Revenues'!I75</f>
        <v>95634</v>
      </c>
      <c r="H87" s="543">
        <f>'WA Volumes &amp; Revenues'!L75</f>
        <v>63670</v>
      </c>
      <c r="I87" s="879">
        <f>'WA Volumes &amp; Revenues'!O75</f>
        <v>1550</v>
      </c>
      <c r="J87" s="372">
        <f>'WA Volumes &amp; Revenues'!N75</f>
        <v>1550</v>
      </c>
      <c r="K87" s="386">
        <f>+'Rates in summary'!D74</f>
        <v>0.13459999999999997</v>
      </c>
      <c r="L87" s="386">
        <f>+'Rates in summary'!J74</f>
        <v>0.15194999999999997</v>
      </c>
      <c r="M87" s="372"/>
      <c r="N87" s="372"/>
      <c r="O87" s="966"/>
      <c r="P87" s="966"/>
      <c r="Q87" s="387">
        <f>'Rates in summary'!H74-'Rates in summary'!F74</f>
        <v>0.15476999999999996</v>
      </c>
      <c r="R87" s="372"/>
      <c r="S87" s="374"/>
      <c r="T87" s="373">
        <f>'Rates in summary'!I74</f>
        <v>0</v>
      </c>
      <c r="U87" s="372"/>
      <c r="V87" s="577"/>
      <c r="W87" s="373">
        <f>'Rates in Detail'!J73+'Rates in Detail'!P73</f>
        <v>0.13310999999999998</v>
      </c>
      <c r="X87" s="372"/>
      <c r="Y87" s="577"/>
      <c r="Z87" s="373">
        <f>'Rates in Detail'!J73+'Rates in Detail'!S73</f>
        <v>0.13459999999999997</v>
      </c>
      <c r="AA87" s="372"/>
      <c r="AB87" s="577"/>
      <c r="AC87" s="122">
        <f>'Rates in Detail'!J73+'Rates in Detail'!T73</f>
        <v>0.13177999999999998</v>
      </c>
      <c r="AD87" s="372"/>
      <c r="AE87" s="577"/>
      <c r="AF87" s="373">
        <f>'Rates in summary'!J74</f>
        <v>0.15194999999999997</v>
      </c>
      <c r="AG87" s="372"/>
      <c r="AH87" s="374"/>
      <c r="AI87" s="1258"/>
      <c r="AJ87" s="373">
        <f>L87+'Rates in summary'!K74</f>
        <v>0.16210999999999998</v>
      </c>
      <c r="AK87" s="372"/>
      <c r="AL87" s="374"/>
      <c r="AM87" s="373">
        <f>'Rates in summary'!O74</f>
        <v>0</v>
      </c>
      <c r="AN87" s="372"/>
      <c r="AO87" s="577"/>
      <c r="AP87" s="122">
        <f>'Rates in Detail'!W73+'Rates in Detail'!Z73</f>
        <v>0.15181</v>
      </c>
      <c r="AQ87" s="372"/>
      <c r="AR87" s="577"/>
      <c r="AS87" s="373">
        <f>'Rates in summary'!P74</f>
        <v>0.16478999999999996</v>
      </c>
      <c r="AT87" s="372"/>
      <c r="AU87" s="374"/>
      <c r="AV87" s="1263">
        <f t="shared" si="79"/>
        <v>0</v>
      </c>
    </row>
    <row r="88" spans="1:52" x14ac:dyDescent="0.2">
      <c r="A88" s="86">
        <f t="shared" si="14"/>
        <v>81</v>
      </c>
      <c r="B88" s="725"/>
      <c r="C88" s="875" t="s">
        <v>5</v>
      </c>
      <c r="D88" s="384">
        <f>'WA Volumes &amp; Revenues'!E76</f>
        <v>1445175</v>
      </c>
      <c r="E88" s="384">
        <f>'WA Volumes &amp; Revenues'!F76</f>
        <v>1453508</v>
      </c>
      <c r="F88" s="299">
        <v>20000</v>
      </c>
      <c r="G88" s="385"/>
      <c r="H88" s="385"/>
      <c r="I88" s="882"/>
      <c r="J88" s="663"/>
      <c r="K88" s="386">
        <f>+'Rates in summary'!D75</f>
        <v>0.12048999999999999</v>
      </c>
      <c r="L88" s="386">
        <f>+'Rates in summary'!J75</f>
        <v>0.13601999999999997</v>
      </c>
      <c r="M88" s="372"/>
      <c r="N88" s="372"/>
      <c r="O88" s="966"/>
      <c r="P88" s="966"/>
      <c r="Q88" s="387">
        <f>'Rates in summary'!H75-'Rates in summary'!F75</f>
        <v>0.13854999999999998</v>
      </c>
      <c r="R88" s="372"/>
      <c r="S88" s="374"/>
      <c r="T88" s="373">
        <f>'Rates in summary'!I75</f>
        <v>0</v>
      </c>
      <c r="U88" s="372"/>
      <c r="V88" s="577"/>
      <c r="W88" s="373">
        <f>'Rates in Detail'!J74+'Rates in Detail'!P74</f>
        <v>0.11915999999999999</v>
      </c>
      <c r="X88" s="372"/>
      <c r="Y88" s="577"/>
      <c r="Z88" s="373">
        <f>'Rates in Detail'!J74+'Rates in Detail'!S74</f>
        <v>0.12048999999999999</v>
      </c>
      <c r="AA88" s="372"/>
      <c r="AB88" s="577"/>
      <c r="AC88" s="122">
        <f>'Rates in Detail'!J74+'Rates in Detail'!T74</f>
        <v>0.11795999999999998</v>
      </c>
      <c r="AD88" s="372"/>
      <c r="AE88" s="577"/>
      <c r="AF88" s="373">
        <f>'Rates in summary'!J75</f>
        <v>0.13601999999999997</v>
      </c>
      <c r="AG88" s="372"/>
      <c r="AH88" s="374"/>
      <c r="AI88" s="1258"/>
      <c r="AJ88" s="373">
        <f>L88+'Rates in summary'!K75</f>
        <v>0.14510999999999996</v>
      </c>
      <c r="AK88" s="372"/>
      <c r="AL88" s="374"/>
      <c r="AM88" s="373">
        <f>'Rates in summary'!O75</f>
        <v>0</v>
      </c>
      <c r="AN88" s="372"/>
      <c r="AO88" s="577"/>
      <c r="AP88" s="122">
        <f>'Rates in Detail'!W74+'Rates in Detail'!Z74</f>
        <v>0.13589000000000001</v>
      </c>
      <c r="AQ88" s="372"/>
      <c r="AR88" s="577"/>
      <c r="AS88" s="373">
        <f>'Rates in summary'!P75</f>
        <v>0.14750999999999997</v>
      </c>
      <c r="AT88" s="372"/>
      <c r="AU88" s="374"/>
      <c r="AV88" s="1263"/>
    </row>
    <row r="89" spans="1:52" x14ac:dyDescent="0.2">
      <c r="A89" s="86">
        <f t="shared" si="14"/>
        <v>82</v>
      </c>
      <c r="B89" s="725"/>
      <c r="C89" s="875" t="s">
        <v>6</v>
      </c>
      <c r="D89" s="384">
        <f>'WA Volumes &amp; Revenues'!E77</f>
        <v>1034978</v>
      </c>
      <c r="E89" s="384">
        <f>'WA Volumes &amp; Revenues'!F77</f>
        <v>976710</v>
      </c>
      <c r="F89" s="299">
        <v>20000</v>
      </c>
      <c r="G89" s="385"/>
      <c r="H89" s="385"/>
      <c r="I89" s="882"/>
      <c r="J89" s="663"/>
      <c r="K89" s="386">
        <f>+'Rates in summary'!D76</f>
        <v>9.2380000000000004E-2</v>
      </c>
      <c r="L89" s="386">
        <f>+'Rates in summary'!J76</f>
        <v>0.10429000000000001</v>
      </c>
      <c r="M89" s="372"/>
      <c r="N89" s="372"/>
      <c r="O89" s="966"/>
      <c r="P89" s="966"/>
      <c r="Q89" s="387">
        <f>'Rates in summary'!H76-'Rates in summary'!F76</f>
        <v>0.10623</v>
      </c>
      <c r="R89" s="372"/>
      <c r="S89" s="374"/>
      <c r="T89" s="373">
        <f>'Rates in summary'!I76</f>
        <v>0</v>
      </c>
      <c r="U89" s="372"/>
      <c r="V89" s="577"/>
      <c r="W89" s="373">
        <f>'Rates in Detail'!J75+'Rates in Detail'!P75</f>
        <v>9.1359999999999997E-2</v>
      </c>
      <c r="X89" s="372"/>
      <c r="Y89" s="577"/>
      <c r="Z89" s="373">
        <f>'Rates in Detail'!J75+'Rates in Detail'!S75</f>
        <v>9.2380000000000004E-2</v>
      </c>
      <c r="AA89" s="372"/>
      <c r="AB89" s="577"/>
      <c r="AC89" s="122">
        <f>'Rates in Detail'!J75+'Rates in Detail'!T75</f>
        <v>9.0440000000000006E-2</v>
      </c>
      <c r="AD89" s="372"/>
      <c r="AE89" s="577"/>
      <c r="AF89" s="373">
        <f>'Rates in summary'!J76</f>
        <v>0.10429000000000001</v>
      </c>
      <c r="AG89" s="372"/>
      <c r="AH89" s="374"/>
      <c r="AI89" s="1258"/>
      <c r="AJ89" s="373">
        <f>L89+'Rates in summary'!K76</f>
        <v>0.11126000000000001</v>
      </c>
      <c r="AK89" s="372"/>
      <c r="AL89" s="374"/>
      <c r="AM89" s="373">
        <f>'Rates in summary'!O76</f>
        <v>0</v>
      </c>
      <c r="AN89" s="372"/>
      <c r="AO89" s="577"/>
      <c r="AP89" s="122">
        <f>'Rates in Detail'!W75+'Rates in Detail'!Z75</f>
        <v>0.10419</v>
      </c>
      <c r="AQ89" s="372"/>
      <c r="AR89" s="577"/>
      <c r="AS89" s="373">
        <f>'Rates in summary'!P76</f>
        <v>0.11310000000000001</v>
      </c>
      <c r="AT89" s="372"/>
      <c r="AU89" s="374"/>
      <c r="AV89" s="1263"/>
    </row>
    <row r="90" spans="1:52" x14ac:dyDescent="0.2">
      <c r="A90" s="86">
        <f t="shared" si="14"/>
        <v>83</v>
      </c>
      <c r="B90" s="725"/>
      <c r="C90" s="875" t="s">
        <v>7</v>
      </c>
      <c r="D90" s="384">
        <f>'WA Volumes &amp; Revenues'!E78</f>
        <v>3359916</v>
      </c>
      <c r="E90" s="384">
        <f>'WA Volumes &amp; Revenues'!F78</f>
        <v>3078834</v>
      </c>
      <c r="F90" s="299">
        <v>100000</v>
      </c>
      <c r="G90" s="385"/>
      <c r="H90" s="385"/>
      <c r="I90" s="882"/>
      <c r="J90" s="663"/>
      <c r="K90" s="386">
        <f>+'Rates in summary'!D77</f>
        <v>7.392E-2</v>
      </c>
      <c r="L90" s="386">
        <f>+'Rates in summary'!J77</f>
        <v>8.344E-2</v>
      </c>
      <c r="M90" s="372"/>
      <c r="N90" s="372"/>
      <c r="O90" s="966"/>
      <c r="P90" s="966"/>
      <c r="Q90" s="387">
        <f>'Rates in summary'!H77-'Rates in summary'!F77</f>
        <v>8.4989999999999996E-2</v>
      </c>
      <c r="R90" s="372"/>
      <c r="S90" s="374"/>
      <c r="T90" s="373">
        <f>'Rates in summary'!I77</f>
        <v>0</v>
      </c>
      <c r="U90" s="372"/>
      <c r="V90" s="577"/>
      <c r="W90" s="373">
        <f>'Rates in Detail'!J76+'Rates in Detail'!P76</f>
        <v>7.3099999999999998E-2</v>
      </c>
      <c r="X90" s="372"/>
      <c r="Y90" s="577"/>
      <c r="Z90" s="373">
        <f>'Rates in Detail'!J76+'Rates in Detail'!S76</f>
        <v>7.392E-2</v>
      </c>
      <c r="AA90" s="372"/>
      <c r="AB90" s="577"/>
      <c r="AC90" s="122">
        <f>'Rates in Detail'!J76+'Rates in Detail'!T76</f>
        <v>7.2370000000000004E-2</v>
      </c>
      <c r="AD90" s="372"/>
      <c r="AE90" s="577"/>
      <c r="AF90" s="373">
        <f>'Rates in summary'!J77</f>
        <v>8.344E-2</v>
      </c>
      <c r="AG90" s="372"/>
      <c r="AH90" s="374"/>
      <c r="AI90" s="1258"/>
      <c r="AJ90" s="373">
        <f>L90+'Rates in summary'!K77</f>
        <v>8.9020000000000002E-2</v>
      </c>
      <c r="AK90" s="372"/>
      <c r="AL90" s="374"/>
      <c r="AM90" s="373">
        <f>'Rates in summary'!O77</f>
        <v>0</v>
      </c>
      <c r="AN90" s="372"/>
      <c r="AO90" s="577"/>
      <c r="AP90" s="122">
        <f>'Rates in Detail'!W76+'Rates in Detail'!Z76</f>
        <v>8.3360000000000004E-2</v>
      </c>
      <c r="AQ90" s="372"/>
      <c r="AR90" s="577"/>
      <c r="AS90" s="373">
        <f>'Rates in summary'!P77</f>
        <v>9.0490000000000001E-2</v>
      </c>
      <c r="AT90" s="372"/>
      <c r="AU90" s="374"/>
      <c r="AV90" s="1263"/>
    </row>
    <row r="91" spans="1:52" x14ac:dyDescent="0.2">
      <c r="A91" s="86">
        <f t="shared" si="14"/>
        <v>84</v>
      </c>
      <c r="B91" s="725"/>
      <c r="C91" s="875" t="s">
        <v>8</v>
      </c>
      <c r="D91" s="384">
        <f>'WA Volumes &amp; Revenues'!E79</f>
        <v>1349120</v>
      </c>
      <c r="E91" s="384">
        <f>'WA Volumes &amp; Revenues'!F79</f>
        <v>1269411</v>
      </c>
      <c r="F91" s="299">
        <v>600000</v>
      </c>
      <c r="G91" s="385"/>
      <c r="H91" s="385"/>
      <c r="I91" s="882"/>
      <c r="J91" s="663"/>
      <c r="K91" s="386">
        <f>+'Rates in summary'!D78</f>
        <v>4.929E-2</v>
      </c>
      <c r="L91" s="386">
        <f>+'Rates in summary'!J78</f>
        <v>5.5639999999999995E-2</v>
      </c>
      <c r="M91" s="372"/>
      <c r="N91" s="372"/>
      <c r="O91" s="966"/>
      <c r="P91" s="966"/>
      <c r="Q91" s="387">
        <f>'Rates in summary'!H78-'Rates in summary'!F78</f>
        <v>5.6669999999999998E-2</v>
      </c>
      <c r="R91" s="372"/>
      <c r="S91" s="374"/>
      <c r="T91" s="373">
        <f>'Rates in summary'!I78</f>
        <v>0</v>
      </c>
      <c r="U91" s="372"/>
      <c r="V91" s="577"/>
      <c r="W91" s="373">
        <f>'Rates in Detail'!J77+'Rates in Detail'!P77</f>
        <v>4.8739999999999999E-2</v>
      </c>
      <c r="X91" s="372"/>
      <c r="Y91" s="577"/>
      <c r="Z91" s="373">
        <f>'Rates in Detail'!J77+'Rates in Detail'!S77</f>
        <v>4.929E-2</v>
      </c>
      <c r="AA91" s="372"/>
      <c r="AB91" s="577"/>
      <c r="AC91" s="122">
        <f>'Rates in Detail'!J77+'Rates in Detail'!T77</f>
        <v>4.8259999999999997E-2</v>
      </c>
      <c r="AD91" s="372"/>
      <c r="AE91" s="577"/>
      <c r="AF91" s="373">
        <f>'Rates in summary'!J78</f>
        <v>5.5639999999999995E-2</v>
      </c>
      <c r="AG91" s="372"/>
      <c r="AH91" s="374"/>
      <c r="AI91" s="1258"/>
      <c r="AJ91" s="373">
        <f>L91+'Rates in summary'!K78</f>
        <v>5.9359999999999996E-2</v>
      </c>
      <c r="AK91" s="372"/>
      <c r="AL91" s="374"/>
      <c r="AM91" s="373">
        <f>'Rates in summary'!O78</f>
        <v>0</v>
      </c>
      <c r="AN91" s="372"/>
      <c r="AO91" s="577"/>
      <c r="AP91" s="122">
        <f>'Rates in Detail'!W77+'Rates in Detail'!Z77</f>
        <v>5.5589999999999994E-2</v>
      </c>
      <c r="AQ91" s="372"/>
      <c r="AR91" s="577"/>
      <c r="AS91" s="373">
        <f>'Rates in summary'!P78</f>
        <v>6.0339999999999998E-2</v>
      </c>
      <c r="AT91" s="372"/>
      <c r="AU91" s="374"/>
      <c r="AV91" s="1263"/>
    </row>
    <row r="92" spans="1:52" x14ac:dyDescent="0.2">
      <c r="A92" s="86">
        <f t="shared" ref="A92:A106" si="81">+A91+1</f>
        <v>85</v>
      </c>
      <c r="B92" s="725"/>
      <c r="C92" s="875" t="s">
        <v>9</v>
      </c>
      <c r="D92" s="384">
        <f>'WA Volumes &amp; Revenues'!E80</f>
        <v>0</v>
      </c>
      <c r="E92" s="384">
        <f>'WA Volumes &amp; Revenues'!F80</f>
        <v>0</v>
      </c>
      <c r="F92" s="371" t="s">
        <v>74</v>
      </c>
      <c r="G92" s="385"/>
      <c r="H92" s="385"/>
      <c r="I92" s="882"/>
      <c r="J92" s="663"/>
      <c r="K92" s="386">
        <f>+'Rates in summary'!D79</f>
        <v>1.8460000000000001E-2</v>
      </c>
      <c r="L92" s="386">
        <f>+'Rates in summary'!J79</f>
        <v>2.0839999999999997E-2</v>
      </c>
      <c r="M92" s="372"/>
      <c r="N92" s="372"/>
      <c r="O92" s="966"/>
      <c r="P92" s="966"/>
      <c r="Q92" s="387">
        <f>'Rates in summary'!H79-'Rates in summary'!F79</f>
        <v>2.1229999999999999E-2</v>
      </c>
      <c r="R92" s="372"/>
      <c r="S92" s="374"/>
      <c r="T92" s="373">
        <f>'Rates in summary'!I79</f>
        <v>0</v>
      </c>
      <c r="U92" s="372"/>
      <c r="V92" s="577"/>
      <c r="W92" s="373">
        <f>'Rates in Detail'!J78+'Rates in Detail'!P78</f>
        <v>1.8260000000000002E-2</v>
      </c>
      <c r="X92" s="372"/>
      <c r="Y92" s="577"/>
      <c r="Z92" s="373">
        <f>'Rates in Detail'!J78+'Rates in Detail'!S78</f>
        <v>1.8460000000000001E-2</v>
      </c>
      <c r="AA92" s="372"/>
      <c r="AB92" s="577"/>
      <c r="AC92" s="122">
        <f>'Rates in Detail'!J78+'Rates in Detail'!T78</f>
        <v>1.8069999999999999E-2</v>
      </c>
      <c r="AD92" s="372"/>
      <c r="AE92" s="577"/>
      <c r="AF92" s="373">
        <f>'Rates in summary'!J79</f>
        <v>2.0839999999999997E-2</v>
      </c>
      <c r="AG92" s="372"/>
      <c r="AH92" s="374"/>
      <c r="AI92" s="1258"/>
      <c r="AJ92" s="373">
        <f>L92+'Rates in summary'!K79</f>
        <v>2.2229999999999996E-2</v>
      </c>
      <c r="AK92" s="372"/>
      <c r="AL92" s="374"/>
      <c r="AM92" s="373">
        <f>'Rates in summary'!O79</f>
        <v>0</v>
      </c>
      <c r="AN92" s="372"/>
      <c r="AO92" s="577"/>
      <c r="AP92" s="122">
        <f>'Rates in Detail'!W78+'Rates in Detail'!Z78</f>
        <v>2.0820000000000002E-2</v>
      </c>
      <c r="AQ92" s="372"/>
      <c r="AR92" s="577"/>
      <c r="AS92" s="373">
        <f>'Rates in summary'!P79</f>
        <v>2.2599999999999999E-2</v>
      </c>
      <c r="AT92" s="372"/>
      <c r="AU92" s="374"/>
      <c r="AV92" s="1263"/>
    </row>
    <row r="93" spans="1:52" x14ac:dyDescent="0.2">
      <c r="A93" s="86">
        <f t="shared" si="81"/>
        <v>86</v>
      </c>
      <c r="B93" s="723"/>
      <c r="C93" s="876" t="s">
        <v>78</v>
      </c>
      <c r="D93" s="375"/>
      <c r="E93" s="375"/>
      <c r="F93" s="376"/>
      <c r="G93" s="377"/>
      <c r="H93" s="377"/>
      <c r="I93" s="880"/>
      <c r="J93" s="379"/>
      <c r="K93" s="378"/>
      <c r="L93" s="378"/>
      <c r="M93" s="379">
        <f>$I87+ROUND(IF($G87&lt;$F87,($G87*K87),IF($G87&lt;SUM($F87:$F88),(($F87*K87)+(($G87-$F87)*K88)),IF($G87&lt;SUM($F87:$F89),(($F87*K87)+($F88*K88)+(($G87-$F87-$F88)*K89)),IF($G87&lt;SUM($F87:$F90),(($F87*K87)+($F88*K88)+($F89*K89)+(($G87-SUM($F87:$F89))*K90)),IF($G87&lt;SUM($F87:$F91),(($F87*K87)+($F88*K88)+($F89*K89)+($F90*K90)+(($G87-SUM($F87:$F90))*K91)),(($F87*K87)+($F88*K88)+($F89*K89)+($F90*K89)+($F91*K91)+(($G87-SUM($F87:$F91))*K92))))))),2)</f>
        <v>10526.67</v>
      </c>
      <c r="N93" s="379">
        <f>$I87+ROUND(IF($H87&lt;$F87,($H87*K87),IF($H87&lt;SUM($F87:$F88),(($F87*K87)+(($H87-$F87)*K88)),IF($H87&lt;SUM($F87:$F89),(($F87*K87)+($F88*K88)+(($H87-$F87-$F88)*K89)),IF($H87&lt;SUM($F87:$F90),(($F87*K87)+($F88*K88)+($F89*K89)+(($H87-SUM($F87:$F89))*K90)),IF($H87&lt;SUM($F87:$F91),(($F87*K87)+($F88*K88)+($F89*K89)+($F90*K90)+(($H87-SUM($F87:$F90))*K91)),(($F87*K87)+($F88*K88)+($F89*K89)+($F90*K89)+($F91*K91)+(($H87-SUM($F87:$F91))*K92))))))),2)</f>
        <v>8163.89</v>
      </c>
      <c r="O93" s="379">
        <f>$I87+ROUND(IF($G87&lt;$F87,($G87*L87),IF($G87&lt;SUM($F87:$F88),(($F87*L87)+(($G87-$F87)*L88)),IF($G87&lt;SUM($F87:$F89),(($F87*L87)+($F88*L88)+(($G87-$F87-$F88)*L89)),IF($G87&lt;SUM($F87:$F90),(($F87*L87)+($F88*L88)+($F89*L89)+(($G87-SUM($F87:$F89))*L90)),IF($G87&lt;SUM($F87:$F91),(($F87*L87)+($F88*L88)+($F89*L89)+($F90*L90)+(($G87-SUM($F87:$F90))*L91)),(($F87*L87)+($F88*L88)+($F89*L89)+($F90*L89)+($F91*L91)+(($G87-SUM($F87:$F91))*L92))))))),2)</f>
        <v>11683.4</v>
      </c>
      <c r="P93" s="379">
        <f>$I87+ROUND(IF($H87&lt;$F87,($H87*L87),IF($H87&lt;SUM($F87:$F88),(($F87*L87)+(($H87-$F87)*L88)),IF($H87&lt;SUM($F87:$F89),(($F87*L87)+($F88*L88)+(($H87-$F87-$F88)*L89)),IF($H87&lt;SUM($F87:$F90),(($F87*L87)+($F88*L88)+($F89*L89)+(($H87-SUM($F87:$F89))*L90)),IF($H87&lt;SUM($F87:$F91),(($F87*L87)+($F88*L88)+($F89*L89)+($F90*L90)+(($H87-SUM($F87:$F90))*L91)),(($F87*L87)+($F88*L88)+($F89*L89)+($F90*L89)+($F91*L91)+(($H87-SUM($F87:$F91))*L92))))))),2)</f>
        <v>9016.32</v>
      </c>
      <c r="Q93" s="381"/>
      <c r="R93" s="379">
        <f>$J87+ROUND(IF($G87&lt;$F87,($G87*Q87),IF($G87&lt;SUM($F87:$F88),(($F87*Q87)+(($G87-$F87)*Q88)),IF($G87&lt;SUM($F87:$F89),(($F87*Q87)+($F88*Q88)+(($G87-$F87-$F88)*Q89)),IF($G87&lt;SUM($F87:$F90),(($F87*Q87)+($F88*Q88)+($F89*Q89)+(($G87-SUM($F87:$F89))*Q90)),IF($G87&lt;SUM($F87:$F91),(($F87*Q87)+($F88*Q88)+($F89*Q89)+($F90*Q90)+(($G87-SUM($F87:$F90))*Q91)),(($F87*Q87)+($F88*Q88)+($F89*Q89)+($F90*Q89)+($F91*Q91)+(($G87-SUM($F87:$F91))*Q92))))))),2)</f>
        <v>11871.73</v>
      </c>
      <c r="S93" s="382">
        <f>ROUND((R93-M93)/M93,3)</f>
        <v>0.128</v>
      </c>
      <c r="T93" s="380"/>
      <c r="U93" s="379">
        <f>$I87+ROUND(IF($H87&lt;$F87,($H87*T87),IF($H87&lt;SUM($F87:$F88),(($F87*T87)+(($H87-$F87)*T88)),IF($H87&lt;SUM($F87:$F89),(($F87*T87)+($F88*T88)+(($H87-$F87-$F88)*T89)),IF($H87&lt;SUM($F87:$F90),(($F87*T87)+($F88*T88)+($F89*T89)+(($H87-SUM($F87:$F89))*T90)),IF($H87&lt;SUM($F87:$F91),(($F87*T87)+($F88*T88)+($F89*T89)+($F90*T90)+(($H87-SUM($F87:$F90))*T91)),(($F87*T87)+($F88*T88)+($F89*T89)+($F90*T89)+($F91*T91)+(($H87-SUM($F87:$F91))*T92))))))),2)</f>
        <v>1550</v>
      </c>
      <c r="V93" s="578">
        <f>ROUND((U93-N93)/N93,3)</f>
        <v>-0.81</v>
      </c>
      <c r="W93" s="380"/>
      <c r="X93" s="379">
        <f>$J87+ROUND(IF($G87&lt;$F87,($G87*W87),IF($G87&lt;SUM($F87:$F88),(($F87*W87)+(($G87-$F87)*W88)),IF($G87&lt;SUM($F87:$F89),(($F87*W87)+($F88*W88)+(($G87-$F87-$F88)*W89)),IF($G87&lt;SUM($F87:$F90),(($F87*W87)+($F88*W88)+($F89*W89)+(($G87-SUM($F87:$F89))*W90)),IF($G87&lt;SUM($F87:$F91),(($F87*W87)+($F88*W88)+($F89*W89)+($F90*W90)+(($G87-SUM($F87:$F90))*W91)),(($F87*W87)+($F88*W88)+($F89*W89)+($F90*W89)+($F91*W91)+(($G87-SUM($F87:$F91))*W92))))))),2)</f>
        <v>10427.35</v>
      </c>
      <c r="Y93" s="578">
        <f t="shared" ref="Y93:Y95" si="82">ROUND(($X93-$M93)/$M93,3)</f>
        <v>-8.9999999999999993E-3</v>
      </c>
      <c r="Z93" s="380"/>
      <c r="AA93" s="379">
        <f>$J87+ROUND(IF($G87&lt;$F87,($G87*Z87),IF($G87&lt;SUM($F87:$F88),(($F87*Z87)+(($G87-$F87)*Z88)),IF($G87&lt;SUM($F87:$F89),(($F87*Z87)+($F88*Z88)+(($G87-$F87-$F88)*Z89)),IF($G87&lt;SUM($F87:$F90),(($F87*Z87)+($F88*Z88)+($F89*Z89)+(($G87-SUM($F87:$F89))*Z90)),IF($G87&lt;SUM($F87:$F91),(($F87*Z87)+($F88*Z88)+($F89*Z89)+($F90*Z90)+(($G87-SUM($F87:$F90))*Z91)),(($F87*Z87)+($F88*Z88)+($F89*Z89)+($F90*Z89)+($F91*Z91)+(($G87-SUM($F87:$F91))*Z92))))))),2)</f>
        <v>10526.67</v>
      </c>
      <c r="AB93" s="578">
        <f>ROUND(($AA93-$M93)/$M93,3)</f>
        <v>0</v>
      </c>
      <c r="AC93" s="379"/>
      <c r="AD93" s="379">
        <f>$J87+ROUND(IF($G87&lt;$F87,($G87*AC87),IF($G87&lt;SUM($F87:$F88),(($F87*AC87)+(($G87-$F87)*AC88)),IF($G87&lt;SUM($F87:$F89),(($F87*AC87)+($F88*AC88)+(($G87-$F87-$F88)*AC89)),IF($G87&lt;SUM($F87:$F90),(($F87*AC87)+($F88*AC88)+($F89*AC89)+(($G87-SUM($F87:$F89))*AC90)),IF($G87&lt;SUM($F87:$F91),(($F87*AC87)+($F88*AC88)+($F89*AC89)+($F90*AC90)+(($G87-SUM($F87:$F90))*AC91)),(($F87*AC87)+($F88*AC88)+($F89*AC89)+($F90*AC89)+($F91*AC91)+(($G87-SUM($F87:$F91))*AC92))))))),2)</f>
        <v>10338.33</v>
      </c>
      <c r="AE93" s="578">
        <f>ROUND(($AD93-$M93)/$M93,3)</f>
        <v>-1.7999999999999999E-2</v>
      </c>
      <c r="AF93" s="388"/>
      <c r="AG93" s="379">
        <f>$J87+ROUND(IF($G87&lt;$F87,($G87*AF87),IF($G87&lt;SUM($F87:$F88),(($F87*AF87)+(($G87-$F87)*AF88)),IF($G87&lt;SUM($F87:$F89),(($F87*AF87)+($F88*AF88)+(($G87-$F87-$F88)*AF89)),IF($G87&lt;SUM($F87:$F90),(($F87*AF87)+($F88*AF88)+($F89*AF89)+(($G87-SUM($F87:$F89))*AF90)),IF($G87&lt;SUM($F87:$F91),(($F87*AF87)+($F88*AF88)+($F89*AF89)+($F90*AF90)+(($G87-SUM($F87:$F90))*AF91)),(($F87*AF87)+($F88*AF88)+($F89*AF89)+($F90*AF89)+($F91*AF91)+(($G87-SUM($F87:$F91))*AF92))))))),2)</f>
        <v>11683.4</v>
      </c>
      <c r="AH93" s="382">
        <f>ROUND((AG93-M93)/M93,3)</f>
        <v>0.11</v>
      </c>
      <c r="AI93" s="1259">
        <f t="shared" si="78"/>
        <v>1156.7299999999996</v>
      </c>
      <c r="AJ93" s="381"/>
      <c r="AK93" s="379">
        <f>$J87+ROUND(IF($G87&lt;$F87,($G87*AJ87),IF($G87&lt;SUM($F87:$F88),(($F87*AJ87)+(($G87-$F87)*AJ88)),IF($G87&lt;SUM($F87:$F89),(($F87*AJ87)+($F88*AJ88)+(($G87-$F87-$F88)*AJ89)),IF($G87&lt;SUM($F87:$F90),(($F87*AJ87)+($F88*AJ88)+($F89*AJ89)+(($G87-SUM($F87:$F89))*AJ90)),IF($G87&lt;SUM($F87:$F91),(($F87*AJ87)+($F88*AJ88)+($F89*AJ89)+($F90*AJ90)+(($G87-SUM($F87:$F90))*AJ91)),(($F87*AJ87)+($F88*AJ88)+($F89*AJ89)+($F90*AJ89)+($F91*AJ91)+(($G87-SUM($F87:$F91))*AJ92))))))),2)</f>
        <v>12360.84</v>
      </c>
      <c r="AL93" s="382">
        <f>ROUND((AK93-O93)/O93,3)</f>
        <v>5.8000000000000003E-2</v>
      </c>
      <c r="AM93" s="380"/>
      <c r="AN93" s="379">
        <f>$I87+ROUND(IF($H87&lt;$F87,($H87*AM87),IF($H87&lt;SUM($F87:$F88),(($F87*AM87)+(($H87-$F87)*AM88)),IF($H87&lt;SUM($F87:$F89),(($F87*AM87)+($F88*AM88)+(($H87-$F87-$F88)*AM89)),IF($H87&lt;SUM($F87:$F90),(($F87*AM87)+($F88*AM88)+($F89*AM89)+(($H87-SUM($F87:$F89))*AM90)),IF($H87&lt;SUM($F87:$F91),(($F87*AM87)+($F88*AM88)+($F89*AM89)+($F90*AM90)+(($H87-SUM($F87:$F90))*AM91)),(($F87*AM87)+($F88*AM88)+($F89*AM89)+($F90*AM89)+($F91*AM91)+(($H87-SUM($F87:$F91))*AM92))))))),2)</f>
        <v>1550</v>
      </c>
      <c r="AO93" s="578">
        <f>ROUND((AN93-P93)/P93,3)</f>
        <v>-0.82799999999999996</v>
      </c>
      <c r="AP93" s="379"/>
      <c r="AQ93" s="379">
        <f>$J87+ROUND(IF($G87&lt;$F87,($G87*AP87),IF($G87&lt;SUM($F87:$F88),(($F87*AP87)+(($G87-$F87)*AP88)),IF($G87&lt;SUM($F87:$F89),(($F87*AP87)+($F88*AP88)+(($G87-$F87-$F88)*AP89)),IF($G87&lt;SUM($F87:$F90),(($F87*AP87)+($F88*AP88)+($F89*AP89)+(($G87-SUM($F87:$F89))*AP90)),IF($G87&lt;SUM($F87:$F91),(($F87*AP87)+($F88*AP88)+($F89*AP89)+($F90*AP90)+(($G87-SUM($F87:$F90))*AP91)),(($F87*AP87)+($F88*AP88)+($F89*AP89)+($F90*AP89)+($F91*AP91)+(($G87-SUM($F87:$F91))*AP92))))))),2)</f>
        <v>11673.75</v>
      </c>
      <c r="AR93" s="578">
        <f>ROUND(($AQ93-$O93)/$O93,3)</f>
        <v>-1E-3</v>
      </c>
      <c r="AS93" s="388"/>
      <c r="AT93" s="379">
        <f>$J87+ROUND(IF($G87&lt;$F87,($G87*AS87),IF($G87&lt;SUM($F87:$F88),(($F87*AS87)+(($G87-$F87)*AS88)),IF($G87&lt;SUM($F87:$F89),(($F87*AS87)+($F88*AS88)+(($G87-$F87-$F88)*AS89)),IF($G87&lt;SUM($F87:$F90),(($F87*AS87)+($F88*AS88)+($F89*AS89)+(($G87-SUM($F87:$F89))*AS90)),IF($G87&lt;SUM($F87:$F91),(($F87*AS87)+($F88*AS88)+($F89*AS89)+($F90*AS90)+(($G87-SUM($F87:$F90))*AS91)),(($F87*AS87)+($F88*AS88)+($F89*AS89)+($F90*AS89)+($F91*AS91)+(($G87-SUM($F87:$F91))*AS92))))))),2)</f>
        <v>12539.52</v>
      </c>
      <c r="AU93" s="382">
        <f>ROUND((AT93-O93)/O93,3)</f>
        <v>7.2999999999999995E-2</v>
      </c>
      <c r="AV93" s="1264">
        <f t="shared" si="79"/>
        <v>856.1200000000008</v>
      </c>
      <c r="AW93" s="370"/>
      <c r="AX93" s="370"/>
      <c r="AY93" s="370"/>
      <c r="AZ93" s="370"/>
    </row>
    <row r="94" spans="1:52" x14ac:dyDescent="0.2">
      <c r="A94" s="86">
        <f t="shared" si="81"/>
        <v>87</v>
      </c>
      <c r="B94" s="723" t="str">
        <f>'WA Volumes &amp; Revenues'!B81</f>
        <v>43 Firm Transpt</v>
      </c>
      <c r="C94" s="877" t="s">
        <v>283</v>
      </c>
      <c r="D94" s="389">
        <f>'WA Volumes &amp; Revenues'!E81</f>
        <v>0</v>
      </c>
      <c r="E94" s="389">
        <f>'WA Volumes &amp; Revenues'!F81</f>
        <v>0</v>
      </c>
      <c r="F94" s="390" t="s">
        <v>283</v>
      </c>
      <c r="G94" s="391">
        <f>+'WA Volumes &amp; Revenues'!I81</f>
        <v>0</v>
      </c>
      <c r="H94" s="391">
        <f>'WA Volumes &amp; Revenues'!L81</f>
        <v>0</v>
      </c>
      <c r="I94" s="883">
        <f>'WA Volumes &amp; Revenues'!O81</f>
        <v>38000</v>
      </c>
      <c r="J94" s="664">
        <f>'WA Volumes &amp; Revenues'!N81</f>
        <v>38000</v>
      </c>
      <c r="K94" s="392">
        <f>+'Rates in summary'!D80</f>
        <v>4.919999999999999E-3</v>
      </c>
      <c r="L94" s="392">
        <f>+'Rates in summary'!J80</f>
        <v>4.919999999999999E-3</v>
      </c>
      <c r="M94" s="367">
        <f>ROUND(+$I94+(K94*$G94),2)</f>
        <v>38000</v>
      </c>
      <c r="N94" s="367">
        <f>ROUND(I94+(K94*H94),2)</f>
        <v>38000</v>
      </c>
      <c r="O94" s="367">
        <f t="shared" ref="O94:O96" si="83">ROUND(+$I94+(L94*$G94),2)</f>
        <v>38000</v>
      </c>
      <c r="P94" s="465">
        <f t="shared" ref="P94:P96" si="84">ROUND(I94+(L94*H94),2)</f>
        <v>38000</v>
      </c>
      <c r="Q94" s="393">
        <f>'Rates in summary'!H80-'Rates in summary'!F80</f>
        <v>4.919999999999999E-3</v>
      </c>
      <c r="R94" s="367">
        <f>ROUND(I94+(Q94*G94),2)</f>
        <v>38000</v>
      </c>
      <c r="S94" s="394">
        <f t="shared" ref="S94" si="85">ROUND((R94-M94)/M94,3)</f>
        <v>0</v>
      </c>
      <c r="T94" s="368">
        <f>'Rates in summary'!I80</f>
        <v>0</v>
      </c>
      <c r="U94" s="367">
        <f>ROUND(I94+(T94*H94),2)</f>
        <v>38000</v>
      </c>
      <c r="V94" s="576">
        <f>ROUND((U94-N94)/N94,3)</f>
        <v>0</v>
      </c>
      <c r="W94" s="368">
        <f>'Rates in Detail'!J79+'Rates in Detail'!P79</f>
        <v>4.919999999999999E-3</v>
      </c>
      <c r="X94" s="367">
        <f t="shared" ref="X94:X96" si="86">ROUND($J94+($W94*$G94),2)</f>
        <v>38000</v>
      </c>
      <c r="Y94" s="576">
        <f t="shared" si="82"/>
        <v>0</v>
      </c>
      <c r="Z94" s="368">
        <f>'Rates in Detail'!J79+'Rates in Detail'!S79</f>
        <v>4.919999999999999E-3</v>
      </c>
      <c r="AA94" s="367">
        <f>ROUND($J94+($Z94*$G94),2)</f>
        <v>38000</v>
      </c>
      <c r="AB94" s="576">
        <f>ROUND(($AA94-$M94)/$M94,3)</f>
        <v>0</v>
      </c>
      <c r="AC94" s="123">
        <f>'Rates in Detail'!J79+'Rates in Detail'!T79</f>
        <v>4.919999999999999E-3</v>
      </c>
      <c r="AD94" s="367">
        <f>ROUND($J94+($AC94*$G94),2)</f>
        <v>38000</v>
      </c>
      <c r="AE94" s="576">
        <f>ROUND(($AD94-$M94)/$M94,3)</f>
        <v>0</v>
      </c>
      <c r="AF94" s="395">
        <f>'Rates in summary'!J79</f>
        <v>2.0839999999999997E-2</v>
      </c>
      <c r="AG94" s="367">
        <f t="shared" ref="AG94:AG95" si="87">ROUND(J94+(G94*AF94),2)</f>
        <v>38000</v>
      </c>
      <c r="AH94" s="394">
        <f>ROUND((AG94-M94)/M94,3)</f>
        <v>0</v>
      </c>
      <c r="AI94" s="367">
        <f t="shared" si="78"/>
        <v>0</v>
      </c>
      <c r="AJ94" s="373">
        <f>L94+'Rates in summary'!K80</f>
        <v>4.919999999999999E-3</v>
      </c>
      <c r="AK94" s="367">
        <f>ROUND(J94+(AJ94*G94),2)</f>
        <v>38000</v>
      </c>
      <c r="AL94" s="394">
        <f>ROUND((AK94-O94)/O94,3)</f>
        <v>0</v>
      </c>
      <c r="AM94" s="368">
        <f>'Rates in summary'!O80</f>
        <v>0</v>
      </c>
      <c r="AN94" s="367">
        <f>ROUND(M94+(AM94*K94),2)</f>
        <v>38000</v>
      </c>
      <c r="AO94" s="576">
        <f>ROUND((AN94-P94)/P94,3)</f>
        <v>0</v>
      </c>
      <c r="AP94" s="123">
        <f>'Rates in Detail'!W79+'Rates in Detail'!Z79</f>
        <v>4.919999999999999E-3</v>
      </c>
      <c r="AQ94" s="367">
        <f>ROUND($J94+($AP94*$G94),2)</f>
        <v>38000</v>
      </c>
      <c r="AR94" s="576">
        <f>ROUND(($AQ94-$O94)/$O94,3)</f>
        <v>0</v>
      </c>
      <c r="AS94" s="395">
        <f>'Rates in summary'!P80</f>
        <v>4.919999999999999E-3</v>
      </c>
      <c r="AT94" s="367">
        <f>ROUND(J94+(G94*AS94),2)</f>
        <v>38000</v>
      </c>
      <c r="AU94" s="394">
        <f>ROUND((AT94-O94)/O94,3)</f>
        <v>0</v>
      </c>
      <c r="AV94" s="1265">
        <f t="shared" si="79"/>
        <v>0</v>
      </c>
    </row>
    <row r="95" spans="1:52" x14ac:dyDescent="0.2">
      <c r="A95" s="86">
        <f t="shared" si="81"/>
        <v>88</v>
      </c>
      <c r="B95" s="723" t="str">
        <f>'WA Volumes &amp; Revenues'!B82</f>
        <v>43 Interr Transpt</v>
      </c>
      <c r="C95" s="846" t="s">
        <v>283</v>
      </c>
      <c r="D95" s="389">
        <f>'WA Volumes &amp; Revenues'!E82</f>
        <v>0</v>
      </c>
      <c r="E95" s="389">
        <f>'WA Volumes &amp; Revenues'!F82</f>
        <v>0</v>
      </c>
      <c r="F95" s="390" t="s">
        <v>283</v>
      </c>
      <c r="G95" s="391">
        <f>+'WA Volumes &amp; Revenues'!I82</f>
        <v>0</v>
      </c>
      <c r="H95" s="391">
        <f>'WA Volumes &amp; Revenues'!L82</f>
        <v>0</v>
      </c>
      <c r="I95" s="883">
        <f>'WA Volumes &amp; Revenues'!O82</f>
        <v>38000</v>
      </c>
      <c r="J95" s="664">
        <f>'WA Volumes &amp; Revenues'!N82</f>
        <v>38000</v>
      </c>
      <c r="K95" s="392">
        <f>+'Rates in summary'!D81</f>
        <v>4.919999999999999E-3</v>
      </c>
      <c r="L95" s="392">
        <f>+'Rates in summary'!J81</f>
        <v>4.919999999999999E-3</v>
      </c>
      <c r="M95" s="367">
        <f t="shared" ref="M95:M96" si="88">ROUND(+$I95+(K95*$G95),2)</f>
        <v>38000</v>
      </c>
      <c r="N95" s="367">
        <f t="shared" ref="N95:N96" si="89">ROUND(I95+(K95*H95),2)</f>
        <v>38000</v>
      </c>
      <c r="O95" s="367">
        <f t="shared" si="83"/>
        <v>38000</v>
      </c>
      <c r="P95" s="465">
        <f t="shared" si="84"/>
        <v>38000</v>
      </c>
      <c r="Q95" s="393">
        <f>'Rates in summary'!H81-'Rates in summary'!F81</f>
        <v>4.919999999999999E-3</v>
      </c>
      <c r="R95" s="367">
        <f t="shared" ref="R95" si="90">ROUND(I95+(Q95*G95),2)</f>
        <v>38000</v>
      </c>
      <c r="S95" s="394">
        <f>ROUND((R95-M95)/M95,3)</f>
        <v>0</v>
      </c>
      <c r="T95" s="368">
        <f>'Rates in summary'!I81</f>
        <v>0</v>
      </c>
      <c r="U95" s="367">
        <f>ROUND(I95+(T95*H95),2)</f>
        <v>38000</v>
      </c>
      <c r="V95" s="576">
        <f>ROUND((U95-N95)/N95,3)</f>
        <v>0</v>
      </c>
      <c r="W95" s="368">
        <f>'Rates in Detail'!J80+'Rates in Detail'!P80</f>
        <v>4.919999999999999E-3</v>
      </c>
      <c r="X95" s="367">
        <f t="shared" si="86"/>
        <v>38000</v>
      </c>
      <c r="Y95" s="576">
        <f t="shared" si="82"/>
        <v>0</v>
      </c>
      <c r="Z95" s="368">
        <f>'Rates in Detail'!J80+'Rates in Detail'!S80</f>
        <v>4.919999999999999E-3</v>
      </c>
      <c r="AA95" s="367">
        <f>ROUND($J95+($Z95*$G95),2)</f>
        <v>38000</v>
      </c>
      <c r="AB95" s="576">
        <f>ROUND(($AA95-$M95)/$M95,3)</f>
        <v>0</v>
      </c>
      <c r="AC95" s="123">
        <f>'Rates in Detail'!J80+'Rates in Detail'!T80</f>
        <v>4.919999999999999E-3</v>
      </c>
      <c r="AD95" s="367">
        <f>ROUND($J95+($AC95*$G95),2)</f>
        <v>38000</v>
      </c>
      <c r="AE95" s="576">
        <f>ROUND(($AD95-$M95)/$M95,3)</f>
        <v>0</v>
      </c>
      <c r="AF95" s="395">
        <f>'Rates in summary'!J80</f>
        <v>4.919999999999999E-3</v>
      </c>
      <c r="AG95" s="367">
        <f t="shared" si="87"/>
        <v>38000</v>
      </c>
      <c r="AH95" s="394">
        <f>ROUND((AG95-M95)/M95,3)</f>
        <v>0</v>
      </c>
      <c r="AI95" s="367">
        <f t="shared" si="78"/>
        <v>0</v>
      </c>
      <c r="AJ95" s="373">
        <f>L95+'Rates in summary'!K81</f>
        <v>4.919999999999999E-3</v>
      </c>
      <c r="AK95" s="367">
        <f>ROUND(J95+(AJ95*G95),2)</f>
        <v>38000</v>
      </c>
      <c r="AL95" s="394">
        <f>ROUND((AK95-O95)/O95,3)</f>
        <v>0</v>
      </c>
      <c r="AM95" s="368">
        <f>'Rates in summary'!O81</f>
        <v>0</v>
      </c>
      <c r="AN95" s="367">
        <f>ROUND(M95+(AM95*K95),2)</f>
        <v>38000</v>
      </c>
      <c r="AO95" s="576">
        <f>ROUND((AN95-P95)/P95,3)</f>
        <v>0</v>
      </c>
      <c r="AP95" s="123">
        <f>'Rates in Detail'!W80+'Rates in Detail'!Z80</f>
        <v>4.919999999999999E-3</v>
      </c>
      <c r="AQ95" s="367">
        <f>ROUND($J95+($AP95*$G95),2)</f>
        <v>38000</v>
      </c>
      <c r="AR95" s="576">
        <f>ROUND(($AQ95-$O95)/$O95,3)</f>
        <v>0</v>
      </c>
      <c r="AS95" s="395">
        <f>'Rates in summary'!P81</f>
        <v>4.919999999999999E-3</v>
      </c>
      <c r="AT95" s="367">
        <f>ROUND(J95+(G95*AS95),2)</f>
        <v>38000</v>
      </c>
      <c r="AU95" s="394">
        <f>ROUND((AT95-O95)/O95,3)</f>
        <v>0</v>
      </c>
      <c r="AV95" s="1265">
        <f t="shared" si="79"/>
        <v>0</v>
      </c>
    </row>
    <row r="96" spans="1:52" x14ac:dyDescent="0.2">
      <c r="A96" s="86">
        <f t="shared" si="81"/>
        <v>89</v>
      </c>
      <c r="B96" s="725" t="str">
        <f>'WA Volumes &amp; Revenues'!B83</f>
        <v>Special Contract</v>
      </c>
      <c r="C96" s="1002" t="s">
        <v>283</v>
      </c>
      <c r="D96" s="1003">
        <f>'WA Volumes &amp; Revenues'!E83</f>
        <v>2895114</v>
      </c>
      <c r="E96" s="1003">
        <f>'WA Volumes &amp; Revenues'!F83</f>
        <v>0</v>
      </c>
      <c r="F96" s="1004" t="s">
        <v>283</v>
      </c>
      <c r="G96" s="697">
        <f>+'WA Volumes &amp; Revenues'!I83</f>
        <v>241259.5</v>
      </c>
      <c r="H96" s="697">
        <f>'WA Volumes &amp; Revenues'!L83</f>
        <v>0</v>
      </c>
      <c r="I96" s="882">
        <f>'WA Volumes &amp; Revenues'!O83</f>
        <v>0</v>
      </c>
      <c r="J96" s="663">
        <f>'WA Volumes &amp; Revenues'!N83</f>
        <v>0</v>
      </c>
      <c r="K96" s="1005">
        <f>+'Rates in summary'!D82</f>
        <v>0</v>
      </c>
      <c r="L96" s="1005">
        <f>+'Rates in summary'!J82</f>
        <v>0</v>
      </c>
      <c r="M96" s="372">
        <f t="shared" si="88"/>
        <v>0</v>
      </c>
      <c r="N96" s="372">
        <f t="shared" si="89"/>
        <v>0</v>
      </c>
      <c r="O96" s="372">
        <f t="shared" si="83"/>
        <v>0</v>
      </c>
      <c r="P96" s="372">
        <f t="shared" si="84"/>
        <v>0</v>
      </c>
      <c r="Q96" s="393">
        <f>'Rates in summary'!H82-'Rates in summary'!F82</f>
        <v>0</v>
      </c>
      <c r="R96" s="367">
        <f>ROUND(I96+(Q96*G96),2)</f>
        <v>0</v>
      </c>
      <c r="S96" s="394">
        <f>IF(M96=0,0,ROUND((R96-M96)/M96,3))</f>
        <v>0</v>
      </c>
      <c r="T96" s="368">
        <f>'Rates in summary'!I82</f>
        <v>0</v>
      </c>
      <c r="U96" s="367">
        <f>ROUND(I96+(T96*H96),2)</f>
        <v>0</v>
      </c>
      <c r="V96" s="576">
        <f>IF(N96=0,0,ROUND((U96-N96)/N96,3))</f>
        <v>0</v>
      </c>
      <c r="W96" s="368">
        <f>'Rates in Detail'!J81+'Rates in Detail'!P81</f>
        <v>0</v>
      </c>
      <c r="X96" s="367">
        <f t="shared" si="86"/>
        <v>0</v>
      </c>
      <c r="Y96" s="576">
        <f>IF(M96=0,0,ROUND(($X96-$M96)/$M96,3))</f>
        <v>0</v>
      </c>
      <c r="Z96" s="368">
        <f>'Rates in Detail'!J81+'Rates in Detail'!S81</f>
        <v>0</v>
      </c>
      <c r="AA96" s="367">
        <f>ROUND($J96+($Z96*$G96),2)</f>
        <v>0</v>
      </c>
      <c r="AB96" s="576">
        <f>IF(P96=0,0,ROUND(($AA96-$M96)/$M96,3))</f>
        <v>0</v>
      </c>
      <c r="AC96" s="123">
        <f>'Rates in Detail'!J81+'Rates in Detail'!T81</f>
        <v>0</v>
      </c>
      <c r="AD96" s="367">
        <f>ROUND($J96+($AC96*$G96),2)</f>
        <v>0</v>
      </c>
      <c r="AE96" s="576">
        <f>IF(S96=0,0,ROUND(($AD96-$M96)/$M96,3))</f>
        <v>0</v>
      </c>
      <c r="AF96" s="395">
        <f>'Rates in summary'!J81</f>
        <v>4.919999999999999E-3</v>
      </c>
      <c r="AG96" s="367">
        <v>0</v>
      </c>
      <c r="AH96" s="394">
        <f>IF(M96=0,0,ROUND((AG96-M96)/M96,3))</f>
        <v>0</v>
      </c>
      <c r="AI96" s="367">
        <f t="shared" si="78"/>
        <v>0</v>
      </c>
      <c r="AJ96" s="373">
        <f>L96+'Rates in summary'!K82</f>
        <v>0</v>
      </c>
      <c r="AK96" s="367">
        <f>IF(J96=0,0,ROUND(J96+(AJ96*G96),2))</f>
        <v>0</v>
      </c>
      <c r="AL96" s="394">
        <f>IF(O96=0,0,ROUND((AK96-O96)/O96,3))</f>
        <v>0</v>
      </c>
      <c r="AM96" s="368">
        <f>'Rates in summary'!O82</f>
        <v>0</v>
      </c>
      <c r="AN96" s="367">
        <f>ROUND(M96+(AM96*K96),2)</f>
        <v>0</v>
      </c>
      <c r="AO96" s="576">
        <f>IF(N96=0,0,ROUND((AN96-P96)/P96,3))</f>
        <v>0</v>
      </c>
      <c r="AP96" s="123">
        <f>'Rates in Detail'!W81+'Rates in Detail'!Z81</f>
        <v>0</v>
      </c>
      <c r="AQ96" s="367">
        <f>ROUND($J96+($AP96*$G96),2)</f>
        <v>0</v>
      </c>
      <c r="AR96" s="576">
        <f>IF(AE96=0,0,ROUND(($AQ96-$O96)/$O96,3))</f>
        <v>0</v>
      </c>
      <c r="AS96" s="395">
        <f>'Rates in summary'!P82</f>
        <v>0</v>
      </c>
      <c r="AT96" s="367">
        <f>ROUND(J96+(G96*AS96),2)</f>
        <v>0</v>
      </c>
      <c r="AU96" s="394">
        <f>IF(O96=0,0,ROUND((AT96-O96)/O96,3))</f>
        <v>0</v>
      </c>
      <c r="AV96" s="1265">
        <f t="shared" si="79"/>
        <v>0</v>
      </c>
    </row>
    <row r="97" spans="1:48" ht="13.5" thickBot="1" x14ac:dyDescent="0.25">
      <c r="A97" s="86">
        <f t="shared" si="81"/>
        <v>90</v>
      </c>
      <c r="B97" s="609" t="s">
        <v>78</v>
      </c>
      <c r="C97" s="916"/>
      <c r="D97" s="1006">
        <f>SUM(D14:D96)</f>
        <v>103032055.6009268</v>
      </c>
      <c r="E97" s="1006">
        <f>SUM(E14:E96)</f>
        <v>101085884.30000001</v>
      </c>
      <c r="F97" s="745"/>
      <c r="G97" s="1006">
        <f>SUM(G14:G96)</f>
        <v>543910.62040000001</v>
      </c>
      <c r="H97" s="1006">
        <f>SUM(H14:H96)</f>
        <v>270612</v>
      </c>
      <c r="I97" s="1007"/>
      <c r="J97" s="1007"/>
      <c r="K97" s="1008"/>
      <c r="L97" s="1008"/>
      <c r="M97" s="1009"/>
      <c r="N97" s="1009"/>
      <c r="O97" s="1009"/>
      <c r="P97" s="1010"/>
      <c r="Q97" s="166"/>
      <c r="R97" s="399"/>
      <c r="S97" s="401"/>
      <c r="T97" s="398"/>
      <c r="U97" s="399"/>
      <c r="V97" s="579"/>
      <c r="W97" s="398"/>
      <c r="X97" s="399"/>
      <c r="Y97" s="579"/>
      <c r="Z97" s="398"/>
      <c r="AA97" s="399"/>
      <c r="AB97" s="579"/>
      <c r="AC97" s="399"/>
      <c r="AD97" s="399"/>
      <c r="AE97" s="579"/>
      <c r="AF97" s="398"/>
      <c r="AG97" s="399"/>
      <c r="AH97" s="401"/>
      <c r="AI97" s="398"/>
      <c r="AJ97" s="400"/>
      <c r="AK97" s="399"/>
      <c r="AL97" s="401"/>
      <c r="AM97" s="398"/>
      <c r="AN97" s="399"/>
      <c r="AO97" s="579"/>
      <c r="AP97" s="399"/>
      <c r="AQ97" s="399"/>
      <c r="AR97" s="579"/>
      <c r="AS97" s="398"/>
      <c r="AT97" s="399"/>
      <c r="AU97" s="401"/>
      <c r="AV97" s="579"/>
    </row>
    <row r="98" spans="1:48" ht="12.6" customHeight="1" x14ac:dyDescent="0.2">
      <c r="A98" s="86">
        <f t="shared" si="81"/>
        <v>91</v>
      </c>
      <c r="B98" s="1612" t="s">
        <v>373</v>
      </c>
      <c r="C98" s="1612"/>
      <c r="D98" s="1612"/>
      <c r="E98" s="1612"/>
      <c r="F98" s="1612"/>
      <c r="G98" s="1612"/>
      <c r="H98" s="1612"/>
      <c r="I98" s="1612"/>
      <c r="J98" s="1612"/>
      <c r="K98" s="412"/>
      <c r="L98" s="412"/>
      <c r="M98" s="412"/>
      <c r="N98" s="412"/>
      <c r="O98" s="412"/>
      <c r="P98" s="412"/>
      <c r="T98" s="412"/>
      <c r="U98" s="412"/>
      <c r="V98" s="412"/>
      <c r="W98" s="412"/>
      <c r="X98" s="412"/>
      <c r="Y98" s="412"/>
      <c r="Z98" s="412"/>
      <c r="AA98" s="412"/>
      <c r="AB98" s="412"/>
      <c r="AC98" s="412"/>
      <c r="AD98" s="412"/>
      <c r="AE98" s="412"/>
      <c r="AF98" s="55"/>
      <c r="AG98" s="55"/>
      <c r="AH98" s="55"/>
      <c r="AI98" s="55"/>
      <c r="AM98" s="412"/>
      <c r="AN98" s="412"/>
      <c r="AO98" s="412"/>
      <c r="AP98" s="412"/>
      <c r="AQ98" s="412"/>
      <c r="AR98" s="412"/>
      <c r="AS98" s="55"/>
      <c r="AT98" s="55"/>
      <c r="AU98" s="55"/>
    </row>
    <row r="99" spans="1:48" ht="12.6" customHeight="1" x14ac:dyDescent="0.2">
      <c r="A99" s="86">
        <f t="shared" si="81"/>
        <v>92</v>
      </c>
      <c r="B99" s="1612"/>
      <c r="C99" s="1612"/>
      <c r="D99" s="1612"/>
      <c r="E99" s="1612"/>
      <c r="F99" s="1612"/>
      <c r="G99" s="1612"/>
      <c r="H99" s="1612"/>
      <c r="I99" s="1612"/>
      <c r="J99" s="1612"/>
      <c r="K99" s="413"/>
      <c r="L99" s="413"/>
      <c r="M99" s="413"/>
      <c r="N99" s="413"/>
      <c r="O99" s="413"/>
      <c r="P99" s="413"/>
      <c r="T99" s="413"/>
      <c r="U99" s="413"/>
      <c r="V99" s="413"/>
      <c r="W99" s="413"/>
      <c r="X99" s="413"/>
      <c r="Y99" s="413"/>
      <c r="Z99" s="413"/>
      <c r="AA99" s="413"/>
      <c r="AB99" s="413"/>
      <c r="AC99" s="413"/>
      <c r="AD99" s="413"/>
      <c r="AE99" s="413"/>
      <c r="AF99" s="55"/>
      <c r="AG99" s="55"/>
      <c r="AH99" s="55"/>
      <c r="AI99" s="55"/>
      <c r="AM99" s="413"/>
      <c r="AN99" s="413"/>
      <c r="AO99" s="413"/>
      <c r="AP99" s="413"/>
      <c r="AQ99" s="413"/>
      <c r="AR99" s="413"/>
      <c r="AS99" s="55"/>
      <c r="AT99" s="55"/>
      <c r="AU99" s="55"/>
    </row>
    <row r="100" spans="1:48" x14ac:dyDescent="0.2">
      <c r="A100" s="86">
        <f t="shared" si="81"/>
        <v>93</v>
      </c>
      <c r="B100" s="744"/>
      <c r="C100" s="744"/>
      <c r="D100" s="744"/>
      <c r="E100" s="744"/>
      <c r="F100" s="744"/>
      <c r="G100" s="744"/>
      <c r="H100" s="744"/>
      <c r="I100" s="744"/>
      <c r="J100" s="414"/>
      <c r="K100" s="414"/>
      <c r="L100" s="414"/>
      <c r="M100" s="414"/>
      <c r="N100" s="414"/>
      <c r="O100" s="414"/>
      <c r="P100" s="414"/>
      <c r="Q100" s="351"/>
      <c r="R100" s="351"/>
      <c r="S100" s="351"/>
      <c r="T100" s="414"/>
      <c r="U100" s="414"/>
      <c r="V100" s="414"/>
      <c r="W100" s="414"/>
      <c r="X100" s="414"/>
      <c r="Y100" s="414"/>
      <c r="Z100" s="414"/>
      <c r="AA100" s="414"/>
      <c r="AB100" s="414"/>
      <c r="AC100" s="414"/>
      <c r="AD100" s="414"/>
      <c r="AE100" s="414"/>
      <c r="AF100" s="402"/>
      <c r="AG100" s="402"/>
      <c r="AH100" s="402"/>
      <c r="AI100" s="402"/>
      <c r="AJ100" s="351"/>
      <c r="AK100" s="351"/>
      <c r="AL100" s="351"/>
      <c r="AM100" s="414"/>
      <c r="AN100" s="414"/>
      <c r="AO100" s="414"/>
      <c r="AP100" s="414"/>
      <c r="AQ100" s="414"/>
      <c r="AR100" s="414"/>
      <c r="AS100" s="402"/>
      <c r="AT100" s="402"/>
      <c r="AU100" s="402"/>
    </row>
    <row r="101" spans="1:48" x14ac:dyDescent="0.2">
      <c r="A101" s="86">
        <f t="shared" si="81"/>
        <v>94</v>
      </c>
      <c r="B101" s="744"/>
      <c r="C101" s="744"/>
      <c r="D101" s="744"/>
      <c r="E101" s="744"/>
      <c r="F101" s="744"/>
      <c r="G101" s="744"/>
      <c r="H101" s="744"/>
      <c r="I101" s="744"/>
      <c r="J101" s="414"/>
      <c r="K101" s="414"/>
      <c r="L101" s="414"/>
      <c r="M101" s="414"/>
      <c r="N101" s="414"/>
      <c r="O101" s="414"/>
      <c r="P101" s="414"/>
      <c r="T101" s="414"/>
      <c r="U101" s="414"/>
      <c r="V101" s="414"/>
      <c r="W101" s="414"/>
      <c r="X101" s="414"/>
      <c r="Y101" s="414"/>
      <c r="Z101" s="414"/>
      <c r="AA101" s="414"/>
      <c r="AB101" s="414"/>
      <c r="AC101" s="414"/>
      <c r="AD101" s="414"/>
      <c r="AE101" s="414"/>
      <c r="AM101" s="414"/>
      <c r="AN101" s="414"/>
      <c r="AO101" s="414"/>
      <c r="AP101" s="414"/>
      <c r="AQ101" s="414"/>
      <c r="AR101" s="414"/>
    </row>
    <row r="102" spans="1:48" x14ac:dyDescent="0.2">
      <c r="A102" s="86">
        <f t="shared" si="81"/>
        <v>95</v>
      </c>
      <c r="B102" s="414"/>
      <c r="C102" s="414"/>
      <c r="D102" s="414"/>
      <c r="E102" s="414"/>
      <c r="F102" s="414"/>
      <c r="G102" s="414"/>
      <c r="H102" s="414"/>
      <c r="I102" s="414"/>
      <c r="J102" s="414"/>
      <c r="K102" s="414"/>
      <c r="L102" s="414"/>
      <c r="M102" s="414"/>
      <c r="N102" s="414"/>
      <c r="O102" s="414"/>
      <c r="P102" s="414"/>
      <c r="T102" s="414"/>
      <c r="U102" s="414"/>
      <c r="V102" s="414"/>
      <c r="W102" s="414"/>
      <c r="X102" s="414"/>
      <c r="Y102" s="414"/>
      <c r="Z102" s="414"/>
      <c r="AA102" s="414"/>
      <c r="AB102" s="414"/>
      <c r="AC102" s="414"/>
      <c r="AD102" s="414"/>
      <c r="AE102" s="414"/>
      <c r="AM102" s="414"/>
      <c r="AN102" s="414"/>
      <c r="AO102" s="414"/>
      <c r="AP102" s="414"/>
      <c r="AQ102" s="414"/>
      <c r="AR102" s="414"/>
    </row>
    <row r="103" spans="1:48" x14ac:dyDescent="0.2">
      <c r="A103" s="86">
        <f t="shared" si="81"/>
        <v>96</v>
      </c>
      <c r="B103" s="403" t="s">
        <v>58</v>
      </c>
      <c r="C103" s="147"/>
      <c r="D103" s="147"/>
      <c r="E103" s="147"/>
      <c r="F103" s="147"/>
      <c r="G103" s="147"/>
      <c r="H103" s="147"/>
      <c r="I103" s="147"/>
      <c r="J103" s="147"/>
    </row>
    <row r="104" spans="1:48" x14ac:dyDescent="0.2">
      <c r="A104" s="86">
        <f t="shared" si="81"/>
        <v>97</v>
      </c>
      <c r="B104" s="884" t="s">
        <v>59</v>
      </c>
      <c r="C104" s="885"/>
      <c r="D104" s="886"/>
      <c r="E104" s="886"/>
      <c r="F104" s="887" t="s">
        <v>77</v>
      </c>
      <c r="G104" s="886"/>
      <c r="H104" s="886"/>
      <c r="I104" s="887"/>
      <c r="J104" s="887" t="s">
        <v>77</v>
      </c>
      <c r="K104" s="886"/>
      <c r="L104" s="955"/>
      <c r="M104" s="886"/>
      <c r="N104" s="886"/>
      <c r="O104" s="955"/>
      <c r="P104" s="955"/>
      <c r="Q104" s="886"/>
      <c r="R104" s="886"/>
      <c r="S104" s="886"/>
      <c r="T104" s="886"/>
      <c r="U104" s="886"/>
      <c r="V104" s="886"/>
      <c r="W104" s="886"/>
      <c r="X104" s="886"/>
      <c r="Y104" s="886"/>
      <c r="Z104" s="886"/>
      <c r="AA104" s="886"/>
      <c r="AB104" s="886"/>
      <c r="AC104" s="886"/>
      <c r="AD104" s="886"/>
      <c r="AE104" s="886"/>
      <c r="AF104" s="886"/>
      <c r="AG104" s="886"/>
      <c r="AH104" s="888"/>
      <c r="AI104" s="886"/>
      <c r="AJ104" s="955"/>
      <c r="AK104" s="955"/>
      <c r="AL104" s="955"/>
      <c r="AM104" s="886"/>
      <c r="AN104" s="886"/>
      <c r="AO104" s="886"/>
      <c r="AP104" s="886"/>
      <c r="AQ104" s="886"/>
      <c r="AR104" s="886"/>
      <c r="AS104" s="886"/>
      <c r="AT104" s="886"/>
      <c r="AU104" s="888"/>
    </row>
    <row r="105" spans="1:48" x14ac:dyDescent="0.2">
      <c r="A105" s="86">
        <f t="shared" si="81"/>
        <v>98</v>
      </c>
    </row>
    <row r="106" spans="1:48" x14ac:dyDescent="0.2">
      <c r="A106" s="86">
        <f t="shared" si="81"/>
        <v>99</v>
      </c>
      <c r="B106" s="884" t="s">
        <v>63</v>
      </c>
      <c r="C106" s="885"/>
      <c r="D106" s="885"/>
      <c r="E106" s="885"/>
      <c r="F106" s="887"/>
      <c r="G106" s="887"/>
      <c r="H106" s="887"/>
      <c r="I106" s="885"/>
      <c r="J106" s="885"/>
      <c r="K106" s="887" t="s">
        <v>34</v>
      </c>
      <c r="L106" s="1001" t="s">
        <v>34</v>
      </c>
      <c r="M106" s="885"/>
      <c r="N106" s="885"/>
      <c r="O106" s="956"/>
      <c r="P106" s="956"/>
      <c r="Q106" s="885"/>
      <c r="R106" s="885"/>
      <c r="S106" s="885"/>
      <c r="T106" s="885"/>
      <c r="U106" s="885"/>
      <c r="V106" s="885"/>
      <c r="W106" s="885"/>
      <c r="X106" s="885"/>
      <c r="Y106" s="885"/>
      <c r="Z106" s="885"/>
      <c r="AA106" s="885"/>
      <c r="AB106" s="885"/>
      <c r="AC106" s="885"/>
      <c r="AD106" s="885"/>
      <c r="AE106" s="885"/>
      <c r="AF106" s="885"/>
      <c r="AG106" s="885"/>
      <c r="AH106" s="889"/>
      <c r="AI106" s="885"/>
      <c r="AJ106" s="956"/>
      <c r="AK106" s="956"/>
      <c r="AL106" s="956"/>
      <c r="AM106" s="885"/>
      <c r="AN106" s="885"/>
      <c r="AO106" s="885"/>
      <c r="AP106" s="885"/>
      <c r="AQ106" s="885"/>
      <c r="AR106" s="885"/>
      <c r="AS106" s="885"/>
      <c r="AT106" s="885"/>
      <c r="AU106" s="889"/>
    </row>
    <row r="107" spans="1:48" x14ac:dyDescent="0.2">
      <c r="A107" s="86"/>
    </row>
    <row r="108" spans="1:48" x14ac:dyDescent="0.2">
      <c r="A108" s="86"/>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39">
    <mergeCell ref="W6:Y6"/>
    <mergeCell ref="Z6:AB6"/>
    <mergeCell ref="AC6:AE6"/>
    <mergeCell ref="AP6:AR6"/>
    <mergeCell ref="BM12:BM13"/>
    <mergeCell ref="BH12:BH13"/>
    <mergeCell ref="BI12:BI13"/>
    <mergeCell ref="BJ12:BJ13"/>
    <mergeCell ref="BK12:BK13"/>
    <mergeCell ref="BL12:BL13"/>
    <mergeCell ref="BF12:BF13"/>
    <mergeCell ref="BG12:BG13"/>
    <mergeCell ref="BB12:BB13"/>
    <mergeCell ref="BC12:BC13"/>
    <mergeCell ref="BD12:BD13"/>
    <mergeCell ref="BE12:BE13"/>
    <mergeCell ref="Q5:AH5"/>
    <mergeCell ref="AJ5:AU5"/>
    <mergeCell ref="BB10:BG10"/>
    <mergeCell ref="BH10:BM10"/>
    <mergeCell ref="BH11:BI11"/>
    <mergeCell ref="BJ11:BK11"/>
    <mergeCell ref="BL11:BM11"/>
    <mergeCell ref="BF11:BG11"/>
    <mergeCell ref="BD11:BE11"/>
    <mergeCell ref="Q6:S6"/>
    <mergeCell ref="AJ6:AL6"/>
    <mergeCell ref="AS6:AU6"/>
    <mergeCell ref="T6:V6"/>
    <mergeCell ref="BB11:BC11"/>
    <mergeCell ref="AM6:AO6"/>
    <mergeCell ref="AF6:AH6"/>
    <mergeCell ref="BL41:BL42"/>
    <mergeCell ref="BM41:BM42"/>
    <mergeCell ref="BB40:BG40"/>
    <mergeCell ref="BH40:BM40"/>
    <mergeCell ref="B98:J99"/>
    <mergeCell ref="BF41:BF42"/>
    <mergeCell ref="BG41:BG42"/>
  </mergeCells>
  <phoneticPr fontId="10" type="noConversion"/>
  <pageMargins left="0.5" right="0.5" top="0.5" bottom="0.5" header="0.25" footer="0.25"/>
  <pageSetup scale="51" orientation="portrait" r:id="rId3"/>
  <headerFooter alignWithMargins="0">
    <oddHeader>&amp;RExh. RJW-3 Wyman WP1</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pane="topRight" activeCell="D1" sqref="D1"/>
      <selection pane="bottomLeft" activeCell="A14" sqref="A14"/>
      <selection pane="bottomRight" activeCell="Q50" sqref="Q50"/>
    </sheetView>
  </sheetViews>
  <sheetFormatPr defaultColWidth="9.33203125" defaultRowHeight="12.75" x14ac:dyDescent="0.2"/>
  <cols>
    <col min="1" max="1" width="3.1640625" style="56" customWidth="1"/>
    <col min="2" max="2" width="7.6640625" style="56" customWidth="1"/>
    <col min="3" max="3" width="11.33203125" style="56" bestFit="1" customWidth="1"/>
    <col min="4" max="5" width="18.1640625" style="56" customWidth="1"/>
    <col min="6" max="6" width="21.6640625" style="56" customWidth="1"/>
    <col min="7" max="7" width="21.1640625" style="56" customWidth="1"/>
    <col min="8" max="9" width="18.1640625" style="56" customWidth="1"/>
    <col min="10" max="12" width="11.1640625" style="56" customWidth="1"/>
    <col min="13" max="13" width="3.33203125" style="56" customWidth="1"/>
    <col min="14" max="14" width="18" style="56" customWidth="1"/>
    <col min="15" max="15" width="15.83203125" style="56" customWidth="1"/>
    <col min="16" max="16" width="22.33203125" style="56" bestFit="1" customWidth="1"/>
    <col min="17" max="17" width="17.6640625" style="56" customWidth="1"/>
    <col min="18" max="18" width="17" style="56" customWidth="1"/>
    <col min="19" max="21" width="11.5" style="56" customWidth="1"/>
    <col min="22" max="16384" width="9.33203125" style="56"/>
  </cols>
  <sheetData>
    <row r="1" spans="2:21" x14ac:dyDescent="0.2">
      <c r="B1" s="895" t="s">
        <v>0</v>
      </c>
      <c r="C1" s="896"/>
      <c r="D1" s="896"/>
      <c r="E1" s="896"/>
      <c r="F1" s="896"/>
      <c r="G1" s="896"/>
      <c r="H1" s="896"/>
      <c r="I1" s="896"/>
      <c r="N1" s="895" t="s">
        <v>0</v>
      </c>
    </row>
    <row r="2" spans="2:21" x14ac:dyDescent="0.2">
      <c r="B2" s="895" t="s">
        <v>276</v>
      </c>
      <c r="C2" s="896"/>
      <c r="D2" s="896"/>
      <c r="E2" s="896"/>
      <c r="F2" s="896"/>
      <c r="G2" s="896"/>
      <c r="H2" s="896"/>
      <c r="I2" s="896"/>
      <c r="N2" s="895" t="s">
        <v>276</v>
      </c>
    </row>
    <row r="3" spans="2:21" x14ac:dyDescent="0.2">
      <c r="B3" s="895" t="s">
        <v>277</v>
      </c>
      <c r="C3" s="896"/>
      <c r="D3" s="896"/>
      <c r="E3" s="896"/>
      <c r="F3" s="896"/>
      <c r="G3" s="896"/>
      <c r="H3" s="896"/>
      <c r="I3" s="896"/>
      <c r="N3" s="895" t="s">
        <v>277</v>
      </c>
    </row>
    <row r="4" spans="2:21" x14ac:dyDescent="0.2">
      <c r="B4" s="895" t="s">
        <v>562</v>
      </c>
      <c r="C4" s="896"/>
      <c r="D4" s="896"/>
      <c r="E4" s="896"/>
      <c r="F4" s="896"/>
      <c r="G4" s="896"/>
      <c r="H4" s="896"/>
      <c r="I4" s="896"/>
      <c r="N4" s="895" t="s">
        <v>562</v>
      </c>
    </row>
    <row r="5" spans="2:21" x14ac:dyDescent="0.2">
      <c r="B5" s="895" t="s">
        <v>621</v>
      </c>
      <c r="C5" s="896"/>
      <c r="D5" s="896"/>
      <c r="E5" s="896"/>
      <c r="F5" s="896"/>
      <c r="G5" s="896"/>
      <c r="H5" s="896"/>
      <c r="I5" s="896"/>
      <c r="N5" s="895" t="s">
        <v>621</v>
      </c>
    </row>
    <row r="6" spans="2:21" x14ac:dyDescent="0.2">
      <c r="C6" s="896"/>
      <c r="D6" s="896"/>
      <c r="E6" s="896"/>
      <c r="F6" s="896"/>
      <c r="G6" s="896"/>
      <c r="H6" s="896"/>
      <c r="I6" s="896"/>
    </row>
    <row r="7" spans="2:21" x14ac:dyDescent="0.2">
      <c r="B7" s="168" t="s">
        <v>563</v>
      </c>
      <c r="C7" s="896"/>
      <c r="D7" s="896"/>
      <c r="E7" s="896"/>
      <c r="F7" s="896"/>
      <c r="G7" s="896"/>
      <c r="H7" s="896"/>
      <c r="I7" s="896"/>
      <c r="N7" s="168" t="s">
        <v>564</v>
      </c>
    </row>
    <row r="8" spans="2:21" ht="12.95" customHeight="1" x14ac:dyDescent="0.2">
      <c r="B8" s="601" t="s">
        <v>617</v>
      </c>
      <c r="C8" s="1534"/>
      <c r="D8" s="1534"/>
      <c r="E8" s="1534"/>
      <c r="F8" s="1534"/>
      <c r="G8" s="1534"/>
      <c r="H8" s="1534"/>
      <c r="I8" s="1534"/>
      <c r="J8" s="1534"/>
      <c r="K8" s="1534"/>
      <c r="L8" s="1534"/>
      <c r="N8" s="601" t="s">
        <v>618</v>
      </c>
      <c r="O8" s="1534"/>
      <c r="P8" s="1534"/>
      <c r="Q8" s="1534"/>
      <c r="R8" s="1534"/>
      <c r="S8" s="1534"/>
      <c r="T8" s="1534"/>
      <c r="U8" s="1534"/>
    </row>
    <row r="9" spans="2:21" x14ac:dyDescent="0.2">
      <c r="B9" s="601" t="s">
        <v>561</v>
      </c>
      <c r="C9" s="1534"/>
      <c r="D9" s="1534"/>
      <c r="E9" s="1534"/>
      <c r="F9" s="1534"/>
      <c r="G9" s="1534"/>
      <c r="H9" s="1534"/>
      <c r="I9" s="1534"/>
      <c r="J9" s="1534"/>
      <c r="K9" s="1534"/>
      <c r="L9" s="1534"/>
      <c r="N9" s="1534"/>
      <c r="O9" s="1534"/>
      <c r="P9" s="1534"/>
      <c r="Q9" s="1534"/>
      <c r="R9" s="1534"/>
      <c r="S9" s="1534"/>
      <c r="T9" s="1534"/>
      <c r="U9" s="1534"/>
    </row>
    <row r="10" spans="2:21" ht="13.5" thickBot="1" x14ac:dyDescent="0.25">
      <c r="C10" s="896"/>
      <c r="D10" s="896"/>
      <c r="E10" s="896"/>
      <c r="F10" s="896"/>
      <c r="G10" s="896"/>
      <c r="H10" s="896"/>
      <c r="I10" s="896"/>
    </row>
    <row r="11" spans="2:21" ht="13.5" thickBot="1" x14ac:dyDescent="0.25">
      <c r="B11" s="897"/>
      <c r="C11" s="896"/>
      <c r="D11" s="1633" t="s">
        <v>565</v>
      </c>
      <c r="E11" s="1634"/>
      <c r="F11" s="1634"/>
      <c r="G11" s="1634"/>
      <c r="H11" s="1634"/>
      <c r="I11" s="1634"/>
      <c r="J11" s="1634"/>
      <c r="K11" s="1634"/>
      <c r="L11" s="1635"/>
      <c r="M11" s="1036"/>
      <c r="N11" s="1630" t="s">
        <v>566</v>
      </c>
      <c r="O11" s="1631"/>
      <c r="P11" s="1631"/>
      <c r="Q11" s="1631"/>
      <c r="R11" s="1631"/>
      <c r="S11" s="1631"/>
      <c r="T11" s="1631"/>
      <c r="U11" s="1632"/>
    </row>
    <row r="12" spans="2:21" ht="13.5" customHeight="1" thickBot="1" x14ac:dyDescent="0.25">
      <c r="B12" s="1011"/>
      <c r="C12" s="1012"/>
      <c r="D12" s="1012"/>
      <c r="E12" s="1012"/>
      <c r="F12" s="964" t="s">
        <v>178</v>
      </c>
      <c r="G12" s="964" t="s">
        <v>487</v>
      </c>
      <c r="H12" s="1012"/>
      <c r="I12" s="1012"/>
      <c r="J12" s="1580" t="s">
        <v>213</v>
      </c>
      <c r="K12" s="1581"/>
      <c r="L12" s="1582"/>
      <c r="M12" s="1036"/>
      <c r="N12" s="1011"/>
      <c r="O12" s="1012"/>
      <c r="P12" s="964" t="s">
        <v>178</v>
      </c>
      <c r="Q12" s="1012"/>
      <c r="R12" s="1012"/>
      <c r="S12" s="1580" t="s">
        <v>213</v>
      </c>
      <c r="T12" s="1581"/>
      <c r="U12" s="1582"/>
    </row>
    <row r="13" spans="2:21" ht="51" x14ac:dyDescent="0.2">
      <c r="B13" s="1035" t="s">
        <v>173</v>
      </c>
      <c r="C13" s="69" t="s">
        <v>158</v>
      </c>
      <c r="D13" s="69" t="s">
        <v>207</v>
      </c>
      <c r="E13" s="69" t="s">
        <v>208</v>
      </c>
      <c r="F13" s="67" t="s">
        <v>201</v>
      </c>
      <c r="G13" s="1187" t="s">
        <v>505</v>
      </c>
      <c r="H13" s="69" t="s">
        <v>202</v>
      </c>
      <c r="I13" s="69" t="s">
        <v>203</v>
      </c>
      <c r="J13" s="68" t="s">
        <v>204</v>
      </c>
      <c r="K13" s="69" t="s">
        <v>205</v>
      </c>
      <c r="L13" s="70" t="s">
        <v>206</v>
      </c>
      <c r="M13" s="1036"/>
      <c r="N13" s="1025" t="s">
        <v>207</v>
      </c>
      <c r="O13" s="69" t="s">
        <v>208</v>
      </c>
      <c r="P13" s="67" t="s">
        <v>201</v>
      </c>
      <c r="Q13" s="69" t="s">
        <v>202</v>
      </c>
      <c r="R13" s="69" t="s">
        <v>203</v>
      </c>
      <c r="S13" s="68" t="s">
        <v>204</v>
      </c>
      <c r="T13" s="69" t="s">
        <v>205</v>
      </c>
      <c r="U13" s="70" t="s">
        <v>206</v>
      </c>
    </row>
    <row r="14" spans="2:21" x14ac:dyDescent="0.2">
      <c r="B14" s="71"/>
      <c r="C14" s="72"/>
      <c r="D14" s="72"/>
      <c r="E14" s="72"/>
      <c r="F14" s="1466" t="s">
        <v>197</v>
      </c>
      <c r="G14" s="1466" t="s">
        <v>198</v>
      </c>
      <c r="H14" s="72"/>
      <c r="I14" s="72"/>
      <c r="J14" s="73"/>
      <c r="K14" s="72"/>
      <c r="L14" s="74"/>
      <c r="M14" s="1036"/>
      <c r="N14" s="1023"/>
      <c r="O14" s="72"/>
      <c r="P14" s="1466" t="s">
        <v>488</v>
      </c>
      <c r="Q14" s="72"/>
      <c r="R14" s="72"/>
      <c r="S14" s="73"/>
      <c r="T14" s="72"/>
      <c r="U14" s="74"/>
    </row>
    <row r="15" spans="2:21" ht="13.5" thickBot="1" x14ac:dyDescent="0.25">
      <c r="B15" s="75"/>
      <c r="C15" s="76"/>
      <c r="D15" s="109" t="s">
        <v>35</v>
      </c>
      <c r="E15" s="109" t="s">
        <v>36</v>
      </c>
      <c r="F15" s="129" t="s">
        <v>13</v>
      </c>
      <c r="G15" s="129" t="s">
        <v>37</v>
      </c>
      <c r="H15" s="109" t="s">
        <v>513</v>
      </c>
      <c r="I15" s="109" t="s">
        <v>489</v>
      </c>
      <c r="J15" s="125" t="s">
        <v>40</v>
      </c>
      <c r="K15" s="109" t="s">
        <v>41</v>
      </c>
      <c r="L15" s="126" t="s">
        <v>42</v>
      </c>
      <c r="M15" s="1036"/>
      <c r="N15" s="1024" t="s">
        <v>35</v>
      </c>
      <c r="O15" s="109" t="s">
        <v>36</v>
      </c>
      <c r="P15" s="129" t="s">
        <v>13</v>
      </c>
      <c r="Q15" s="109" t="s">
        <v>215</v>
      </c>
      <c r="R15" s="109" t="s">
        <v>216</v>
      </c>
      <c r="S15" s="125" t="s">
        <v>39</v>
      </c>
      <c r="T15" s="109" t="s">
        <v>40</v>
      </c>
      <c r="U15" s="126" t="s">
        <v>41</v>
      </c>
    </row>
    <row r="16" spans="2:21" ht="12" customHeight="1" thickTop="1" x14ac:dyDescent="0.2">
      <c r="B16" s="77"/>
      <c r="C16" s="69"/>
      <c r="D16" s="69"/>
      <c r="E16" s="69"/>
      <c r="F16" s="67"/>
      <c r="G16" s="67"/>
      <c r="H16" s="69"/>
      <c r="I16" s="69"/>
      <c r="J16" s="68"/>
      <c r="K16" s="69"/>
      <c r="L16" s="70"/>
      <c r="M16" s="1036"/>
      <c r="N16" s="1025"/>
      <c r="O16" s="69"/>
      <c r="P16" s="67"/>
      <c r="Q16" s="69"/>
      <c r="R16" s="69"/>
      <c r="S16" s="68"/>
      <c r="T16" s="69"/>
      <c r="U16" s="70"/>
    </row>
    <row r="17" spans="2:21" x14ac:dyDescent="0.2">
      <c r="B17" s="77">
        <v>1</v>
      </c>
      <c r="C17" s="79" t="s">
        <v>281</v>
      </c>
      <c r="D17" s="80">
        <f>'Rate Spread Proposal'!E$15</f>
        <v>208635.1321174161</v>
      </c>
      <c r="E17" s="81">
        <f>'Rate Spread Proposal'!E$14</f>
        <v>283691.13211741613</v>
      </c>
      <c r="F17" s="82">
        <f>SUM('Rev Req Proof Yr1'!AF14:AH14)</f>
        <v>28394.63053745855</v>
      </c>
      <c r="G17" s="82">
        <f>SUM('Rev Req Proof Yr1'!AM14:AO14)</f>
        <v>-1953.8082260179419</v>
      </c>
      <c r="H17" s="81">
        <f>D17+F17+G17</f>
        <v>235075.9544288567</v>
      </c>
      <c r="I17" s="81">
        <f>E17+F17+G17</f>
        <v>310131.95442885678</v>
      </c>
      <c r="J17" s="83">
        <f>IFERROR((F17+G17)/D17,0)</f>
        <v>0.12673235827109017</v>
      </c>
      <c r="K17" s="84">
        <f>IFERROR((F17+G17)/E17,0)</f>
        <v>9.3202850981246352E-2</v>
      </c>
      <c r="L17" s="1302">
        <f>'Avg Bill by RS'!S14</f>
        <v>8.5999999999999993E-2</v>
      </c>
      <c r="M17" s="1036"/>
      <c r="N17" s="1190">
        <f>H17</f>
        <v>235075.9544288567</v>
      </c>
      <c r="O17" s="81">
        <f>I17</f>
        <v>310131.95442885678</v>
      </c>
      <c r="P17" s="82">
        <f>SUM('Rev Req Proof Yr2'!AF14:AH14)</f>
        <v>13313.807483007986</v>
      </c>
      <c r="Q17" s="81">
        <f>N17+P17</f>
        <v>248389.76191186468</v>
      </c>
      <c r="R17" s="81">
        <f>O17+P17</f>
        <v>323445.76191186474</v>
      </c>
      <c r="S17" s="83">
        <f>IFERROR((P17)/N17,0)</f>
        <v>5.6636194524256507E-2</v>
      </c>
      <c r="T17" s="84">
        <f>IFERROR((P17)/O17,0)</f>
        <v>4.2929492730044136E-2</v>
      </c>
      <c r="U17" s="589">
        <f>'Avg Bill by RS'!AL14</f>
        <v>4.1000000000000002E-2</v>
      </c>
    </row>
    <row r="18" spans="2:21" x14ac:dyDescent="0.2">
      <c r="B18" s="77">
        <v>2</v>
      </c>
      <c r="C18" s="86" t="s">
        <v>282</v>
      </c>
      <c r="D18" s="80">
        <f>'Rate Spread Proposal'!F$15</f>
        <v>37604.380821902283</v>
      </c>
      <c r="E18" s="81">
        <f>'Rate Spread Proposal'!F$14</f>
        <v>53871.380821902283</v>
      </c>
      <c r="F18" s="82">
        <f>SUM('Rev Req Proof Yr1'!AF15:AH15)</f>
        <v>5117.9001141686094</v>
      </c>
      <c r="G18" s="82">
        <f>SUM('Rev Req Proof Yr1'!AM15:AO15)</f>
        <v>-351.83527201159131</v>
      </c>
      <c r="H18" s="81">
        <f t="shared" ref="H18:H39" si="0">D18+F18+G18</f>
        <v>42370.445664059298</v>
      </c>
      <c r="I18" s="81">
        <f t="shared" ref="I18:I39" si="1">E18+F18+G18</f>
        <v>58637.445664059298</v>
      </c>
      <c r="J18" s="83">
        <f t="shared" ref="J18:J39" si="2">IFERROR((F18+G18)/D18,0)</f>
        <v>0.12674227677699385</v>
      </c>
      <c r="K18" s="84">
        <f t="shared" ref="K18:K39" si="3">IFERROR((F18+G18)/E18,0)</f>
        <v>8.8471183946695828E-2</v>
      </c>
      <c r="L18" s="1302">
        <f>'Avg Bill by RS'!S15</f>
        <v>8.2000000000000003E-2</v>
      </c>
      <c r="M18" s="1036"/>
      <c r="N18" s="1190">
        <f t="shared" ref="N18:N39" si="4">H18</f>
        <v>42370.445664059298</v>
      </c>
      <c r="O18" s="81">
        <f t="shared" ref="O18:O39" si="5">I18</f>
        <v>58637.445664059298</v>
      </c>
      <c r="P18" s="82">
        <f>SUM('Rev Req Proof Yr2'!AF15:AH15)</f>
        <v>2400.0191769362136</v>
      </c>
      <c r="Q18" s="81">
        <f t="shared" ref="Q18:Q39" si="6">N18+P18</f>
        <v>44770.464840995512</v>
      </c>
      <c r="R18" s="81">
        <f t="shared" ref="R18:R39" si="7">O18+P18</f>
        <v>61037.464840995512</v>
      </c>
      <c r="S18" s="83">
        <f t="shared" ref="S18:S38" si="8">IFERROR((P18)/N18,0)</f>
        <v>5.6643708587942189E-2</v>
      </c>
      <c r="T18" s="84">
        <f>IFERROR((P18)/O18,0)</f>
        <v>4.0929804321392184E-2</v>
      </c>
      <c r="U18" s="589">
        <f>'Avg Bill by RS'!AL15</f>
        <v>3.9E-2</v>
      </c>
    </row>
    <row r="19" spans="2:21" x14ac:dyDescent="0.2">
      <c r="B19" s="77">
        <v>3</v>
      </c>
      <c r="C19" s="86" t="s">
        <v>12</v>
      </c>
      <c r="D19" s="80">
        <f>'Rate Spread Proposal'!G$15</f>
        <v>33798099.589697547</v>
      </c>
      <c r="E19" s="81">
        <f>'Rate Spread Proposal'!G$14</f>
        <v>53008197.589697547</v>
      </c>
      <c r="F19" s="82">
        <f>SUM('Rev Req Proof Yr1'!AF16:AH16)</f>
        <v>4599609.2712115422</v>
      </c>
      <c r="G19" s="82">
        <f>SUM('Rev Req Proof Yr1'!AM16:AO16)</f>
        <v>-316532.25092208461</v>
      </c>
      <c r="H19" s="81">
        <f t="shared" si="0"/>
        <v>38081176.609987006</v>
      </c>
      <c r="I19" s="81">
        <f t="shared" si="1"/>
        <v>57291274.609987006</v>
      </c>
      <c r="J19" s="83">
        <f t="shared" si="2"/>
        <v>0.1267253801925313</v>
      </c>
      <c r="K19" s="84">
        <f t="shared" si="3"/>
        <v>8.0800276467462809E-2</v>
      </c>
      <c r="L19" s="1302">
        <f>'Avg Bill by RS'!S16</f>
        <v>7.5999999999999998E-2</v>
      </c>
      <c r="M19" s="1036"/>
      <c r="N19" s="1190">
        <f t="shared" si="4"/>
        <v>38081176.609987006</v>
      </c>
      <c r="O19" s="81">
        <f t="shared" si="5"/>
        <v>57291274.609987006</v>
      </c>
      <c r="P19" s="82">
        <f>SUM('Rev Req Proof Yr2'!AF16:AH16)</f>
        <v>2156925.4945645519</v>
      </c>
      <c r="Q19" s="81">
        <f t="shared" si="6"/>
        <v>40238102.104551554</v>
      </c>
      <c r="R19" s="81">
        <f t="shared" si="7"/>
        <v>59448200.104551554</v>
      </c>
      <c r="S19" s="83">
        <f t="shared" si="8"/>
        <v>5.6640200922754208E-2</v>
      </c>
      <c r="T19" s="84">
        <f t="shared" ref="T19:T38" si="9">IFERROR((P19)/O19,0)</f>
        <v>3.7648411721469308E-2</v>
      </c>
      <c r="U19" s="589">
        <f>'Avg Bill by RS'!AL16</f>
        <v>3.5999999999999997E-2</v>
      </c>
    </row>
    <row r="20" spans="2:21" x14ac:dyDescent="0.2">
      <c r="B20" s="77">
        <v>4</v>
      </c>
      <c r="C20" s="86" t="s">
        <v>10</v>
      </c>
      <c r="D20" s="80">
        <f>'Rate Spread Proposal'!H$15</f>
        <v>9866168.0688334089</v>
      </c>
      <c r="E20" s="81">
        <f>'Rate Spread Proposal'!H$14</f>
        <v>16112007.068833409</v>
      </c>
      <c r="F20" s="82">
        <f>SUM('Rev Req Proof Yr1'!AF17:AH17)</f>
        <v>1342720.8770816317</v>
      </c>
      <c r="G20" s="82">
        <f>SUM('Rev Req Proof Yr1'!AM17:AO17)</f>
        <v>-92373.478835822199</v>
      </c>
      <c r="H20" s="81">
        <f t="shared" si="0"/>
        <v>11116515.467079217</v>
      </c>
      <c r="I20" s="81">
        <f t="shared" si="1"/>
        <v>17362354.467079218</v>
      </c>
      <c r="J20" s="83">
        <f t="shared" si="2"/>
        <v>0.12673080263000755</v>
      </c>
      <c r="K20" s="84">
        <f t="shared" si="3"/>
        <v>7.7603453927502591E-2</v>
      </c>
      <c r="L20" s="1302">
        <f>'Avg Bill by RS'!S17</f>
        <v>7.2999999999999995E-2</v>
      </c>
      <c r="M20" s="1036"/>
      <c r="N20" s="1190">
        <f t="shared" si="4"/>
        <v>11116515.467079217</v>
      </c>
      <c r="O20" s="81">
        <f t="shared" si="5"/>
        <v>17362354.467079218</v>
      </c>
      <c r="P20" s="82">
        <f>SUM('Rev Req Proof Yr2'!AF17:AH17)</f>
        <v>629640.50177454017</v>
      </c>
      <c r="Q20" s="81">
        <f t="shared" si="6"/>
        <v>11746155.968853757</v>
      </c>
      <c r="R20" s="81">
        <f t="shared" si="7"/>
        <v>17991994.968853757</v>
      </c>
      <c r="S20" s="83">
        <f t="shared" si="8"/>
        <v>5.6640095868096124E-2</v>
      </c>
      <c r="T20" s="84">
        <f t="shared" si="9"/>
        <v>3.6264695722484086E-2</v>
      </c>
      <c r="U20" s="589">
        <f>'Avg Bill by RS'!AL17</f>
        <v>3.5000000000000003E-2</v>
      </c>
    </row>
    <row r="21" spans="2:21" x14ac:dyDescent="0.2">
      <c r="B21" s="77">
        <v>5</v>
      </c>
      <c r="C21" s="86" t="s">
        <v>11</v>
      </c>
      <c r="D21" s="80">
        <f>'Rate Spread Proposal'!I$15</f>
        <v>141888.72505190157</v>
      </c>
      <c r="E21" s="81">
        <f>'Rate Spread Proposal'!I$14</f>
        <v>241043.72505190157</v>
      </c>
      <c r="F21" s="82">
        <f>SUM('Rev Req Proof Yr1'!AF18:AH18)</f>
        <v>19311.028159999987</v>
      </c>
      <c r="G21" s="82">
        <f>SUM('Rev Req Proof Yr1'!AM18:AO18)</f>
        <v>-1330.3278799999996</v>
      </c>
      <c r="H21" s="81">
        <f t="shared" si="0"/>
        <v>159869.42533190156</v>
      </c>
      <c r="I21" s="81">
        <f t="shared" si="1"/>
        <v>259024.42533190156</v>
      </c>
      <c r="J21" s="83">
        <f t="shared" si="2"/>
        <v>0.12672395409446954</v>
      </c>
      <c r="K21" s="84">
        <f t="shared" si="3"/>
        <v>7.4595180920508847E-2</v>
      </c>
      <c r="L21" s="1302">
        <f>'Avg Bill by RS'!S18</f>
        <v>7.4999999999999997E-2</v>
      </c>
      <c r="M21" s="1036"/>
      <c r="N21" s="1190">
        <f t="shared" si="4"/>
        <v>159869.42533190156</v>
      </c>
      <c r="O21" s="81">
        <f t="shared" si="5"/>
        <v>259024.42533190156</v>
      </c>
      <c r="P21" s="82">
        <f>SUM('Rev Req Proof Yr2'!AF18:AH18)</f>
        <v>9054.1718399999954</v>
      </c>
      <c r="Q21" s="81">
        <f t="shared" si="6"/>
        <v>168923.59717190155</v>
      </c>
      <c r="R21" s="81">
        <f t="shared" si="7"/>
        <v>268078.59717190155</v>
      </c>
      <c r="S21" s="83">
        <f t="shared" si="8"/>
        <v>5.6634793183267029E-2</v>
      </c>
      <c r="T21" s="84">
        <f t="shared" si="9"/>
        <v>3.4954895965499819E-2</v>
      </c>
      <c r="U21" s="589">
        <f>'Avg Bill by RS'!AL18</f>
        <v>3.5000000000000003E-2</v>
      </c>
    </row>
    <row r="22" spans="2:21" x14ac:dyDescent="0.2">
      <c r="B22" s="77">
        <v>6</v>
      </c>
      <c r="C22" s="86" t="s">
        <v>470</v>
      </c>
      <c r="D22" s="80">
        <f>'Rate Spread Proposal'!J$15</f>
        <v>201938.20437801833</v>
      </c>
      <c r="E22" s="81">
        <f>'Rate Spread Proposal'!J$14</f>
        <v>363218.20437801839</v>
      </c>
      <c r="F22" s="82">
        <f>SUM('Rev Req Proof Yr1'!AF19:AH19)</f>
        <v>27483.916299070072</v>
      </c>
      <c r="G22" s="82">
        <f>SUM('Rev Req Proof Yr1'!AM19:AO19)</f>
        <v>-1891.6242542586419</v>
      </c>
      <c r="H22" s="81">
        <f t="shared" si="0"/>
        <v>227530.49642282975</v>
      </c>
      <c r="I22" s="81">
        <f t="shared" si="1"/>
        <v>388810.4964228298</v>
      </c>
      <c r="J22" s="83">
        <f t="shared" si="2"/>
        <v>0.12673328518314408</v>
      </c>
      <c r="K22" s="84">
        <f t="shared" si="3"/>
        <v>7.0459827553622068E-2</v>
      </c>
      <c r="L22" s="1302">
        <f>'Avg Bill by RS'!S19</f>
        <v>6.7000000000000004E-2</v>
      </c>
      <c r="M22" s="1036"/>
      <c r="N22" s="1190">
        <f t="shared" si="4"/>
        <v>227530.49642282975</v>
      </c>
      <c r="O22" s="81">
        <f t="shared" si="5"/>
        <v>388810.4964228298</v>
      </c>
      <c r="P22" s="82">
        <f>SUM('Rev Req Proof Yr2'!AF19:AH19)</f>
        <v>12886.113517425343</v>
      </c>
      <c r="Q22" s="81">
        <f t="shared" si="6"/>
        <v>240416.60994025509</v>
      </c>
      <c r="R22" s="81">
        <f t="shared" si="7"/>
        <v>401696.60994025518</v>
      </c>
      <c r="S22" s="83">
        <f t="shared" si="8"/>
        <v>5.6634665330657571E-2</v>
      </c>
      <c r="T22" s="84">
        <f t="shared" si="9"/>
        <v>3.3142401339422041E-2</v>
      </c>
      <c r="U22" s="589">
        <f>'Avg Bill by RS'!AL19</f>
        <v>3.2000000000000001E-2</v>
      </c>
    </row>
    <row r="23" spans="2:21" x14ac:dyDescent="0.2">
      <c r="B23" s="77">
        <v>7</v>
      </c>
      <c r="C23" s="86" t="s">
        <v>352</v>
      </c>
      <c r="D23" s="80">
        <f>'Rate Spread Proposal'!K$15</f>
        <v>1542348.175315036</v>
      </c>
      <c r="E23" s="81">
        <f>'Rate Spread Proposal'!K$14</f>
        <v>2853836.1753150364</v>
      </c>
      <c r="F23" s="82">
        <f>SUM('Rev Req Proof Yr1'!AF22:AH22)</f>
        <v>209902.4317501164</v>
      </c>
      <c r="G23" s="82">
        <f>SUM('Rev Req Proof Yr1'!AM22:AO22)</f>
        <v>-14451.994176944718</v>
      </c>
      <c r="H23" s="81">
        <f t="shared" si="0"/>
        <v>1737798.6128882077</v>
      </c>
      <c r="I23" s="81">
        <f t="shared" si="1"/>
        <v>3049286.6128882081</v>
      </c>
      <c r="J23" s="83">
        <f t="shared" si="2"/>
        <v>0.12672264324055721</v>
      </c>
      <c r="K23" s="84">
        <f t="shared" si="3"/>
        <v>6.8486915704471296E-2</v>
      </c>
      <c r="L23" s="1302">
        <f>'Avg Bill by RS'!S22</f>
        <v>7.4999999999999997E-2</v>
      </c>
      <c r="M23" s="1036"/>
      <c r="N23" s="1190">
        <f t="shared" si="4"/>
        <v>1737798.6128882077</v>
      </c>
      <c r="O23" s="81">
        <f t="shared" si="5"/>
        <v>3049286.6128882081</v>
      </c>
      <c r="P23" s="82">
        <f>SUM('Rev Req Proof Yr2'!AF22:AH22)</f>
        <v>98435.082024062751</v>
      </c>
      <c r="Q23" s="81">
        <f t="shared" si="6"/>
        <v>1836233.6949122704</v>
      </c>
      <c r="R23" s="81">
        <f t="shared" si="7"/>
        <v>3147721.6949122706</v>
      </c>
      <c r="S23" s="83">
        <f t="shared" si="8"/>
        <v>5.6643549657612174E-2</v>
      </c>
      <c r="T23" s="84">
        <f t="shared" si="9"/>
        <v>3.2281347908725277E-2</v>
      </c>
      <c r="U23" s="589">
        <f>'Avg Bill by RS'!AL22</f>
        <v>3.5999999999999997E-2</v>
      </c>
    </row>
    <row r="24" spans="2:21" x14ac:dyDescent="0.2">
      <c r="B24" s="77">
        <v>8</v>
      </c>
      <c r="C24" s="86" t="s">
        <v>353</v>
      </c>
      <c r="D24" s="80">
        <f>'Rate Spread Proposal'!L$15</f>
        <v>392614.2804678994</v>
      </c>
      <c r="E24" s="81">
        <f>'Rate Spread Proposal'!L$14</f>
        <v>747266.28046789952</v>
      </c>
      <c r="F24" s="82">
        <f>SUM('Rev Req Proof Yr1'!AF25:AH25)</f>
        <v>53433.67476200001</v>
      </c>
      <c r="G24" s="82">
        <f>SUM('Rev Req Proof Yr1'!AM25:AO25)</f>
        <v>-3674.6766820000012</v>
      </c>
      <c r="H24" s="81">
        <f t="shared" si="0"/>
        <v>442373.27854789939</v>
      </c>
      <c r="I24" s="81">
        <f t="shared" si="1"/>
        <v>797025.27854789945</v>
      </c>
      <c r="J24" s="83">
        <f t="shared" si="2"/>
        <v>0.12673761642266182</v>
      </c>
      <c r="K24" s="84">
        <f t="shared" si="3"/>
        <v>6.6588041479462304E-2</v>
      </c>
      <c r="L24" s="1302">
        <f>'Avg Bill by RS'!S25</f>
        <v>7.8E-2</v>
      </c>
      <c r="M24" s="1036"/>
      <c r="N24" s="1190">
        <f t="shared" si="4"/>
        <v>442373.27854789939</v>
      </c>
      <c r="O24" s="81">
        <f t="shared" si="5"/>
        <v>797025.27854789945</v>
      </c>
      <c r="P24" s="82">
        <f>SUM('Rev Req Proof Yr2'!AF25:AH25)</f>
        <v>25056.720428000001</v>
      </c>
      <c r="Q24" s="81">
        <f t="shared" si="6"/>
        <v>467429.99897589942</v>
      </c>
      <c r="R24" s="81">
        <f t="shared" si="7"/>
        <v>822081.99897589942</v>
      </c>
      <c r="S24" s="83">
        <f t="shared" si="8"/>
        <v>5.6641577697118757E-2</v>
      </c>
      <c r="T24" s="84">
        <f t="shared" si="9"/>
        <v>3.1437798903506356E-2</v>
      </c>
      <c r="U24" s="589">
        <f>'Avg Bill by RS'!AL25</f>
        <v>3.6999999999999998E-2</v>
      </c>
    </row>
    <row r="25" spans="2:21" x14ac:dyDescent="0.2">
      <c r="B25" s="77">
        <v>9</v>
      </c>
      <c r="C25" s="86" t="s">
        <v>355</v>
      </c>
      <c r="D25" s="80">
        <f>'Rate Spread Proposal'!M$15</f>
        <v>0</v>
      </c>
      <c r="E25" s="81">
        <f>'Rate Spread Proposal'!M$14</f>
        <v>0</v>
      </c>
      <c r="F25" s="82">
        <f>SUM('Rev Req Proof Yr1'!AF28:AH28)</f>
        <v>0</v>
      </c>
      <c r="G25" s="82">
        <f>SUM('Rev Req Proof Yr1'!AM28:AO28)</f>
        <v>0</v>
      </c>
      <c r="H25" s="81">
        <f t="shared" si="0"/>
        <v>0</v>
      </c>
      <c r="I25" s="81">
        <f t="shared" si="1"/>
        <v>0</v>
      </c>
      <c r="J25" s="83">
        <f t="shared" si="2"/>
        <v>0</v>
      </c>
      <c r="K25" s="84">
        <f t="shared" si="3"/>
        <v>0</v>
      </c>
      <c r="L25" s="1302">
        <f>'Avg Bill by RS'!S28</f>
        <v>0</v>
      </c>
      <c r="M25" s="1036"/>
      <c r="N25" s="1190">
        <f t="shared" si="4"/>
        <v>0</v>
      </c>
      <c r="O25" s="81">
        <f t="shared" si="5"/>
        <v>0</v>
      </c>
      <c r="P25" s="82">
        <f>SUM('Rev Req Proof Yr2'!AF28:AH28)</f>
        <v>0</v>
      </c>
      <c r="Q25" s="81">
        <f t="shared" si="6"/>
        <v>0</v>
      </c>
      <c r="R25" s="81">
        <f t="shared" si="7"/>
        <v>0</v>
      </c>
      <c r="S25" s="83">
        <f t="shared" si="8"/>
        <v>0</v>
      </c>
      <c r="T25" s="84">
        <f t="shared" si="9"/>
        <v>0</v>
      </c>
      <c r="U25" s="589">
        <f>'Avg Bill by RS'!AL28</f>
        <v>0</v>
      </c>
    </row>
    <row r="26" spans="2:21" x14ac:dyDescent="0.2">
      <c r="B26" s="77">
        <v>10</v>
      </c>
      <c r="C26" s="86" t="s">
        <v>356</v>
      </c>
      <c r="D26" s="80">
        <f>'Rate Spread Proposal'!N$15</f>
        <v>0</v>
      </c>
      <c r="E26" s="81">
        <f>'Rate Spread Proposal'!N$14</f>
        <v>0</v>
      </c>
      <c r="F26" s="82">
        <f>SUM('Rev Req Proof Yr1'!AF31:AH31)</f>
        <v>0</v>
      </c>
      <c r="G26" s="82">
        <f>SUM('Rev Req Proof Yr1'!AM31:AO31)</f>
        <v>0</v>
      </c>
      <c r="H26" s="81">
        <f t="shared" si="0"/>
        <v>0</v>
      </c>
      <c r="I26" s="81">
        <f t="shared" si="1"/>
        <v>0</v>
      </c>
      <c r="J26" s="83">
        <f t="shared" si="2"/>
        <v>0</v>
      </c>
      <c r="K26" s="84">
        <f t="shared" si="3"/>
        <v>0</v>
      </c>
      <c r="L26" s="1302">
        <f>'Avg Bill by RS'!S31</f>
        <v>0</v>
      </c>
      <c r="M26" s="1036"/>
      <c r="N26" s="1190">
        <f t="shared" si="4"/>
        <v>0</v>
      </c>
      <c r="O26" s="81">
        <f t="shared" si="5"/>
        <v>0</v>
      </c>
      <c r="P26" s="82">
        <f>SUM('Rev Req Proof Yr2'!AF31:AH31)</f>
        <v>0</v>
      </c>
      <c r="Q26" s="81">
        <f t="shared" si="6"/>
        <v>0</v>
      </c>
      <c r="R26" s="81">
        <f t="shared" si="7"/>
        <v>0</v>
      </c>
      <c r="S26" s="83">
        <f t="shared" si="8"/>
        <v>0</v>
      </c>
      <c r="T26" s="84">
        <f t="shared" si="9"/>
        <v>0</v>
      </c>
      <c r="U26" s="589">
        <f>'Avg Bill by RS'!AL31</f>
        <v>0</v>
      </c>
    </row>
    <row r="27" spans="2:21" x14ac:dyDescent="0.2">
      <c r="B27" s="77">
        <v>11</v>
      </c>
      <c r="C27" s="86" t="s">
        <v>357</v>
      </c>
      <c r="D27" s="80">
        <f>'Rate Spread Proposal'!O$15</f>
        <v>189841.33809000003</v>
      </c>
      <c r="E27" s="81">
        <f>'Rate Spread Proposal'!O$14</f>
        <v>189841.33809000003</v>
      </c>
      <c r="F27" s="82">
        <f>SUM('Rev Req Proof Yr1'!AF34:AH34)</f>
        <v>25836.995390000004</v>
      </c>
      <c r="G27" s="82">
        <f>SUM('Rev Req Proof Yr1'!AM34:AO34)</f>
        <v>-1779.01313</v>
      </c>
      <c r="H27" s="81">
        <f t="shared" si="0"/>
        <v>213899.32035000002</v>
      </c>
      <c r="I27" s="81">
        <f t="shared" si="1"/>
        <v>213899.32035000002</v>
      </c>
      <c r="J27" s="83">
        <f t="shared" si="2"/>
        <v>0.1267267840716261</v>
      </c>
      <c r="K27" s="84">
        <f t="shared" si="3"/>
        <v>0.1267267840716261</v>
      </c>
      <c r="L27" s="1302">
        <f>'Avg Bill by RS'!S34</f>
        <v>0.127</v>
      </c>
      <c r="M27" s="1036"/>
      <c r="N27" s="1190">
        <f t="shared" si="4"/>
        <v>213899.32035000002</v>
      </c>
      <c r="O27" s="81">
        <f t="shared" si="5"/>
        <v>213899.32035000002</v>
      </c>
      <c r="P27" s="82">
        <f>SUM('Rev Req Proof Yr2'!AF34:AH34)</f>
        <v>12114.902749999994</v>
      </c>
      <c r="Q27" s="81">
        <f t="shared" si="6"/>
        <v>226014.2231</v>
      </c>
      <c r="R27" s="81">
        <f t="shared" si="7"/>
        <v>226014.2231</v>
      </c>
      <c r="S27" s="83">
        <f>IFERROR((P27)/N27,0)</f>
        <v>5.6638341487839104E-2</v>
      </c>
      <c r="T27" s="84">
        <f t="shared" si="9"/>
        <v>5.6638341487839104E-2</v>
      </c>
      <c r="U27" s="589">
        <f>'Avg Bill by RS'!AL34</f>
        <v>5.7000000000000002E-2</v>
      </c>
    </row>
    <row r="28" spans="2:21" x14ac:dyDescent="0.2">
      <c r="B28" s="77">
        <v>12</v>
      </c>
      <c r="C28" s="86" t="s">
        <v>358</v>
      </c>
      <c r="D28" s="80">
        <f>'Rate Spread Proposal'!P$15</f>
        <v>0</v>
      </c>
      <c r="E28" s="81">
        <f>'Rate Spread Proposal'!P$14</f>
        <v>0</v>
      </c>
      <c r="F28" s="82">
        <f>SUM('Rev Req Proof Yr1'!AF37:AH37)</f>
        <v>0</v>
      </c>
      <c r="G28" s="82">
        <f>SUM('Rev Req Proof Yr1'!AM37:AO37)</f>
        <v>0</v>
      </c>
      <c r="H28" s="81">
        <f t="shared" si="0"/>
        <v>0</v>
      </c>
      <c r="I28" s="81">
        <f t="shared" si="1"/>
        <v>0</v>
      </c>
      <c r="J28" s="83">
        <f t="shared" si="2"/>
        <v>0</v>
      </c>
      <c r="K28" s="84">
        <f t="shared" si="3"/>
        <v>0</v>
      </c>
      <c r="L28" s="1302">
        <f>'Avg Bill by RS'!S37</f>
        <v>0</v>
      </c>
      <c r="M28" s="1036"/>
      <c r="N28" s="1190">
        <f t="shared" si="4"/>
        <v>0</v>
      </c>
      <c r="O28" s="81">
        <f t="shared" si="5"/>
        <v>0</v>
      </c>
      <c r="P28" s="82">
        <f>SUM('Rev Req Proof Yr2'!AF37:AH37)</f>
        <v>0</v>
      </c>
      <c r="Q28" s="81">
        <f t="shared" si="6"/>
        <v>0</v>
      </c>
      <c r="R28" s="81">
        <f t="shared" si="7"/>
        <v>0</v>
      </c>
      <c r="S28" s="83">
        <f t="shared" si="8"/>
        <v>0</v>
      </c>
      <c r="T28" s="84">
        <f t="shared" si="9"/>
        <v>0</v>
      </c>
      <c r="U28" s="589">
        <f>'Avg Bill by RS'!AL37</f>
        <v>0</v>
      </c>
    </row>
    <row r="29" spans="2:21" x14ac:dyDescent="0.2">
      <c r="B29" s="77">
        <v>13</v>
      </c>
      <c r="C29" s="86" t="s">
        <v>359</v>
      </c>
      <c r="D29" s="80">
        <f>'Rate Spread Proposal'!Q$15</f>
        <v>219574.60083981926</v>
      </c>
      <c r="E29" s="81">
        <f>'Rate Spread Proposal'!Q$14</f>
        <v>470188.60083981924</v>
      </c>
      <c r="F29" s="82">
        <f>SUM('Rev Req Proof Yr1'!AF44:AH44)</f>
        <v>29883.943719079431</v>
      </c>
      <c r="G29" s="82">
        <f>SUM('Rev Req Proof Yr1'!AM44:AO44)</f>
        <v>-2055.595853643305</v>
      </c>
      <c r="H29" s="81">
        <f t="shared" si="0"/>
        <v>247402.94870525537</v>
      </c>
      <c r="I29" s="81">
        <f t="shared" si="1"/>
        <v>498016.94870525534</v>
      </c>
      <c r="J29" s="83">
        <f t="shared" si="2"/>
        <v>0.12673755415699031</v>
      </c>
      <c r="K29" s="84">
        <f t="shared" si="3"/>
        <v>5.91855009154433E-2</v>
      </c>
      <c r="L29" s="1302">
        <f>'Avg Bill by RS'!S44</f>
        <v>7.5999999999999998E-2</v>
      </c>
      <c r="M29" s="1036"/>
      <c r="N29" s="1190">
        <f t="shared" si="4"/>
        <v>247402.94870525537</v>
      </c>
      <c r="O29" s="81">
        <f t="shared" si="5"/>
        <v>498016.94870525534</v>
      </c>
      <c r="P29" s="82">
        <f>SUM('Rev Req Proof Yr2'!AF44:AH44)</f>
        <v>14012.424282822392</v>
      </c>
      <c r="Q29" s="81">
        <f t="shared" si="6"/>
        <v>261415.37298807775</v>
      </c>
      <c r="R29" s="81">
        <f t="shared" si="7"/>
        <v>512029.37298807775</v>
      </c>
      <c r="S29" s="83">
        <f t="shared" si="8"/>
        <v>5.663806497115019E-2</v>
      </c>
      <c r="T29" s="84">
        <f t="shared" si="9"/>
        <v>2.813644057547017E-2</v>
      </c>
      <c r="U29" s="589">
        <f>'Avg Bill by RS'!AL44</f>
        <v>3.6999999999999998E-2</v>
      </c>
    </row>
    <row r="30" spans="2:21" x14ac:dyDescent="0.2">
      <c r="B30" s="77">
        <v>14</v>
      </c>
      <c r="C30" s="86" t="s">
        <v>360</v>
      </c>
      <c r="D30" s="80">
        <f>'Rate Spread Proposal'!R$15</f>
        <v>511672.37933789124</v>
      </c>
      <c r="E30" s="81">
        <f>'Rate Spread Proposal'!R$14</f>
        <v>1154958.3793378912</v>
      </c>
      <c r="F30" s="82">
        <f>SUM('Rev Req Proof Yr1'!AF51:AH51)</f>
        <v>69637.109626000005</v>
      </c>
      <c r="G30" s="82">
        <f>SUM('Rev Req Proof Yr1'!AM51:AO51)</f>
        <v>-4788.9728660000001</v>
      </c>
      <c r="H30" s="81">
        <f t="shared" si="0"/>
        <v>576520.51609789126</v>
      </c>
      <c r="I30" s="81">
        <f t="shared" si="1"/>
        <v>1219806.5160978914</v>
      </c>
      <c r="J30" s="83">
        <f t="shared" si="2"/>
        <v>0.12673761449448198</v>
      </c>
      <c r="K30" s="84">
        <f t="shared" si="3"/>
        <v>5.6147596242538039E-2</v>
      </c>
      <c r="L30" s="1302">
        <f>'Avg Bill by RS'!S51</f>
        <v>7.1999999999999995E-2</v>
      </c>
      <c r="M30" s="1036"/>
      <c r="N30" s="1190">
        <f t="shared" si="4"/>
        <v>576520.51609789126</v>
      </c>
      <c r="O30" s="81">
        <f t="shared" si="5"/>
        <v>1219806.5160978914</v>
      </c>
      <c r="P30" s="82">
        <f>SUM('Rev Req Proof Yr2'!AF51:AH51)</f>
        <v>32655.57115500002</v>
      </c>
      <c r="Q30" s="81">
        <f t="shared" si="6"/>
        <v>609176.08725289127</v>
      </c>
      <c r="R30" s="81">
        <f t="shared" si="7"/>
        <v>1252462.0872528914</v>
      </c>
      <c r="S30" s="83">
        <f t="shared" si="8"/>
        <v>5.6642513567470708E-2</v>
      </c>
      <c r="T30" s="84">
        <f t="shared" si="9"/>
        <v>2.6771107322384035E-2</v>
      </c>
      <c r="U30" s="589">
        <f>'Avg Bill by RS'!AL51</f>
        <v>3.4000000000000002E-2</v>
      </c>
    </row>
    <row r="31" spans="2:21" x14ac:dyDescent="0.2">
      <c r="B31" s="77">
        <v>15</v>
      </c>
      <c r="C31" s="86" t="s">
        <v>361</v>
      </c>
      <c r="D31" s="80">
        <f>'Rate Spread Proposal'!S$15</f>
        <v>360784.67333999998</v>
      </c>
      <c r="E31" s="81">
        <f>'Rate Spread Proposal'!S$14</f>
        <v>360784.67333999998</v>
      </c>
      <c r="F31" s="82">
        <f>SUM('Rev Req Proof Yr1'!AF58:AH58)</f>
        <v>49098.639150000003</v>
      </c>
      <c r="G31" s="82">
        <f>SUM('Rev Req Proof Yr1'!AM58:AO58)</f>
        <v>-3383.8287</v>
      </c>
      <c r="H31" s="81">
        <f t="shared" si="0"/>
        <v>406499.48378999997</v>
      </c>
      <c r="I31" s="81">
        <f t="shared" si="1"/>
        <v>406499.48378999997</v>
      </c>
      <c r="J31" s="83">
        <f t="shared" si="2"/>
        <v>0.12670940266611272</v>
      </c>
      <c r="K31" s="84">
        <f t="shared" si="3"/>
        <v>0.12670940266611272</v>
      </c>
      <c r="L31" s="1302">
        <f>'Avg Bill by RS'!S58</f>
        <v>0.13500000000000001</v>
      </c>
      <c r="M31" s="1036"/>
      <c r="N31" s="1190">
        <f t="shared" si="4"/>
        <v>406499.48378999997</v>
      </c>
      <c r="O31" s="81">
        <f t="shared" si="5"/>
        <v>406499.48378999997</v>
      </c>
      <c r="P31" s="82">
        <f>SUM('Rev Req Proof Yr2'!AF58:AH58)</f>
        <v>23020.772400000023</v>
      </c>
      <c r="Q31" s="81">
        <f t="shared" si="6"/>
        <v>429520.25618999999</v>
      </c>
      <c r="R31" s="81">
        <f t="shared" si="7"/>
        <v>429520.25618999999</v>
      </c>
      <c r="S31" s="83">
        <f t="shared" si="8"/>
        <v>5.6631738336702757E-2</v>
      </c>
      <c r="T31" s="84">
        <f t="shared" si="9"/>
        <v>5.6631738336702757E-2</v>
      </c>
      <c r="U31" s="589">
        <f>'Avg Bill by RS'!AL58</f>
        <v>6.0999999999999999E-2</v>
      </c>
    </row>
    <row r="32" spans="2:21" x14ac:dyDescent="0.2">
      <c r="B32" s="77">
        <v>16</v>
      </c>
      <c r="C32" s="86" t="s">
        <v>362</v>
      </c>
      <c r="D32" s="80">
        <f>'Rate Spread Proposal'!T$15</f>
        <v>823615.79209999996</v>
      </c>
      <c r="E32" s="81">
        <f>'Rate Spread Proposal'!T$14</f>
        <v>823615.79209999996</v>
      </c>
      <c r="F32" s="82">
        <f>SUM('Rev Req Proof Yr1'!AF65:AH65)</f>
        <v>112098.45365</v>
      </c>
      <c r="G32" s="82">
        <f>SUM('Rev Req Proof Yr1'!AM65:AO65)</f>
        <v>-7716.6626000000006</v>
      </c>
      <c r="H32" s="81">
        <f t="shared" si="0"/>
        <v>927997.58314999996</v>
      </c>
      <c r="I32" s="81">
        <f t="shared" si="1"/>
        <v>927997.58314999996</v>
      </c>
      <c r="J32" s="83">
        <f t="shared" si="2"/>
        <v>0.12673602431038186</v>
      </c>
      <c r="K32" s="84">
        <f t="shared" si="3"/>
        <v>0.12673602431038186</v>
      </c>
      <c r="L32" s="1302">
        <f>'Avg Bill by RS'!S65</f>
        <v>0.14000000000000001</v>
      </c>
      <c r="M32" s="1036"/>
      <c r="N32" s="1190">
        <f t="shared" si="4"/>
        <v>927997.58314999996</v>
      </c>
      <c r="O32" s="81">
        <f t="shared" si="5"/>
        <v>927997.58314999996</v>
      </c>
      <c r="P32" s="82">
        <f>SUM('Rev Req Proof Yr2'!AF65:AH65)</f>
        <v>52558.568929999994</v>
      </c>
      <c r="Q32" s="81">
        <f t="shared" si="6"/>
        <v>980556.15207999991</v>
      </c>
      <c r="R32" s="81">
        <f t="shared" si="7"/>
        <v>980556.15207999991</v>
      </c>
      <c r="S32" s="83">
        <f t="shared" si="8"/>
        <v>5.6636536435358924E-2</v>
      </c>
      <c r="T32" s="84">
        <f t="shared" si="9"/>
        <v>5.6636536435358924E-2</v>
      </c>
      <c r="U32" s="589">
        <f>'Avg Bill by RS'!AL65</f>
        <v>6.3E-2</v>
      </c>
    </row>
    <row r="33" spans="2:21" x14ac:dyDescent="0.2">
      <c r="B33" s="77">
        <v>17</v>
      </c>
      <c r="C33" s="86" t="s">
        <v>363</v>
      </c>
      <c r="D33" s="80">
        <f>'Rate Spread Proposal'!U$15</f>
        <v>160512.61187958997</v>
      </c>
      <c r="E33" s="81">
        <f>'Rate Spread Proposal'!U$14</f>
        <v>430728.61187958985</v>
      </c>
      <c r="F33" s="82">
        <f>SUM('Rev Req Proof Yr1'!AF72:AH72)</f>
        <v>21844.4555</v>
      </c>
      <c r="G33" s="82">
        <f>SUM('Rev Req Proof Yr1'!AM72:AO72)</f>
        <v>-1501.3931600000001</v>
      </c>
      <c r="H33" s="81">
        <f t="shared" si="0"/>
        <v>180855.67421958997</v>
      </c>
      <c r="I33" s="81">
        <f t="shared" si="1"/>
        <v>451071.67421958986</v>
      </c>
      <c r="J33" s="83">
        <f t="shared" si="2"/>
        <v>0.12673809304941433</v>
      </c>
      <c r="K33" s="84">
        <f t="shared" si="3"/>
        <v>4.7229419590279972E-2</v>
      </c>
      <c r="L33" s="1302">
        <f>'Avg Bill by RS'!S72</f>
        <v>0.05</v>
      </c>
      <c r="M33" s="1036"/>
      <c r="N33" s="1190">
        <f t="shared" si="4"/>
        <v>180855.67421958997</v>
      </c>
      <c r="O33" s="81">
        <f t="shared" si="5"/>
        <v>451071.67421958986</v>
      </c>
      <c r="P33" s="82">
        <f>SUM('Rev Req Proof Yr2'!AF72:AH72)</f>
        <v>10243.523710000001</v>
      </c>
      <c r="Q33" s="81">
        <f t="shared" si="6"/>
        <v>191099.19792958998</v>
      </c>
      <c r="R33" s="81">
        <f t="shared" si="7"/>
        <v>461315.19792958983</v>
      </c>
      <c r="S33" s="83">
        <f t="shared" si="8"/>
        <v>5.6639216625089667E-2</v>
      </c>
      <c r="T33" s="84">
        <f t="shared" si="9"/>
        <v>2.2709303854476282E-2</v>
      </c>
      <c r="U33" s="589">
        <f>'Avg Bill by RS'!AL72</f>
        <v>2.4E-2</v>
      </c>
    </row>
    <row r="34" spans="2:21" x14ac:dyDescent="0.2">
      <c r="B34" s="77">
        <v>18</v>
      </c>
      <c r="C34" s="86" t="s">
        <v>364</v>
      </c>
      <c r="D34" s="80">
        <f>'Rate Spread Proposal'!V$15</f>
        <v>81130.03459599179</v>
      </c>
      <c r="E34" s="81">
        <f>'Rate Spread Proposal'!V$14</f>
        <v>171731.03459599178</v>
      </c>
      <c r="F34" s="82">
        <f>SUM('Rev Req Proof Yr1'!AF79:AH79)</f>
        <v>11040.877800000002</v>
      </c>
      <c r="G34" s="82">
        <f>SUM('Rev Req Proof Yr1'!AM79:AO79)</f>
        <v>-760.61590000000001</v>
      </c>
      <c r="H34" s="81">
        <f t="shared" si="0"/>
        <v>91410.296495991788</v>
      </c>
      <c r="I34" s="81">
        <f t="shared" si="1"/>
        <v>182011.29649599179</v>
      </c>
      <c r="J34" s="83">
        <f t="shared" si="2"/>
        <v>0.1267133922867561</v>
      </c>
      <c r="K34" s="84">
        <f t="shared" si="3"/>
        <v>5.9862574776801257E-2</v>
      </c>
      <c r="L34" s="1302">
        <f>'Avg Bill by RS'!S79</f>
        <v>6.6000000000000003E-2</v>
      </c>
      <c r="M34" s="1036"/>
      <c r="N34" s="1190">
        <f t="shared" si="4"/>
        <v>91410.296495991788</v>
      </c>
      <c r="O34" s="81">
        <f t="shared" si="5"/>
        <v>182011.29649599179</v>
      </c>
      <c r="P34" s="82">
        <f>SUM('Rev Req Proof Yr2'!AF79:AH79)</f>
        <v>5177.2746000000006</v>
      </c>
      <c r="Q34" s="81">
        <f t="shared" si="6"/>
        <v>96587.571095991792</v>
      </c>
      <c r="R34" s="81">
        <f t="shared" si="7"/>
        <v>187188.57109599179</v>
      </c>
      <c r="S34" s="83">
        <f t="shared" si="8"/>
        <v>5.6637761810859201E-2</v>
      </c>
      <c r="T34" s="84">
        <f t="shared" si="9"/>
        <v>2.8444798205775175E-2</v>
      </c>
      <c r="U34" s="589">
        <f>'Avg Bill by RS'!AL79</f>
        <v>3.1E-2</v>
      </c>
    </row>
    <row r="35" spans="2:21" x14ac:dyDescent="0.2">
      <c r="B35" s="77">
        <v>19</v>
      </c>
      <c r="C35" s="86" t="s">
        <v>366</v>
      </c>
      <c r="D35" s="80">
        <f>'Rate Spread Proposal'!W$15</f>
        <v>0</v>
      </c>
      <c r="E35" s="81">
        <f>'Rate Spread Proposal'!W$14</f>
        <v>0</v>
      </c>
      <c r="F35" s="82">
        <f>SUM('Rev Req Proof Yr1'!AF86:AH86)</f>
        <v>0</v>
      </c>
      <c r="G35" s="82">
        <f>SUM('Rev Req Proof Yr1'!AM86:AO86)</f>
        <v>0</v>
      </c>
      <c r="H35" s="81">
        <f t="shared" si="0"/>
        <v>0</v>
      </c>
      <c r="I35" s="81">
        <f t="shared" si="1"/>
        <v>0</v>
      </c>
      <c r="J35" s="83">
        <f t="shared" si="2"/>
        <v>0</v>
      </c>
      <c r="K35" s="84">
        <f t="shared" si="3"/>
        <v>0</v>
      </c>
      <c r="L35" s="1302">
        <f>'Avg Bill by RS'!S86</f>
        <v>0</v>
      </c>
      <c r="M35" s="1036"/>
      <c r="N35" s="1190">
        <f t="shared" si="4"/>
        <v>0</v>
      </c>
      <c r="O35" s="81">
        <f t="shared" si="5"/>
        <v>0</v>
      </c>
      <c r="P35" s="82">
        <f>SUM('Rev Req Proof Yr2'!AF86:AH86)</f>
        <v>0</v>
      </c>
      <c r="Q35" s="81">
        <f t="shared" si="6"/>
        <v>0</v>
      </c>
      <c r="R35" s="81">
        <f t="shared" si="7"/>
        <v>0</v>
      </c>
      <c r="S35" s="83">
        <f t="shared" si="8"/>
        <v>0</v>
      </c>
      <c r="T35" s="84">
        <f t="shared" si="9"/>
        <v>0</v>
      </c>
      <c r="U35" s="589">
        <f>'Avg Bill by RS'!AL86</f>
        <v>0</v>
      </c>
    </row>
    <row r="36" spans="2:21" x14ac:dyDescent="0.2">
      <c r="B36" s="77">
        <v>20</v>
      </c>
      <c r="C36" s="86" t="s">
        <v>367</v>
      </c>
      <c r="D36" s="80">
        <f>'Rate Spread Proposal'!X$15</f>
        <v>825480.07319999998</v>
      </c>
      <c r="E36" s="81">
        <f>'Rate Spread Proposal'!X$14</f>
        <v>825480.07319999998</v>
      </c>
      <c r="F36" s="82">
        <f>SUM('Rev Req Proof Yr1'!AF93:AH93)</f>
        <v>112342.71842999995</v>
      </c>
      <c r="G36" s="82">
        <f>SUM('Rev Req Proof Yr1'!AM93:AO93)</f>
        <v>-7732.5836500000005</v>
      </c>
      <c r="H36" s="81">
        <f t="shared" si="0"/>
        <v>930090.20797999983</v>
      </c>
      <c r="I36" s="81">
        <f t="shared" si="1"/>
        <v>930090.20797999983</v>
      </c>
      <c r="J36" s="83">
        <f t="shared" si="2"/>
        <v>0.12672642039010754</v>
      </c>
      <c r="K36" s="84">
        <f t="shared" si="3"/>
        <v>0.12672642039010754</v>
      </c>
      <c r="L36" s="1302">
        <f>'Avg Bill by RS'!S93</f>
        <v>0.128</v>
      </c>
      <c r="M36" s="1036"/>
      <c r="N36" s="1190">
        <f t="shared" si="4"/>
        <v>930090.20797999983</v>
      </c>
      <c r="O36" s="81">
        <f t="shared" si="5"/>
        <v>930090.20797999983</v>
      </c>
      <c r="P36" s="82">
        <f>SUM('Rev Req Proof Yr2'!AF93:AH93)</f>
        <v>52693.327570000052</v>
      </c>
      <c r="Q36" s="81">
        <f t="shared" si="6"/>
        <v>982783.53554999991</v>
      </c>
      <c r="R36" s="81">
        <f t="shared" si="7"/>
        <v>982783.53554999991</v>
      </c>
      <c r="S36" s="83">
        <f t="shared" si="8"/>
        <v>5.6653996696128146E-2</v>
      </c>
      <c r="T36" s="84">
        <f t="shared" si="9"/>
        <v>5.6653996696128146E-2</v>
      </c>
      <c r="U36" s="589">
        <f>'Avg Bill by RS'!AL93</f>
        <v>5.8000000000000003E-2</v>
      </c>
    </row>
    <row r="37" spans="2:21" x14ac:dyDescent="0.2">
      <c r="B37" s="77">
        <v>21</v>
      </c>
      <c r="C37" s="86" t="s">
        <v>56</v>
      </c>
      <c r="D37" s="80">
        <f>'Rate Spread Proposal'!Y$15</f>
        <v>0</v>
      </c>
      <c r="E37" s="81">
        <f>'Rate Spread Proposal'!Y$14</f>
        <v>0</v>
      </c>
      <c r="F37" s="82">
        <f>SUM('Rev Req Proof Yr1'!AF94:AH94)</f>
        <v>0</v>
      </c>
      <c r="G37" s="82">
        <f>SUM('Rev Req Proof Yr1'!AM94:AO94)</f>
        <v>0</v>
      </c>
      <c r="H37" s="81">
        <f t="shared" si="0"/>
        <v>0</v>
      </c>
      <c r="I37" s="81">
        <f t="shared" si="1"/>
        <v>0</v>
      </c>
      <c r="J37" s="83">
        <f t="shared" si="2"/>
        <v>0</v>
      </c>
      <c r="K37" s="84">
        <f t="shared" si="3"/>
        <v>0</v>
      </c>
      <c r="L37" s="1302">
        <f>'Avg Bill by RS'!S94</f>
        <v>0</v>
      </c>
      <c r="M37" s="1036"/>
      <c r="N37" s="1190">
        <f t="shared" si="4"/>
        <v>0</v>
      </c>
      <c r="O37" s="81">
        <f t="shared" si="5"/>
        <v>0</v>
      </c>
      <c r="P37" s="82">
        <f>SUM('Rev Req Proof Yr2'!AF94:AH94)</f>
        <v>0</v>
      </c>
      <c r="Q37" s="81">
        <f t="shared" si="6"/>
        <v>0</v>
      </c>
      <c r="R37" s="81">
        <f t="shared" si="7"/>
        <v>0</v>
      </c>
      <c r="S37" s="83">
        <f t="shared" si="8"/>
        <v>0</v>
      </c>
      <c r="T37" s="84">
        <f t="shared" si="9"/>
        <v>0</v>
      </c>
      <c r="U37" s="589">
        <f>'Avg Bill by RS'!AL94</f>
        <v>0</v>
      </c>
    </row>
    <row r="38" spans="2:21" x14ac:dyDescent="0.2">
      <c r="B38" s="77">
        <v>22</v>
      </c>
      <c r="C38" s="86" t="s">
        <v>348</v>
      </c>
      <c r="D38" s="80">
        <f>'Rate Spread Proposal'!Z$15</f>
        <v>0</v>
      </c>
      <c r="E38" s="81">
        <f>'Rate Spread Proposal'!Z$14</f>
        <v>0</v>
      </c>
      <c r="F38" s="82">
        <f>SUM('Rev Req Proof Yr1'!AF95:AH95)</f>
        <v>0</v>
      </c>
      <c r="G38" s="82">
        <f>SUM('Rev Req Proof Yr1'!AM95:AO95)</f>
        <v>0</v>
      </c>
      <c r="H38" s="81">
        <f t="shared" si="0"/>
        <v>0</v>
      </c>
      <c r="I38" s="81">
        <f t="shared" si="1"/>
        <v>0</v>
      </c>
      <c r="J38" s="83">
        <f t="shared" si="2"/>
        <v>0</v>
      </c>
      <c r="K38" s="84">
        <f t="shared" si="3"/>
        <v>0</v>
      </c>
      <c r="L38" s="1302">
        <f>'Avg Bill by RS'!S95</f>
        <v>0</v>
      </c>
      <c r="M38" s="1036"/>
      <c r="N38" s="1190">
        <f t="shared" si="4"/>
        <v>0</v>
      </c>
      <c r="O38" s="81">
        <f t="shared" si="5"/>
        <v>0</v>
      </c>
      <c r="P38" s="82">
        <f>SUM('Rev Req Proof Yr2'!AF95:AH95)</f>
        <v>0</v>
      </c>
      <c r="Q38" s="81">
        <f t="shared" si="6"/>
        <v>0</v>
      </c>
      <c r="R38" s="81">
        <f t="shared" si="7"/>
        <v>0</v>
      </c>
      <c r="S38" s="83">
        <f t="shared" si="8"/>
        <v>0</v>
      </c>
      <c r="T38" s="84">
        <f t="shared" si="9"/>
        <v>0</v>
      </c>
      <c r="U38" s="589">
        <f>'Avg Bill by RS'!AL95</f>
        <v>0</v>
      </c>
    </row>
    <row r="39" spans="2:21" x14ac:dyDescent="0.2">
      <c r="B39" s="77">
        <v>23</v>
      </c>
      <c r="C39" s="86" t="s">
        <v>391</v>
      </c>
      <c r="D39" s="80">
        <f>'Rate Spread Proposal'!AA$15</f>
        <v>242994.60207180592</v>
      </c>
      <c r="E39" s="81">
        <f>'Rate Spread Proposal'!AA$14</f>
        <v>242994.60207180592</v>
      </c>
      <c r="F39" s="82">
        <f>SUM('Rev Req Proof Yr1'!AF96:AH96)</f>
        <v>0</v>
      </c>
      <c r="G39" s="82">
        <f>SUM('Rev Req Proof Yr1'!AM96:AO96)</f>
        <v>0</v>
      </c>
      <c r="H39" s="81">
        <f t="shared" si="0"/>
        <v>242994.60207180592</v>
      </c>
      <c r="I39" s="81">
        <f t="shared" si="1"/>
        <v>242994.60207180592</v>
      </c>
      <c r="J39" s="83">
        <f t="shared" si="2"/>
        <v>0</v>
      </c>
      <c r="K39" s="84">
        <f t="shared" si="3"/>
        <v>0</v>
      </c>
      <c r="L39" s="1302">
        <f>'Avg Bill by RS'!S96</f>
        <v>0</v>
      </c>
      <c r="M39" s="1036"/>
      <c r="N39" s="1190">
        <f t="shared" si="4"/>
        <v>242994.60207180592</v>
      </c>
      <c r="O39" s="81">
        <f t="shared" si="5"/>
        <v>242994.60207180592</v>
      </c>
      <c r="P39" s="82">
        <f>SUM('Rev Req Proof Yr2'!AF96:AH96)</f>
        <v>0</v>
      </c>
      <c r="Q39" s="81">
        <f t="shared" si="6"/>
        <v>242994.60207180592</v>
      </c>
      <c r="R39" s="81">
        <f t="shared" si="7"/>
        <v>242994.60207180592</v>
      </c>
      <c r="S39" s="83">
        <f>IFERROR((P39)/N39,0)</f>
        <v>0</v>
      </c>
      <c r="T39" s="84">
        <f>IFERROR((P39)/O39,0)</f>
        <v>0</v>
      </c>
      <c r="U39" s="589">
        <f>'Avg Bill by RS'!AL96</f>
        <v>0</v>
      </c>
    </row>
    <row r="40" spans="2:21" ht="13.5" thickBot="1" x14ac:dyDescent="0.25">
      <c r="B40" s="410"/>
      <c r="C40" s="55"/>
      <c r="D40" s="55"/>
      <c r="E40" s="55"/>
      <c r="F40" s="859"/>
      <c r="G40" s="1188"/>
      <c r="H40" s="55"/>
      <c r="I40" s="55"/>
      <c r="J40" s="423"/>
      <c r="K40" s="86"/>
      <c r="L40" s="783"/>
      <c r="M40" s="1036"/>
      <c r="N40" s="410"/>
      <c r="O40" s="55"/>
      <c r="P40" s="859"/>
      <c r="Q40" s="55"/>
      <c r="R40" s="55"/>
      <c r="S40" s="423"/>
      <c r="T40" s="86"/>
      <c r="U40" s="783"/>
    </row>
    <row r="41" spans="2:21" s="60" customFormat="1" x14ac:dyDescent="0.2">
      <c r="B41" s="1033"/>
      <c r="C41" s="361" t="s">
        <v>32</v>
      </c>
      <c r="D41" s="1026">
        <f t="shared" ref="D41:I41" si="10">SUM(D17:D39)</f>
        <v>49604902.662138224</v>
      </c>
      <c r="E41" s="1027">
        <f t="shared" si="10"/>
        <v>78333454.662138224</v>
      </c>
      <c r="F41" s="1028">
        <f>SUM(F17:F39)</f>
        <v>6717756.9231810682</v>
      </c>
      <c r="G41" s="1028">
        <f t="shared" si="10"/>
        <v>-462278.66210878297</v>
      </c>
      <c r="H41" s="1026">
        <f t="shared" si="10"/>
        <v>55860380.923210502</v>
      </c>
      <c r="I41" s="1027">
        <f t="shared" si="10"/>
        <v>84588932.923210517</v>
      </c>
      <c r="J41" s="1029">
        <f>(F41+G41)/(D41-D39)</f>
        <v>0.12672683263094811</v>
      </c>
      <c r="K41" s="1030">
        <f>(F41+G41)/(E41-E39)</f>
        <v>8.0105537299442628E-2</v>
      </c>
      <c r="L41" s="1031"/>
      <c r="M41" s="1037"/>
      <c r="N41" s="1032">
        <f>SUM(N17:N39)</f>
        <v>55860380.923210502</v>
      </c>
      <c r="O41" s="1027">
        <f>SUM(O17:O39)</f>
        <v>84588932.923210517</v>
      </c>
      <c r="P41" s="1028">
        <f>SUM(P17:P39)</f>
        <v>3150188.2762063476</v>
      </c>
      <c r="Q41" s="1026">
        <f>SUM(Q17:Q39)</f>
        <v>59010569.199416853</v>
      </c>
      <c r="R41" s="1027">
        <f>SUM(R17:R39)</f>
        <v>87739121.199416861</v>
      </c>
      <c r="S41" s="1029">
        <f>IFERROR((P41)/(N41-N39),0)</f>
        <v>5.6640350879074743E-2</v>
      </c>
      <c r="T41" s="1030">
        <f>IFERROR((P41)/(O41-O39),0)</f>
        <v>3.7348428850388991E-2</v>
      </c>
      <c r="U41" s="1031"/>
    </row>
    <row r="42" spans="2:21" ht="13.5" thickBot="1" x14ac:dyDescent="0.25">
      <c r="B42" s="1034"/>
      <c r="C42" s="556"/>
      <c r="D42" s="556"/>
      <c r="E42" s="556"/>
      <c r="F42" s="1250" t="s">
        <v>488</v>
      </c>
      <c r="G42" s="1251" t="s">
        <v>488</v>
      </c>
      <c r="H42" s="556"/>
      <c r="I42" s="556"/>
      <c r="J42" s="555"/>
      <c r="K42" s="556"/>
      <c r="L42" s="1465" t="s">
        <v>500</v>
      </c>
      <c r="M42" s="1036"/>
      <c r="N42" s="555"/>
      <c r="O42" s="556"/>
      <c r="P42" s="1189" t="s">
        <v>198</v>
      </c>
      <c r="Q42" s="556"/>
      <c r="R42" s="556"/>
      <c r="S42" s="555"/>
      <c r="T42" s="556"/>
      <c r="U42" s="1465" t="s">
        <v>488</v>
      </c>
    </row>
    <row r="43" spans="2:21" ht="6" customHeight="1" x14ac:dyDescent="0.2">
      <c r="D43" s="474"/>
      <c r="E43" s="474"/>
      <c r="F43" s="474"/>
      <c r="G43" s="474"/>
      <c r="H43" s="474"/>
    </row>
    <row r="44" spans="2:21" ht="12" customHeight="1" x14ac:dyDescent="0.2">
      <c r="B44" s="902" t="s">
        <v>579</v>
      </c>
      <c r="C44" s="898"/>
      <c r="D44" s="1307"/>
      <c r="E44" s="895"/>
      <c r="N44" s="902" t="s">
        <v>579</v>
      </c>
      <c r="O44" s="898"/>
    </row>
    <row r="45" spans="2:21" ht="12" customHeight="1" x14ac:dyDescent="0.2">
      <c r="B45" s="902" t="s">
        <v>578</v>
      </c>
      <c r="C45" s="903"/>
      <c r="D45" s="1307"/>
      <c r="E45" s="895"/>
      <c r="F45" s="434"/>
      <c r="G45" s="434"/>
      <c r="N45" s="902" t="s">
        <v>571</v>
      </c>
      <c r="O45" s="898"/>
    </row>
    <row r="46" spans="2:21" ht="12" customHeight="1" x14ac:dyDescent="0.2">
      <c r="B46" s="902" t="s">
        <v>567</v>
      </c>
      <c r="C46" s="898"/>
      <c r="D46" s="1307"/>
      <c r="E46" s="895"/>
      <c r="N46" s="902" t="s">
        <v>569</v>
      </c>
      <c r="O46" s="903"/>
    </row>
    <row r="47" spans="2:21" ht="12" customHeight="1" x14ac:dyDescent="0.2">
      <c r="B47" s="902" t="s">
        <v>569</v>
      </c>
      <c r="C47" s="903"/>
      <c r="D47" s="1307"/>
      <c r="E47" s="895"/>
      <c r="N47" s="902" t="s">
        <v>572</v>
      </c>
      <c r="O47" s="903"/>
    </row>
    <row r="48" spans="2:21" x14ac:dyDescent="0.2">
      <c r="B48" s="902" t="s">
        <v>568</v>
      </c>
      <c r="C48" s="903"/>
      <c r="D48" s="1306"/>
      <c r="N48" s="902" t="s">
        <v>573</v>
      </c>
    </row>
    <row r="49" spans="2:7" ht="12.95" customHeight="1" x14ac:dyDescent="0.2">
      <c r="B49" s="902" t="s">
        <v>570</v>
      </c>
      <c r="D49" s="898"/>
    </row>
    <row r="50" spans="2:7" ht="12" customHeight="1" x14ac:dyDescent="0.2">
      <c r="D50" s="898"/>
      <c r="F50" s="899"/>
      <c r="G50" s="899"/>
    </row>
    <row r="51" spans="2:7" ht="12" customHeight="1" x14ac:dyDescent="0.2">
      <c r="B51" s="902"/>
      <c r="C51" s="903"/>
      <c r="F51" s="899"/>
      <c r="G51" s="899"/>
    </row>
    <row r="52" spans="2:7" x14ac:dyDescent="0.2">
      <c r="F52" s="899"/>
      <c r="G52" s="899"/>
    </row>
    <row r="53" spans="2:7" x14ac:dyDescent="0.2">
      <c r="F53" s="900"/>
      <c r="G53" s="900"/>
    </row>
    <row r="54" spans="2:7" x14ac:dyDescent="0.2">
      <c r="F54" s="901"/>
      <c r="G54" s="901"/>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1" orientation="landscape" r:id="rId3"/>
  <headerFooter alignWithMargins="0">
    <oddHeader>&amp;RExh. RJW-3 Wyman WP1</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P71"/>
  <sheetViews>
    <sheetView zoomScale="90" zoomScaleNormal="90" workbookViewId="0">
      <pane xSplit="3" ySplit="14" topLeftCell="T27" activePane="bottomRight" state="frozen"/>
      <selection pane="topRight" activeCell="D1" sqref="D1"/>
      <selection pane="bottomLeft" activeCell="A14" sqref="A14"/>
      <selection pane="bottomRight" activeCell="U21" sqref="U21"/>
    </sheetView>
  </sheetViews>
  <sheetFormatPr defaultColWidth="9.33203125" defaultRowHeight="12.75" outlineLevelCol="1" x14ac:dyDescent="0.2"/>
  <cols>
    <col min="1" max="1" width="3.1640625" style="52" customWidth="1"/>
    <col min="2" max="2" width="7.6640625" style="52" customWidth="1"/>
    <col min="3" max="3" width="11.33203125" style="52" bestFit="1" customWidth="1"/>
    <col min="4" max="4" width="17.5" style="52" customWidth="1"/>
    <col min="5" max="6" width="16.33203125" style="52" customWidth="1"/>
    <col min="7" max="7" width="12.1640625" style="52" customWidth="1"/>
    <col min="8" max="8" width="16.33203125" style="52" customWidth="1"/>
    <col min="9" max="9" width="12.1640625" style="52" customWidth="1"/>
    <col min="10" max="10" width="14.83203125" style="52" customWidth="1"/>
    <col min="11" max="11" width="12.1640625" style="52" customWidth="1"/>
    <col min="12" max="12" width="15.33203125" style="52" customWidth="1"/>
    <col min="13" max="13" width="12.1640625" style="52" customWidth="1"/>
    <col min="14" max="14" width="17.33203125" style="52" customWidth="1"/>
    <col min="15" max="15" width="12.1640625" style="52" customWidth="1"/>
    <col min="16" max="16" width="15.83203125" style="52" customWidth="1"/>
    <col min="17" max="17" width="12.1640625" style="52" customWidth="1"/>
    <col min="18" max="19" width="16.33203125" style="52" hidden="1" customWidth="1" outlineLevel="1"/>
    <col min="20" max="20" width="17.5" style="52" customWidth="1" collapsed="1"/>
    <col min="21" max="21" width="20.5" style="52" customWidth="1"/>
    <col min="22" max="22" width="17.5" style="52" bestFit="1" customWidth="1"/>
    <col min="23" max="23" width="12.6640625" style="52" customWidth="1"/>
    <col min="24" max="24" width="11.1640625" style="52" customWidth="1"/>
    <col min="25" max="25" width="2.83203125" style="52" customWidth="1"/>
    <col min="26" max="26" width="17.1640625" style="52" customWidth="1"/>
    <col min="27" max="27" width="16.33203125" style="52" customWidth="1"/>
    <col min="28" max="28" width="17.33203125" style="52" customWidth="1"/>
    <col min="29" max="29" width="18.5" style="52" customWidth="1"/>
    <col min="30" max="30" width="14.1640625" style="52" customWidth="1"/>
    <col min="31" max="31" width="16.33203125" style="52" bestFit="1" customWidth="1"/>
    <col min="32" max="32" width="18.33203125" style="52" hidden="1" customWidth="1" outlineLevel="1"/>
    <col min="33" max="33" width="13.33203125" style="52" hidden="1" customWidth="1" outlineLevel="1"/>
    <col min="34" max="34" width="13.1640625" style="52" customWidth="1" collapsed="1"/>
    <col min="35" max="35" width="13.1640625" style="52" customWidth="1"/>
    <col min="36" max="37" width="13.1640625" style="52" hidden="1" customWidth="1" outlineLevel="1"/>
    <col min="38" max="38" width="17.1640625" style="52" customWidth="1" collapsed="1"/>
    <col min="39" max="39" width="17.1640625" style="52" customWidth="1"/>
    <col min="40" max="40" width="12.6640625" style="52" customWidth="1"/>
    <col min="41" max="42" width="11" style="52" customWidth="1"/>
    <col min="43" max="16384" width="9.33203125" style="52"/>
  </cols>
  <sheetData>
    <row r="1" spans="2:42" x14ac:dyDescent="0.2">
      <c r="B1" s="895" t="s">
        <v>0</v>
      </c>
      <c r="Z1" s="895" t="s">
        <v>0</v>
      </c>
    </row>
    <row r="2" spans="2:42" x14ac:dyDescent="0.2">
      <c r="B2" s="895" t="s">
        <v>276</v>
      </c>
      <c r="C2" s="63"/>
      <c r="D2" s="63"/>
      <c r="E2" s="63"/>
      <c r="F2" s="63"/>
      <c r="G2" s="63"/>
      <c r="H2" s="63"/>
      <c r="I2" s="63"/>
      <c r="J2" s="63"/>
      <c r="K2" s="63"/>
      <c r="L2" s="63"/>
      <c r="M2" s="63"/>
      <c r="N2" s="63"/>
      <c r="O2" s="63"/>
      <c r="P2" s="63"/>
      <c r="Q2" s="63"/>
      <c r="R2" s="63"/>
      <c r="S2" s="63"/>
      <c r="T2" s="63"/>
      <c r="U2" s="1664" t="s">
        <v>432</v>
      </c>
      <c r="V2" s="1664"/>
      <c r="W2" s="1664"/>
      <c r="Z2" s="895" t="s">
        <v>276</v>
      </c>
      <c r="AL2" s="63"/>
      <c r="AM2" s="1664" t="s">
        <v>522</v>
      </c>
      <c r="AN2" s="1664"/>
      <c r="AO2" s="1664"/>
    </row>
    <row r="3" spans="2:42" x14ac:dyDescent="0.2">
      <c r="B3" s="895" t="s">
        <v>277</v>
      </c>
      <c r="C3" s="63"/>
      <c r="D3" s="63"/>
      <c r="E3" s="63"/>
      <c r="F3" s="63"/>
      <c r="G3" s="63"/>
      <c r="H3" s="63"/>
      <c r="I3" s="63"/>
      <c r="J3" s="63"/>
      <c r="K3" s="63"/>
      <c r="L3" s="63"/>
      <c r="M3" s="63"/>
      <c r="N3" s="63"/>
      <c r="O3" s="63"/>
      <c r="P3" s="63"/>
      <c r="Q3" s="63"/>
      <c r="R3" s="63"/>
      <c r="S3" s="63"/>
      <c r="T3" s="433"/>
      <c r="U3" s="1665" t="s">
        <v>266</v>
      </c>
      <c r="V3" s="1665" t="s">
        <v>519</v>
      </c>
      <c r="W3" s="1665" t="s">
        <v>520</v>
      </c>
      <c r="X3" s="56"/>
      <c r="Z3" s="895" t="s">
        <v>277</v>
      </c>
      <c r="AL3" s="433"/>
      <c r="AM3" s="1665" t="s">
        <v>266</v>
      </c>
      <c r="AN3" s="1665" t="s">
        <v>519</v>
      </c>
      <c r="AO3" s="1665" t="s">
        <v>520</v>
      </c>
    </row>
    <row r="4" spans="2:42" ht="15" customHeight="1" x14ac:dyDescent="0.2">
      <c r="B4" s="895" t="s">
        <v>562</v>
      </c>
      <c r="C4" s="63"/>
      <c r="D4" s="63"/>
      <c r="E4" s="63"/>
      <c r="F4" s="63"/>
      <c r="G4" s="63"/>
      <c r="H4" s="63"/>
      <c r="I4" s="63"/>
      <c r="J4" s="63"/>
      <c r="K4" s="63"/>
      <c r="L4" s="63"/>
      <c r="M4" s="63"/>
      <c r="N4" s="63"/>
      <c r="O4" s="63"/>
      <c r="P4" s="63"/>
      <c r="Q4" s="63"/>
      <c r="R4" s="63"/>
      <c r="S4" s="63"/>
      <c r="T4" s="56"/>
      <c r="U4" s="1666"/>
      <c r="V4" s="1666"/>
      <c r="W4" s="1666"/>
      <c r="X4" s="56"/>
      <c r="Z4" s="895" t="s">
        <v>562</v>
      </c>
      <c r="AL4" s="56"/>
      <c r="AM4" s="1666"/>
      <c r="AN4" s="1666"/>
      <c r="AO4" s="1666"/>
    </row>
    <row r="5" spans="2:42" x14ac:dyDescent="0.2">
      <c r="B5" s="895" t="s">
        <v>574</v>
      </c>
      <c r="C5" s="63"/>
      <c r="D5" s="63"/>
      <c r="E5" s="63"/>
      <c r="F5" s="63"/>
      <c r="G5" s="63"/>
      <c r="H5" s="63"/>
      <c r="I5" s="63"/>
      <c r="J5" s="63"/>
      <c r="K5" s="63"/>
      <c r="L5" s="63"/>
      <c r="M5" s="63"/>
      <c r="N5" s="63"/>
      <c r="O5" s="63"/>
      <c r="P5" s="63"/>
      <c r="Q5" s="63"/>
      <c r="R5" s="63"/>
      <c r="S5" s="63"/>
      <c r="T5" s="56" t="s">
        <v>264</v>
      </c>
      <c r="U5" s="1246">
        <f>SUM(U16,U18)/1000-SUM(E16,E18)/1000</f>
        <v>2614.7944593500433</v>
      </c>
      <c r="V5" s="1239">
        <f>U5/(E16+E18)*1000</f>
        <v>4.9065524267667415E-2</v>
      </c>
      <c r="W5" s="1246">
        <f>U5*1000/'WA Volumes &amp; Revenues'!Y15/12</f>
        <v>2.6563396108639554</v>
      </c>
      <c r="X5" s="56"/>
      <c r="Z5" s="895" t="s">
        <v>574</v>
      </c>
      <c r="AL5" s="56" t="s">
        <v>264</v>
      </c>
      <c r="AM5" s="1240">
        <f>SUM(AM16,AM18)/1000-SUM(AA16,AA18)/1000</f>
        <v>2139.8259286691828</v>
      </c>
      <c r="AN5" s="1239">
        <f>AM5/(AA16+AA18)*1000</f>
        <v>3.7148848548970895E-2</v>
      </c>
      <c r="AO5" s="1240">
        <f>AM5*1000/'WA Volumes &amp; Revenues'!Y15/12</f>
        <v>2.1738245445458801</v>
      </c>
    </row>
    <row r="6" spans="2:42" x14ac:dyDescent="0.2">
      <c r="C6" s="63"/>
      <c r="D6" s="63"/>
      <c r="E6" s="63"/>
      <c r="F6" s="63"/>
      <c r="G6" s="63"/>
      <c r="H6" s="63"/>
      <c r="I6" s="63"/>
      <c r="J6" s="63"/>
      <c r="K6" s="63"/>
      <c r="L6" s="63"/>
      <c r="M6" s="63"/>
      <c r="N6" s="63"/>
      <c r="O6" s="63"/>
      <c r="P6" s="63"/>
      <c r="Q6" s="63"/>
      <c r="R6" s="63"/>
      <c r="S6" s="63"/>
      <c r="T6" s="56" t="s">
        <v>26</v>
      </c>
      <c r="U6" s="1246">
        <f>SUM(U17,U19,U21,U22,U24,U26,U28,U30,U32,U34)/1000-SUM(E17,E19,E21,E22,E24,E26,E28,E30,E32,E34)/1000</f>
        <v>984.68544014711006</v>
      </c>
      <c r="V6" s="1239">
        <f>(U6)/SUM(E17,E19,E21,E22,E24,E26,E28,E30,E32,E34)*1000</f>
        <v>4.7262308762585706E-2</v>
      </c>
      <c r="W6" s="1246">
        <f>U6*1000/'WA Volumes &amp; Revenues'!Y16/12</f>
        <v>11.33711864771297</v>
      </c>
      <c r="X6" s="56"/>
      <c r="AL6" s="56" t="s">
        <v>26</v>
      </c>
      <c r="AM6" s="1240">
        <f>SUM(AM17,AM19,AM21,AM22,AM24,AM26,AM28,AM30,AM32,AM34)/1000-SUM(AA17,AA19,AA21,AA22,AA24,AA26,AA28,AA30,AA32,AA34)/1000</f>
        <v>791.3597977895588</v>
      </c>
      <c r="AN6" s="1239">
        <f>(AM6)/SUM(AA17,AA19,AA21,AA22,AA24,AA26,AA28,AA30,AA32,AA34)*1000</f>
        <v>3.5283549965144483E-2</v>
      </c>
      <c r="AO6" s="1240">
        <f>AM6*1000/'WA Volumes &amp; Revenues'!Y16/12</f>
        <v>9.111275088245451</v>
      </c>
    </row>
    <row r="7" spans="2:42" x14ac:dyDescent="0.2">
      <c r="B7" s="168" t="s">
        <v>563</v>
      </c>
      <c r="C7" s="63"/>
      <c r="D7" s="63"/>
      <c r="F7" s="63"/>
      <c r="G7" s="63"/>
      <c r="H7" s="63"/>
      <c r="I7" s="63"/>
      <c r="J7" s="63"/>
      <c r="K7" s="63"/>
      <c r="L7" s="63"/>
      <c r="M7" s="63"/>
      <c r="N7" s="63"/>
      <c r="O7" s="63"/>
      <c r="P7" s="63"/>
      <c r="Q7" s="63"/>
      <c r="R7" s="63"/>
      <c r="S7" s="63"/>
      <c r="T7" s="56" t="s">
        <v>145</v>
      </c>
      <c r="U7" s="1246">
        <f>SUM(U20,U23,U25,U27,U29,U31,U33,U35,U36,U37,U38)/1000-SUM(E20,E23,E25,E27,E29,E31,E33,E35,E36,E37,E38)/1000</f>
        <v>302.61789948200021</v>
      </c>
      <c r="V7" s="1239">
        <f>(U7)/SUM(E20,E23,E25,E27,E29,E31,E33,E35,E36,E37,E38)*1000</f>
        <v>7.1930457304857864E-2</v>
      </c>
      <c r="W7" s="1246">
        <f>U7*1000/'WA Volumes &amp; Revenues'!Y17/12</f>
        <v>346.24473624942817</v>
      </c>
      <c r="X7" s="56"/>
      <c r="Z7" s="168" t="s">
        <v>564</v>
      </c>
      <c r="AL7" s="56" t="s">
        <v>145</v>
      </c>
      <c r="AM7" s="1240">
        <f>SUM(AM20,AM23,AM25,AM27,AM29,AM31,AM33,AM35,AM36,AM37,AM38)/1000-SUM(AA20,AA23,AA25,AA27,AA29,AA31,AA33,AA35,AA36,AA37,AA38)/1000</f>
        <v>174.69645927200054</v>
      </c>
      <c r="AN7" s="1239">
        <f>(AM7)/SUM(AA20,AA23,AA25,AA27,AA29,AA31,AA33,AA35,AA36,AA37,AA38)*1000</f>
        <v>3.8319451350242097E-2</v>
      </c>
      <c r="AO7" s="1240">
        <f>AM7*1000/'WA Volumes &amp; Revenues'!Y17/12</f>
        <v>199.88153234782669</v>
      </c>
    </row>
    <row r="8" spans="2:42" ht="12.75" customHeight="1" x14ac:dyDescent="0.2">
      <c r="B8" s="601" t="s">
        <v>619</v>
      </c>
      <c r="C8" s="63"/>
      <c r="D8" s="1467"/>
      <c r="F8" s="1467"/>
      <c r="G8" s="1467"/>
      <c r="H8" s="1467"/>
      <c r="I8" s="1467"/>
      <c r="J8" s="1467"/>
      <c r="K8" s="1467"/>
      <c r="L8" s="1467"/>
      <c r="M8" s="1467"/>
      <c r="N8" s="1467"/>
      <c r="O8" s="1467"/>
      <c r="P8" s="1467"/>
      <c r="Q8" s="63"/>
      <c r="R8" s="63"/>
      <c r="S8" s="63"/>
      <c r="T8" s="1214" t="s">
        <v>265</v>
      </c>
      <c r="U8" s="1247">
        <f>SUM(U5:U7)</f>
        <v>3902.0977989791536</v>
      </c>
      <c r="V8" s="1242">
        <f>(U40-E40)/E40</f>
        <v>4.9813937299323811E-2</v>
      </c>
      <c r="W8" s="1247">
        <f>U8*1000/'WA Volumes &amp; Revenues'!Y18/12</f>
        <v>3.639714425741849</v>
      </c>
      <c r="X8" s="56"/>
      <c r="Z8" s="601" t="s">
        <v>620</v>
      </c>
      <c r="AA8" s="1467"/>
      <c r="AB8" s="1467"/>
      <c r="AC8" s="1467"/>
      <c r="AD8" s="1467"/>
      <c r="AE8" s="1467"/>
      <c r="AF8" s="1467"/>
      <c r="AG8" s="1467"/>
      <c r="AH8" s="1467"/>
      <c r="AI8" s="1467"/>
      <c r="AJ8" s="1467"/>
      <c r="AL8" s="1214" t="s">
        <v>265</v>
      </c>
      <c r="AM8" s="1241">
        <f>SUM(AM5:AM7)</f>
        <v>3105.8821857307421</v>
      </c>
      <c r="AN8" s="1242">
        <f>(AM40-AA40)/AA40</f>
        <v>3.6717358623618621E-2</v>
      </c>
      <c r="AO8" s="1243">
        <f>AM8*1000/'WA Volumes &amp; Revenues'!Y18/12</f>
        <v>2.8970376393477988</v>
      </c>
    </row>
    <row r="9" spans="2:42" ht="13.5" thickBot="1" x14ac:dyDescent="0.25">
      <c r="B9" s="601" t="s">
        <v>561</v>
      </c>
      <c r="C9" s="63"/>
      <c r="D9" s="1468"/>
      <c r="F9" s="1468"/>
      <c r="G9" s="1468"/>
      <c r="H9" s="1468"/>
      <c r="I9" s="1468"/>
      <c r="J9" s="1468"/>
      <c r="K9" s="1468"/>
      <c r="L9" s="1468"/>
      <c r="M9" s="1468"/>
      <c r="N9" s="1468"/>
      <c r="O9" s="1468"/>
      <c r="P9" s="1468"/>
      <c r="Q9" s="63"/>
      <c r="R9" s="63"/>
      <c r="S9" s="63"/>
      <c r="T9" s="63"/>
      <c r="U9" s="63"/>
      <c r="V9" s="65"/>
      <c r="Z9" s="1468"/>
      <c r="AA9" s="1468"/>
      <c r="AB9" s="1468"/>
      <c r="AC9" s="1468"/>
      <c r="AD9" s="1468"/>
      <c r="AE9" s="1468"/>
      <c r="AF9" s="1468"/>
      <c r="AG9" s="1468"/>
      <c r="AH9" s="1468"/>
      <c r="AI9" s="1468"/>
      <c r="AJ9" s="1468"/>
    </row>
    <row r="10" spans="2:42" ht="13.5" thickBot="1" x14ac:dyDescent="0.25">
      <c r="B10" s="64"/>
      <c r="C10" s="63"/>
      <c r="D10" s="1644" t="s">
        <v>565</v>
      </c>
      <c r="E10" s="1645"/>
      <c r="F10" s="1645"/>
      <c r="G10" s="1645"/>
      <c r="H10" s="1645"/>
      <c r="I10" s="1645"/>
      <c r="J10" s="1645"/>
      <c r="K10" s="1645"/>
      <c r="L10" s="1645"/>
      <c r="M10" s="1645"/>
      <c r="N10" s="1646"/>
      <c r="O10" s="1646"/>
      <c r="P10" s="1646"/>
      <c r="Q10" s="1646"/>
      <c r="R10" s="1645"/>
      <c r="S10" s="1645"/>
      <c r="T10" s="1645"/>
      <c r="U10" s="1645"/>
      <c r="V10" s="1645"/>
      <c r="W10" s="1645"/>
      <c r="X10" s="1647"/>
      <c r="Y10" s="1064"/>
      <c r="Z10" s="1648" t="s">
        <v>566</v>
      </c>
      <c r="AA10" s="1649"/>
      <c r="AB10" s="1649"/>
      <c r="AC10" s="1649"/>
      <c r="AD10" s="1649"/>
      <c r="AE10" s="1649"/>
      <c r="AF10" s="1649"/>
      <c r="AG10" s="1649"/>
      <c r="AH10" s="1649"/>
      <c r="AI10" s="1649"/>
      <c r="AJ10" s="1649"/>
      <c r="AK10" s="1649"/>
      <c r="AL10" s="1649"/>
      <c r="AM10" s="1649"/>
      <c r="AN10" s="1649"/>
      <c r="AO10" s="1649"/>
      <c r="AP10" s="1650"/>
    </row>
    <row r="11" spans="2:42" ht="13.5" thickBot="1" x14ac:dyDescent="0.25">
      <c r="D11" s="1079"/>
      <c r="E11" s="1080"/>
      <c r="F11" s="1655" t="s">
        <v>217</v>
      </c>
      <c r="G11" s="1656"/>
      <c r="H11" s="1651" t="s">
        <v>405</v>
      </c>
      <c r="I11" s="1657"/>
      <c r="J11" s="1651" t="s">
        <v>401</v>
      </c>
      <c r="K11" s="1657"/>
      <c r="L11" s="1651" t="s">
        <v>412</v>
      </c>
      <c r="M11" s="1657"/>
      <c r="N11" s="1637" t="s">
        <v>430</v>
      </c>
      <c r="O11" s="1658"/>
      <c r="P11" s="1658"/>
      <c r="Q11" s="1638"/>
      <c r="R11" s="1662" t="s">
        <v>229</v>
      </c>
      <c r="S11" s="1663"/>
      <c r="T11" s="1081"/>
      <c r="U11" s="1081"/>
      <c r="V11" s="1659" t="s">
        <v>199</v>
      </c>
      <c r="W11" s="1655"/>
      <c r="X11" s="1656"/>
      <c r="Y11" s="1064"/>
      <c r="Z11" s="53"/>
      <c r="AA11" s="54"/>
      <c r="AB11" s="1660" t="s">
        <v>217</v>
      </c>
      <c r="AC11" s="1661"/>
      <c r="AD11" s="1651" t="s">
        <v>482</v>
      </c>
      <c r="AE11" s="1652"/>
      <c r="AF11" s="1653" t="s">
        <v>509</v>
      </c>
      <c r="AG11" s="1654"/>
      <c r="AH11" s="1637" t="s">
        <v>430</v>
      </c>
      <c r="AI11" s="1638"/>
      <c r="AJ11" s="1639" t="s">
        <v>229</v>
      </c>
      <c r="AK11" s="1640"/>
      <c r="AL11" s="54"/>
      <c r="AM11" s="54"/>
      <c r="AN11" s="1641" t="s">
        <v>199</v>
      </c>
      <c r="AO11" s="1642"/>
      <c r="AP11" s="1643"/>
    </row>
    <row r="12" spans="2:42" ht="51" x14ac:dyDescent="0.2">
      <c r="B12" s="1072" t="s">
        <v>173</v>
      </c>
      <c r="C12" s="1073" t="s">
        <v>158</v>
      </c>
      <c r="D12" s="69" t="s">
        <v>207</v>
      </c>
      <c r="E12" s="69" t="s">
        <v>208</v>
      </c>
      <c r="F12" s="68" t="s">
        <v>201</v>
      </c>
      <c r="G12" s="70" t="s">
        <v>200</v>
      </c>
      <c r="H12" s="68" t="s">
        <v>428</v>
      </c>
      <c r="I12" s="69" t="s">
        <v>429</v>
      </c>
      <c r="J12" s="68" t="s">
        <v>506</v>
      </c>
      <c r="K12" s="70" t="s">
        <v>507</v>
      </c>
      <c r="L12" s="68" t="s">
        <v>506</v>
      </c>
      <c r="M12" s="69" t="s">
        <v>507</v>
      </c>
      <c r="N12" s="1197" t="s">
        <v>431</v>
      </c>
      <c r="O12" s="968" t="s">
        <v>431</v>
      </c>
      <c r="P12" s="968" t="s">
        <v>514</v>
      </c>
      <c r="Q12" s="1198" t="s">
        <v>514</v>
      </c>
      <c r="R12" s="581" t="s">
        <v>230</v>
      </c>
      <c r="S12" s="582" t="s">
        <v>231</v>
      </c>
      <c r="T12" s="69" t="s">
        <v>202</v>
      </c>
      <c r="U12" s="69" t="s">
        <v>203</v>
      </c>
      <c r="V12" s="68" t="s">
        <v>204</v>
      </c>
      <c r="W12" s="69" t="s">
        <v>205</v>
      </c>
      <c r="X12" s="70" t="s">
        <v>206</v>
      </c>
      <c r="Y12" s="1064"/>
      <c r="Z12" s="1092" t="s">
        <v>207</v>
      </c>
      <c r="AA12" s="66" t="s">
        <v>208</v>
      </c>
      <c r="AB12" s="68" t="s">
        <v>201</v>
      </c>
      <c r="AC12" s="70" t="s">
        <v>200</v>
      </c>
      <c r="AD12" s="68" t="s">
        <v>508</v>
      </c>
      <c r="AE12" s="70" t="s">
        <v>507</v>
      </c>
      <c r="AF12" s="69" t="s">
        <v>426</v>
      </c>
      <c r="AG12" s="70" t="s">
        <v>427</v>
      </c>
      <c r="AH12" s="1197" t="s">
        <v>514</v>
      </c>
      <c r="AI12" s="1198" t="s">
        <v>538</v>
      </c>
      <c r="AJ12" s="581" t="s">
        <v>230</v>
      </c>
      <c r="AK12" s="582" t="s">
        <v>231</v>
      </c>
      <c r="AL12" s="66" t="s">
        <v>202</v>
      </c>
      <c r="AM12" s="66" t="s">
        <v>203</v>
      </c>
      <c r="AN12" s="68" t="s">
        <v>204</v>
      </c>
      <c r="AO12" s="69" t="s">
        <v>205</v>
      </c>
      <c r="AP12" s="70" t="s">
        <v>206</v>
      </c>
    </row>
    <row r="13" spans="2:42" x14ac:dyDescent="0.2">
      <c r="B13" s="1074"/>
      <c r="C13" s="1066"/>
      <c r="D13" s="72"/>
      <c r="E13" s="72"/>
      <c r="F13" s="1476" t="s">
        <v>197</v>
      </c>
      <c r="G13" s="74"/>
      <c r="H13" s="1476" t="s">
        <v>198</v>
      </c>
      <c r="I13" s="72"/>
      <c r="J13" s="1476" t="s">
        <v>488</v>
      </c>
      <c r="K13" s="93"/>
      <c r="L13" s="1476" t="s">
        <v>500</v>
      </c>
      <c r="M13" s="1203"/>
      <c r="N13" s="1232" t="s">
        <v>515</v>
      </c>
      <c r="O13" s="1230"/>
      <c r="P13" s="1230" t="s">
        <v>516</v>
      </c>
      <c r="Q13" s="1233"/>
      <c r="R13" s="583"/>
      <c r="S13" s="584"/>
      <c r="T13" s="594" t="s">
        <v>517</v>
      </c>
      <c r="U13" s="594" t="s">
        <v>518</v>
      </c>
      <c r="V13" s="595"/>
      <c r="W13" s="594"/>
      <c r="X13" s="74"/>
      <c r="Y13" s="1064"/>
      <c r="Z13" s="73"/>
      <c r="AA13" s="72"/>
      <c r="AB13" s="1476" t="s">
        <v>197</v>
      </c>
      <c r="AC13" s="74"/>
      <c r="AD13" s="1476" t="s">
        <v>198</v>
      </c>
      <c r="AE13" s="74"/>
      <c r="AF13" s="1203"/>
      <c r="AG13" s="93"/>
      <c r="AH13" s="1274" t="s">
        <v>501</v>
      </c>
      <c r="AI13" s="1275"/>
      <c r="AJ13" s="583"/>
      <c r="AK13" s="584"/>
      <c r="AL13" s="594" t="s">
        <v>502</v>
      </c>
      <c r="AM13" s="594" t="s">
        <v>503</v>
      </c>
      <c r="AN13" s="595"/>
      <c r="AO13" s="594"/>
      <c r="AP13" s="74"/>
    </row>
    <row r="14" spans="2:42" ht="13.5" thickBot="1" x14ac:dyDescent="0.25">
      <c r="B14" s="1075"/>
      <c r="C14" s="1067"/>
      <c r="D14" s="109" t="s">
        <v>35</v>
      </c>
      <c r="E14" s="109" t="s">
        <v>36</v>
      </c>
      <c r="F14" s="125" t="s">
        <v>13</v>
      </c>
      <c r="G14" s="126" t="s">
        <v>37</v>
      </c>
      <c r="H14" s="125" t="s">
        <v>38</v>
      </c>
      <c r="I14" s="109" t="s">
        <v>39</v>
      </c>
      <c r="J14" s="127" t="s">
        <v>40</v>
      </c>
      <c r="K14" s="128" t="s">
        <v>41</v>
      </c>
      <c r="L14" s="127" t="s">
        <v>42</v>
      </c>
      <c r="M14" s="1204" t="s">
        <v>129</v>
      </c>
      <c r="N14" s="127" t="s">
        <v>130</v>
      </c>
      <c r="O14" s="1204" t="s">
        <v>43</v>
      </c>
      <c r="P14" s="1204" t="s">
        <v>131</v>
      </c>
      <c r="Q14" s="1238" t="s">
        <v>132</v>
      </c>
      <c r="R14" s="585" t="s">
        <v>133</v>
      </c>
      <c r="S14" s="586" t="s">
        <v>134</v>
      </c>
      <c r="T14" s="109" t="s">
        <v>135</v>
      </c>
      <c r="U14" s="109" t="s">
        <v>89</v>
      </c>
      <c r="V14" s="125" t="s">
        <v>92</v>
      </c>
      <c r="W14" s="109" t="s">
        <v>93</v>
      </c>
      <c r="X14" s="126" t="s">
        <v>94</v>
      </c>
      <c r="Y14" s="1064"/>
      <c r="Z14" s="125" t="s">
        <v>35</v>
      </c>
      <c r="AA14" s="109" t="s">
        <v>36</v>
      </c>
      <c r="AB14" s="125" t="s">
        <v>13</v>
      </c>
      <c r="AC14" s="126" t="s">
        <v>37</v>
      </c>
      <c r="AD14" s="125" t="s">
        <v>38</v>
      </c>
      <c r="AE14" s="126" t="s">
        <v>39</v>
      </c>
      <c r="AF14" s="1204" t="s">
        <v>40</v>
      </c>
      <c r="AG14" s="128" t="s">
        <v>41</v>
      </c>
      <c r="AH14" s="1276" t="s">
        <v>42</v>
      </c>
      <c r="AI14" s="1277" t="s">
        <v>129</v>
      </c>
      <c r="AJ14" s="585" t="s">
        <v>130</v>
      </c>
      <c r="AK14" s="586" t="s">
        <v>43</v>
      </c>
      <c r="AL14" s="109" t="s">
        <v>131</v>
      </c>
      <c r="AM14" s="109" t="s">
        <v>132</v>
      </c>
      <c r="AN14" s="125" t="s">
        <v>133</v>
      </c>
      <c r="AO14" s="109" t="s">
        <v>134</v>
      </c>
      <c r="AP14" s="126" t="s">
        <v>135</v>
      </c>
    </row>
    <row r="15" spans="2:42" ht="18" customHeight="1" thickTop="1" x14ac:dyDescent="0.2">
      <c r="B15" s="1076"/>
      <c r="C15" s="1068"/>
      <c r="D15" s="78"/>
      <c r="E15" s="78"/>
      <c r="F15" s="94"/>
      <c r="G15" s="70"/>
      <c r="H15" s="53"/>
      <c r="I15" s="69"/>
      <c r="J15" s="53"/>
      <c r="K15" s="87"/>
      <c r="L15" s="53"/>
      <c r="M15" s="54"/>
      <c r="N15" s="1199"/>
      <c r="O15" s="969"/>
      <c r="P15" s="969"/>
      <c r="Q15" s="1200"/>
      <c r="R15" s="587"/>
      <c r="S15" s="649"/>
      <c r="T15" s="78"/>
      <c r="U15" s="78"/>
      <c r="V15" s="68"/>
      <c r="W15" s="69"/>
      <c r="X15" s="70"/>
      <c r="Y15" s="1064"/>
      <c r="Z15" s="94"/>
      <c r="AA15" s="78"/>
      <c r="AB15" s="94"/>
      <c r="AC15" s="70"/>
      <c r="AD15" s="53"/>
      <c r="AE15" s="70"/>
      <c r="AF15" s="54"/>
      <c r="AG15" s="87"/>
      <c r="AH15" s="1199"/>
      <c r="AI15" s="1200"/>
      <c r="AJ15" s="587"/>
      <c r="AK15" s="649"/>
      <c r="AL15" s="78"/>
      <c r="AM15" s="78"/>
      <c r="AN15" s="68"/>
      <c r="AO15" s="69"/>
      <c r="AP15" s="70"/>
    </row>
    <row r="16" spans="2:42" x14ac:dyDescent="0.2">
      <c r="B16" s="1076">
        <v>1</v>
      </c>
      <c r="C16" s="1069" t="s">
        <v>281</v>
      </c>
      <c r="D16" s="80">
        <f>'Rate Impacts - Rev Req ONLY'!D17</f>
        <v>208635.1321174161</v>
      </c>
      <c r="E16" s="81">
        <f>'Rate Impacts - Rev Req ONLY'!E17</f>
        <v>283691.13211741613</v>
      </c>
      <c r="F16" s="95">
        <f>SUM('Rev Req Proof Yr1'!AF14:AH14)</f>
        <v>28394.63053745855</v>
      </c>
      <c r="G16" s="85">
        <f>IFERROR((F16/D16),0)</f>
        <v>0.13609707171215327</v>
      </c>
      <c r="H16" s="95">
        <f>SUM('Rev Req Proof Yr1'!AM14:AO14)</f>
        <v>-1953.8082260179419</v>
      </c>
      <c r="I16" s="84">
        <f>IFERROR((H16/D16),0)</f>
        <v>-9.3647134410630994E-3</v>
      </c>
      <c r="J16" s="96">
        <f>SUM('Temps Proof'!T14:V14)</f>
        <v>-6696.6240186263303</v>
      </c>
      <c r="K16" s="85">
        <f>IFERROR((J16/D16),0)</f>
        <v>-3.209729804689649E-2</v>
      </c>
      <c r="L16" s="96">
        <f>SUM('Temps Proof'!X14:Z14)</f>
        <v>-3701.5004194010235</v>
      </c>
      <c r="M16" s="84">
        <f>IFERROR((L16/D16),0)</f>
        <v>-1.7741501068563495E-2</v>
      </c>
      <c r="N16" s="1201">
        <f>SUM(F16,H16)</f>
        <v>26440.822311440606</v>
      </c>
      <c r="O16" s="970">
        <f>IFERROR((N16/D16),0)</f>
        <v>0.12673235827109017</v>
      </c>
      <c r="P16" s="1231">
        <f>SUM(F16,H16,J16,L16)</f>
        <v>16042.697873413252</v>
      </c>
      <c r="Q16" s="1202">
        <f>IFERROR((P16/E16),0)</f>
        <v>5.6549874342823603E-2</v>
      </c>
      <c r="R16" s="650"/>
      <c r="S16" s="593"/>
      <c r="T16" s="81">
        <f>D16+N16+R16</f>
        <v>235075.9544288567</v>
      </c>
      <c r="U16" s="81">
        <f>E16+P16+R16</f>
        <v>299733.8299908294</v>
      </c>
      <c r="V16" s="83">
        <f>IFERROR((T16-D16)/D16,0)</f>
        <v>0.12673235827109011</v>
      </c>
      <c r="W16" s="84">
        <f>IFERROR((U16-E16)/E16,0)</f>
        <v>5.6549874342823672E-2</v>
      </c>
      <c r="X16" s="85">
        <f>'Avg Bill by RS'!AH14</f>
        <v>5.1999999999999998E-2</v>
      </c>
      <c r="Y16" s="1064"/>
      <c r="Z16" s="1093">
        <f>'Rate Impacts - Rev Req ONLY'!N17</f>
        <v>235075.9544288567</v>
      </c>
      <c r="AA16" s="81">
        <f>'Rate Impacts - Rev Req ONLY'!O17</f>
        <v>310131.95442885678</v>
      </c>
      <c r="AB16" s="95">
        <f>SUM('Rev Req Proof Yr2'!AF14:AH14)</f>
        <v>13313.807483007986</v>
      </c>
      <c r="AC16" s="85">
        <f>IFERROR((AB16/Z16),0)</f>
        <v>5.6636194524256507E-2</v>
      </c>
      <c r="AD16" s="95">
        <f>SUM('Temps Proof'!AB14:AD14)</f>
        <v>-188.93969658195482</v>
      </c>
      <c r="AE16" s="85">
        <f>IFERROR((AD16/Z16),0)</f>
        <v>-8.0373893212942564E-4</v>
      </c>
      <c r="AF16" s="1205">
        <f>SUM('Temps Proof'!AR14:AT14)</f>
        <v>0</v>
      </c>
      <c r="AG16" s="85">
        <f t="shared" ref="AG16:AG38" si="0">IFERROR((AF16/Z16),0)</f>
        <v>0</v>
      </c>
      <c r="AH16" s="1201">
        <f>SUM(AB16,AD16,AF16)</f>
        <v>13124.867786426032</v>
      </c>
      <c r="AI16" s="1202">
        <f t="shared" ref="AI16:AI38" si="1">IFERROR((AH16/Z16),0)</f>
        <v>5.5832455592127087E-2</v>
      </c>
      <c r="AJ16" s="650"/>
      <c r="AK16" s="593"/>
      <c r="AL16" s="81">
        <f>Z16+AH16+AJ16</f>
        <v>248200.82221528274</v>
      </c>
      <c r="AM16" s="81">
        <f>AA16+AH16+AJ16</f>
        <v>323256.82221528282</v>
      </c>
      <c r="AN16" s="83">
        <f t="shared" ref="AN16:AN38" si="2">IFERROR((AL16-Z16)/Z16,0)</f>
        <v>5.5832455592127114E-2</v>
      </c>
      <c r="AO16" s="84">
        <f t="shared" ref="AO16:AO38" si="3">IFERROR((AM16-AA16)/AA16,0)</f>
        <v>4.2320269159612955E-2</v>
      </c>
      <c r="AP16" s="85">
        <f>'Avg Bill by RS'!BM14</f>
        <v>7.2999999999999995E-2</v>
      </c>
    </row>
    <row r="17" spans="2:42" x14ac:dyDescent="0.2">
      <c r="B17" s="1076">
        <v>2</v>
      </c>
      <c r="C17" s="1070" t="s">
        <v>282</v>
      </c>
      <c r="D17" s="80">
        <f>'Rate Impacts - Rev Req ONLY'!D18</f>
        <v>37604.380821902283</v>
      </c>
      <c r="E17" s="81">
        <f>'Rate Impacts - Rev Req ONLY'!E18</f>
        <v>53871.380821902283</v>
      </c>
      <c r="F17" s="95">
        <f>SUM('Rev Req Proof Yr1'!AF15:AH15)</f>
        <v>5117.9001141686094</v>
      </c>
      <c r="G17" s="85">
        <f>IFERROR((F17/D17),0)</f>
        <v>0.13609850773524082</v>
      </c>
      <c r="H17" s="95">
        <f>SUM('Rev Req Proof Yr1'!AM15:AO15)</f>
        <v>-351.83527201159131</v>
      </c>
      <c r="I17" s="84">
        <f t="shared" ref="I17:I38" si="4">IFERROR((H17/D17),0)</f>
        <v>-9.3562309582469836E-3</v>
      </c>
      <c r="J17" s="96">
        <f>SUM('Temps Proof'!T15:V15)</f>
        <v>-1207.2231423254866</v>
      </c>
      <c r="K17" s="85">
        <f t="shared" ref="K17:K38" si="5">IFERROR((J17/D17),0)</f>
        <v>-3.2103258076313063E-2</v>
      </c>
      <c r="L17" s="96">
        <f>SUM('Temps Proof'!X15:Z15)</f>
        <v>-666.90468887911425</v>
      </c>
      <c r="M17" s="84">
        <f t="shared" ref="M17:M38" si="6">IFERROR((L17/D17),0)</f>
        <v>-1.773476053329091E-2</v>
      </c>
      <c r="N17" s="1201">
        <f t="shared" ref="N17:N37" si="7">SUM(F17,H17)</f>
        <v>4766.0648421570186</v>
      </c>
      <c r="O17" s="970">
        <f t="shared" ref="O17:O38" si="8">IFERROR((N17/D17),0)</f>
        <v>0.12674227677699385</v>
      </c>
      <c r="P17" s="1231">
        <f t="shared" ref="P17:P38" si="9">SUM(F17,H17,J17,L17)</f>
        <v>2891.9370109524179</v>
      </c>
      <c r="Q17" s="1202">
        <f t="shared" ref="Q17:Q38" si="10">IFERROR((P17/E17),0)</f>
        <v>5.3682251444660468E-2</v>
      </c>
      <c r="R17" s="650"/>
      <c r="S17" s="593"/>
      <c r="T17" s="81">
        <f t="shared" ref="T17:T38" si="11">D17+N17+R17</f>
        <v>42370.445664059298</v>
      </c>
      <c r="U17" s="81">
        <f t="shared" ref="U17:U38" si="12">E17+P17+R17</f>
        <v>56763.3178328547</v>
      </c>
      <c r="V17" s="83">
        <f t="shared" ref="V17:V31" si="13">IFERROR((T17-D17)/D17,0)</f>
        <v>0.12674227677699376</v>
      </c>
      <c r="W17" s="84">
        <f t="shared" ref="W17:W31" si="14">IFERROR((U17-E17)/E17,0)</f>
        <v>5.3682251444660448E-2</v>
      </c>
      <c r="X17" s="85">
        <f>'Avg Bill by RS'!AH15</f>
        <v>0.05</v>
      </c>
      <c r="Y17" s="1064"/>
      <c r="Z17" s="1093">
        <f>'Rate Impacts - Rev Req ONLY'!N18</f>
        <v>42370.445664059298</v>
      </c>
      <c r="AA17" s="81">
        <f>'Rate Impacts - Rev Req ONLY'!O18</f>
        <v>58637.445664059298</v>
      </c>
      <c r="AB17" s="95">
        <f>SUM('Rev Req Proof Yr2'!AF15:AH15)</f>
        <v>2400.0191769362136</v>
      </c>
      <c r="AC17" s="85">
        <f>IFERROR((AB17/Z17),0)</f>
        <v>5.6643708587942189E-2</v>
      </c>
      <c r="AD17" s="95">
        <f>SUM('Temps Proof'!AB15:AD15)</f>
        <v>-33.973511715404975</v>
      </c>
      <c r="AE17" s="85">
        <f t="shared" ref="AE17:AE38" si="15">IFERROR((AD17/Z17),0)</f>
        <v>-8.0182096701954166E-4</v>
      </c>
      <c r="AF17" s="1205">
        <f>SUM('Temps Proof'!AR15:AT15)</f>
        <v>0</v>
      </c>
      <c r="AG17" s="85">
        <f t="shared" si="0"/>
        <v>0</v>
      </c>
      <c r="AH17" s="1201">
        <f t="shared" ref="AH17:AH38" si="16">SUM(AB17,AD17,AF17)</f>
        <v>2366.0456652208086</v>
      </c>
      <c r="AI17" s="1202">
        <f t="shared" si="1"/>
        <v>5.5841887620922646E-2</v>
      </c>
      <c r="AJ17" s="650"/>
      <c r="AK17" s="593"/>
      <c r="AL17" s="81">
        <f t="shared" ref="AL17:AL38" si="17">Z17+AH17+AJ17</f>
        <v>44736.491329280107</v>
      </c>
      <c r="AM17" s="81">
        <f t="shared" ref="AM17:AM38" si="18">AA17+AH17+AJ17</f>
        <v>61003.491329280107</v>
      </c>
      <c r="AN17" s="83">
        <f t="shared" si="2"/>
        <v>5.5841887620922646E-2</v>
      </c>
      <c r="AO17" s="84">
        <f t="shared" si="3"/>
        <v>4.0350421789792097E-2</v>
      </c>
      <c r="AP17" s="85">
        <f>'Avg Bill by RS'!BM15</f>
        <v>6.9000000000000006E-2</v>
      </c>
    </row>
    <row r="18" spans="2:42" x14ac:dyDescent="0.2">
      <c r="B18" s="1076">
        <v>3</v>
      </c>
      <c r="C18" s="1070" t="s">
        <v>12</v>
      </c>
      <c r="D18" s="80">
        <f>'Rate Impacts - Rev Req ONLY'!D19</f>
        <v>33798099.589697547</v>
      </c>
      <c r="E18" s="81">
        <f>'Rate Impacts - Rev Req ONLY'!E19</f>
        <v>53008197.589697547</v>
      </c>
      <c r="F18" s="95">
        <f>SUM('Rev Req Proof Yr1'!AF16:AH16)</f>
        <v>4599609.2712115422</v>
      </c>
      <c r="G18" s="85">
        <f t="shared" ref="G18:G21" si="19">IFERROR((F18/D18),0)</f>
        <v>0.13609076625756825</v>
      </c>
      <c r="H18" s="95">
        <f>SUM('Rev Req Proof Yr1'!AM16:AO16)</f>
        <v>-316532.25092208461</v>
      </c>
      <c r="I18" s="84">
        <f t="shared" si="4"/>
        <v>-9.3653860650369548E-3</v>
      </c>
      <c r="J18" s="96">
        <f>SUM('Temps Proof'!T16:V16)</f>
        <v>-1084782.4015975606</v>
      </c>
      <c r="K18" s="85">
        <f t="shared" si="5"/>
        <v>-3.2095958493720392E-2</v>
      </c>
      <c r="L18" s="96">
        <f>SUM('Temps Proof'!X16:Z16)</f>
        <v>-599542.85721526784</v>
      </c>
      <c r="M18" s="84">
        <f t="shared" si="6"/>
        <v>-1.7738951730825202E-2</v>
      </c>
      <c r="N18" s="1201">
        <f t="shared" si="7"/>
        <v>4283077.0202894574</v>
      </c>
      <c r="O18" s="970">
        <f t="shared" si="8"/>
        <v>0.1267253801925313</v>
      </c>
      <c r="P18" s="1231">
        <f t="shared" si="9"/>
        <v>2598751.7614766294</v>
      </c>
      <c r="Q18" s="1202">
        <f t="shared" si="10"/>
        <v>4.9025469260281208E-2</v>
      </c>
      <c r="R18" s="650"/>
      <c r="S18" s="593"/>
      <c r="T18" s="81">
        <f t="shared" si="11"/>
        <v>38081176.609987006</v>
      </c>
      <c r="U18" s="81">
        <f t="shared" si="12"/>
        <v>55606949.351174176</v>
      </c>
      <c r="V18" s="83">
        <f t="shared" si="13"/>
        <v>0.12672538019253132</v>
      </c>
      <c r="W18" s="84">
        <f t="shared" si="14"/>
        <v>4.9025469260281188E-2</v>
      </c>
      <c r="X18" s="85">
        <f>'Avg Bill by RS'!AH16</f>
        <v>4.5999999999999999E-2</v>
      </c>
      <c r="Y18" s="1064"/>
      <c r="Z18" s="1093">
        <f>'Rate Impacts - Rev Req ONLY'!N19</f>
        <v>38081176.609987006</v>
      </c>
      <c r="AA18" s="81">
        <f>'Rate Impacts - Rev Req ONLY'!O19</f>
        <v>57291274.609987006</v>
      </c>
      <c r="AB18" s="95">
        <f>SUM('Rev Req Proof Yr2'!AF16:AH16)</f>
        <v>2156925.4945645519</v>
      </c>
      <c r="AC18" s="85">
        <f t="shared" ref="AC18:AC23" si="20">IFERROR((AB18/Z18),0)</f>
        <v>5.6640200922754208E-2</v>
      </c>
      <c r="AD18" s="95">
        <f>SUM('Temps Proof'!AB16:AD16)</f>
        <v>-30224.433681796272</v>
      </c>
      <c r="AE18" s="85">
        <f t="shared" si="15"/>
        <v>-7.9368434414050484E-4</v>
      </c>
      <c r="AF18" s="1205">
        <f>SUM('Temps Proof'!AR16:AT16)</f>
        <v>0</v>
      </c>
      <c r="AG18" s="85">
        <f t="shared" si="0"/>
        <v>0</v>
      </c>
      <c r="AH18" s="1201">
        <f t="shared" si="16"/>
        <v>2126701.0608827556</v>
      </c>
      <c r="AI18" s="1202">
        <f t="shared" si="1"/>
        <v>5.5846516578613697E-2</v>
      </c>
      <c r="AJ18" s="650"/>
      <c r="AK18" s="593"/>
      <c r="AL18" s="81">
        <f t="shared" si="17"/>
        <v>40207877.67086976</v>
      </c>
      <c r="AM18" s="81">
        <f t="shared" si="18"/>
        <v>59417975.67086976</v>
      </c>
      <c r="AN18" s="83">
        <f t="shared" si="2"/>
        <v>5.5846516578613677E-2</v>
      </c>
      <c r="AO18" s="84">
        <f t="shared" si="3"/>
        <v>3.7120854359767176E-2</v>
      </c>
      <c r="AP18" s="85">
        <f>'Avg Bill by RS'!BM16</f>
        <v>6.4000000000000001E-2</v>
      </c>
    </row>
    <row r="19" spans="2:42" x14ac:dyDescent="0.2">
      <c r="B19" s="1076">
        <v>4</v>
      </c>
      <c r="C19" s="1070" t="s">
        <v>10</v>
      </c>
      <c r="D19" s="80">
        <f>'Rate Impacts - Rev Req ONLY'!D20</f>
        <v>9866168.0688334089</v>
      </c>
      <c r="E19" s="81">
        <f>'Rate Impacts - Rev Req ONLY'!E20</f>
        <v>16112007.068833409</v>
      </c>
      <c r="F19" s="95">
        <f>SUM('Rev Req Proof Yr1'!AF17:AH17)</f>
        <v>1342720.8770816317</v>
      </c>
      <c r="G19" s="85">
        <f t="shared" si="19"/>
        <v>0.13609345266712014</v>
      </c>
      <c r="H19" s="95">
        <f>SUM('Rev Req Proof Yr1'!AM17:AO17)</f>
        <v>-92373.478835822199</v>
      </c>
      <c r="I19" s="84">
        <f t="shared" si="4"/>
        <v>-9.3626500371125927E-3</v>
      </c>
      <c r="J19" s="96">
        <f>SUM('Temps Proof'!T17:V17)</f>
        <v>-316785.64405398985</v>
      </c>
      <c r="K19" s="85">
        <f t="shared" si="5"/>
        <v>-3.2108275659188834E-2</v>
      </c>
      <c r="L19" s="96">
        <f>SUM('Temps Proof'!X17:Z17)</f>
        <v>-175098.6639441117</v>
      </c>
      <c r="M19" s="84">
        <f t="shared" si="6"/>
        <v>-1.7747383049072227E-2</v>
      </c>
      <c r="N19" s="1201">
        <f t="shared" si="7"/>
        <v>1250347.3982458096</v>
      </c>
      <c r="O19" s="970">
        <f t="shared" si="8"/>
        <v>0.12673080263000755</v>
      </c>
      <c r="P19" s="1231">
        <f t="shared" si="9"/>
        <v>758463.09024770814</v>
      </c>
      <c r="Q19" s="1202">
        <f t="shared" si="10"/>
        <v>4.7074401532187553E-2</v>
      </c>
      <c r="R19" s="650"/>
      <c r="S19" s="593"/>
      <c r="T19" s="81">
        <f t="shared" si="11"/>
        <v>11116515.467079218</v>
      </c>
      <c r="U19" s="81">
        <f t="shared" si="12"/>
        <v>16870470.159081116</v>
      </c>
      <c r="V19" s="83">
        <f t="shared" si="13"/>
        <v>0.12673080263000755</v>
      </c>
      <c r="W19" s="84">
        <f t="shared" si="14"/>
        <v>4.7074401532187511E-2</v>
      </c>
      <c r="X19" s="85">
        <f>'Avg Bill by RS'!AH17</f>
        <v>4.3999999999999997E-2</v>
      </c>
      <c r="Y19" s="1064"/>
      <c r="Z19" s="1093">
        <f>'Rate Impacts - Rev Req ONLY'!N20</f>
        <v>11116515.467079217</v>
      </c>
      <c r="AA19" s="81">
        <f>'Rate Impacts - Rev Req ONLY'!O20</f>
        <v>17362354.467079218</v>
      </c>
      <c r="AB19" s="95">
        <f>SUM('Rev Req Proof Yr2'!AF17:AH17)</f>
        <v>629640.50177454017</v>
      </c>
      <c r="AC19" s="85">
        <f t="shared" si="20"/>
        <v>5.6640095868096124E-2</v>
      </c>
      <c r="AD19" s="95">
        <f>SUM('Temps Proof'!AB17:AD17)</f>
        <v>-8933.6053032710042</v>
      </c>
      <c r="AE19" s="85">
        <f t="shared" si="15"/>
        <v>-8.0363359631237426E-4</v>
      </c>
      <c r="AF19" s="1205">
        <f>SUM('Temps Proof'!AR17:AT17)</f>
        <v>0</v>
      </c>
      <c r="AG19" s="85">
        <f t="shared" si="0"/>
        <v>0</v>
      </c>
      <c r="AH19" s="1201">
        <f t="shared" si="16"/>
        <v>620706.8964712692</v>
      </c>
      <c r="AI19" s="1202">
        <f t="shared" si="1"/>
        <v>5.5836462271783752E-2</v>
      </c>
      <c r="AJ19" s="650"/>
      <c r="AK19" s="593"/>
      <c r="AL19" s="81">
        <f t="shared" si="17"/>
        <v>11737222.363550486</v>
      </c>
      <c r="AM19" s="81">
        <f t="shared" si="18"/>
        <v>17983061.363550488</v>
      </c>
      <c r="AN19" s="83">
        <f t="shared" si="2"/>
        <v>5.5836462271783772E-2</v>
      </c>
      <c r="AO19" s="84">
        <f t="shared" si="3"/>
        <v>3.5750156906898346E-2</v>
      </c>
      <c r="AP19" s="85">
        <f>'Avg Bill by RS'!BM17</f>
        <v>6.2E-2</v>
      </c>
    </row>
    <row r="20" spans="2:42" x14ac:dyDescent="0.2">
      <c r="B20" s="1076">
        <v>5</v>
      </c>
      <c r="C20" s="1070" t="s">
        <v>11</v>
      </c>
      <c r="D20" s="80">
        <f>'Rate Impacts - Rev Req ONLY'!D21</f>
        <v>141888.72505190157</v>
      </c>
      <c r="E20" s="81">
        <f>'Rate Impacts - Rev Req ONLY'!E21</f>
        <v>241043.72505190157</v>
      </c>
      <c r="F20" s="95">
        <f>SUM('Rev Req Proof Yr1'!AF18:AH18)</f>
        <v>19311.028159999987</v>
      </c>
      <c r="G20" s="85">
        <f t="shared" si="19"/>
        <v>0.13609980745782438</v>
      </c>
      <c r="H20" s="95">
        <f>SUM('Rev Req Proof Yr1'!AM18:AO18)</f>
        <v>-1330.3278799999996</v>
      </c>
      <c r="I20" s="84">
        <f t="shared" si="4"/>
        <v>-9.3758533633548271E-3</v>
      </c>
      <c r="J20" s="96">
        <f>SUM('Temps Proof'!T18:V18)</f>
        <v>0</v>
      </c>
      <c r="K20" s="85">
        <f t="shared" si="5"/>
        <v>0</v>
      </c>
      <c r="L20" s="96">
        <f>SUM('Temps Proof'!X18:Z18)</f>
        <v>-2515.9932399999993</v>
      </c>
      <c r="M20" s="84">
        <f t="shared" si="6"/>
        <v>-1.7732157640289407E-2</v>
      </c>
      <c r="N20" s="1201">
        <f t="shared" si="7"/>
        <v>17980.700279999986</v>
      </c>
      <c r="O20" s="970">
        <f t="shared" si="8"/>
        <v>0.12672395409446954</v>
      </c>
      <c r="P20" s="1231">
        <f t="shared" si="9"/>
        <v>15464.707039999987</v>
      </c>
      <c r="Q20" s="1202">
        <f t="shared" si="10"/>
        <v>6.4157268714089624E-2</v>
      </c>
      <c r="R20" s="650"/>
      <c r="S20" s="593"/>
      <c r="T20" s="81">
        <f t="shared" si="11"/>
        <v>159869.42533190156</v>
      </c>
      <c r="U20" s="81">
        <f t="shared" si="12"/>
        <v>256508.43209190154</v>
      </c>
      <c r="V20" s="83">
        <f t="shared" si="13"/>
        <v>0.12672395409446957</v>
      </c>
      <c r="W20" s="84">
        <f t="shared" si="14"/>
        <v>6.4157268714089596E-2</v>
      </c>
      <c r="X20" s="85">
        <f>'Avg Bill by RS'!AH18</f>
        <v>6.4000000000000001E-2</v>
      </c>
      <c r="Y20" s="1064"/>
      <c r="Z20" s="1093">
        <f>'Rate Impacts - Rev Req ONLY'!N21</f>
        <v>159869.42533190156</v>
      </c>
      <c r="AA20" s="81">
        <f>'Rate Impacts - Rev Req ONLY'!O21</f>
        <v>259024.42533190156</v>
      </c>
      <c r="AB20" s="95">
        <f>SUM('Rev Req Proof Yr2'!AF18:AH18)</f>
        <v>9054.1718399999954</v>
      </c>
      <c r="AC20" s="85">
        <f t="shared" si="20"/>
        <v>5.6634793183267029E-2</v>
      </c>
      <c r="AD20" s="95">
        <f>SUM('Temps Proof'!AB18:AD18)</f>
        <v>-127.64339999999997</v>
      </c>
      <c r="AE20" s="85">
        <f t="shared" si="15"/>
        <v>-7.9842283623026854E-4</v>
      </c>
      <c r="AF20" s="1205">
        <f>SUM('Temps Proof'!AR18:AT18)</f>
        <v>0</v>
      </c>
      <c r="AG20" s="85">
        <f t="shared" si="0"/>
        <v>0</v>
      </c>
      <c r="AH20" s="1201">
        <f t="shared" si="16"/>
        <v>8926.5284399999946</v>
      </c>
      <c r="AI20" s="1202">
        <f t="shared" si="1"/>
        <v>5.5836370347036757E-2</v>
      </c>
      <c r="AJ20" s="650"/>
      <c r="AK20" s="593"/>
      <c r="AL20" s="81">
        <f t="shared" si="17"/>
        <v>168795.95377190155</v>
      </c>
      <c r="AM20" s="81">
        <f t="shared" si="18"/>
        <v>267950.95377190155</v>
      </c>
      <c r="AN20" s="83">
        <f t="shared" si="2"/>
        <v>5.5836370347036757E-2</v>
      </c>
      <c r="AO20" s="84">
        <f t="shared" si="3"/>
        <v>3.4462110778016267E-2</v>
      </c>
      <c r="AP20" s="85">
        <f>'Avg Bill by RS'!BM18</f>
        <v>4.4999999999999998E-2</v>
      </c>
    </row>
    <row r="21" spans="2:42" x14ac:dyDescent="0.2">
      <c r="B21" s="1077">
        <v>6</v>
      </c>
      <c r="C21" s="1070">
        <v>27</v>
      </c>
      <c r="D21" s="80">
        <f>'Rate Impacts - Rev Req ONLY'!D22</f>
        <v>201938.20437801833</v>
      </c>
      <c r="E21" s="81">
        <f>'Rate Impacts - Rev Req ONLY'!E22</f>
        <v>363218.20437801839</v>
      </c>
      <c r="F21" s="95">
        <f>SUM('Rev Req Proof Yr1'!AF19:AH19)</f>
        <v>27483.916299070072</v>
      </c>
      <c r="G21" s="85">
        <f t="shared" si="19"/>
        <v>0.13610062733657638</v>
      </c>
      <c r="H21" s="95">
        <f>SUM('Rev Req Proof Yr1'!AM19:AO19)</f>
        <v>-1891.6242542586419</v>
      </c>
      <c r="I21" s="84">
        <f t="shared" si="4"/>
        <v>-9.3673421534323197E-3</v>
      </c>
      <c r="J21" s="96">
        <f>SUM('Temps Proof'!T19:V19)</f>
        <v>-6482.2733591058341</v>
      </c>
      <c r="K21" s="85">
        <f t="shared" si="5"/>
        <v>-3.210028225749368E-2</v>
      </c>
      <c r="L21" s="96">
        <f>SUM('Temps Proof'!X19:Z19)</f>
        <v>-3584.858647704792</v>
      </c>
      <c r="M21" s="84">
        <f t="shared" si="6"/>
        <v>-1.7752255739553441E-2</v>
      </c>
      <c r="N21" s="1201">
        <f t="shared" si="7"/>
        <v>25592.292044811431</v>
      </c>
      <c r="O21" s="970">
        <f t="shared" si="8"/>
        <v>0.12673328518314408</v>
      </c>
      <c r="P21" s="1231">
        <f t="shared" si="9"/>
        <v>15525.160038000804</v>
      </c>
      <c r="Q21" s="1202">
        <f t="shared" si="10"/>
        <v>4.2743342296365283E-2</v>
      </c>
      <c r="R21" s="650"/>
      <c r="S21" s="593"/>
      <c r="T21" s="81">
        <f t="shared" si="11"/>
        <v>227530.49642282975</v>
      </c>
      <c r="U21" s="81">
        <f t="shared" si="12"/>
        <v>378743.36441601918</v>
      </c>
      <c r="V21" s="83">
        <f t="shared" si="13"/>
        <v>0.126733285183144</v>
      </c>
      <c r="W21" s="84">
        <f t="shared" si="14"/>
        <v>4.2743342296365242E-2</v>
      </c>
      <c r="X21" s="85">
        <f>'Avg Bill by RS'!AH19</f>
        <v>4.1000000000000002E-2</v>
      </c>
      <c r="Y21" s="1064"/>
      <c r="Z21" s="1093">
        <f>'Rate Impacts - Rev Req ONLY'!N22</f>
        <v>227530.49642282975</v>
      </c>
      <c r="AA21" s="81">
        <f>'Rate Impacts - Rev Req ONLY'!O22</f>
        <v>388810.4964228298</v>
      </c>
      <c r="AB21" s="95">
        <f>SUM('Rev Req Proof Yr2'!AF19:AH19)</f>
        <v>12886.113517425343</v>
      </c>
      <c r="AC21" s="85">
        <f t="shared" si="20"/>
        <v>5.6634665330657571E-2</v>
      </c>
      <c r="AD21" s="95">
        <f>SUM('Temps Proof'!AB19:AD19)</f>
        <v>-179.93499003923665</v>
      </c>
      <c r="AE21" s="85">
        <f t="shared" si="15"/>
        <v>-7.9081702395117923E-4</v>
      </c>
      <c r="AF21" s="1205">
        <f>SUM('Temps Proof'!AR19:AT19)</f>
        <v>0</v>
      </c>
      <c r="AG21" s="85">
        <f t="shared" si="0"/>
        <v>0</v>
      </c>
      <c r="AH21" s="1201">
        <f t="shared" si="16"/>
        <v>12706.178527386106</v>
      </c>
      <c r="AI21" s="1202">
        <f t="shared" si="1"/>
        <v>5.5843848306706391E-2</v>
      </c>
      <c r="AJ21" s="650"/>
      <c r="AK21" s="593"/>
      <c r="AL21" s="81">
        <f t="shared" si="17"/>
        <v>240236.67495021585</v>
      </c>
      <c r="AM21" s="81">
        <f t="shared" si="18"/>
        <v>401516.67495021591</v>
      </c>
      <c r="AN21" s="83">
        <f t="shared" si="2"/>
        <v>5.5843848306706377E-2</v>
      </c>
      <c r="AO21" s="84">
        <f t="shared" si="3"/>
        <v>3.2679618076895192E-2</v>
      </c>
      <c r="AP21" s="85">
        <f>'Avg Bill by RS'!BM19</f>
        <v>5.8000000000000003E-2</v>
      </c>
    </row>
    <row r="22" spans="2:42" x14ac:dyDescent="0.2">
      <c r="B22" s="1076">
        <v>7</v>
      </c>
      <c r="C22" s="1070" t="s">
        <v>352</v>
      </c>
      <c r="D22" s="80">
        <f>'Rate Impacts - Rev Req ONLY'!D23</f>
        <v>1542348.175315036</v>
      </c>
      <c r="E22" s="81">
        <f>'Rate Impacts - Rev Req ONLY'!E23</f>
        <v>2853836.1753150364</v>
      </c>
      <c r="F22" s="95">
        <f>SUM('Rev Req Proof Yr1'!AF22:AH22)</f>
        <v>209902.4317501164</v>
      </c>
      <c r="G22" s="85">
        <f t="shared" ref="G22:G33" si="21">IFERROR((F22/D22),0)</f>
        <v>0.13609276757969535</v>
      </c>
      <c r="H22" s="95">
        <f>SUM('Rev Req Proof Yr1'!AM22:AO22)</f>
        <v>-14451.994176944718</v>
      </c>
      <c r="I22" s="84">
        <f t="shared" si="4"/>
        <v>-9.37012433913814E-3</v>
      </c>
      <c r="J22" s="96">
        <f>SUM('Temps Proof'!T22:V22)</f>
        <v>-49506.817502475213</v>
      </c>
      <c r="K22" s="85">
        <f t="shared" si="5"/>
        <v>-3.2098340890093176E-2</v>
      </c>
      <c r="L22" s="96">
        <f>SUM('Temps Proof'!X22:Z22)</f>
        <v>-27371.710230430603</v>
      </c>
      <c r="M22" s="84">
        <f t="shared" si="6"/>
        <v>-1.7746777717579709E-2</v>
      </c>
      <c r="N22" s="1201">
        <f t="shared" si="7"/>
        <v>195450.43757317169</v>
      </c>
      <c r="O22" s="970">
        <f t="shared" si="8"/>
        <v>0.12672264324055721</v>
      </c>
      <c r="P22" s="1231">
        <f t="shared" si="9"/>
        <v>118571.90984026586</v>
      </c>
      <c r="Q22" s="1202">
        <f t="shared" si="10"/>
        <v>4.1548253843679953E-2</v>
      </c>
      <c r="R22" s="650"/>
      <c r="S22" s="593"/>
      <c r="T22" s="81">
        <f t="shared" si="11"/>
        <v>1737798.6128882077</v>
      </c>
      <c r="U22" s="81">
        <f t="shared" si="12"/>
        <v>2972408.0851553022</v>
      </c>
      <c r="V22" s="83">
        <f t="shared" si="13"/>
        <v>0.12672264324055721</v>
      </c>
      <c r="W22" s="84">
        <f t="shared" si="14"/>
        <v>4.1548253843679918E-2</v>
      </c>
      <c r="X22" s="85">
        <f>'Avg Bill by RS'!AH22</f>
        <v>4.4999999999999998E-2</v>
      </c>
      <c r="Y22" s="1064"/>
      <c r="Z22" s="1093">
        <f>'Rate Impacts - Rev Req ONLY'!N23</f>
        <v>1737798.6128882077</v>
      </c>
      <c r="AA22" s="81">
        <f>'Rate Impacts - Rev Req ONLY'!O23</f>
        <v>3049286.6128882081</v>
      </c>
      <c r="AB22" s="95">
        <f>SUM('Rev Req Proof Yr2'!AF22:AH22)</f>
        <v>98435.082024062751</v>
      </c>
      <c r="AC22" s="85">
        <f t="shared" si="20"/>
        <v>5.6643549657612174E-2</v>
      </c>
      <c r="AD22" s="95">
        <f>SUM('Temps Proof'!AB22:AD22)</f>
        <v>-1401.9558234434951</v>
      </c>
      <c r="AE22" s="85">
        <f t="shared" si="15"/>
        <v>-8.0674239986499674E-4</v>
      </c>
      <c r="AF22" s="1205">
        <f>SUM('Temps Proof'!AR22:AT22)</f>
        <v>0</v>
      </c>
      <c r="AG22" s="85">
        <f t="shared" si="0"/>
        <v>0</v>
      </c>
      <c r="AH22" s="1201">
        <f t="shared" si="16"/>
        <v>97033.126200619256</v>
      </c>
      <c r="AI22" s="1202">
        <f t="shared" si="1"/>
        <v>5.583680725774718E-2</v>
      </c>
      <c r="AJ22" s="650"/>
      <c r="AK22" s="593"/>
      <c r="AL22" s="81">
        <f t="shared" si="17"/>
        <v>1834831.7390888268</v>
      </c>
      <c r="AM22" s="81">
        <f t="shared" si="18"/>
        <v>3146319.7390888273</v>
      </c>
      <c r="AN22" s="83">
        <f t="shared" si="2"/>
        <v>5.5836807257747124E-2</v>
      </c>
      <c r="AO22" s="84">
        <f t="shared" si="3"/>
        <v>3.1821582723806932E-2</v>
      </c>
      <c r="AP22" s="85">
        <f>'Avg Bill by RS'!BM20</f>
        <v>6.4000000000000001E-2</v>
      </c>
    </row>
    <row r="23" spans="2:42" x14ac:dyDescent="0.2">
      <c r="B23" s="1076">
        <v>8</v>
      </c>
      <c r="C23" s="1070" t="s">
        <v>353</v>
      </c>
      <c r="D23" s="80">
        <f>'Rate Impacts - Rev Req ONLY'!D24</f>
        <v>392614.2804678994</v>
      </c>
      <c r="E23" s="81">
        <f>'Rate Impacts - Rev Req ONLY'!E24</f>
        <v>747266.28046789952</v>
      </c>
      <c r="F23" s="95">
        <f>SUM('Rev Req Proof Yr1'!AF25:AH25)</f>
        <v>53433.67476200001</v>
      </c>
      <c r="G23" s="85">
        <f t="shared" si="21"/>
        <v>0.13609712488888648</v>
      </c>
      <c r="H23" s="95">
        <f>SUM('Rev Req Proof Yr1'!AM25:AO25)</f>
        <v>-3674.6766820000012</v>
      </c>
      <c r="I23" s="84">
        <f t="shared" si="4"/>
        <v>-9.359508466224643E-3</v>
      </c>
      <c r="J23" s="96">
        <f>SUM('Temps Proof'!T25:V25)</f>
        <v>0</v>
      </c>
      <c r="K23" s="85">
        <f t="shared" si="5"/>
        <v>0</v>
      </c>
      <c r="L23" s="96">
        <f>SUM('Temps Proof'!X25:Z25)</f>
        <v>-6960.5454800000016</v>
      </c>
      <c r="M23" s="84">
        <f t="shared" si="6"/>
        <v>-1.7728711935044106E-2</v>
      </c>
      <c r="N23" s="1201">
        <f t="shared" si="7"/>
        <v>49758.998080000005</v>
      </c>
      <c r="O23" s="970">
        <f t="shared" si="8"/>
        <v>0.12673761642266182</v>
      </c>
      <c r="P23" s="1231">
        <f t="shared" si="9"/>
        <v>42798.452600000004</v>
      </c>
      <c r="Q23" s="1202">
        <f t="shared" si="10"/>
        <v>5.72733625464832E-2</v>
      </c>
      <c r="R23" s="650"/>
      <c r="S23" s="593"/>
      <c r="T23" s="81">
        <f t="shared" si="11"/>
        <v>442373.27854789939</v>
      </c>
      <c r="U23" s="81">
        <f t="shared" si="12"/>
        <v>790064.73306789948</v>
      </c>
      <c r="V23" s="83">
        <f t="shared" si="13"/>
        <v>0.12673761642266179</v>
      </c>
      <c r="W23" s="84">
        <f t="shared" si="14"/>
        <v>5.7273362546483138E-2</v>
      </c>
      <c r="X23" s="85">
        <f>'Avg Bill by RS'!AH25</f>
        <v>6.7000000000000004E-2</v>
      </c>
      <c r="Y23" s="1064"/>
      <c r="Z23" s="1093">
        <f>'Rate Impacts - Rev Req ONLY'!N24</f>
        <v>442373.27854789939</v>
      </c>
      <c r="AA23" s="81">
        <f>'Rate Impacts - Rev Req ONLY'!O24</f>
        <v>797025.27854789945</v>
      </c>
      <c r="AB23" s="95">
        <f>SUM('Rev Req Proof Yr2'!AF25:AH25)</f>
        <v>25056.720428000001</v>
      </c>
      <c r="AC23" s="85">
        <f t="shared" si="20"/>
        <v>5.6641577697118757E-2</v>
      </c>
      <c r="AD23" s="95">
        <f>SUM('Temps Proof'!AB25:AD25)</f>
        <v>-354.44277600000009</v>
      </c>
      <c r="AE23" s="85">
        <f t="shared" si="15"/>
        <v>-8.0123007692387471E-4</v>
      </c>
      <c r="AF23" s="1205">
        <f>SUM('Temps Proof'!AR25:AT25)</f>
        <v>0</v>
      </c>
      <c r="AG23" s="85">
        <f t="shared" si="0"/>
        <v>0</v>
      </c>
      <c r="AH23" s="1201">
        <f t="shared" si="16"/>
        <v>24702.277652000001</v>
      </c>
      <c r="AI23" s="1202">
        <f t="shared" si="1"/>
        <v>5.584034762019488E-2</v>
      </c>
      <c r="AJ23" s="650"/>
      <c r="AK23" s="593"/>
      <c r="AL23" s="81">
        <f t="shared" si="17"/>
        <v>467075.55619989941</v>
      </c>
      <c r="AM23" s="81">
        <f t="shared" si="18"/>
        <v>821727.55619989941</v>
      </c>
      <c r="AN23" s="83">
        <f t="shared" si="2"/>
        <v>5.5840347620194922E-2</v>
      </c>
      <c r="AO23" s="84">
        <f t="shared" si="3"/>
        <v>3.0993091833931598E-2</v>
      </c>
      <c r="AP23" s="85">
        <f>'Avg Bill by RS'!BM21</f>
        <v>4.5999999999999999E-2</v>
      </c>
    </row>
    <row r="24" spans="2:42" x14ac:dyDescent="0.2">
      <c r="B24" s="1076">
        <v>9</v>
      </c>
      <c r="C24" s="1070" t="s">
        <v>355</v>
      </c>
      <c r="D24" s="80">
        <f>'Rate Impacts - Rev Req ONLY'!D25</f>
        <v>0</v>
      </c>
      <c r="E24" s="81">
        <f>'Rate Impacts - Rev Req ONLY'!E25</f>
        <v>0</v>
      </c>
      <c r="F24" s="95">
        <f>SUM('Rev Req Proof Yr1'!AF28:AH28)</f>
        <v>0</v>
      </c>
      <c r="G24" s="85">
        <f>IFERROR((F24/D24),0)</f>
        <v>0</v>
      </c>
      <c r="H24" s="95">
        <f>SUM('Rev Req Proof Yr1'!AM28:AO28)</f>
        <v>0</v>
      </c>
      <c r="I24" s="84">
        <f t="shared" si="4"/>
        <v>0</v>
      </c>
      <c r="J24" s="96">
        <f>SUM('Temps Proof'!T28:V28)</f>
        <v>0</v>
      </c>
      <c r="K24" s="85">
        <f t="shared" si="5"/>
        <v>0</v>
      </c>
      <c r="L24" s="96">
        <f>SUM('Temps Proof'!X28:Z28)</f>
        <v>0</v>
      </c>
      <c r="M24" s="84">
        <f t="shared" si="6"/>
        <v>0</v>
      </c>
      <c r="N24" s="1201">
        <f t="shared" si="7"/>
        <v>0</v>
      </c>
      <c r="O24" s="970">
        <f t="shared" si="8"/>
        <v>0</v>
      </c>
      <c r="P24" s="1231">
        <f t="shared" si="9"/>
        <v>0</v>
      </c>
      <c r="Q24" s="1202">
        <f t="shared" si="10"/>
        <v>0</v>
      </c>
      <c r="R24" s="650"/>
      <c r="S24" s="593"/>
      <c r="T24" s="81">
        <f t="shared" si="11"/>
        <v>0</v>
      </c>
      <c r="U24" s="81">
        <f t="shared" si="12"/>
        <v>0</v>
      </c>
      <c r="V24" s="83">
        <f t="shared" si="13"/>
        <v>0</v>
      </c>
      <c r="W24" s="84">
        <f t="shared" si="14"/>
        <v>0</v>
      </c>
      <c r="X24" s="85">
        <f>'Avg Bill by RS'!AH28</f>
        <v>0</v>
      </c>
      <c r="Y24" s="1064"/>
      <c r="Z24" s="1093">
        <f>'Rate Impacts - Rev Req ONLY'!N25</f>
        <v>0</v>
      </c>
      <c r="AA24" s="81">
        <f>'Rate Impacts - Rev Req ONLY'!O25</f>
        <v>0</v>
      </c>
      <c r="AB24" s="95">
        <f>SUM('Rev Req Proof Yr2'!AF28:AH28)</f>
        <v>0</v>
      </c>
      <c r="AC24" s="85">
        <f>IFERROR((AB24/Z24),0)</f>
        <v>0</v>
      </c>
      <c r="AD24" s="95">
        <f>SUM('Temps Proof'!AB28:AD28)</f>
        <v>0</v>
      </c>
      <c r="AE24" s="85">
        <f t="shared" si="15"/>
        <v>0</v>
      </c>
      <c r="AF24" s="1205">
        <f>SUM('Temps Proof'!AR28:AT28)</f>
        <v>0</v>
      </c>
      <c r="AG24" s="85">
        <f t="shared" si="0"/>
        <v>0</v>
      </c>
      <c r="AH24" s="1201">
        <f t="shared" si="16"/>
        <v>0</v>
      </c>
      <c r="AI24" s="1202">
        <f t="shared" si="1"/>
        <v>0</v>
      </c>
      <c r="AJ24" s="650"/>
      <c r="AK24" s="593"/>
      <c r="AL24" s="81">
        <f t="shared" si="17"/>
        <v>0</v>
      </c>
      <c r="AM24" s="81">
        <f t="shared" si="18"/>
        <v>0</v>
      </c>
      <c r="AN24" s="83">
        <f t="shared" si="2"/>
        <v>0</v>
      </c>
      <c r="AO24" s="84">
        <f t="shared" si="3"/>
        <v>0</v>
      </c>
      <c r="AP24" s="85">
        <f>'Avg Bill by RS'!BM22</f>
        <v>0</v>
      </c>
    </row>
    <row r="25" spans="2:42" x14ac:dyDescent="0.2">
      <c r="B25" s="1076">
        <v>10</v>
      </c>
      <c r="C25" s="1070" t="s">
        <v>356</v>
      </c>
      <c r="D25" s="80">
        <f>'Rate Impacts - Rev Req ONLY'!D26</f>
        <v>0</v>
      </c>
      <c r="E25" s="81">
        <f>'Rate Impacts - Rev Req ONLY'!E26</f>
        <v>0</v>
      </c>
      <c r="F25" s="95">
        <f>SUM('Rev Req Proof Yr1'!AF31:AH31)</f>
        <v>0</v>
      </c>
      <c r="G25" s="85">
        <f t="shared" si="21"/>
        <v>0</v>
      </c>
      <c r="H25" s="95">
        <f>SUM('Rev Req Proof Yr1'!AM31:AO31)</f>
        <v>0</v>
      </c>
      <c r="I25" s="84">
        <f t="shared" si="4"/>
        <v>0</v>
      </c>
      <c r="J25" s="96">
        <f>SUM('Temps Proof'!T31:V31)</f>
        <v>0</v>
      </c>
      <c r="K25" s="85">
        <f t="shared" si="5"/>
        <v>0</v>
      </c>
      <c r="L25" s="96">
        <f>SUM('Temps Proof'!X31:Z31)</f>
        <v>0</v>
      </c>
      <c r="M25" s="84">
        <f t="shared" si="6"/>
        <v>0</v>
      </c>
      <c r="N25" s="1201">
        <f t="shared" si="7"/>
        <v>0</v>
      </c>
      <c r="O25" s="970">
        <f t="shared" si="8"/>
        <v>0</v>
      </c>
      <c r="P25" s="1231">
        <f t="shared" si="9"/>
        <v>0</v>
      </c>
      <c r="Q25" s="1202">
        <f t="shared" si="10"/>
        <v>0</v>
      </c>
      <c r="R25" s="650"/>
      <c r="S25" s="593"/>
      <c r="T25" s="81">
        <f t="shared" si="11"/>
        <v>0</v>
      </c>
      <c r="U25" s="81">
        <f t="shared" si="12"/>
        <v>0</v>
      </c>
      <c r="V25" s="83">
        <f t="shared" si="13"/>
        <v>0</v>
      </c>
      <c r="W25" s="84">
        <f t="shared" si="14"/>
        <v>0</v>
      </c>
      <c r="X25" s="85">
        <f>'Avg Bill by RS'!AH31</f>
        <v>0</v>
      </c>
      <c r="Y25" s="1064"/>
      <c r="Z25" s="1093">
        <f>'Rate Impacts - Rev Req ONLY'!N26</f>
        <v>0</v>
      </c>
      <c r="AA25" s="81">
        <f>'Rate Impacts - Rev Req ONLY'!O26</f>
        <v>0</v>
      </c>
      <c r="AB25" s="95">
        <f>SUM('Rev Req Proof Yr2'!AF31:AH31)</f>
        <v>0</v>
      </c>
      <c r="AC25" s="85">
        <f t="shared" ref="AC25" si="22">IFERROR((AB25/Z25),0)</f>
        <v>0</v>
      </c>
      <c r="AD25" s="95">
        <f>SUM('Temps Proof'!AB31:AD31)</f>
        <v>0</v>
      </c>
      <c r="AE25" s="85">
        <f t="shared" si="15"/>
        <v>0</v>
      </c>
      <c r="AF25" s="1205">
        <f>SUM('Temps Proof'!AR31:AT31)</f>
        <v>0</v>
      </c>
      <c r="AG25" s="85">
        <f t="shared" si="0"/>
        <v>0</v>
      </c>
      <c r="AH25" s="1201">
        <f t="shared" si="16"/>
        <v>0</v>
      </c>
      <c r="AI25" s="1202">
        <f t="shared" si="1"/>
        <v>0</v>
      </c>
      <c r="AJ25" s="650"/>
      <c r="AK25" s="593"/>
      <c r="AL25" s="81">
        <f t="shared" si="17"/>
        <v>0</v>
      </c>
      <c r="AM25" s="81">
        <f t="shared" si="18"/>
        <v>0</v>
      </c>
      <c r="AN25" s="83">
        <f t="shared" si="2"/>
        <v>0</v>
      </c>
      <c r="AO25" s="84">
        <f t="shared" si="3"/>
        <v>0</v>
      </c>
      <c r="AP25" s="85">
        <f>'Avg Bill by RS'!BM23</f>
        <v>0</v>
      </c>
    </row>
    <row r="26" spans="2:42" x14ac:dyDescent="0.2">
      <c r="B26" s="1076">
        <v>11</v>
      </c>
      <c r="C26" s="1070" t="s">
        <v>357</v>
      </c>
      <c r="D26" s="80">
        <f>'Rate Impacts - Rev Req ONLY'!D27</f>
        <v>189841.33809000003</v>
      </c>
      <c r="E26" s="81">
        <f>'Rate Impacts - Rev Req ONLY'!E27</f>
        <v>189841.33809000003</v>
      </c>
      <c r="F26" s="95">
        <f>SUM('Rev Req Proof Yr1'!AF34:AH34)</f>
        <v>25836.995390000004</v>
      </c>
      <c r="G26" s="85">
        <f>IFERROR((F26/D26),0)</f>
        <v>0.13609783648781065</v>
      </c>
      <c r="H26" s="95">
        <f>SUM('Rev Req Proof Yr1'!AM34:AO34)</f>
        <v>-1779.01313</v>
      </c>
      <c r="I26" s="84">
        <f t="shared" si="4"/>
        <v>-9.371052416184536E-3</v>
      </c>
      <c r="J26" s="96">
        <f>SUM('Temps Proof'!T34:V34)</f>
        <v>0</v>
      </c>
      <c r="K26" s="85">
        <f t="shared" si="5"/>
        <v>0</v>
      </c>
      <c r="L26" s="96">
        <f>SUM('Temps Proof'!X34:Z34)</f>
        <v>-3366.8523299999997</v>
      </c>
      <c r="M26" s="84">
        <f t="shared" si="6"/>
        <v>-1.7735085329012173E-2</v>
      </c>
      <c r="N26" s="1201">
        <f t="shared" si="7"/>
        <v>24057.982260000004</v>
      </c>
      <c r="O26" s="970">
        <f t="shared" si="8"/>
        <v>0.1267267840716261</v>
      </c>
      <c r="P26" s="1231">
        <f t="shared" si="9"/>
        <v>20691.129930000003</v>
      </c>
      <c r="Q26" s="1202">
        <f t="shared" si="10"/>
        <v>0.10899169874261393</v>
      </c>
      <c r="R26" s="650"/>
      <c r="S26" s="593"/>
      <c r="T26" s="81">
        <f t="shared" si="11"/>
        <v>213899.32035000005</v>
      </c>
      <c r="U26" s="81">
        <f t="shared" si="12"/>
        <v>210532.46802000003</v>
      </c>
      <c r="V26" s="83">
        <f t="shared" si="13"/>
        <v>0.12672678407162619</v>
      </c>
      <c r="W26" s="84">
        <f t="shared" si="14"/>
        <v>0.1089916987426139</v>
      </c>
      <c r="X26" s="85">
        <f>'Avg Bill by RS'!AH34</f>
        <v>0.109</v>
      </c>
      <c r="Y26" s="1064"/>
      <c r="Z26" s="1093">
        <f>'Rate Impacts - Rev Req ONLY'!N27</f>
        <v>213899.32035000002</v>
      </c>
      <c r="AA26" s="81">
        <f>'Rate Impacts - Rev Req ONLY'!O27</f>
        <v>213899.32035000002</v>
      </c>
      <c r="AB26" s="95">
        <f>SUM('Rev Req Proof Yr2'!AF34:AH34)</f>
        <v>12114.902749999994</v>
      </c>
      <c r="AC26" s="85">
        <f>IFERROR((AB26/Z26),0)</f>
        <v>5.6638341487839104E-2</v>
      </c>
      <c r="AD26" s="95">
        <f>SUM('Temps Proof'!AB34:AD34)</f>
        <v>-171.82324</v>
      </c>
      <c r="AE26" s="85">
        <f t="shared" si="15"/>
        <v>-8.0329025692483917E-4</v>
      </c>
      <c r="AF26" s="1205">
        <f>SUM('Temps Proof'!AR34:AT34)</f>
        <v>0</v>
      </c>
      <c r="AG26" s="85">
        <f t="shared" si="0"/>
        <v>0</v>
      </c>
      <c r="AH26" s="1201">
        <f t="shared" si="16"/>
        <v>11943.079509999994</v>
      </c>
      <c r="AI26" s="1202">
        <f t="shared" si="1"/>
        <v>5.583505123091427E-2</v>
      </c>
      <c r="AJ26" s="650"/>
      <c r="AK26" s="593"/>
      <c r="AL26" s="81">
        <f t="shared" si="17"/>
        <v>225842.39986</v>
      </c>
      <c r="AM26" s="81">
        <f t="shared" si="18"/>
        <v>225842.39986</v>
      </c>
      <c r="AN26" s="83">
        <f t="shared" si="2"/>
        <v>5.5835051230914208E-2</v>
      </c>
      <c r="AO26" s="84">
        <f t="shared" si="3"/>
        <v>5.5835051230914208E-2</v>
      </c>
      <c r="AP26" s="85">
        <f>'Avg Bill by RS'!BM24</f>
        <v>7.2999999999999995E-2</v>
      </c>
    </row>
    <row r="27" spans="2:42" x14ac:dyDescent="0.2">
      <c r="B27" s="1076">
        <v>12</v>
      </c>
      <c r="C27" s="1070" t="s">
        <v>358</v>
      </c>
      <c r="D27" s="80">
        <f>'Rate Impacts - Rev Req ONLY'!D28</f>
        <v>0</v>
      </c>
      <c r="E27" s="81">
        <f>'Rate Impacts - Rev Req ONLY'!E28</f>
        <v>0</v>
      </c>
      <c r="F27" s="95">
        <f>SUM('Rev Req Proof Yr1'!AF37:AH37)</f>
        <v>0</v>
      </c>
      <c r="G27" s="85">
        <f>IFERROR((F27/D27),0)</f>
        <v>0</v>
      </c>
      <c r="H27" s="95">
        <f>SUM('Rev Req Proof Yr1'!AM37:AO37)</f>
        <v>0</v>
      </c>
      <c r="I27" s="84">
        <f t="shared" si="4"/>
        <v>0</v>
      </c>
      <c r="J27" s="96">
        <f>SUM('Temps Proof'!T37:V37)</f>
        <v>0</v>
      </c>
      <c r="K27" s="85">
        <f t="shared" si="5"/>
        <v>0</v>
      </c>
      <c r="L27" s="96">
        <f>SUM('Temps Proof'!X37:Z37)</f>
        <v>0</v>
      </c>
      <c r="M27" s="84">
        <f t="shared" si="6"/>
        <v>0</v>
      </c>
      <c r="N27" s="1201">
        <f t="shared" si="7"/>
        <v>0</v>
      </c>
      <c r="O27" s="970">
        <f t="shared" si="8"/>
        <v>0</v>
      </c>
      <c r="P27" s="1231">
        <f t="shared" si="9"/>
        <v>0</v>
      </c>
      <c r="Q27" s="1202">
        <f t="shared" si="10"/>
        <v>0</v>
      </c>
      <c r="R27" s="650"/>
      <c r="S27" s="593"/>
      <c r="T27" s="81">
        <f t="shared" si="11"/>
        <v>0</v>
      </c>
      <c r="U27" s="81">
        <f t="shared" si="12"/>
        <v>0</v>
      </c>
      <c r="V27" s="83">
        <f t="shared" si="13"/>
        <v>0</v>
      </c>
      <c r="W27" s="84">
        <f t="shared" si="14"/>
        <v>0</v>
      </c>
      <c r="X27" s="85">
        <f>'Avg Bill by RS'!AH37</f>
        <v>0</v>
      </c>
      <c r="Y27" s="1064"/>
      <c r="Z27" s="1093">
        <f>'Rate Impacts - Rev Req ONLY'!N28</f>
        <v>0</v>
      </c>
      <c r="AA27" s="81">
        <f>'Rate Impacts - Rev Req ONLY'!O28</f>
        <v>0</v>
      </c>
      <c r="AB27" s="95">
        <f>SUM('Rev Req Proof Yr2'!AF37:AH37)</f>
        <v>0</v>
      </c>
      <c r="AC27" s="85">
        <f>IFERROR((AB27/Z27),0)</f>
        <v>0</v>
      </c>
      <c r="AD27" s="95">
        <f>SUM('Temps Proof'!AB37:AD37)</f>
        <v>0</v>
      </c>
      <c r="AE27" s="85">
        <f t="shared" si="15"/>
        <v>0</v>
      </c>
      <c r="AF27" s="1205">
        <f>SUM('Temps Proof'!AR37:AT37)</f>
        <v>0</v>
      </c>
      <c r="AG27" s="85">
        <f t="shared" si="0"/>
        <v>0</v>
      </c>
      <c r="AH27" s="1201">
        <f t="shared" si="16"/>
        <v>0</v>
      </c>
      <c r="AI27" s="1202">
        <f t="shared" si="1"/>
        <v>0</v>
      </c>
      <c r="AJ27" s="650"/>
      <c r="AK27" s="593"/>
      <c r="AL27" s="81">
        <f t="shared" si="17"/>
        <v>0</v>
      </c>
      <c r="AM27" s="81">
        <f t="shared" si="18"/>
        <v>0</v>
      </c>
      <c r="AN27" s="83">
        <f t="shared" si="2"/>
        <v>0</v>
      </c>
      <c r="AO27" s="84">
        <f t="shared" si="3"/>
        <v>0</v>
      </c>
      <c r="AP27" s="85">
        <f>'Avg Bill by RS'!BM25</f>
        <v>0</v>
      </c>
    </row>
    <row r="28" spans="2:42" x14ac:dyDescent="0.2">
      <c r="B28" s="1076">
        <v>13</v>
      </c>
      <c r="C28" s="1070" t="s">
        <v>359</v>
      </c>
      <c r="D28" s="80">
        <f>'Rate Impacts - Rev Req ONLY'!D29</f>
        <v>219574.60083981926</v>
      </c>
      <c r="E28" s="81">
        <f>'Rate Impacts - Rev Req ONLY'!E29</f>
        <v>470188.60083981924</v>
      </c>
      <c r="F28" s="95">
        <f>SUM('Rev Req Proof Yr1'!AF44:AH44)</f>
        <v>29883.943719079431</v>
      </c>
      <c r="G28" s="85">
        <f t="shared" si="21"/>
        <v>0.13609927379934036</v>
      </c>
      <c r="H28" s="95">
        <f>SUM('Rev Req Proof Yr1'!AM44:AO44)</f>
        <v>-2055.595853643305</v>
      </c>
      <c r="I28" s="84">
        <f t="shared" si="4"/>
        <v>-9.361719642350037E-3</v>
      </c>
      <c r="J28" s="96">
        <f>SUM('Temps Proof'!T44:V44)</f>
        <v>-7048.2450450192709</v>
      </c>
      <c r="K28" s="85">
        <f t="shared" si="5"/>
        <v>-3.209954620462227E-2</v>
      </c>
      <c r="L28" s="96">
        <f>SUM('Temps Proof'!X44:Z44)</f>
        <v>-3897.3218202287053</v>
      </c>
      <c r="M28" s="84">
        <f t="shared" si="6"/>
        <v>-1.7749420039122926E-2</v>
      </c>
      <c r="N28" s="1201">
        <f t="shared" si="7"/>
        <v>27828.347865436124</v>
      </c>
      <c r="O28" s="970">
        <f t="shared" si="8"/>
        <v>0.12673755415699031</v>
      </c>
      <c r="P28" s="1231">
        <f t="shared" si="9"/>
        <v>16882.781000188148</v>
      </c>
      <c r="Q28" s="1202">
        <f t="shared" si="10"/>
        <v>3.5906402175708348E-2</v>
      </c>
      <c r="R28" s="650"/>
      <c r="S28" s="593"/>
      <c r="T28" s="81">
        <f t="shared" si="11"/>
        <v>247402.9487052554</v>
      </c>
      <c r="U28" s="81">
        <f t="shared" si="12"/>
        <v>487071.38184000738</v>
      </c>
      <c r="V28" s="83">
        <f t="shared" si="13"/>
        <v>0.12673755415699037</v>
      </c>
      <c r="W28" s="84">
        <f t="shared" si="14"/>
        <v>3.5906402175708341E-2</v>
      </c>
      <c r="X28" s="85">
        <f>'Avg Bill by RS'!AH44</f>
        <v>4.5999999999999999E-2</v>
      </c>
      <c r="Y28" s="1064"/>
      <c r="Z28" s="1093">
        <f>'Rate Impacts - Rev Req ONLY'!N29</f>
        <v>247402.94870525537</v>
      </c>
      <c r="AA28" s="81">
        <f>'Rate Impacts - Rev Req ONLY'!O29</f>
        <v>498016.94870525534</v>
      </c>
      <c r="AB28" s="95">
        <f>SUM('Rev Req Proof Yr2'!AF44:AH44)</f>
        <v>14012.424282822392</v>
      </c>
      <c r="AC28" s="85">
        <f t="shared" ref="AC28:AC33" si="23">IFERROR((AB28/Z28),0)</f>
        <v>5.663806497115019E-2</v>
      </c>
      <c r="AD28" s="95">
        <f>SUM('Temps Proof'!AB44:AD44)</f>
        <v>-199.53158775131345</v>
      </c>
      <c r="AE28" s="85">
        <f t="shared" si="15"/>
        <v>-8.0650448507396861E-4</v>
      </c>
      <c r="AF28" s="1205">
        <f>SUM('Temps Proof'!AR44:AT44)</f>
        <v>0</v>
      </c>
      <c r="AG28" s="85">
        <f t="shared" si="0"/>
        <v>0</v>
      </c>
      <c r="AH28" s="1201">
        <f t="shared" si="16"/>
        <v>13812.892695071079</v>
      </c>
      <c r="AI28" s="1202">
        <f t="shared" si="1"/>
        <v>5.5831560486076223E-2</v>
      </c>
      <c r="AJ28" s="650"/>
      <c r="AK28" s="593"/>
      <c r="AL28" s="81">
        <f t="shared" si="17"/>
        <v>261215.84140032646</v>
      </c>
      <c r="AM28" s="81">
        <f t="shared" si="18"/>
        <v>511829.8414003264</v>
      </c>
      <c r="AN28" s="83">
        <f t="shared" si="2"/>
        <v>5.5831560486076265E-2</v>
      </c>
      <c r="AO28" s="84">
        <f t="shared" si="3"/>
        <v>2.7735788372226733E-2</v>
      </c>
      <c r="AP28" s="85">
        <f>'Avg Bill by RS'!BM26</f>
        <v>6.5000000000000002E-2</v>
      </c>
    </row>
    <row r="29" spans="2:42" x14ac:dyDescent="0.2">
      <c r="B29" s="1076">
        <v>14</v>
      </c>
      <c r="C29" s="1070" t="s">
        <v>360</v>
      </c>
      <c r="D29" s="80">
        <f>'Rate Impacts - Rev Req ONLY'!D30</f>
        <v>511672.37933789124</v>
      </c>
      <c r="E29" s="81">
        <f>'Rate Impacts - Rev Req ONLY'!E30</f>
        <v>1154958.3793378912</v>
      </c>
      <c r="F29" s="95">
        <f>SUM('Rev Req Proof Yr1'!AF51:AH51)</f>
        <v>69637.109626000005</v>
      </c>
      <c r="G29" s="85">
        <f t="shared" si="21"/>
        <v>0.13609706608770061</v>
      </c>
      <c r="H29" s="95">
        <f>SUM('Rev Req Proof Yr1'!AM51:AO51)</f>
        <v>-4788.9728660000001</v>
      </c>
      <c r="I29" s="84">
        <f t="shared" si="4"/>
        <v>-9.3594515932186439E-3</v>
      </c>
      <c r="J29" s="96">
        <f>SUM('Temps Proof'!T51:V51)</f>
        <v>0</v>
      </c>
      <c r="K29" s="85">
        <f t="shared" si="5"/>
        <v>0</v>
      </c>
      <c r="L29" s="96">
        <f>SUM('Temps Proof'!X51:Z51)</f>
        <v>-9079.0412880000022</v>
      </c>
      <c r="M29" s="84">
        <f t="shared" si="6"/>
        <v>-1.774385652739037E-2</v>
      </c>
      <c r="N29" s="1201">
        <f t="shared" si="7"/>
        <v>64848.136760000009</v>
      </c>
      <c r="O29" s="970">
        <f t="shared" si="8"/>
        <v>0.12673761449448198</v>
      </c>
      <c r="P29" s="1231">
        <f t="shared" si="9"/>
        <v>55769.095472000008</v>
      </c>
      <c r="Q29" s="1202">
        <f t="shared" si="10"/>
        <v>4.8286671164696891E-2</v>
      </c>
      <c r="R29" s="650"/>
      <c r="S29" s="593"/>
      <c r="T29" s="81">
        <f t="shared" si="11"/>
        <v>576520.51609789126</v>
      </c>
      <c r="U29" s="81">
        <f t="shared" si="12"/>
        <v>1210727.4748098913</v>
      </c>
      <c r="V29" s="83">
        <f t="shared" si="13"/>
        <v>0.12673761449448201</v>
      </c>
      <c r="W29" s="84">
        <f t="shared" si="14"/>
        <v>4.8286671164696947E-2</v>
      </c>
      <c r="X29" s="85">
        <f>'Avg Bill by RS'!AH51</f>
        <v>6.2E-2</v>
      </c>
      <c r="Y29" s="1064"/>
      <c r="Z29" s="1093">
        <f>'Rate Impacts - Rev Req ONLY'!N30</f>
        <v>576520.51609789126</v>
      </c>
      <c r="AA29" s="81">
        <f>'Rate Impacts - Rev Req ONLY'!O30</f>
        <v>1219806.5160978914</v>
      </c>
      <c r="AB29" s="95">
        <f>SUM('Rev Req Proof Yr2'!AF51:AH51)</f>
        <v>32655.57115500002</v>
      </c>
      <c r="AC29" s="85">
        <f t="shared" si="23"/>
        <v>5.6642513567470708E-2</v>
      </c>
      <c r="AD29" s="95">
        <f>SUM('Temps Proof'!AB51:AD51)</f>
        <v>-468.75253500000008</v>
      </c>
      <c r="AE29" s="85">
        <f t="shared" si="15"/>
        <v>-8.130717327679757E-4</v>
      </c>
      <c r="AF29" s="1205">
        <f>SUM('Temps Proof'!AR51:AT51)</f>
        <v>0</v>
      </c>
      <c r="AG29" s="85">
        <f t="shared" si="0"/>
        <v>0</v>
      </c>
      <c r="AH29" s="1201">
        <f t="shared" si="16"/>
        <v>32186.81862000002</v>
      </c>
      <c r="AI29" s="1202">
        <f t="shared" si="1"/>
        <v>5.5829441834702731E-2</v>
      </c>
      <c r="AJ29" s="650"/>
      <c r="AK29" s="593"/>
      <c r="AL29" s="81">
        <f t="shared" si="17"/>
        <v>608707.3347178913</v>
      </c>
      <c r="AM29" s="81">
        <f t="shared" si="18"/>
        <v>1251993.3347178914</v>
      </c>
      <c r="AN29" s="83">
        <f t="shared" si="2"/>
        <v>5.5829441834702759E-2</v>
      </c>
      <c r="AO29" s="84">
        <f t="shared" si="3"/>
        <v>2.63868229880951E-2</v>
      </c>
      <c r="AP29" s="85">
        <f>'Avg Bill by RS'!BM27</f>
        <v>4.2999999999999997E-2</v>
      </c>
    </row>
    <row r="30" spans="2:42" x14ac:dyDescent="0.2">
      <c r="B30" s="1076">
        <v>15</v>
      </c>
      <c r="C30" s="1070" t="s">
        <v>361</v>
      </c>
      <c r="D30" s="80">
        <f>'Rate Impacts - Rev Req ONLY'!D31</f>
        <v>360784.67333999998</v>
      </c>
      <c r="E30" s="81">
        <f>'Rate Impacts - Rev Req ONLY'!E31</f>
        <v>360784.67333999998</v>
      </c>
      <c r="F30" s="95">
        <f>SUM('Rev Req Proof Yr1'!AF58:AH58)</f>
        <v>49098.639150000003</v>
      </c>
      <c r="G30" s="85">
        <f t="shared" si="21"/>
        <v>0.13608848373592056</v>
      </c>
      <c r="H30" s="95">
        <f>SUM('Rev Req Proof Yr1'!AM58:AO58)</f>
        <v>-3383.8287</v>
      </c>
      <c r="I30" s="84">
        <f t="shared" si="4"/>
        <v>-9.3790810698078427E-3</v>
      </c>
      <c r="J30" s="96">
        <f>SUM('Temps Proof'!T58:V58)</f>
        <v>0</v>
      </c>
      <c r="K30" s="85">
        <f t="shared" si="5"/>
        <v>0</v>
      </c>
      <c r="L30" s="558">
        <f>SUM('Temps Proof'!X58:Z58)</f>
        <v>-6395.26055</v>
      </c>
      <c r="M30" s="84">
        <f t="shared" si="6"/>
        <v>-1.7725976247259176E-2</v>
      </c>
      <c r="N30" s="1201">
        <f t="shared" si="7"/>
        <v>45714.810450000004</v>
      </c>
      <c r="O30" s="970">
        <f t="shared" si="8"/>
        <v>0.12670940266611272</v>
      </c>
      <c r="P30" s="1231">
        <f t="shared" si="9"/>
        <v>39319.549900000005</v>
      </c>
      <c r="Q30" s="1202">
        <f t="shared" si="10"/>
        <v>0.10898342641885356</v>
      </c>
      <c r="R30" s="650"/>
      <c r="S30" s="593"/>
      <c r="T30" s="81">
        <f t="shared" si="11"/>
        <v>406499.48378999997</v>
      </c>
      <c r="U30" s="81">
        <f t="shared" si="12"/>
        <v>400104.22323999996</v>
      </c>
      <c r="V30" s="83">
        <f t="shared" si="13"/>
        <v>0.12670940266611269</v>
      </c>
      <c r="W30" s="84">
        <f t="shared" si="14"/>
        <v>0.1089834264188535</v>
      </c>
      <c r="X30" s="85">
        <f>'Avg Bill by RS'!AH58</f>
        <v>0.11600000000000001</v>
      </c>
      <c r="Y30" s="1064"/>
      <c r="Z30" s="1093">
        <f>'Rate Impacts - Rev Req ONLY'!N31</f>
        <v>406499.48378999997</v>
      </c>
      <c r="AA30" s="81">
        <f>'Rate Impacts - Rev Req ONLY'!O31</f>
        <v>406499.48378999997</v>
      </c>
      <c r="AB30" s="95">
        <f>SUM('Rev Req Proof Yr2'!AF58:AH58)</f>
        <v>23020.772400000023</v>
      </c>
      <c r="AC30" s="85">
        <f t="shared" si="23"/>
        <v>5.6631738336702757E-2</v>
      </c>
      <c r="AD30" s="95">
        <f>SUM('Temps Proof'!AB58:AD58)</f>
        <v>-326.73435000000001</v>
      </c>
      <c r="AE30" s="85">
        <f t="shared" si="15"/>
        <v>-8.0377555945136919E-4</v>
      </c>
      <c r="AF30" s="1206">
        <f>SUM('Temps Proof'!AR58:AT58)</f>
        <v>0</v>
      </c>
      <c r="AG30" s="85">
        <f t="shared" si="0"/>
        <v>0</v>
      </c>
      <c r="AH30" s="1201">
        <f t="shared" si="16"/>
        <v>22694.038050000025</v>
      </c>
      <c r="AI30" s="1202">
        <f t="shared" si="1"/>
        <v>5.5827962777251397E-2</v>
      </c>
      <c r="AJ30" s="650"/>
      <c r="AK30" s="593"/>
      <c r="AL30" s="81">
        <f t="shared" si="17"/>
        <v>429193.52184</v>
      </c>
      <c r="AM30" s="81">
        <f t="shared" si="18"/>
        <v>429193.52184</v>
      </c>
      <c r="AN30" s="83">
        <f t="shared" si="2"/>
        <v>5.5827962777251411E-2</v>
      </c>
      <c r="AO30" s="84">
        <f t="shared" si="3"/>
        <v>5.5827962777251411E-2</v>
      </c>
      <c r="AP30" s="85">
        <f>'Avg Bill by RS'!BM28</f>
        <v>7.6999999999999999E-2</v>
      </c>
    </row>
    <row r="31" spans="2:42" x14ac:dyDescent="0.2">
      <c r="B31" s="1076">
        <v>16</v>
      </c>
      <c r="C31" s="1070" t="s">
        <v>362</v>
      </c>
      <c r="D31" s="80">
        <f>'Rate Impacts - Rev Req ONLY'!D32</f>
        <v>823615.79209999996</v>
      </c>
      <c r="E31" s="81">
        <f>'Rate Impacts - Rev Req ONLY'!E32</f>
        <v>823615.79209999996</v>
      </c>
      <c r="F31" s="95">
        <f>SUM('Rev Req Proof Yr1'!AF65:AH65)</f>
        <v>112098.45365</v>
      </c>
      <c r="G31" s="85">
        <f t="shared" si="21"/>
        <v>0.1361052747230343</v>
      </c>
      <c r="H31" s="95">
        <f>SUM('Rev Req Proof Yr1'!AM65:AO65)</f>
        <v>-7716.6626000000006</v>
      </c>
      <c r="I31" s="84">
        <f t="shared" si="4"/>
        <v>-9.3692504126524512E-3</v>
      </c>
      <c r="J31" s="96">
        <f>SUM('Temps Proof'!T65:V65)</f>
        <v>0</v>
      </c>
      <c r="K31" s="85">
        <f t="shared" si="5"/>
        <v>0</v>
      </c>
      <c r="L31" s="96">
        <f>SUM('Temps Proof'!X65:Z65)</f>
        <v>-14605.610930000001</v>
      </c>
      <c r="M31" s="84">
        <f t="shared" si="6"/>
        <v>-1.773352462409639E-2</v>
      </c>
      <c r="N31" s="1201">
        <f t="shared" si="7"/>
        <v>104381.79105</v>
      </c>
      <c r="O31" s="970">
        <f t="shared" si="8"/>
        <v>0.12673602431038186</v>
      </c>
      <c r="P31" s="1231">
        <f t="shared" si="9"/>
        <v>89776.180120000005</v>
      </c>
      <c r="Q31" s="1202">
        <f t="shared" si="10"/>
        <v>0.10900249968628548</v>
      </c>
      <c r="R31" s="650"/>
      <c r="S31" s="593"/>
      <c r="T31" s="81">
        <f t="shared" si="11"/>
        <v>927997.58314999996</v>
      </c>
      <c r="U31" s="81">
        <f t="shared" si="12"/>
        <v>913391.97222</v>
      </c>
      <c r="V31" s="83">
        <f t="shared" si="13"/>
        <v>0.12673602431038186</v>
      </c>
      <c r="W31" s="84">
        <f t="shared" si="14"/>
        <v>0.1090024996862855</v>
      </c>
      <c r="X31" s="85">
        <f>'Avg Bill by RS'!AH65</f>
        <v>0.12</v>
      </c>
      <c r="Y31" s="1064"/>
      <c r="Z31" s="1093">
        <f>'Rate Impacts - Rev Req ONLY'!N32</f>
        <v>927997.58314999996</v>
      </c>
      <c r="AA31" s="81">
        <f>'Rate Impacts - Rev Req ONLY'!O32</f>
        <v>927997.58314999996</v>
      </c>
      <c r="AB31" s="95">
        <f>SUM('Rev Req Proof Yr2'!AF65:AH65)</f>
        <v>52558.568929999994</v>
      </c>
      <c r="AC31" s="85">
        <f t="shared" si="23"/>
        <v>5.6636536435358924E-2</v>
      </c>
      <c r="AD31" s="95">
        <f>SUM('Temps Proof'!AB65:AD65)</f>
        <v>-729.79639000000009</v>
      </c>
      <c r="AE31" s="85">
        <f t="shared" si="15"/>
        <v>-7.8642057183249913E-4</v>
      </c>
      <c r="AF31" s="1205">
        <f>SUM('Temps Proof'!AR65:AT65)</f>
        <v>0</v>
      </c>
      <c r="AG31" s="85">
        <f t="shared" si="0"/>
        <v>0</v>
      </c>
      <c r="AH31" s="1201">
        <f t="shared" si="16"/>
        <v>51828.772539999991</v>
      </c>
      <c r="AI31" s="1202">
        <f t="shared" si="1"/>
        <v>5.5850115863526423E-2</v>
      </c>
      <c r="AJ31" s="650"/>
      <c r="AK31" s="593"/>
      <c r="AL31" s="81">
        <f t="shared" si="17"/>
        <v>979826.35569</v>
      </c>
      <c r="AM31" s="81">
        <f t="shared" si="18"/>
        <v>979826.35569</v>
      </c>
      <c r="AN31" s="83">
        <f t="shared" si="2"/>
        <v>5.5850115863526464E-2</v>
      </c>
      <c r="AO31" s="84">
        <f t="shared" si="3"/>
        <v>5.5850115863526464E-2</v>
      </c>
      <c r="AP31" s="85">
        <f>'Avg Bill by RS'!BM29</f>
        <v>7.9000000000000001E-2</v>
      </c>
    </row>
    <row r="32" spans="2:42" x14ac:dyDescent="0.2">
      <c r="B32" s="1076">
        <v>17</v>
      </c>
      <c r="C32" s="1070" t="s">
        <v>363</v>
      </c>
      <c r="D32" s="80">
        <f>'Rate Impacts - Rev Req ONLY'!D33</f>
        <v>160512.61187958997</v>
      </c>
      <c r="E32" s="81">
        <f>'Rate Impacts - Rev Req ONLY'!E33</f>
        <v>430728.61187958985</v>
      </c>
      <c r="F32" s="95">
        <f>SUM('Rev Req Proof Yr1'!AF72:AH72)</f>
        <v>21844.4555</v>
      </c>
      <c r="G32" s="85">
        <f t="shared" si="21"/>
        <v>0.13609183256195981</v>
      </c>
      <c r="H32" s="95">
        <f>SUM('Rev Req Proof Yr1'!AM72:AO72)</f>
        <v>-1501.3931600000001</v>
      </c>
      <c r="I32" s="84">
        <f t="shared" si="4"/>
        <v>-9.3537395125454954E-3</v>
      </c>
      <c r="J32" s="96">
        <f>SUM('Temps Proof'!T72:V72)</f>
        <v>-5153.5389999999998</v>
      </c>
      <c r="K32" s="85">
        <f t="shared" si="5"/>
        <v>-3.2106754351900864E-2</v>
      </c>
      <c r="L32" s="96">
        <f>SUM('Temps Proof'!X72:Z72)</f>
        <v>-2849.6411599999997</v>
      </c>
      <c r="M32" s="84">
        <f t="shared" si="6"/>
        <v>-1.7753378545342497E-2</v>
      </c>
      <c r="N32" s="1201">
        <f t="shared" si="7"/>
        <v>20343.06234</v>
      </c>
      <c r="O32" s="970">
        <f t="shared" si="8"/>
        <v>0.12673809304941433</v>
      </c>
      <c r="P32" s="1231">
        <f t="shared" si="9"/>
        <v>12339.882180000001</v>
      </c>
      <c r="Q32" s="1202">
        <f t="shared" si="10"/>
        <v>2.8648856471716382E-2</v>
      </c>
      <c r="R32" s="650"/>
      <c r="S32" s="593"/>
      <c r="T32" s="81">
        <f t="shared" si="11"/>
        <v>180855.67421958997</v>
      </c>
      <c r="U32" s="81">
        <f t="shared" si="12"/>
        <v>443068.49405958987</v>
      </c>
      <c r="V32" s="83">
        <f t="shared" ref="V32:V38" si="24">IFERROR((T32-D32)/D32,0)</f>
        <v>0.12673809304941436</v>
      </c>
      <c r="W32" s="84">
        <f t="shared" ref="W32:W38" si="25">IFERROR((U32-E32)/E32,0)</f>
        <v>2.8648856471716413E-2</v>
      </c>
      <c r="X32" s="85">
        <f>'Avg Bill by RS'!AH72</f>
        <v>0.03</v>
      </c>
      <c r="Y32" s="1064"/>
      <c r="Z32" s="1093">
        <f>'Rate Impacts - Rev Req ONLY'!N33</f>
        <v>180855.67421958997</v>
      </c>
      <c r="AA32" s="81">
        <f>'Rate Impacts - Rev Req ONLY'!O33</f>
        <v>451071.67421958986</v>
      </c>
      <c r="AB32" s="95">
        <f>SUM('Rev Req Proof Yr2'!AF72:AH72)</f>
        <v>10243.523710000001</v>
      </c>
      <c r="AC32" s="85">
        <f t="shared" si="23"/>
        <v>5.6639216625089667E-2</v>
      </c>
      <c r="AD32" s="95">
        <f>SUM('Temps Proof'!AB72:AD72)</f>
        <v>-145.98303999999999</v>
      </c>
      <c r="AE32" s="85">
        <f t="shared" si="15"/>
        <v>-8.0717976159681566E-4</v>
      </c>
      <c r="AF32" s="1205">
        <f>SUM('Temps Proof'!AR72:AT72)</f>
        <v>0</v>
      </c>
      <c r="AG32" s="85">
        <f t="shared" si="0"/>
        <v>0</v>
      </c>
      <c r="AH32" s="1201">
        <f t="shared" si="16"/>
        <v>10097.540670000002</v>
      </c>
      <c r="AI32" s="1202">
        <f t="shared" si="1"/>
        <v>5.5832036863492855E-2</v>
      </c>
      <c r="AJ32" s="650"/>
      <c r="AK32" s="593"/>
      <c r="AL32" s="81">
        <f t="shared" si="17"/>
        <v>190953.21488958999</v>
      </c>
      <c r="AM32" s="81">
        <f t="shared" si="18"/>
        <v>461169.21488958987</v>
      </c>
      <c r="AN32" s="83">
        <f t="shared" si="2"/>
        <v>5.5832036863492938E-2</v>
      </c>
      <c r="AO32" s="84">
        <f t="shared" si="3"/>
        <v>2.2385667837533846E-2</v>
      </c>
      <c r="AP32" s="85">
        <f>'Avg Bill by RS'!BM30</f>
        <v>4.2999999999999997E-2</v>
      </c>
    </row>
    <row r="33" spans="2:42" x14ac:dyDescent="0.2">
      <c r="B33" s="1076">
        <v>18</v>
      </c>
      <c r="C33" s="1070" t="s">
        <v>364</v>
      </c>
      <c r="D33" s="80">
        <f>'Rate Impacts - Rev Req ONLY'!D34</f>
        <v>81130.03459599179</v>
      </c>
      <c r="E33" s="81">
        <f>'Rate Impacts - Rev Req ONLY'!E34</f>
        <v>171731.03459599178</v>
      </c>
      <c r="F33" s="95">
        <f>SUM('Rev Req Proof Yr1'!AF79:AH79)</f>
        <v>11040.877800000002</v>
      </c>
      <c r="G33" s="85">
        <f t="shared" si="21"/>
        <v>0.13608866130750391</v>
      </c>
      <c r="H33" s="95">
        <f>SUM('Rev Req Proof Yr1'!AM79:AO79)</f>
        <v>-760.61590000000001</v>
      </c>
      <c r="I33" s="84">
        <f t="shared" si="4"/>
        <v>-9.3752690207478118E-3</v>
      </c>
      <c r="J33" s="96">
        <f>SUM('Temps Proof'!T79:V79)</f>
        <v>0</v>
      </c>
      <c r="K33" s="85">
        <f t="shared" si="5"/>
        <v>0</v>
      </c>
      <c r="L33" s="96">
        <f>SUM('Temps Proof'!X79:Z79)</f>
        <v>-1439.019</v>
      </c>
      <c r="M33" s="84">
        <f t="shared" si="6"/>
        <v>-1.7737191992656866E-2</v>
      </c>
      <c r="N33" s="1201">
        <f t="shared" si="7"/>
        <v>10280.261900000001</v>
      </c>
      <c r="O33" s="970">
        <f t="shared" si="8"/>
        <v>0.1267133922867561</v>
      </c>
      <c r="P33" s="1231">
        <f t="shared" si="9"/>
        <v>8841.2429000000011</v>
      </c>
      <c r="Q33" s="1202">
        <f t="shared" si="10"/>
        <v>5.148308179007708E-2</v>
      </c>
      <c r="R33" s="650"/>
      <c r="S33" s="593"/>
      <c r="T33" s="81">
        <f t="shared" si="11"/>
        <v>91410.296495991788</v>
      </c>
      <c r="U33" s="81">
        <f t="shared" si="12"/>
        <v>180572.27749599179</v>
      </c>
      <c r="V33" s="83">
        <f t="shared" si="24"/>
        <v>0.12671339228675604</v>
      </c>
      <c r="W33" s="84">
        <f t="shared" si="25"/>
        <v>5.1483081790077143E-2</v>
      </c>
      <c r="X33" s="85">
        <f>'Avg Bill by RS'!AH79</f>
        <v>5.7000000000000002E-2</v>
      </c>
      <c r="Y33" s="1064"/>
      <c r="Z33" s="1093">
        <f>'Rate Impacts - Rev Req ONLY'!N34</f>
        <v>91410.296495991788</v>
      </c>
      <c r="AA33" s="81">
        <f>'Rate Impacts - Rev Req ONLY'!O34</f>
        <v>182011.29649599179</v>
      </c>
      <c r="AB33" s="95">
        <f>SUM('Rev Req Proof Yr2'!AF79:AH79)</f>
        <v>5177.2746000000006</v>
      </c>
      <c r="AC33" s="85">
        <f t="shared" si="23"/>
        <v>5.6637761810859201E-2</v>
      </c>
      <c r="AD33" s="95">
        <f>SUM('Temps Proof'!AB79:AD79)</f>
        <v>-72.749400000000009</v>
      </c>
      <c r="AE33" s="85">
        <f t="shared" si="15"/>
        <v>-7.9585563977675061E-4</v>
      </c>
      <c r="AF33" s="1205">
        <f>SUM('Temps Proof'!AR79:AT79)</f>
        <v>0</v>
      </c>
      <c r="AG33" s="85">
        <f t="shared" si="0"/>
        <v>0</v>
      </c>
      <c r="AH33" s="1201">
        <f t="shared" si="16"/>
        <v>5104.525200000001</v>
      </c>
      <c r="AI33" s="1202">
        <f t="shared" si="1"/>
        <v>5.5841906171082457E-2</v>
      </c>
      <c r="AJ33" s="650"/>
      <c r="AK33" s="593"/>
      <c r="AL33" s="81">
        <f t="shared" si="17"/>
        <v>96514.821695991792</v>
      </c>
      <c r="AM33" s="81">
        <f t="shared" si="18"/>
        <v>187115.82169599179</v>
      </c>
      <c r="AN33" s="83">
        <f t="shared" si="2"/>
        <v>5.5841906171082485E-2</v>
      </c>
      <c r="AO33" s="84">
        <f t="shared" si="3"/>
        <v>2.804510103642064E-2</v>
      </c>
      <c r="AP33" s="85">
        <f>'Avg Bill by RS'!BM31</f>
        <v>0.04</v>
      </c>
    </row>
    <row r="34" spans="2:42" x14ac:dyDescent="0.2">
      <c r="B34" s="1076">
        <v>19</v>
      </c>
      <c r="C34" s="1070" t="s">
        <v>366</v>
      </c>
      <c r="D34" s="80">
        <f>'Rate Impacts - Rev Req ONLY'!D35</f>
        <v>0</v>
      </c>
      <c r="E34" s="81">
        <f>'Rate Impacts - Rev Req ONLY'!E35</f>
        <v>0</v>
      </c>
      <c r="F34" s="95">
        <f>SUM('Rev Req Proof Yr1'!AF86:AH86)</f>
        <v>0</v>
      </c>
      <c r="G34" s="85">
        <f>IFERROR((F34/D34),0)</f>
        <v>0</v>
      </c>
      <c r="H34" s="95">
        <f>SUM('Rev Req Proof Yr1'!AM86:AO86)</f>
        <v>0</v>
      </c>
      <c r="I34" s="84">
        <f t="shared" si="4"/>
        <v>0</v>
      </c>
      <c r="J34" s="96">
        <f>SUM('Temps Proof'!T86:V86)</f>
        <v>0</v>
      </c>
      <c r="K34" s="85">
        <f t="shared" si="5"/>
        <v>0</v>
      </c>
      <c r="L34" s="96">
        <f>SUM('Temps Proof'!X86:Z86)</f>
        <v>0</v>
      </c>
      <c r="M34" s="84">
        <f t="shared" si="6"/>
        <v>0</v>
      </c>
      <c r="N34" s="1201">
        <f t="shared" si="7"/>
        <v>0</v>
      </c>
      <c r="O34" s="970">
        <f t="shared" si="8"/>
        <v>0</v>
      </c>
      <c r="P34" s="1231">
        <f t="shared" si="9"/>
        <v>0</v>
      </c>
      <c r="Q34" s="1202">
        <f t="shared" si="10"/>
        <v>0</v>
      </c>
      <c r="R34" s="650"/>
      <c r="S34" s="593"/>
      <c r="T34" s="81">
        <f t="shared" si="11"/>
        <v>0</v>
      </c>
      <c r="U34" s="81">
        <f t="shared" si="12"/>
        <v>0</v>
      </c>
      <c r="V34" s="83">
        <f t="shared" si="24"/>
        <v>0</v>
      </c>
      <c r="W34" s="84">
        <f t="shared" si="25"/>
        <v>0</v>
      </c>
      <c r="X34" s="85">
        <f>'Avg Bill by RS'!AH86</f>
        <v>0</v>
      </c>
      <c r="Y34" s="1064"/>
      <c r="Z34" s="1093">
        <f>'Rate Impacts - Rev Req ONLY'!N35</f>
        <v>0</v>
      </c>
      <c r="AA34" s="81">
        <f>'Rate Impacts - Rev Req ONLY'!O35</f>
        <v>0</v>
      </c>
      <c r="AB34" s="95">
        <f>SUM('Rev Req Proof Yr2'!AF86:AH86)</f>
        <v>0</v>
      </c>
      <c r="AC34" s="85">
        <f>IFERROR((AB34/Z34),0)</f>
        <v>0</v>
      </c>
      <c r="AD34" s="95">
        <f>SUM('Temps Proof'!AB86:AD86)</f>
        <v>0</v>
      </c>
      <c r="AE34" s="85">
        <f t="shared" si="15"/>
        <v>0</v>
      </c>
      <c r="AF34" s="1205">
        <f>SUM('Temps Proof'!AR86:AT86)</f>
        <v>0</v>
      </c>
      <c r="AG34" s="85">
        <f t="shared" si="0"/>
        <v>0</v>
      </c>
      <c r="AH34" s="1201">
        <f t="shared" si="16"/>
        <v>0</v>
      </c>
      <c r="AI34" s="1202">
        <f t="shared" si="1"/>
        <v>0</v>
      </c>
      <c r="AJ34" s="650"/>
      <c r="AK34" s="593"/>
      <c r="AL34" s="81">
        <f t="shared" si="17"/>
        <v>0</v>
      </c>
      <c r="AM34" s="81">
        <f t="shared" si="18"/>
        <v>0</v>
      </c>
      <c r="AN34" s="83">
        <f t="shared" si="2"/>
        <v>0</v>
      </c>
      <c r="AO34" s="84">
        <f t="shared" si="3"/>
        <v>0</v>
      </c>
      <c r="AP34" s="85">
        <f>'Avg Bill by RS'!BM32</f>
        <v>0</v>
      </c>
    </row>
    <row r="35" spans="2:42" x14ac:dyDescent="0.2">
      <c r="B35" s="1076">
        <v>20</v>
      </c>
      <c r="C35" s="1070" t="s">
        <v>367</v>
      </c>
      <c r="D35" s="80">
        <f>'Rate Impacts - Rev Req ONLY'!D36</f>
        <v>825480.07319999998</v>
      </c>
      <c r="E35" s="81">
        <f>'Rate Impacts - Rev Req ONLY'!E36</f>
        <v>825480.07319999998</v>
      </c>
      <c r="F35" s="95">
        <f>SUM('Rev Req Proof Yr1'!AF93:AH93)</f>
        <v>112342.71842999995</v>
      </c>
      <c r="G35" s="85">
        <f>IFERROR((F35/D35),0)</f>
        <v>0.13609379811495606</v>
      </c>
      <c r="H35" s="95">
        <f>SUM('Rev Req Proof Yr1'!AM93:AO93)</f>
        <v>-7732.5836500000005</v>
      </c>
      <c r="I35" s="84">
        <f t="shared" si="4"/>
        <v>-9.3673777248485142E-3</v>
      </c>
      <c r="J35" s="96">
        <f>SUM('Temps Proof'!T93:V93)</f>
        <v>0</v>
      </c>
      <c r="K35" s="85">
        <f t="shared" si="5"/>
        <v>0</v>
      </c>
      <c r="L35" s="96">
        <f>SUM('Temps Proof'!X93:Z93)</f>
        <v>-14641.913430000001</v>
      </c>
      <c r="M35" s="84">
        <f t="shared" si="6"/>
        <v>-1.7737452308497471E-2</v>
      </c>
      <c r="N35" s="1201">
        <f>SUM(F35,H35)</f>
        <v>104610.13477999995</v>
      </c>
      <c r="O35" s="970">
        <f t="shared" si="8"/>
        <v>0.12672642039010754</v>
      </c>
      <c r="P35" s="1231">
        <f t="shared" si="9"/>
        <v>89968.221349999949</v>
      </c>
      <c r="Q35" s="1202">
        <f t="shared" si="10"/>
        <v>0.10898896808161007</v>
      </c>
      <c r="R35" s="650"/>
      <c r="S35" s="593"/>
      <c r="T35" s="81">
        <f t="shared" si="11"/>
        <v>930090.20797999995</v>
      </c>
      <c r="U35" s="81">
        <f t="shared" si="12"/>
        <v>915448.29454999999</v>
      </c>
      <c r="V35" s="83">
        <f t="shared" si="24"/>
        <v>0.12672642039010756</v>
      </c>
      <c r="W35" s="84">
        <f t="shared" si="25"/>
        <v>0.10898896808161015</v>
      </c>
      <c r="X35" s="85">
        <f>'Avg Bill by RS'!AH93</f>
        <v>0.11</v>
      </c>
      <c r="Y35" s="1064"/>
      <c r="Z35" s="1093">
        <f>'Rate Impacts - Rev Req ONLY'!N36</f>
        <v>930090.20797999983</v>
      </c>
      <c r="AA35" s="81">
        <f>'Rate Impacts - Rev Req ONLY'!O36</f>
        <v>930090.20797999983</v>
      </c>
      <c r="AB35" s="95">
        <f>SUM('Rev Req Proof Yr2'!AF93:AH93)</f>
        <v>52693.327570000052</v>
      </c>
      <c r="AC35" s="85">
        <f>IFERROR((AB35/Z35),0)</f>
        <v>5.6653996696128146E-2</v>
      </c>
      <c r="AD35" s="95">
        <f>SUM('Temps Proof'!AB93:AD93)</f>
        <v>-745.79075</v>
      </c>
      <c r="AE35" s="85">
        <f t="shared" si="15"/>
        <v>-8.018477601433227E-4</v>
      </c>
      <c r="AF35" s="1205">
        <f>SUM('Temps Proof'!AR93:AT93)</f>
        <v>0</v>
      </c>
      <c r="AG35" s="85">
        <f t="shared" si="0"/>
        <v>0</v>
      </c>
      <c r="AH35" s="1201">
        <f t="shared" si="16"/>
        <v>51947.536820000052</v>
      </c>
      <c r="AI35" s="1202">
        <f t="shared" si="1"/>
        <v>5.5852148935984822E-2</v>
      </c>
      <c r="AJ35" s="650"/>
      <c r="AK35" s="593"/>
      <c r="AL35" s="81">
        <f t="shared" si="17"/>
        <v>982037.74479999987</v>
      </c>
      <c r="AM35" s="81">
        <f t="shared" si="18"/>
        <v>982037.74479999987</v>
      </c>
      <c r="AN35" s="83">
        <f t="shared" si="2"/>
        <v>5.5852148935984808E-2</v>
      </c>
      <c r="AO35" s="84">
        <f t="shared" si="3"/>
        <v>5.5852148935984808E-2</v>
      </c>
      <c r="AP35" s="85">
        <f>'Avg Bill by RS'!BM33</f>
        <v>7.2999999999999995E-2</v>
      </c>
    </row>
    <row r="36" spans="2:42" x14ac:dyDescent="0.2">
      <c r="B36" s="1076">
        <v>21</v>
      </c>
      <c r="C36" s="1070" t="s">
        <v>56</v>
      </c>
      <c r="D36" s="80">
        <f>'Rate Impacts - Rev Req ONLY'!D37</f>
        <v>0</v>
      </c>
      <c r="E36" s="81">
        <f>'Rate Impacts - Rev Req ONLY'!E37</f>
        <v>0</v>
      </c>
      <c r="F36" s="95">
        <f>SUM('Rev Req Proof Yr1'!AF94:AH94)</f>
        <v>0</v>
      </c>
      <c r="G36" s="85">
        <f>IFERROR((F36/D36),0)</f>
        <v>0</v>
      </c>
      <c r="H36" s="95">
        <f>SUM('Rev Req Proof Yr1'!AM94:AO94)</f>
        <v>0</v>
      </c>
      <c r="I36" s="84">
        <f t="shared" si="4"/>
        <v>0</v>
      </c>
      <c r="J36" s="96">
        <f>SUM('Temps Proof'!T94:V94)</f>
        <v>0</v>
      </c>
      <c r="K36" s="85">
        <f t="shared" si="5"/>
        <v>0</v>
      </c>
      <c r="L36" s="96">
        <f>SUM('Temps Proof'!X94:Z94)</f>
        <v>0</v>
      </c>
      <c r="M36" s="84">
        <f t="shared" si="6"/>
        <v>0</v>
      </c>
      <c r="N36" s="1201">
        <f t="shared" si="7"/>
        <v>0</v>
      </c>
      <c r="O36" s="970">
        <f t="shared" si="8"/>
        <v>0</v>
      </c>
      <c r="P36" s="1231">
        <f t="shared" si="9"/>
        <v>0</v>
      </c>
      <c r="Q36" s="1202">
        <f t="shared" si="10"/>
        <v>0</v>
      </c>
      <c r="R36" s="650"/>
      <c r="S36" s="593"/>
      <c r="T36" s="81">
        <f t="shared" si="11"/>
        <v>0</v>
      </c>
      <c r="U36" s="81">
        <f t="shared" si="12"/>
        <v>0</v>
      </c>
      <c r="V36" s="83">
        <f t="shared" si="24"/>
        <v>0</v>
      </c>
      <c r="W36" s="84">
        <f t="shared" si="25"/>
        <v>0</v>
      </c>
      <c r="X36" s="85">
        <f>'Avg Bill by RS'!AH94</f>
        <v>0</v>
      </c>
      <c r="Y36" s="1064"/>
      <c r="Z36" s="1093">
        <f>'Rate Impacts - Rev Req ONLY'!N37</f>
        <v>0</v>
      </c>
      <c r="AA36" s="81">
        <f>'Rate Impacts - Rev Req ONLY'!O37</f>
        <v>0</v>
      </c>
      <c r="AB36" s="95">
        <f>SUM('Rev Req Proof Yr2'!AF94:AH94)</f>
        <v>0</v>
      </c>
      <c r="AC36" s="85">
        <f>IFERROR((AB36/Z36),0)</f>
        <v>0</v>
      </c>
      <c r="AD36" s="95">
        <f>SUM('Temps Proof'!AB94:AD94)</f>
        <v>0</v>
      </c>
      <c r="AE36" s="85">
        <f t="shared" si="15"/>
        <v>0</v>
      </c>
      <c r="AF36" s="1205">
        <f>SUM('Temps Proof'!AR94:AT94)</f>
        <v>0</v>
      </c>
      <c r="AG36" s="85">
        <f t="shared" si="0"/>
        <v>0</v>
      </c>
      <c r="AH36" s="1201">
        <f t="shared" si="16"/>
        <v>0</v>
      </c>
      <c r="AI36" s="1202">
        <f t="shared" si="1"/>
        <v>0</v>
      </c>
      <c r="AJ36" s="650"/>
      <c r="AK36" s="593"/>
      <c r="AL36" s="81">
        <f t="shared" si="17"/>
        <v>0</v>
      </c>
      <c r="AM36" s="81">
        <f t="shared" si="18"/>
        <v>0</v>
      </c>
      <c r="AN36" s="83">
        <f t="shared" si="2"/>
        <v>0</v>
      </c>
      <c r="AO36" s="84">
        <f t="shared" si="3"/>
        <v>0</v>
      </c>
      <c r="AP36" s="85">
        <f>'Avg Bill by RS'!BM34</f>
        <v>0</v>
      </c>
    </row>
    <row r="37" spans="2:42" x14ac:dyDescent="0.2">
      <c r="B37" s="1076">
        <v>22</v>
      </c>
      <c r="C37" s="1070" t="s">
        <v>348</v>
      </c>
      <c r="D37" s="80">
        <f>'Rate Impacts - Rev Req ONLY'!D38</f>
        <v>0</v>
      </c>
      <c r="E37" s="81">
        <f>'Rate Impacts - Rev Req ONLY'!E38</f>
        <v>0</v>
      </c>
      <c r="F37" s="95">
        <f>SUM('Rev Req Proof Yr1'!AF95:AH95)</f>
        <v>0</v>
      </c>
      <c r="G37" s="85">
        <f>IFERROR((F37/D37),0)</f>
        <v>0</v>
      </c>
      <c r="H37" s="95">
        <f>SUM('Rev Req Proof Yr1'!AM95:AO95)</f>
        <v>0</v>
      </c>
      <c r="I37" s="84">
        <f t="shared" si="4"/>
        <v>0</v>
      </c>
      <c r="J37" s="96">
        <f>SUM('Temps Proof'!T95:V95)</f>
        <v>0</v>
      </c>
      <c r="K37" s="85">
        <f t="shared" si="5"/>
        <v>0</v>
      </c>
      <c r="L37" s="96">
        <f>SUM('Temps Proof'!X95:Z95)</f>
        <v>0</v>
      </c>
      <c r="M37" s="84">
        <f t="shared" si="6"/>
        <v>0</v>
      </c>
      <c r="N37" s="1201">
        <f t="shared" si="7"/>
        <v>0</v>
      </c>
      <c r="O37" s="970">
        <f t="shared" si="8"/>
        <v>0</v>
      </c>
      <c r="P37" s="1231">
        <f t="shared" si="9"/>
        <v>0</v>
      </c>
      <c r="Q37" s="1202">
        <f t="shared" si="10"/>
        <v>0</v>
      </c>
      <c r="R37" s="650"/>
      <c r="S37" s="593"/>
      <c r="T37" s="81">
        <f t="shared" si="11"/>
        <v>0</v>
      </c>
      <c r="U37" s="81">
        <f t="shared" si="12"/>
        <v>0</v>
      </c>
      <c r="V37" s="83">
        <f t="shared" si="24"/>
        <v>0</v>
      </c>
      <c r="W37" s="84">
        <f t="shared" si="25"/>
        <v>0</v>
      </c>
      <c r="X37" s="85">
        <f>'Avg Bill by RS'!AH95</f>
        <v>0</v>
      </c>
      <c r="Y37" s="1064"/>
      <c r="Z37" s="1093">
        <f>'Rate Impacts - Rev Req ONLY'!N38</f>
        <v>0</v>
      </c>
      <c r="AA37" s="81">
        <f>'Rate Impacts - Rev Req ONLY'!O38</f>
        <v>0</v>
      </c>
      <c r="AB37" s="95">
        <f>SUM('Rev Req Proof Yr2'!AF95:AH95)</f>
        <v>0</v>
      </c>
      <c r="AC37" s="85">
        <f>IFERROR((AB37/Z37),0)</f>
        <v>0</v>
      </c>
      <c r="AD37" s="95">
        <f>SUM('Temps Proof'!AB95:AD95)</f>
        <v>0</v>
      </c>
      <c r="AE37" s="85">
        <f t="shared" si="15"/>
        <v>0</v>
      </c>
      <c r="AF37" s="1205">
        <f>SUM('Temps Proof'!AR95:AT95)</f>
        <v>0</v>
      </c>
      <c r="AG37" s="85">
        <f t="shared" si="0"/>
        <v>0</v>
      </c>
      <c r="AH37" s="1201">
        <f t="shared" si="16"/>
        <v>0</v>
      </c>
      <c r="AI37" s="1202">
        <f t="shared" si="1"/>
        <v>0</v>
      </c>
      <c r="AJ37" s="650"/>
      <c r="AK37" s="593"/>
      <c r="AL37" s="81">
        <f t="shared" si="17"/>
        <v>0</v>
      </c>
      <c r="AM37" s="81">
        <f t="shared" si="18"/>
        <v>0</v>
      </c>
      <c r="AN37" s="83">
        <f t="shared" si="2"/>
        <v>0</v>
      </c>
      <c r="AO37" s="84">
        <f t="shared" si="3"/>
        <v>0</v>
      </c>
      <c r="AP37" s="85">
        <f>'Avg Bill by RS'!BM35</f>
        <v>0</v>
      </c>
    </row>
    <row r="38" spans="2:42" x14ac:dyDescent="0.2">
      <c r="B38" s="1076">
        <v>23</v>
      </c>
      <c r="C38" s="1070" t="s">
        <v>391</v>
      </c>
      <c r="D38" s="80">
        <f>'Rate Impacts - Rev Req ONLY'!D39</f>
        <v>242994.60207180592</v>
      </c>
      <c r="E38" s="81">
        <f>'Rate Impacts - Rev Req ONLY'!E39</f>
        <v>242994.60207180592</v>
      </c>
      <c r="F38" s="95">
        <f>SUM('Rev Req Proof Yr1'!AF96:AH96)</f>
        <v>0</v>
      </c>
      <c r="G38" s="85">
        <f>IFERROR((F38/D38),0)</f>
        <v>0</v>
      </c>
      <c r="H38" s="95">
        <f>SUM('Rev Req Proof Yr1'!AM96:AO96)</f>
        <v>0</v>
      </c>
      <c r="I38" s="84">
        <f t="shared" si="4"/>
        <v>0</v>
      </c>
      <c r="J38" s="96">
        <f>SUM('Temps Proof'!T96:V96)</f>
        <v>0</v>
      </c>
      <c r="K38" s="85">
        <f t="shared" si="5"/>
        <v>0</v>
      </c>
      <c r="L38" s="96">
        <f>SUM('Temps Proof'!X96:Z96)</f>
        <v>0</v>
      </c>
      <c r="M38" s="84">
        <f t="shared" si="6"/>
        <v>0</v>
      </c>
      <c r="N38" s="1201">
        <f>SUM(F38,H38)</f>
        <v>0</v>
      </c>
      <c r="O38" s="970">
        <f t="shared" si="8"/>
        <v>0</v>
      </c>
      <c r="P38" s="1231">
        <f t="shared" si="9"/>
        <v>0</v>
      </c>
      <c r="Q38" s="1202">
        <f t="shared" si="10"/>
        <v>0</v>
      </c>
      <c r="R38" s="588"/>
      <c r="S38" s="593"/>
      <c r="T38" s="81">
        <f t="shared" si="11"/>
        <v>242994.60207180592</v>
      </c>
      <c r="U38" s="81">
        <f t="shared" si="12"/>
        <v>242994.60207180592</v>
      </c>
      <c r="V38" s="83">
        <f t="shared" si="24"/>
        <v>0</v>
      </c>
      <c r="W38" s="84">
        <f t="shared" si="25"/>
        <v>0</v>
      </c>
      <c r="X38" s="85">
        <f>'Avg Bill by RS'!AH96</f>
        <v>0</v>
      </c>
      <c r="Y38" s="1064"/>
      <c r="Z38" s="1093">
        <f>'Rate Impacts - Rev Req ONLY'!N39</f>
        <v>242994.60207180592</v>
      </c>
      <c r="AA38" s="81">
        <f>'Rate Impacts - Rev Req ONLY'!O39</f>
        <v>242994.60207180592</v>
      </c>
      <c r="AB38" s="95">
        <f>SUM('Rev Req Proof Yr2'!AF96:AH96)</f>
        <v>0</v>
      </c>
      <c r="AC38" s="85">
        <f>IFERROR((AB38/Z38),0)</f>
        <v>0</v>
      </c>
      <c r="AD38" s="95">
        <f>SUM('Temps Proof'!AB96:AD96)</f>
        <v>0</v>
      </c>
      <c r="AE38" s="85">
        <f t="shared" si="15"/>
        <v>0</v>
      </c>
      <c r="AF38" s="1205">
        <f>SUM('Temps Proof'!AR96:AT96)</f>
        <v>0</v>
      </c>
      <c r="AG38" s="85">
        <f t="shared" si="0"/>
        <v>0</v>
      </c>
      <c r="AH38" s="1201">
        <f t="shared" si="16"/>
        <v>0</v>
      </c>
      <c r="AI38" s="1202">
        <f t="shared" si="1"/>
        <v>0</v>
      </c>
      <c r="AJ38" s="588"/>
      <c r="AK38" s="593"/>
      <c r="AL38" s="81">
        <f t="shared" si="17"/>
        <v>242994.60207180592</v>
      </c>
      <c r="AM38" s="81">
        <f t="shared" si="18"/>
        <v>242994.60207180592</v>
      </c>
      <c r="AN38" s="83">
        <f t="shared" si="2"/>
        <v>0</v>
      </c>
      <c r="AO38" s="84">
        <f t="shared" si="3"/>
        <v>0</v>
      </c>
      <c r="AP38" s="85">
        <f>'Avg Bill by RS'!BM36</f>
        <v>0</v>
      </c>
    </row>
    <row r="39" spans="2:42" ht="13.5" thickBot="1" x14ac:dyDescent="0.25">
      <c r="B39" s="1078"/>
      <c r="C39" s="1071"/>
      <c r="D39" s="54"/>
      <c r="E39" s="54"/>
      <c r="F39" s="53"/>
      <c r="G39" s="1038"/>
      <c r="H39" s="53"/>
      <c r="I39" s="1039"/>
      <c r="J39" s="1040"/>
      <c r="K39" s="1041"/>
      <c r="L39" s="1040"/>
      <c r="M39" s="1229"/>
      <c r="N39" s="1234"/>
      <c r="O39" s="1235"/>
      <c r="P39" s="1235"/>
      <c r="Q39" s="1236"/>
      <c r="R39" s="587"/>
      <c r="S39" s="1044"/>
      <c r="T39" s="54"/>
      <c r="U39" s="54"/>
      <c r="V39" s="1052"/>
      <c r="W39" s="1053"/>
      <c r="X39" s="1054"/>
      <c r="Y39" s="1064"/>
      <c r="Z39" s="53"/>
      <c r="AA39" s="54"/>
      <c r="AB39" s="53"/>
      <c r="AC39" s="1038"/>
      <c r="AD39" s="53"/>
      <c r="AE39" s="1038"/>
      <c r="AF39" s="1207"/>
      <c r="AG39" s="1041"/>
      <c r="AH39" s="1042"/>
      <c r="AI39" s="1043"/>
      <c r="AJ39" s="587"/>
      <c r="AK39" s="1044"/>
      <c r="AL39" s="54"/>
      <c r="AM39" s="54"/>
      <c r="AN39" s="1052"/>
      <c r="AO39" s="1053"/>
      <c r="AP39" s="1054"/>
    </row>
    <row r="40" spans="2:42" s="92" customFormat="1" x14ac:dyDescent="0.2">
      <c r="B40" s="1082"/>
      <c r="C40" s="1469" t="s">
        <v>32</v>
      </c>
      <c r="D40" s="1026">
        <f>SUM(D16:D38)</f>
        <v>49604902.662138224</v>
      </c>
      <c r="E40" s="1027">
        <f>SUM(E16:E38)</f>
        <v>78333454.662138224</v>
      </c>
      <c r="F40" s="1191">
        <f>SUM(F16:F38)</f>
        <v>6717756.9231810682</v>
      </c>
      <c r="G40" s="1031">
        <f>IFERROR((F40/(D40-D38)),0)</f>
        <v>0.13609192162925537</v>
      </c>
      <c r="H40" s="1027">
        <f>SUM(H16:H38)</f>
        <v>-462278.66210878297</v>
      </c>
      <c r="I40" s="1030">
        <f>IFERROR((H40/(D40-D38)),0)</f>
        <v>-9.3650889983072708E-3</v>
      </c>
      <c r="J40" s="1045">
        <f>SUM(J16:J38)</f>
        <v>-1477662.7677191028</v>
      </c>
      <c r="K40" s="1031">
        <f>IFERROR((J40/(E40-E38)),0)</f>
        <v>-1.8922449254140633E-2</v>
      </c>
      <c r="L40" s="1192">
        <f>SUM(L16:L38)</f>
        <v>-875717.69437402359</v>
      </c>
      <c r="M40" s="1030">
        <f>IFERROR((L40/(E40-E38)),0)</f>
        <v>-1.1214144387168806E-2</v>
      </c>
      <c r="N40" s="971">
        <f>SUM(N16:N38)</f>
        <v>6255478.2610722845</v>
      </c>
      <c r="O40" s="1227">
        <f>IFERROR((N40)/(D40-D38),0)</f>
        <v>0.12672683263094808</v>
      </c>
      <c r="P40" s="1237">
        <f>SUM(P16:P38)</f>
        <v>3902097.798979158</v>
      </c>
      <c r="Q40" s="972">
        <f>IFERROR((P40)/(E40-E38),0)</f>
        <v>4.9968943658133182E-2</v>
      </c>
      <c r="R40" s="1083">
        <f>SUM(R16:R38)</f>
        <v>0</v>
      </c>
      <c r="S40" s="1087">
        <f>R40/E40</f>
        <v>0</v>
      </c>
      <c r="T40" s="1032">
        <f>SUM(T16:T38)</f>
        <v>55860380.923210509</v>
      </c>
      <c r="U40" s="1090">
        <f>SUM(U16:U38)</f>
        <v>82235552.461117402</v>
      </c>
      <c r="V40" s="1030">
        <f>IFERROR(SUM((T40-T38)-SUM(D40-D38))/SUM(D40-D38),0)</f>
        <v>0.12672683263094811</v>
      </c>
      <c r="W40" s="1030">
        <f>IFERROR(SUM((U40-U38)-SUM(E40-E38))/SUM(E40-E38),0)</f>
        <v>4.9968943658133431E-2</v>
      </c>
      <c r="X40" s="1031"/>
      <c r="Y40" s="1065"/>
      <c r="Z40" s="1094">
        <f>SUM(Z16:Z38)</f>
        <v>55860380.923210502</v>
      </c>
      <c r="AA40" s="1056">
        <f>SUM(AA16:AA38)</f>
        <v>84588932.923210517</v>
      </c>
      <c r="AB40" s="1193">
        <f>SUM(AB16:AB38)</f>
        <v>3150188.2762063476</v>
      </c>
      <c r="AC40" s="1057">
        <f t="shared" ref="AC40" si="26">IFERROR((AB40/Z40),0)</f>
        <v>5.6393963380536406E-2</v>
      </c>
      <c r="AD40" s="1193">
        <f>SUM(AD16:AD38)</f>
        <v>-44306.090475598678</v>
      </c>
      <c r="AE40" s="1057">
        <f>IFERROR((AD40/Z40),0)</f>
        <v>-7.931576860620564E-4</v>
      </c>
      <c r="AF40" s="1208">
        <f>SUM(AF16:AF38)</f>
        <v>0</v>
      </c>
      <c r="AG40" s="1058">
        <f>IFERROR((AF40/AB40),0)</f>
        <v>0</v>
      </c>
      <c r="AH40" s="1059">
        <f>SUM(AH16:AH38)</f>
        <v>3105882.1857307479</v>
      </c>
      <c r="AI40" s="1060">
        <f>IFERROR((AH40/Z40),0)</f>
        <v>5.5600805694474335E-2</v>
      </c>
      <c r="AJ40" s="1061">
        <f>SUM(AJ16:AJ38)</f>
        <v>0</v>
      </c>
      <c r="AK40" s="1062">
        <f>AJ40/AA40</f>
        <v>0</v>
      </c>
      <c r="AL40" s="1055">
        <f>SUM(AL16:AL38)</f>
        <v>58966263.108941264</v>
      </c>
      <c r="AM40" s="1056">
        <f>SUM(AM16:AM38)</f>
        <v>87694815.108941257</v>
      </c>
      <c r="AN40" s="1063">
        <f>IFERROR(SUM((AL40-AL38)-SUM(Z40-Z38))/SUM(Z40-Z38),0)</f>
        <v>5.5843727855120352E-2</v>
      </c>
      <c r="AO40" s="1058">
        <f>IFERROR(SUM((AM40-AM38)-SUM(AA40-AA38))/SUM(AA40-AA38),0)</f>
        <v>3.6823138701776073E-2</v>
      </c>
      <c r="AP40" s="1057"/>
    </row>
    <row r="41" spans="2:42" ht="15.75" thickBot="1" x14ac:dyDescent="0.3">
      <c r="B41" s="1084"/>
      <c r="C41" s="1085"/>
      <c r="D41" s="1280"/>
      <c r="E41" s="1046"/>
      <c r="F41" s="1470" t="s">
        <v>582</v>
      </c>
      <c r="G41" s="1048"/>
      <c r="H41" s="1471" t="s">
        <v>582</v>
      </c>
      <c r="I41" s="1046"/>
      <c r="J41" s="1472" t="s">
        <v>582</v>
      </c>
      <c r="K41" s="90"/>
      <c r="L41" s="1471" t="s">
        <v>582</v>
      </c>
      <c r="M41" s="89"/>
      <c r="N41" s="1473" t="s">
        <v>582</v>
      </c>
      <c r="O41" s="1228"/>
      <c r="P41" s="1474" t="s">
        <v>582</v>
      </c>
      <c r="Q41" s="1049"/>
      <c r="R41" s="1086"/>
      <c r="S41" s="1088"/>
      <c r="T41" s="1279"/>
      <c r="U41" s="1091"/>
      <c r="V41" s="1281" t="s">
        <v>554</v>
      </c>
      <c r="W41" s="89"/>
      <c r="X41" s="1475" t="s">
        <v>583</v>
      </c>
      <c r="Y41" s="1064"/>
      <c r="Z41" s="1047"/>
      <c r="AA41" s="1046"/>
      <c r="AB41" s="1470" t="s">
        <v>488</v>
      </c>
      <c r="AC41" s="1048"/>
      <c r="AD41" s="1477" t="s">
        <v>488</v>
      </c>
      <c r="AE41" s="1210"/>
      <c r="AF41" s="1209"/>
      <c r="AG41" s="89"/>
      <c r="AH41" s="1473" t="s">
        <v>488</v>
      </c>
      <c r="AI41" s="1049"/>
      <c r="AJ41" s="1050"/>
      <c r="AK41" s="1051"/>
      <c r="AL41" s="1046"/>
      <c r="AM41" s="1089"/>
      <c r="AN41" s="1281"/>
      <c r="AO41" s="89"/>
      <c r="AP41" s="1475" t="s">
        <v>500</v>
      </c>
    </row>
    <row r="42" spans="2:42" ht="6.75" customHeight="1" x14ac:dyDescent="0.2">
      <c r="D42" s="88"/>
      <c r="E42" s="88"/>
      <c r="F42" s="88"/>
      <c r="G42" s="88"/>
      <c r="H42" s="88"/>
      <c r="I42" s="88"/>
      <c r="J42" s="88"/>
      <c r="K42" s="88"/>
      <c r="L42" s="88"/>
      <c r="M42" s="88"/>
      <c r="N42" s="88"/>
      <c r="O42" s="1282" t="s">
        <v>555</v>
      </c>
      <c r="P42" s="88"/>
      <c r="Q42" s="88"/>
      <c r="R42" s="88"/>
      <c r="S42" s="88"/>
      <c r="T42" s="88"/>
    </row>
    <row r="43" spans="2:42" ht="12" customHeight="1" x14ac:dyDescent="0.2">
      <c r="B43" s="902" t="s">
        <v>579</v>
      </c>
      <c r="C43" s="898"/>
      <c r="D43" s="98"/>
      <c r="E43" s="99"/>
      <c r="F43" s="62"/>
      <c r="G43" s="62"/>
      <c r="H43" s="99"/>
      <c r="I43" s="62"/>
      <c r="J43" s="99"/>
      <c r="K43" s="99"/>
      <c r="L43" s="99"/>
      <c r="M43" s="99"/>
      <c r="N43" s="99"/>
      <c r="O43" s="99"/>
      <c r="P43" s="99"/>
      <c r="Q43" s="99"/>
      <c r="R43" s="99"/>
      <c r="S43" s="99"/>
      <c r="T43" s="62"/>
      <c r="U43" s="100"/>
      <c r="V43" s="580"/>
      <c r="W43" s="62"/>
      <c r="X43" s="62"/>
      <c r="Y43" s="62"/>
      <c r="Z43" s="902" t="s">
        <v>579</v>
      </c>
      <c r="AA43" s="898"/>
    </row>
    <row r="44" spans="2:42" ht="12" customHeight="1" x14ac:dyDescent="0.2">
      <c r="B44" s="902" t="s">
        <v>578</v>
      </c>
      <c r="C44" s="903"/>
      <c r="D44" s="98"/>
      <c r="E44" s="99"/>
      <c r="F44" s="100"/>
      <c r="G44" s="100"/>
      <c r="H44" s="99"/>
      <c r="I44" s="100"/>
      <c r="J44" s="99"/>
      <c r="K44" s="99"/>
      <c r="L44" s="99"/>
      <c r="M44" s="99"/>
      <c r="N44" s="99"/>
      <c r="O44" s="99"/>
      <c r="P44" s="99"/>
      <c r="Q44" s="99"/>
      <c r="R44" s="99"/>
      <c r="S44" s="99"/>
      <c r="T44" s="62"/>
      <c r="U44" s="1278"/>
      <c r="V44" s="580"/>
      <c r="W44" s="62"/>
      <c r="X44" s="62"/>
      <c r="Y44" s="62"/>
      <c r="Z44" s="902" t="s">
        <v>586</v>
      </c>
    </row>
    <row r="45" spans="2:42" ht="12" customHeight="1" x14ac:dyDescent="0.2">
      <c r="B45" s="902" t="s">
        <v>580</v>
      </c>
      <c r="D45" s="98"/>
      <c r="E45" s="99"/>
      <c r="F45" s="100"/>
      <c r="G45" s="100"/>
      <c r="H45" s="99"/>
      <c r="I45" s="100"/>
      <c r="J45" s="99"/>
      <c r="K45" s="99"/>
      <c r="L45" s="99"/>
      <c r="M45" s="99"/>
      <c r="N45" s="99"/>
      <c r="O45" s="99"/>
      <c r="P45" s="99"/>
      <c r="Q45" s="99"/>
      <c r="R45" s="99"/>
      <c r="S45" s="99"/>
      <c r="T45" s="62"/>
      <c r="U45" s="62"/>
      <c r="V45" s="62"/>
      <c r="W45" s="62"/>
      <c r="X45" s="62"/>
      <c r="Y45" s="62"/>
      <c r="Z45" s="902" t="s">
        <v>588</v>
      </c>
      <c r="AA45" s="898"/>
    </row>
    <row r="46" spans="2:42" ht="12" customHeight="1" x14ac:dyDescent="0.2">
      <c r="B46" s="902" t="s">
        <v>581</v>
      </c>
      <c r="D46" s="98"/>
      <c r="E46" s="99"/>
      <c r="F46" s="62"/>
      <c r="G46" s="62"/>
      <c r="H46" s="99"/>
      <c r="I46" s="62"/>
      <c r="J46" s="99"/>
      <c r="K46" s="99"/>
      <c r="L46" s="99"/>
      <c r="M46" s="99"/>
      <c r="N46" s="99"/>
      <c r="O46" s="99"/>
      <c r="P46" s="99"/>
      <c r="Q46" s="99"/>
      <c r="R46" s="99"/>
      <c r="S46" s="99"/>
      <c r="T46" s="62"/>
      <c r="U46" s="62"/>
      <c r="V46" s="62"/>
      <c r="W46" s="62"/>
      <c r="X46" s="62"/>
      <c r="Y46" s="62"/>
      <c r="Z46" s="902" t="s">
        <v>589</v>
      </c>
      <c r="AA46" s="903"/>
    </row>
    <row r="47" spans="2:42" ht="12" customHeight="1" x14ac:dyDescent="0.2">
      <c r="B47" s="902" t="s">
        <v>584</v>
      </c>
      <c r="C47" s="898"/>
      <c r="D47" s="98"/>
      <c r="E47" s="99"/>
      <c r="F47" s="62"/>
      <c r="G47" s="62"/>
      <c r="H47" s="99"/>
      <c r="I47" s="62"/>
      <c r="J47" s="99"/>
      <c r="K47" s="99"/>
      <c r="L47" s="99"/>
      <c r="M47" s="99"/>
      <c r="N47" s="99"/>
      <c r="O47" s="99"/>
      <c r="P47" s="99"/>
      <c r="Q47" s="99"/>
      <c r="R47" s="99"/>
      <c r="S47" s="99"/>
      <c r="T47" s="62"/>
      <c r="U47" s="62"/>
      <c r="V47" s="62"/>
      <c r="W47" s="62"/>
      <c r="X47" s="62"/>
      <c r="Y47" s="62"/>
      <c r="Z47" s="902" t="s">
        <v>587</v>
      </c>
    </row>
    <row r="48" spans="2:42" x14ac:dyDescent="0.2">
      <c r="B48" s="902" t="s">
        <v>585</v>
      </c>
      <c r="C48" s="903"/>
      <c r="D48" s="97"/>
      <c r="E48" s="62"/>
      <c r="F48" s="62"/>
      <c r="G48" s="62"/>
      <c r="H48" s="62"/>
      <c r="I48" s="62"/>
      <c r="J48" s="62"/>
      <c r="K48" s="62"/>
      <c r="L48" s="62"/>
      <c r="M48" s="62"/>
      <c r="N48" s="62"/>
      <c r="O48" s="62"/>
      <c r="P48" s="62"/>
      <c r="Q48" s="62"/>
      <c r="R48" s="62"/>
      <c r="S48" s="62"/>
      <c r="T48" s="62"/>
      <c r="U48" s="62"/>
      <c r="V48" s="62"/>
      <c r="W48" s="62"/>
      <c r="X48" s="62"/>
      <c r="Y48" s="62"/>
    </row>
    <row r="49" spans="2:39" ht="12.95" customHeight="1" x14ac:dyDescent="0.2">
      <c r="B49" s="1348"/>
      <c r="C49" s="97"/>
      <c r="D49" s="97"/>
      <c r="E49" s="62"/>
      <c r="F49" s="62"/>
      <c r="G49" s="62"/>
      <c r="H49" s="62"/>
      <c r="I49" s="62"/>
      <c r="J49" s="62"/>
      <c r="K49" s="62"/>
      <c r="L49" s="62"/>
      <c r="M49" s="62"/>
      <c r="N49" s="62"/>
      <c r="O49" s="62"/>
      <c r="P49" s="62"/>
      <c r="Q49" s="62"/>
      <c r="R49" s="62"/>
      <c r="S49" s="62"/>
      <c r="T49" s="62"/>
      <c r="U49" s="62"/>
      <c r="V49" s="62"/>
      <c r="W49" s="62"/>
      <c r="X49" s="62"/>
      <c r="Y49" s="62"/>
    </row>
    <row r="50" spans="2:39" ht="12" customHeight="1" x14ac:dyDescent="0.2">
      <c r="B50" s="1348"/>
      <c r="C50" s="98"/>
      <c r="D50" s="97"/>
      <c r="E50" s="62"/>
      <c r="F50" s="62"/>
      <c r="G50" s="62"/>
      <c r="H50" s="62"/>
      <c r="I50" s="62"/>
      <c r="J50" s="62"/>
      <c r="K50" s="62"/>
      <c r="L50" s="62"/>
      <c r="M50" s="62"/>
      <c r="N50" s="62"/>
      <c r="O50" s="62"/>
      <c r="P50" s="62"/>
      <c r="Q50" s="62"/>
      <c r="R50" s="62"/>
      <c r="S50" s="62"/>
      <c r="T50" s="62"/>
      <c r="U50" s="62"/>
      <c r="V50" s="62"/>
      <c r="W50" s="62"/>
      <c r="X50" s="62"/>
      <c r="Y50" s="62"/>
    </row>
    <row r="51" spans="2:39" ht="12" customHeight="1" thickBot="1" x14ac:dyDescent="0.25">
      <c r="B51" s="1348"/>
      <c r="C51" s="98"/>
      <c r="D51" s="62"/>
      <c r="E51" s="62"/>
      <c r="F51" s="62"/>
      <c r="G51" s="62"/>
      <c r="H51" s="62"/>
      <c r="I51" s="62"/>
      <c r="J51" s="62"/>
      <c r="K51" s="62"/>
      <c r="L51" s="62"/>
      <c r="M51" s="62"/>
      <c r="N51" s="62"/>
      <c r="O51" s="62"/>
      <c r="P51" s="62"/>
      <c r="Q51" s="62"/>
      <c r="R51" s="62"/>
      <c r="S51" s="62"/>
      <c r="T51" s="1283" t="s">
        <v>422</v>
      </c>
      <c r="U51" s="1636" t="s">
        <v>551</v>
      </c>
      <c r="V51" s="1636"/>
      <c r="W51" s="1636"/>
      <c r="X51" s="1636"/>
      <c r="Y51" s="62"/>
      <c r="Z51" s="1636" t="s">
        <v>552</v>
      </c>
      <c r="AA51" s="1636"/>
      <c r="AB51" s="1636"/>
      <c r="AC51" s="1636"/>
      <c r="AE51" s="1636" t="s">
        <v>553</v>
      </c>
      <c r="AF51" s="1636"/>
      <c r="AG51" s="1636"/>
      <c r="AH51" s="1636"/>
      <c r="AL51" s="1478" t="s">
        <v>83</v>
      </c>
      <c r="AM51" s="1479" t="s">
        <v>559</v>
      </c>
    </row>
    <row r="52" spans="2:39" x14ac:dyDescent="0.2">
      <c r="U52" s="1267" t="s">
        <v>543</v>
      </c>
      <c r="V52" s="1267" t="s">
        <v>544</v>
      </c>
      <c r="W52" s="1267" t="s">
        <v>545</v>
      </c>
      <c r="X52" s="1267" t="s">
        <v>546</v>
      </c>
      <c r="Z52" s="1267" t="s">
        <v>549</v>
      </c>
      <c r="AA52" s="1267" t="s">
        <v>550</v>
      </c>
      <c r="AB52" s="1267" t="s">
        <v>545</v>
      </c>
      <c r="AC52" s="1267" t="s">
        <v>546</v>
      </c>
      <c r="AE52" s="1267" t="s">
        <v>549</v>
      </c>
      <c r="AF52" s="1267" t="s">
        <v>550</v>
      </c>
      <c r="AG52" s="1267" t="s">
        <v>545</v>
      </c>
      <c r="AH52" s="1267" t="s">
        <v>546</v>
      </c>
      <c r="AL52" s="1480" t="s">
        <v>374</v>
      </c>
      <c r="AM52" s="1480" t="s">
        <v>560</v>
      </c>
    </row>
    <row r="53" spans="2:39" x14ac:dyDescent="0.2">
      <c r="T53" s="52" t="s">
        <v>264</v>
      </c>
      <c r="U53" s="1268">
        <f>D16+D18</f>
        <v>34006734.72181496</v>
      </c>
      <c r="V53" s="1268">
        <f>T16+T18</f>
        <v>38316252.564415865</v>
      </c>
      <c r="W53" s="1268">
        <f>V53-U53</f>
        <v>4309517.8426009044</v>
      </c>
      <c r="X53" s="1270">
        <f>W53/U53</f>
        <v>0.12672542300382619</v>
      </c>
      <c r="Z53" s="1268">
        <f>E16+E18</f>
        <v>53291888.72181496</v>
      </c>
      <c r="AA53" s="1268">
        <f>Z53+W53</f>
        <v>57601406.564415865</v>
      </c>
      <c r="AB53" s="1268">
        <f>AA53-Z53</f>
        <v>4309517.8426009044</v>
      </c>
      <c r="AC53" s="1270">
        <f>AB53/Z53</f>
        <v>8.08662996557825E-2</v>
      </c>
      <c r="AE53" s="1268">
        <f>Z53</f>
        <v>53291888.72181496</v>
      </c>
      <c r="AF53" s="1268">
        <f>U16+U18</f>
        <v>55906683.181165002</v>
      </c>
      <c r="AG53" s="1268">
        <f>AF53-AE53</f>
        <v>2614794.459350042</v>
      </c>
      <c r="AH53" s="1270">
        <f>AG53/AE53</f>
        <v>4.9065524267667388E-2</v>
      </c>
      <c r="AL53" s="1292">
        <f>'WA Volumes &amp; Revenues'!Y22</f>
        <v>82030</v>
      </c>
      <c r="AM53" s="1290">
        <f>(AG53/AL53)/12</f>
        <v>2.6563396108639545</v>
      </c>
    </row>
    <row r="54" spans="2:39" x14ac:dyDescent="0.2">
      <c r="F54" s="967"/>
      <c r="T54" s="52" t="s">
        <v>26</v>
      </c>
      <c r="U54" s="1268">
        <f>D17+D19+D21+D22+D28</f>
        <v>11867633.430188185</v>
      </c>
      <c r="V54" s="1268">
        <f>T17+T19+T21+T22+T28</f>
        <v>13371617.970759571</v>
      </c>
      <c r="W54" s="1268">
        <f t="shared" ref="W54:W57" si="27">V54-U54</f>
        <v>1503984.540571386</v>
      </c>
      <c r="X54" s="1270">
        <f t="shared" ref="X54:X58" si="28">W54/U54</f>
        <v>0.12672994573169399</v>
      </c>
      <c r="Z54" s="1268">
        <f>E17+E19+E21+E22+E28</f>
        <v>19853121.430188186</v>
      </c>
      <c r="AA54" s="1268">
        <f t="shared" ref="AA54:AA57" si="29">Z54+W54</f>
        <v>21357105.970759571</v>
      </c>
      <c r="AB54" s="1268">
        <f t="shared" ref="AB54:AB57" si="30">AA54-Z54</f>
        <v>1503984.5405713841</v>
      </c>
      <c r="AC54" s="1270">
        <f t="shared" ref="AC54:AC58" si="31">AB54/Z54</f>
        <v>7.57555705212411E-2</v>
      </c>
      <c r="AE54" s="1268">
        <f t="shared" ref="AE54:AE57" si="32">Z54</f>
        <v>19853121.430188186</v>
      </c>
      <c r="AF54" s="1268">
        <f>U17+U19+U21+U22+U28</f>
        <v>20765456.308325298</v>
      </c>
      <c r="AG54" s="1268">
        <f t="shared" ref="AG54:AG57" si="33">AF54-AE54</f>
        <v>912334.87813711166</v>
      </c>
      <c r="AH54" s="1270">
        <f t="shared" ref="AH54:AH58" si="34">AG54/AE54</f>
        <v>4.5954228474613411E-2</v>
      </c>
      <c r="AL54" s="1292">
        <f>'WA Volumes &amp; Revenues'!Y23</f>
        <v>7224</v>
      </c>
      <c r="AM54" s="1290">
        <f t="shared" ref="AM54:AM58" si="35">(AG54/AL54)/12</f>
        <v>10.524350292279342</v>
      </c>
    </row>
    <row r="55" spans="2:39" x14ac:dyDescent="0.2">
      <c r="T55" s="52" t="s">
        <v>540</v>
      </c>
      <c r="U55" s="1268">
        <f>D20+D23+D29</f>
        <v>1046175.3848576922</v>
      </c>
      <c r="V55" s="1268">
        <f>T20+T23+T29</f>
        <v>1178763.2199776922</v>
      </c>
      <c r="W55" s="1268">
        <f t="shared" si="27"/>
        <v>132587.83512000006</v>
      </c>
      <c r="X55" s="1270">
        <f t="shared" si="28"/>
        <v>0.12673576251082944</v>
      </c>
      <c r="Z55" s="1268">
        <f>E20+E23+E29</f>
        <v>2143268.3848576923</v>
      </c>
      <c r="AA55" s="1268">
        <f t="shared" si="29"/>
        <v>2275856.2199776922</v>
      </c>
      <c r="AB55" s="1268">
        <f t="shared" si="30"/>
        <v>132587.83511999995</v>
      </c>
      <c r="AC55" s="1270">
        <f t="shared" si="31"/>
        <v>6.1862450851577995E-2</v>
      </c>
      <c r="AE55" s="1268">
        <f t="shared" si="32"/>
        <v>2143268.3848576923</v>
      </c>
      <c r="AF55" s="1268">
        <f>U20+U23+U29</f>
        <v>2257300.6399696926</v>
      </c>
      <c r="AG55" s="1268">
        <f t="shared" si="33"/>
        <v>114032.25511200028</v>
      </c>
      <c r="AH55" s="1270">
        <f t="shared" si="34"/>
        <v>5.3204841688350539E-2</v>
      </c>
      <c r="AL55" s="1292">
        <f>'WA Volumes &amp; Revenues'!Y24</f>
        <v>53.999999999999993</v>
      </c>
      <c r="AM55" s="1290">
        <f t="shared" si="35"/>
        <v>175.97570233333377</v>
      </c>
    </row>
    <row r="56" spans="2:39" x14ac:dyDescent="0.2">
      <c r="T56" s="52" t="s">
        <v>541</v>
      </c>
      <c r="U56" s="1268">
        <f>D25+D33+D24+D32</f>
        <v>241642.64647558174</v>
      </c>
      <c r="V56" s="1268">
        <f>T24+T25+T32+T33</f>
        <v>272265.97071558179</v>
      </c>
      <c r="W56" s="1268">
        <f t="shared" si="27"/>
        <v>30623.324240000045</v>
      </c>
      <c r="X56" s="1270">
        <f t="shared" si="28"/>
        <v>0.12672979992004255</v>
      </c>
      <c r="Z56" s="1268">
        <f>E25+E33+E24+E32</f>
        <v>602459.64647558169</v>
      </c>
      <c r="AA56" s="1268">
        <f t="shared" si="29"/>
        <v>633082.97071558167</v>
      </c>
      <c r="AB56" s="1268">
        <f t="shared" si="30"/>
        <v>30623.324239999987</v>
      </c>
      <c r="AC56" s="1270">
        <f t="shared" si="31"/>
        <v>5.0830498638619083E-2</v>
      </c>
      <c r="AE56" s="1268">
        <f t="shared" si="32"/>
        <v>602459.64647558169</v>
      </c>
      <c r="AF56" s="1268">
        <f>U24+U25+U32+U33</f>
        <v>623640.7715555816</v>
      </c>
      <c r="AG56" s="1268">
        <f t="shared" si="33"/>
        <v>21181.125079999911</v>
      </c>
      <c r="AH56" s="1270">
        <f t="shared" si="34"/>
        <v>3.5157749077320825E-2</v>
      </c>
      <c r="AL56" s="1292">
        <f>'WA Volumes &amp; Revenues'!Y25</f>
        <v>4.9166666666666696</v>
      </c>
      <c r="AM56" s="1290">
        <f t="shared" si="35"/>
        <v>359.00211999999829</v>
      </c>
    </row>
    <row r="57" spans="2:39" x14ac:dyDescent="0.2">
      <c r="T57" s="606" t="s">
        <v>547</v>
      </c>
      <c r="U57" s="1268">
        <f>D26+D27+D30+D31+D34+D35+D36+D37</f>
        <v>2199721.8767299997</v>
      </c>
      <c r="V57" s="1268">
        <f>T26+T27+T30+T31+T34+T35+T36+T37</f>
        <v>2478486.5952699999</v>
      </c>
      <c r="W57" s="1268">
        <f t="shared" si="27"/>
        <v>278764.71854000026</v>
      </c>
      <c r="X57" s="1270">
        <f t="shared" si="28"/>
        <v>0.12672725651771871</v>
      </c>
      <c r="Z57" s="1268">
        <f>E26+E27+E30+E31+E34+E35+E36+E37</f>
        <v>2199721.8767299997</v>
      </c>
      <c r="AA57" s="1268">
        <f t="shared" si="29"/>
        <v>2478486.5952699999</v>
      </c>
      <c r="AB57" s="1268">
        <f t="shared" si="30"/>
        <v>278764.71854000026</v>
      </c>
      <c r="AC57" s="1270">
        <f t="shared" si="31"/>
        <v>0.12672725651771871</v>
      </c>
      <c r="AE57" s="1268">
        <f t="shared" si="32"/>
        <v>2199721.8767299997</v>
      </c>
      <c r="AF57" s="1268">
        <f>U26+U27+U30+U31+U34+U35+U36+U37</f>
        <v>2439476.9580300003</v>
      </c>
      <c r="AG57" s="1268">
        <f t="shared" si="33"/>
        <v>239755.08130000066</v>
      </c>
      <c r="AH57" s="1270">
        <f t="shared" si="34"/>
        <v>0.10899336131366252</v>
      </c>
      <c r="AL57" s="1294">
        <f>'WA Volumes &amp; Revenues'!Y26</f>
        <v>27.833333333333336</v>
      </c>
      <c r="AM57" s="1299">
        <f t="shared" si="35"/>
        <v>717.82958473054077</v>
      </c>
    </row>
    <row r="58" spans="2:39" x14ac:dyDescent="0.2">
      <c r="T58" s="52" t="s">
        <v>542</v>
      </c>
      <c r="U58" s="1269">
        <f>SUM(U53:U57)</f>
        <v>49361908.060066424</v>
      </c>
      <c r="V58" s="1269">
        <f>SUM(V53:V57)</f>
        <v>55617386.32113871</v>
      </c>
      <c r="W58" s="1269">
        <f>SUM(W53:W57)</f>
        <v>6255478.2610722911</v>
      </c>
      <c r="X58" s="1271">
        <f t="shared" si="28"/>
        <v>0.12672683263094819</v>
      </c>
      <c r="Z58" s="1269">
        <f>SUM(Z53:Z57)</f>
        <v>78090460.060066417</v>
      </c>
      <c r="AA58" s="1269">
        <f>SUM(AA53:AA57)</f>
        <v>84345938.32113871</v>
      </c>
      <c r="AB58" s="1269">
        <f>SUM(AB53:AB57)</f>
        <v>6255478.2610722892</v>
      </c>
      <c r="AC58" s="1271">
        <f t="shared" si="31"/>
        <v>8.0105537299442683E-2</v>
      </c>
      <c r="AE58" s="1269">
        <f>SUM(AE53:AE57)</f>
        <v>78090460.060066417</v>
      </c>
      <c r="AF58" s="1269">
        <f>SUM(AF53:AF57)</f>
        <v>81992557.85904558</v>
      </c>
      <c r="AG58" s="1269">
        <f>SUM(AG53:AG57)</f>
        <v>3902097.7989791548</v>
      </c>
      <c r="AH58" s="1271">
        <f t="shared" si="34"/>
        <v>4.996894365813314E-2</v>
      </c>
      <c r="AL58" s="1293">
        <f>SUM(AL53:AL57)</f>
        <v>89340.75</v>
      </c>
      <c r="AM58" s="1291">
        <f t="shared" si="35"/>
        <v>3.6397144257418503</v>
      </c>
    </row>
    <row r="59" spans="2:39" x14ac:dyDescent="0.2">
      <c r="AF59" s="967"/>
      <c r="AG59" s="967"/>
    </row>
    <row r="60" spans="2:39" x14ac:dyDescent="0.2">
      <c r="T60" s="606" t="s">
        <v>548</v>
      </c>
      <c r="W60" s="967"/>
    </row>
    <row r="61" spans="2:39" x14ac:dyDescent="0.2">
      <c r="W61" s="967"/>
    </row>
    <row r="62" spans="2:39" ht="13.5" thickBot="1" x14ac:dyDescent="0.25">
      <c r="T62" s="1283" t="s">
        <v>417</v>
      </c>
      <c r="U62" s="1636" t="s">
        <v>551</v>
      </c>
      <c r="V62" s="1636"/>
      <c r="W62" s="1636"/>
      <c r="X62" s="1636"/>
      <c r="Y62" s="62"/>
      <c r="Z62" s="1636" t="s">
        <v>552</v>
      </c>
      <c r="AA62" s="1636"/>
      <c r="AB62" s="1636"/>
      <c r="AC62" s="1636"/>
      <c r="AE62" s="1636" t="s">
        <v>553</v>
      </c>
      <c r="AF62" s="1636"/>
      <c r="AG62" s="1636"/>
      <c r="AH62" s="1636"/>
      <c r="AL62" s="1267" t="s">
        <v>83</v>
      </c>
      <c r="AM62" s="1295" t="s">
        <v>559</v>
      </c>
    </row>
    <row r="63" spans="2:39" x14ac:dyDescent="0.2">
      <c r="U63" s="1267" t="s">
        <v>543</v>
      </c>
      <c r="V63" s="1267" t="s">
        <v>544</v>
      </c>
      <c r="W63" s="1267" t="s">
        <v>545</v>
      </c>
      <c r="X63" s="1267" t="s">
        <v>546</v>
      </c>
      <c r="Z63" s="1267" t="s">
        <v>549</v>
      </c>
      <c r="AA63" s="1267" t="s">
        <v>550</v>
      </c>
      <c r="AB63" s="1267" t="s">
        <v>545</v>
      </c>
      <c r="AC63" s="1267" t="s">
        <v>546</v>
      </c>
      <c r="AE63" s="1267" t="s">
        <v>549</v>
      </c>
      <c r="AF63" s="1267" t="s">
        <v>550</v>
      </c>
      <c r="AG63" s="1267" t="s">
        <v>545</v>
      </c>
      <c r="AH63" s="1267" t="s">
        <v>546</v>
      </c>
      <c r="AL63" s="1296" t="s">
        <v>374</v>
      </c>
      <c r="AM63" s="1296" t="s">
        <v>560</v>
      </c>
    </row>
    <row r="64" spans="2:39" x14ac:dyDescent="0.2">
      <c r="T64" s="52" t="s">
        <v>264</v>
      </c>
      <c r="U64" s="1268">
        <f>V53</f>
        <v>38316252.564415865</v>
      </c>
      <c r="V64" s="1268">
        <f>AL16+AL18</f>
        <v>40456078.493085042</v>
      </c>
      <c r="W64" s="1268">
        <f>V64-U64</f>
        <v>2139825.928669177</v>
      </c>
      <c r="X64" s="1270">
        <f>W64/U64</f>
        <v>5.584643031235325E-2</v>
      </c>
      <c r="Z64" s="1268">
        <f>AA16+AA18</f>
        <v>57601406.564415865</v>
      </c>
      <c r="AA64" s="1268">
        <f>AB16+AB18+Z64</f>
        <v>59771645.866463423</v>
      </c>
      <c r="AB64" s="1268">
        <f>AA64-Z64</f>
        <v>2170239.3020475581</v>
      </c>
      <c r="AC64" s="1270">
        <f>AB64/Z64</f>
        <v>3.7676845610021201E-2</v>
      </c>
      <c r="AE64" s="1268">
        <f>Z64</f>
        <v>57601406.564415865</v>
      </c>
      <c r="AF64" s="1268">
        <f>AM16+AM18</f>
        <v>59741232.493085042</v>
      </c>
      <c r="AG64" s="1268">
        <f>AF64-AE64</f>
        <v>2139825.928669177</v>
      </c>
      <c r="AH64" s="1270">
        <f>AG64/AE64</f>
        <v>3.7148848548970791E-2</v>
      </c>
      <c r="AL64" s="1297">
        <f>AL53</f>
        <v>82030</v>
      </c>
      <c r="AM64" s="1290">
        <f>(AG64/AL64)/12</f>
        <v>2.1738245445458744</v>
      </c>
    </row>
    <row r="65" spans="20:39" x14ac:dyDescent="0.2">
      <c r="T65" s="52" t="s">
        <v>26</v>
      </c>
      <c r="U65" s="1268">
        <f>V54</f>
        <v>13371617.970759571</v>
      </c>
      <c r="V65" s="1268">
        <f>AL17+AL19+AL21+AL22+AL28</f>
        <v>14118243.110319136</v>
      </c>
      <c r="W65" s="1268">
        <f t="shared" ref="W65:W68" si="36">V65-U65</f>
        <v>746625.13955956511</v>
      </c>
      <c r="X65" s="1270">
        <f t="shared" ref="X65:X69" si="37">W65/U65</f>
        <v>5.5836559284916015E-2</v>
      </c>
      <c r="Z65" s="1268">
        <f>AA17+AA19+AA21+AA22+AA28</f>
        <v>21357105.970759574</v>
      </c>
      <c r="AA65" s="1268">
        <f>AB17+AB19+AB21+AB22+AB28+Z65</f>
        <v>22114480.111535363</v>
      </c>
      <c r="AB65" s="1268">
        <f>AA65-Z65</f>
        <v>757374.14077578858</v>
      </c>
      <c r="AC65" s="1270">
        <f>AB65/Z65</f>
        <v>3.5462395598576141E-2</v>
      </c>
      <c r="AE65" s="1268">
        <f t="shared" ref="AE65:AE68" si="38">Z65</f>
        <v>21357105.970759574</v>
      </c>
      <c r="AF65" s="1268">
        <f>AM17+AM19+AM21+AM22+AM28</f>
        <v>22103731.110319134</v>
      </c>
      <c r="AG65" s="1268">
        <f t="shared" ref="AG65:AG68" si="39">AF65-AE65</f>
        <v>746625.13955955952</v>
      </c>
      <c r="AH65" s="1270">
        <f t="shared" ref="AH65:AH69" si="40">AG65/AE65</f>
        <v>3.4959097013508217E-2</v>
      </c>
      <c r="AL65" s="1297">
        <f>AL54</f>
        <v>7224</v>
      </c>
      <c r="AM65" s="1290">
        <f t="shared" ref="AM65:AM69" si="41">(AG65/AL65)/12</f>
        <v>8.612785386207543</v>
      </c>
    </row>
    <row r="66" spans="20:39" x14ac:dyDescent="0.2">
      <c r="T66" s="52" t="s">
        <v>540</v>
      </c>
      <c r="U66" s="1268">
        <f>V55</f>
        <v>1178763.2199776922</v>
      </c>
      <c r="V66" s="1268">
        <f>AL20+AL23+AL29</f>
        <v>1244578.8446896924</v>
      </c>
      <c r="W66" s="1268">
        <f t="shared" si="36"/>
        <v>65815.624712000135</v>
      </c>
      <c r="X66" s="1270">
        <f t="shared" si="37"/>
        <v>5.5834474300314255E-2</v>
      </c>
      <c r="Z66" s="1268">
        <f>AA20+AA23+AA29</f>
        <v>2275856.2199776927</v>
      </c>
      <c r="AA66" s="1268">
        <f>AB20+AB23+AB29+Z66</f>
        <v>2342622.6834006929</v>
      </c>
      <c r="AB66" s="1268">
        <f>AA66-Z66</f>
        <v>66766.463423000183</v>
      </c>
      <c r="AC66" s="1270">
        <f>AB66/Z66</f>
        <v>2.9336854778837747E-2</v>
      </c>
      <c r="AE66" s="1268">
        <f t="shared" si="38"/>
        <v>2275856.2199776927</v>
      </c>
      <c r="AF66" s="1268">
        <f>AM20+AM23+AM29</f>
        <v>2341671.8446896924</v>
      </c>
      <c r="AG66" s="1268">
        <f t="shared" si="39"/>
        <v>65815.62471199967</v>
      </c>
      <c r="AH66" s="1270">
        <f t="shared" si="40"/>
        <v>2.8919060938148708E-2</v>
      </c>
      <c r="AL66" s="1297">
        <f>AL55</f>
        <v>53.999999999999993</v>
      </c>
      <c r="AM66" s="1290">
        <f t="shared" si="41"/>
        <v>101.56732208641925</v>
      </c>
    </row>
    <row r="67" spans="20:39" x14ac:dyDescent="0.2">
      <c r="T67" s="52" t="s">
        <v>541</v>
      </c>
      <c r="U67" s="1268">
        <f>V56</f>
        <v>272265.97071558179</v>
      </c>
      <c r="V67" s="1268">
        <f>AL25+AL33+AL24+AL32</f>
        <v>287468.03658558178</v>
      </c>
      <c r="W67" s="1268">
        <f t="shared" si="36"/>
        <v>15202.065869999991</v>
      </c>
      <c r="X67" s="1270">
        <f t="shared" si="37"/>
        <v>5.5835350374654723E-2</v>
      </c>
      <c r="Z67" s="1268">
        <f>AA25+AA33+AA24+AA32</f>
        <v>633082.97071558167</v>
      </c>
      <c r="AA67" s="1268">
        <f>AB25+AB33+AB24+AB32+Z67</f>
        <v>648503.76902558166</v>
      </c>
      <c r="AB67" s="1268">
        <f>AA67-Z67</f>
        <v>15420.798309999984</v>
      </c>
      <c r="AC67" s="1270">
        <f>AB67/Z67</f>
        <v>2.4358257958778547E-2</v>
      </c>
      <c r="AE67" s="1268">
        <f t="shared" si="38"/>
        <v>633082.97071558167</v>
      </c>
      <c r="AF67" s="1268">
        <f>AM25+AM33+AM24+AM32</f>
        <v>648285.03658558172</v>
      </c>
      <c r="AG67" s="1268">
        <f t="shared" si="39"/>
        <v>15202.065870000049</v>
      </c>
      <c r="AH67" s="1270">
        <f t="shared" si="40"/>
        <v>2.4012754367436173E-2</v>
      </c>
      <c r="AL67" s="1297">
        <f>AL56</f>
        <v>4.9166666666666696</v>
      </c>
      <c r="AM67" s="1290">
        <f t="shared" si="41"/>
        <v>257.66213338983118</v>
      </c>
    </row>
    <row r="68" spans="20:39" x14ac:dyDescent="0.2">
      <c r="T68" s="606" t="s">
        <v>547</v>
      </c>
      <c r="U68" s="1268">
        <f>V57</f>
        <v>2478486.5952699999</v>
      </c>
      <c r="V68" s="1268">
        <f>AL26+AL27+AL30+AL31+AL34+AL35+AL36+AL37</f>
        <v>2616900.0221899999</v>
      </c>
      <c r="W68" s="1268">
        <f t="shared" si="36"/>
        <v>138413.42692</v>
      </c>
      <c r="X68" s="1270">
        <f t="shared" si="37"/>
        <v>5.5845945337832902E-2</v>
      </c>
      <c r="Z68" s="1268">
        <f>AA26+AA27+AA30+AA31+AA34+AA35+AA36+AA37</f>
        <v>2478486.5952699999</v>
      </c>
      <c r="AA68" s="1268">
        <f>AB26+AB27+AB30+AB31+AB34+AB35+AB36+AB37+Z68</f>
        <v>2618874.1669199998</v>
      </c>
      <c r="AB68" s="1268">
        <f>AA68-Z68</f>
        <v>140387.57164999982</v>
      </c>
      <c r="AC68" s="1270">
        <f>AB68/Z68</f>
        <v>5.664245750528514E-2</v>
      </c>
      <c r="AE68" s="1268">
        <f t="shared" si="38"/>
        <v>2478486.5952699999</v>
      </c>
      <c r="AF68" s="1268">
        <f>AM26+AM27+AM30+AM31+AM34+AM35+AM36+AM37</f>
        <v>2616900.0221899999</v>
      </c>
      <c r="AG68" s="1268">
        <f t="shared" si="39"/>
        <v>138413.42692</v>
      </c>
      <c r="AH68" s="1270">
        <f t="shared" si="40"/>
        <v>5.5845945337832902E-2</v>
      </c>
      <c r="AL68" s="1298">
        <f>AL57</f>
        <v>27.833333333333336</v>
      </c>
      <c r="AM68" s="1299">
        <f t="shared" si="41"/>
        <v>414.41145784431137</v>
      </c>
    </row>
    <row r="69" spans="20:39" x14ac:dyDescent="0.2">
      <c r="T69" s="52" t="s">
        <v>542</v>
      </c>
      <c r="U69" s="1269">
        <f>SUM(U64:U68)</f>
        <v>55617386.32113871</v>
      </c>
      <c r="V69" s="1269">
        <f>SUM(V64:V68)</f>
        <v>58723268.50686945</v>
      </c>
      <c r="W69" s="1269">
        <f>SUM(W64:W68)</f>
        <v>3105882.1857307423</v>
      </c>
      <c r="X69" s="1271">
        <f t="shared" si="37"/>
        <v>5.5843727855119971E-2</v>
      </c>
      <c r="Z69" s="1269">
        <f>SUM(Z64:Z68)</f>
        <v>84345938.32113871</v>
      </c>
      <c r="AA69" s="1269">
        <f>SUM(AA64:AA68)</f>
        <v>87496126.597345069</v>
      </c>
      <c r="AB69" s="1269">
        <f>SUM(AB64:AB68)</f>
        <v>3150188.2762063467</v>
      </c>
      <c r="AC69" s="1271">
        <f t="shared" ref="AC69" si="42">AB69/Z69</f>
        <v>3.7348428850388984E-2</v>
      </c>
      <c r="AE69" s="1269">
        <f>SUM(AE64:AE68)</f>
        <v>84345938.32113871</v>
      </c>
      <c r="AF69" s="1269">
        <f>SUM(AF64:AF68)</f>
        <v>87451820.506869465</v>
      </c>
      <c r="AG69" s="1269">
        <f>SUM(AG64:AG68)</f>
        <v>3105882.1857307362</v>
      </c>
      <c r="AH69" s="1271">
        <f t="shared" si="40"/>
        <v>3.6823138701776024E-2</v>
      </c>
      <c r="AL69" s="1297">
        <f>SUM(AL64:AL68)</f>
        <v>89340.75</v>
      </c>
      <c r="AM69" s="1291">
        <f t="shared" si="41"/>
        <v>2.8970376393477935</v>
      </c>
    </row>
    <row r="70" spans="20:39" x14ac:dyDescent="0.2">
      <c r="W70" s="967"/>
      <c r="AA70" s="967"/>
      <c r="AB70" s="967"/>
      <c r="AG70" s="967"/>
    </row>
    <row r="71" spans="20:39" x14ac:dyDescent="0.2">
      <c r="T71" s="606" t="s">
        <v>548</v>
      </c>
      <c r="W71" s="967"/>
      <c r="AB71" s="967"/>
      <c r="AG71" s="967"/>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29">
    <mergeCell ref="U2:W2"/>
    <mergeCell ref="V3:V4"/>
    <mergeCell ref="U3:U4"/>
    <mergeCell ref="W3:W4"/>
    <mergeCell ref="AM2:AO2"/>
    <mergeCell ref="AM3:AM4"/>
    <mergeCell ref="AN3:AN4"/>
    <mergeCell ref="AO3:AO4"/>
    <mergeCell ref="AH11:AI11"/>
    <mergeCell ref="AJ11:AK11"/>
    <mergeCell ref="AN11:AP11"/>
    <mergeCell ref="D10:X10"/>
    <mergeCell ref="Z10:AP10"/>
    <mergeCell ref="AD11:AE11"/>
    <mergeCell ref="AF11:AG11"/>
    <mergeCell ref="F11:G11"/>
    <mergeCell ref="H11:I11"/>
    <mergeCell ref="J11:K11"/>
    <mergeCell ref="N11:Q11"/>
    <mergeCell ref="V11:X11"/>
    <mergeCell ref="L11:M11"/>
    <mergeCell ref="AB11:AC11"/>
    <mergeCell ref="R11:S11"/>
    <mergeCell ref="U62:X62"/>
    <mergeCell ref="Z62:AC62"/>
    <mergeCell ref="AE62:AH62"/>
    <mergeCell ref="U51:X51"/>
    <mergeCell ref="Z51:AC51"/>
    <mergeCell ref="AE51:AH51"/>
  </mergeCells>
  <printOptions verticalCentered="1"/>
  <pageMargins left="0.25" right="0.25" top="0.5" bottom="0.5" header="0.25" footer="0.25"/>
  <pageSetup scale="49" orientation="landscape" r:id="rId3"/>
  <headerFooter alignWithMargins="0">
    <oddHeader>&amp;RExh. RJW-3 Wyman WP1</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B77"/>
  <sheetViews>
    <sheetView zoomScale="95" zoomScaleNormal="95" workbookViewId="0">
      <pane xSplit="4" ySplit="8" topLeftCell="AC9" activePane="bottomRight" state="frozen"/>
      <selection pane="topRight" activeCell="E1" sqref="E1"/>
      <selection pane="bottomLeft" activeCell="A9" sqref="A9"/>
      <selection pane="bottomRight" activeCell="AN9" sqref="AN9"/>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 style="52" customWidth="1"/>
    <col min="15" max="17" width="16" style="52" customWidth="1" outlineLevel="1"/>
    <col min="18" max="18" width="16.5" style="92" customWidth="1" outlineLevel="1"/>
    <col min="19" max="19" width="16" style="52" customWidth="1" outlineLevel="1"/>
    <col min="20" max="20" width="15.6640625" style="52" customWidth="1" outlineLevel="1"/>
    <col min="21" max="21" width="15.5" style="52" customWidth="1" outlineLevel="1"/>
    <col min="22" max="22" width="16" style="52" customWidth="1"/>
    <col min="23" max="23" width="10.1640625" style="56" customWidth="1"/>
    <col min="24" max="24" width="12.5" style="56" hidden="1" customWidth="1" outlineLevel="1"/>
    <col min="25" max="25" width="12.83203125" style="56" hidden="1" customWidth="1" outlineLevel="1"/>
    <col min="26" max="26" width="12.5" style="56" hidden="1" customWidth="1" outlineLevel="1"/>
    <col min="27" max="27" width="12.1640625" style="56" hidden="1" customWidth="1" outlineLevel="1"/>
    <col min="28" max="28" width="13" style="56" hidden="1" customWidth="1" outlineLevel="1"/>
    <col min="29" max="29" width="15" style="92" customWidth="1" collapsed="1"/>
    <col min="30" max="30" width="3.83203125" style="52" customWidth="1"/>
    <col min="31" max="32" width="11.33203125" style="52" customWidth="1" outlineLevel="1"/>
    <col min="33" max="34" width="13" style="52" customWidth="1" outlineLevel="1"/>
    <col min="35" max="35" width="12.6640625" style="52" customWidth="1" outlineLevel="1"/>
    <col min="36" max="36" width="14.6640625" style="92" customWidth="1"/>
    <col min="37" max="37" width="6.33203125" style="130" customWidth="1"/>
    <col min="38" max="40" width="13.1640625" style="130" customWidth="1" outlineLevel="1"/>
    <col min="41" max="41" width="6.33203125" style="130" customWidth="1"/>
    <col min="42" max="42" width="12.5" style="56" hidden="1" customWidth="1" outlineLevel="1"/>
    <col min="43" max="43" width="12.83203125" style="56" hidden="1" customWidth="1" outlineLevel="1"/>
    <col min="44" max="44" width="12.5" style="56" hidden="1" customWidth="1" outlineLevel="1"/>
    <col min="45" max="46" width="11.5" style="56" hidden="1" customWidth="1" outlineLevel="1"/>
    <col min="47" max="47" width="15" style="92" customWidth="1" collapsed="1"/>
    <col min="48" max="48" width="3.83203125" style="52" customWidth="1"/>
    <col min="49" max="50" width="11.33203125" style="52" customWidth="1" outlineLevel="1"/>
    <col min="51" max="52" width="13" style="52" customWidth="1" outlineLevel="1"/>
    <col min="53" max="53" width="12.6640625" style="52" customWidth="1" outlineLevel="1"/>
    <col min="54" max="54" width="14.6640625" style="92" customWidth="1"/>
    <col min="55" max="16384" width="9.33203125" style="52"/>
  </cols>
  <sheetData>
    <row r="1" spans="2:54" x14ac:dyDescent="0.2">
      <c r="B1" s="91" t="s">
        <v>0</v>
      </c>
      <c r="T1" s="65"/>
      <c r="U1" s="65"/>
    </row>
    <row r="2" spans="2:54" x14ac:dyDescent="0.2">
      <c r="B2" s="91" t="s">
        <v>276</v>
      </c>
    </row>
    <row r="3" spans="2:54" x14ac:dyDescent="0.2">
      <c r="B3" s="91" t="s">
        <v>277</v>
      </c>
      <c r="P3" s="101"/>
      <c r="R3" s="138"/>
    </row>
    <row r="4" spans="2:54" x14ac:dyDescent="0.2">
      <c r="B4" s="91" t="s">
        <v>214</v>
      </c>
      <c r="N4" s="656"/>
      <c r="O4" s="59" t="s">
        <v>226</v>
      </c>
      <c r="P4" s="59" t="s">
        <v>226</v>
      </c>
      <c r="Q4" s="59" t="s">
        <v>226</v>
      </c>
      <c r="R4" s="58"/>
      <c r="S4" s="58" t="s">
        <v>225</v>
      </c>
      <c r="T4" s="58" t="s">
        <v>225</v>
      </c>
      <c r="U4" s="58" t="s">
        <v>225</v>
      </c>
      <c r="AE4" s="606"/>
      <c r="AH4" s="101"/>
      <c r="AI4" s="606"/>
      <c r="AK4" s="131"/>
      <c r="AL4" s="131"/>
      <c r="AM4" s="131"/>
      <c r="AN4" s="131"/>
      <c r="AO4" s="131"/>
      <c r="AW4" s="606"/>
      <c r="AZ4" s="101"/>
      <c r="BA4" s="606"/>
    </row>
    <row r="5" spans="2:54" ht="13.5" thickBot="1" x14ac:dyDescent="0.25">
      <c r="O5" s="974">
        <f>'Rates in Detail'!L4</f>
        <v>6718.061567838412</v>
      </c>
      <c r="P5" s="975">
        <f>'Rates in Detail'!P4</f>
        <v>-462.25200000000001</v>
      </c>
      <c r="Q5" s="102">
        <v>0</v>
      </c>
      <c r="R5" s="102"/>
      <c r="S5" s="975">
        <f>'Rates in Detail'!S4</f>
        <v>-1477.729</v>
      </c>
      <c r="T5" s="975">
        <f>'Rates in Detail'!T4</f>
        <v>-875.74</v>
      </c>
      <c r="U5" s="102">
        <v>0</v>
      </c>
      <c r="AE5" s="101"/>
      <c r="AF5" s="101"/>
      <c r="AG5" s="101"/>
      <c r="AH5" s="101"/>
      <c r="AI5" s="101"/>
      <c r="AL5" s="978"/>
      <c r="AM5" s="978"/>
      <c r="AN5" s="978"/>
      <c r="AW5" s="101"/>
      <c r="AX5" s="101"/>
      <c r="AY5" s="101"/>
      <c r="AZ5" s="101"/>
      <c r="BA5" s="101"/>
    </row>
    <row r="6" spans="2:54" ht="13.5" thickBot="1" x14ac:dyDescent="0.25">
      <c r="B6" s="103"/>
      <c r="C6" s="103"/>
      <c r="D6" s="103"/>
      <c r="E6" s="103"/>
      <c r="F6" s="103"/>
      <c r="G6" s="103"/>
      <c r="H6" s="632" t="s">
        <v>258</v>
      </c>
      <c r="I6" s="104" t="s">
        <v>272</v>
      </c>
      <c r="J6" s="1672" t="s">
        <v>257</v>
      </c>
      <c r="K6" s="1673"/>
      <c r="L6" s="1673"/>
      <c r="M6" s="1673"/>
      <c r="N6" s="1674"/>
      <c r="O6" s="1098" t="s">
        <v>179</v>
      </c>
      <c r="P6" s="1098" t="str">
        <f>'Rates in Detail'!P9</f>
        <v>EDIT Amort Cr</v>
      </c>
      <c r="Q6" s="1099" t="s">
        <v>375</v>
      </c>
      <c r="R6" s="257" t="s">
        <v>245</v>
      </c>
      <c r="S6" s="1098" t="str">
        <f>'Rates in Detail'!S9</f>
        <v>Historical EE</v>
      </c>
      <c r="T6" s="1098" t="str">
        <f>'Rates in Detail'!T9</f>
        <v>Truck Lot Sale</v>
      </c>
      <c r="U6" s="1099" t="s">
        <v>375</v>
      </c>
      <c r="V6" s="258" t="s">
        <v>245</v>
      </c>
      <c r="X6" s="1667" t="s">
        <v>400</v>
      </c>
      <c r="Y6" s="1668"/>
      <c r="Z6" s="1668"/>
      <c r="AA6" s="1668"/>
      <c r="AB6" s="1668"/>
      <c r="AC6" s="1669"/>
      <c r="AE6" s="1670" t="s">
        <v>434</v>
      </c>
      <c r="AF6" s="1671"/>
      <c r="AG6" s="1671"/>
      <c r="AH6" s="1671"/>
      <c r="AI6" s="1671"/>
      <c r="AJ6" s="1671"/>
      <c r="AL6" s="979" t="s">
        <v>179</v>
      </c>
      <c r="AM6" s="980" t="s">
        <v>418</v>
      </c>
      <c r="AN6" s="980" t="s">
        <v>419</v>
      </c>
      <c r="AP6" s="1667" t="s">
        <v>436</v>
      </c>
      <c r="AQ6" s="1668"/>
      <c r="AR6" s="1668"/>
      <c r="AS6" s="1668"/>
      <c r="AT6" s="1668"/>
      <c r="AU6" s="1669"/>
      <c r="AW6" s="1670" t="s">
        <v>437</v>
      </c>
      <c r="AX6" s="1671"/>
      <c r="AY6" s="1671"/>
      <c r="AZ6" s="1671"/>
      <c r="BA6" s="1671"/>
      <c r="BB6" s="1671"/>
    </row>
    <row r="7" spans="2:54" ht="63.75" x14ac:dyDescent="0.2">
      <c r="B7" s="105" t="s">
        <v>150</v>
      </c>
      <c r="C7" s="66" t="s">
        <v>2</v>
      </c>
      <c r="D7" s="66" t="s">
        <v>3</v>
      </c>
      <c r="E7" s="66" t="s">
        <v>164</v>
      </c>
      <c r="F7" s="66" t="s">
        <v>162</v>
      </c>
      <c r="G7" s="66" t="s">
        <v>163</v>
      </c>
      <c r="H7" s="106" t="s">
        <v>160</v>
      </c>
      <c r="I7" s="66" t="s">
        <v>161</v>
      </c>
      <c r="J7" s="623" t="s">
        <v>394</v>
      </c>
      <c r="K7" s="624" t="s">
        <v>395</v>
      </c>
      <c r="L7" s="624" t="s">
        <v>396</v>
      </c>
      <c r="M7" s="624" t="s">
        <v>397</v>
      </c>
      <c r="N7" s="107" t="s">
        <v>398</v>
      </c>
      <c r="O7" s="120" t="s">
        <v>159</v>
      </c>
      <c r="P7" s="121" t="s">
        <v>433</v>
      </c>
      <c r="Q7" s="121" t="s">
        <v>246</v>
      </c>
      <c r="R7" s="253" t="s">
        <v>399</v>
      </c>
      <c r="S7" s="121" t="s">
        <v>238</v>
      </c>
      <c r="T7" s="591" t="s">
        <v>238</v>
      </c>
      <c r="U7" s="121" t="s">
        <v>238</v>
      </c>
      <c r="V7" s="259" t="s">
        <v>435</v>
      </c>
      <c r="W7" s="619"/>
      <c r="X7" s="346" t="s">
        <v>90</v>
      </c>
      <c r="Y7" s="346" t="s">
        <v>228</v>
      </c>
      <c r="Z7" s="346" t="s">
        <v>223</v>
      </c>
      <c r="AA7" s="346" t="s">
        <v>224</v>
      </c>
      <c r="AB7" s="346" t="s">
        <v>222</v>
      </c>
      <c r="AC7" s="347" t="s">
        <v>242</v>
      </c>
      <c r="AE7" s="341" t="s">
        <v>90</v>
      </c>
      <c r="AF7" s="341" t="s">
        <v>228</v>
      </c>
      <c r="AG7" s="341" t="str">
        <f>Z7</f>
        <v>Pipeline Capacity Rate (Demand)</v>
      </c>
      <c r="AH7" s="341" t="str">
        <f>AA7</f>
        <v>Commodity Rate (WACOG)</v>
      </c>
      <c r="AI7" s="341" t="str">
        <f>AB7</f>
        <v>Temporary Adjustment</v>
      </c>
      <c r="AJ7" s="342" t="s">
        <v>526</v>
      </c>
      <c r="AK7" s="108"/>
      <c r="AL7" s="981" t="s">
        <v>159</v>
      </c>
      <c r="AM7" s="981" t="s">
        <v>238</v>
      </c>
      <c r="AN7" s="982" t="s">
        <v>444</v>
      </c>
      <c r="AO7" s="108"/>
      <c r="AP7" s="346" t="s">
        <v>90</v>
      </c>
      <c r="AQ7" s="346" t="s">
        <v>228</v>
      </c>
      <c r="AR7" s="346" t="s">
        <v>223</v>
      </c>
      <c r="AS7" s="346" t="s">
        <v>224</v>
      </c>
      <c r="AT7" s="346" t="s">
        <v>222</v>
      </c>
      <c r="AU7" s="347" t="s">
        <v>527</v>
      </c>
      <c r="AW7" s="341" t="s">
        <v>90</v>
      </c>
      <c r="AX7" s="341" t="s">
        <v>228</v>
      </c>
      <c r="AY7" s="341" t="str">
        <f>AR7</f>
        <v>Pipeline Capacity Rate (Demand)</v>
      </c>
      <c r="AZ7" s="341" t="str">
        <f>AS7</f>
        <v>Commodity Rate (WACOG)</v>
      </c>
      <c r="BA7" s="341" t="str">
        <f>AT7</f>
        <v>Temporary Adjustment</v>
      </c>
      <c r="BB7" s="342" t="s">
        <v>528</v>
      </c>
    </row>
    <row r="8" spans="2:54" ht="13.5" thickBot="1" x14ac:dyDescent="0.25">
      <c r="B8" s="640"/>
      <c r="C8" s="641" t="s">
        <v>35</v>
      </c>
      <c r="D8" s="641" t="s">
        <v>36</v>
      </c>
      <c r="E8" s="641" t="s">
        <v>13</v>
      </c>
      <c r="F8" s="641" t="s">
        <v>37</v>
      </c>
      <c r="G8" s="641" t="s">
        <v>38</v>
      </c>
      <c r="H8" s="642" t="s">
        <v>39</v>
      </c>
      <c r="I8" s="643" t="s">
        <v>40</v>
      </c>
      <c r="J8" s="642" t="s">
        <v>41</v>
      </c>
      <c r="K8" s="641" t="s">
        <v>42</v>
      </c>
      <c r="L8" s="641" t="s">
        <v>129</v>
      </c>
      <c r="M8" s="641" t="s">
        <v>130</v>
      </c>
      <c r="N8" s="643" t="s">
        <v>259</v>
      </c>
      <c r="O8" s="644" t="s">
        <v>131</v>
      </c>
      <c r="P8" s="645" t="s">
        <v>132</v>
      </c>
      <c r="Q8" s="645" t="s">
        <v>133</v>
      </c>
      <c r="R8" s="646" t="s">
        <v>490</v>
      </c>
      <c r="S8" s="645" t="s">
        <v>135</v>
      </c>
      <c r="T8" s="645" t="s">
        <v>89</v>
      </c>
      <c r="U8" s="645" t="s">
        <v>92</v>
      </c>
      <c r="V8" s="647" t="s">
        <v>491</v>
      </c>
      <c r="W8" s="633"/>
      <c r="X8" s="634" t="s">
        <v>94</v>
      </c>
      <c r="Y8" s="635" t="s">
        <v>186</v>
      </c>
      <c r="Z8" s="635" t="s">
        <v>232</v>
      </c>
      <c r="AA8" s="635" t="s">
        <v>227</v>
      </c>
      <c r="AB8" s="635" t="s">
        <v>233</v>
      </c>
      <c r="AC8" s="636" t="s">
        <v>492</v>
      </c>
      <c r="AD8" s="633"/>
      <c r="AE8" s="637" t="s">
        <v>235</v>
      </c>
      <c r="AF8" s="638" t="s">
        <v>254</v>
      </c>
      <c r="AG8" s="638" t="s">
        <v>438</v>
      </c>
      <c r="AH8" s="638" t="s">
        <v>255</v>
      </c>
      <c r="AI8" s="638" t="s">
        <v>256</v>
      </c>
      <c r="AJ8" s="639" t="s">
        <v>493</v>
      </c>
      <c r="AK8" s="976"/>
      <c r="AL8" s="983" t="s">
        <v>260</v>
      </c>
      <c r="AM8" s="984" t="s">
        <v>494</v>
      </c>
      <c r="AN8" s="985" t="s">
        <v>495</v>
      </c>
      <c r="AO8" s="977"/>
      <c r="AP8" s="634" t="s">
        <v>439</v>
      </c>
      <c r="AQ8" s="635" t="s">
        <v>496</v>
      </c>
      <c r="AR8" s="635" t="s">
        <v>261</v>
      </c>
      <c r="AS8" s="635" t="s">
        <v>262</v>
      </c>
      <c r="AT8" s="635" t="s">
        <v>440</v>
      </c>
      <c r="AU8" s="636" t="s">
        <v>497</v>
      </c>
      <c r="AV8" s="633"/>
      <c r="AW8" s="637" t="s">
        <v>263</v>
      </c>
      <c r="AX8" s="638" t="s">
        <v>498</v>
      </c>
      <c r="AY8" s="638" t="s">
        <v>441</v>
      </c>
      <c r="AZ8" s="638" t="s">
        <v>442</v>
      </c>
      <c r="BA8" s="638" t="s">
        <v>443</v>
      </c>
      <c r="BB8" s="639" t="s">
        <v>499</v>
      </c>
    </row>
    <row r="9" spans="2:54" x14ac:dyDescent="0.2">
      <c r="B9" s="110">
        <v>1</v>
      </c>
      <c r="C9" s="904" t="str">
        <f>'WA Volumes &amp; Revenues'!B15</f>
        <v>1R</v>
      </c>
      <c r="D9" s="904" t="s">
        <v>283</v>
      </c>
      <c r="E9" s="111" t="s">
        <v>283</v>
      </c>
      <c r="F9" s="113">
        <f>'WA Volumes &amp; Revenues'!E15</f>
        <v>214704.20066131229</v>
      </c>
      <c r="G9" s="113">
        <f>'WA Volumes &amp; Revenues'!H15</f>
        <v>911</v>
      </c>
      <c r="H9" s="907">
        <f>'WA Volumes &amp; Revenues'!O15</f>
        <v>5.5</v>
      </c>
      <c r="I9" s="908">
        <f>'WA Volumes &amp; Revenues'!N15</f>
        <v>5.5</v>
      </c>
      <c r="J9" s="627">
        <f>'Rates in Detail'!E13</f>
        <v>0.67652999999999996</v>
      </c>
      <c r="K9" s="631">
        <f>'Rates in Detail'!H13</f>
        <v>0.10141</v>
      </c>
      <c r="L9" s="631">
        <f>'Rates in Detail'!F13</f>
        <v>0.26333000000000001</v>
      </c>
      <c r="M9" s="631">
        <f>'Rates in Detail'!I13</f>
        <v>0.11125999999999998</v>
      </c>
      <c r="N9" s="135">
        <f>SUM(J9:M9)</f>
        <v>1.1525299999999998</v>
      </c>
      <c r="O9" s="973">
        <f>'Rates in Detail'!L13</f>
        <v>0.13225000000000001</v>
      </c>
      <c r="P9" s="631">
        <f>'Rates in Detail'!P13</f>
        <v>-9.1000000000000004E-3</v>
      </c>
      <c r="Q9" s="631">
        <f>'Rates in Detail'!Q13</f>
        <v>0</v>
      </c>
      <c r="R9" s="254">
        <f>SUM(O9:Q9)</f>
        <v>0.12315000000000001</v>
      </c>
      <c r="S9" s="973">
        <f>'Rates in Detail'!S13</f>
        <v>-3.1189999999999999E-2</v>
      </c>
      <c r="T9" s="631">
        <f>'Rates in Detail'!T13</f>
        <v>-1.7239999999999998E-2</v>
      </c>
      <c r="U9" s="631">
        <f>'Rates in Detail'!U13</f>
        <v>0</v>
      </c>
      <c r="V9" s="260">
        <f>SUM(R9:U9)</f>
        <v>7.4720000000000009E-2</v>
      </c>
      <c r="W9" s="620"/>
      <c r="X9" s="114"/>
      <c r="Y9" s="114"/>
      <c r="Z9" s="114"/>
      <c r="AA9" s="114"/>
      <c r="AB9" s="114"/>
      <c r="AC9" s="348">
        <f>SUM(X9:AB9)</f>
        <v>0</v>
      </c>
      <c r="AE9" s="114">
        <f>X9+O9+P9+Q9+J9</f>
        <v>0.79967999999999995</v>
      </c>
      <c r="AF9" s="114"/>
      <c r="AG9" s="114">
        <f>Z9+K9</f>
        <v>0.10141</v>
      </c>
      <c r="AH9" s="114">
        <f t="shared" ref="AH9:AH40" si="0">AA9+L9</f>
        <v>0.26333000000000001</v>
      </c>
      <c r="AI9" s="114">
        <f>AB9+S9+T9+U9+M9</f>
        <v>6.2829999999999983E-2</v>
      </c>
      <c r="AJ9" s="343">
        <f>SUM(AE9:AI9)</f>
        <v>1.22725</v>
      </c>
      <c r="AK9" s="131"/>
      <c r="AL9" s="114">
        <f>'Rates in Detail'!Y13</f>
        <v>6.2010000000000003E-2</v>
      </c>
      <c r="AM9" s="114">
        <f>'Rates in Detail'!Z13</f>
        <v>-8.8000000000000003E-4</v>
      </c>
      <c r="AN9" s="986">
        <f>SUM(AL9:AM9)</f>
        <v>6.1130000000000004E-2</v>
      </c>
      <c r="AO9" s="131"/>
      <c r="AP9" s="114"/>
      <c r="AQ9" s="114"/>
      <c r="AR9" s="114"/>
      <c r="AS9" s="114"/>
      <c r="AT9" s="114"/>
      <c r="AU9" s="348">
        <f>SUM(AP9:AT9)</f>
        <v>0</v>
      </c>
      <c r="AW9" s="114">
        <f>AE9+AL9+AP9</f>
        <v>0.86168999999999996</v>
      </c>
      <c r="AX9" s="114">
        <f>AF9+AQ9</f>
        <v>0</v>
      </c>
      <c r="AY9" s="114">
        <f>AG9+AR9</f>
        <v>0.10141</v>
      </c>
      <c r="AZ9" s="114">
        <f>AH9+AS9</f>
        <v>0.26333000000000001</v>
      </c>
      <c r="BA9" s="114">
        <f>M9+AM9+AT9</f>
        <v>0.11037999999999998</v>
      </c>
      <c r="BB9" s="343">
        <f>SUM(AW9:BA9)</f>
        <v>1.3368099999999998</v>
      </c>
    </row>
    <row r="10" spans="2:54" x14ac:dyDescent="0.2">
      <c r="B10" s="110">
        <f>B9+1</f>
        <v>2</v>
      </c>
      <c r="C10" s="904" t="str">
        <f>'WA Volumes &amp; Revenues'!B16</f>
        <v>1C</v>
      </c>
      <c r="D10" s="904" t="s">
        <v>283</v>
      </c>
      <c r="E10" s="111" t="s">
        <v>283</v>
      </c>
      <c r="F10" s="113">
        <f>'WA Volumes &amp; Revenues'!E16</f>
        <v>46539.057144390383</v>
      </c>
      <c r="G10" s="113">
        <f>'WA Volumes &amp; Revenues'!H16</f>
        <v>34</v>
      </c>
      <c r="H10" s="907">
        <f>'WA Volumes &amp; Revenues'!O16</f>
        <v>7</v>
      </c>
      <c r="I10" s="908">
        <f>'WA Volumes &amp; Revenues'!N16</f>
        <v>7</v>
      </c>
      <c r="J10" s="627">
        <f>'Rates in Detail'!E14</f>
        <v>0.73148999999999997</v>
      </c>
      <c r="K10" s="631">
        <f>'Rates in Detail'!H14</f>
        <v>0.10141</v>
      </c>
      <c r="L10" s="631">
        <f>'Rates in Detail'!F14</f>
        <v>0.26333000000000001</v>
      </c>
      <c r="M10" s="631">
        <f>'Rates in Detail'!I14</f>
        <v>9.3060000000000004E-2</v>
      </c>
      <c r="N10" s="135">
        <f t="shared" ref="N10:N73" si="1">SUM(J10:M10)</f>
        <v>1.18929</v>
      </c>
      <c r="O10" s="973">
        <f>'Rates in Detail'!L14</f>
        <v>0.10997</v>
      </c>
      <c r="P10" s="631">
        <f>'Rates in Detail'!P14</f>
        <v>-7.5599999999999999E-3</v>
      </c>
      <c r="Q10" s="631">
        <f>'Rates in Detail'!Q14</f>
        <v>0</v>
      </c>
      <c r="R10" s="254">
        <f t="shared" ref="R10:R73" si="2">SUM(O10:Q10)</f>
        <v>0.10241</v>
      </c>
      <c r="S10" s="973">
        <f>'Rates in Detail'!S14</f>
        <v>-2.5940000000000001E-2</v>
      </c>
      <c r="T10" s="631">
        <f>'Rates in Detail'!T14</f>
        <v>-1.4330000000000001E-2</v>
      </c>
      <c r="U10" s="631">
        <f>'Rates in Detail'!U14</f>
        <v>0</v>
      </c>
      <c r="V10" s="260">
        <f t="shared" ref="V10:V40" si="3">SUM(R10:U10)</f>
        <v>6.2139999999999994E-2</v>
      </c>
      <c r="W10" s="620"/>
      <c r="X10" s="114"/>
      <c r="Y10" s="114"/>
      <c r="Z10" s="114"/>
      <c r="AA10" s="114"/>
      <c r="AB10" s="114"/>
      <c r="AC10" s="348">
        <f t="shared" ref="AC10:AC73" si="4">SUM(X10:AB10)</f>
        <v>0</v>
      </c>
      <c r="AE10" s="114">
        <f t="shared" ref="AE10:AE73" si="5">X10+O10+P10+Q10+J10</f>
        <v>0.83389999999999997</v>
      </c>
      <c r="AF10" s="114"/>
      <c r="AG10" s="114">
        <f t="shared" ref="AG10:AG40" si="6">Z10+K10</f>
        <v>0.10141</v>
      </c>
      <c r="AH10" s="114">
        <f t="shared" si="0"/>
        <v>0.26333000000000001</v>
      </c>
      <c r="AI10" s="114">
        <f t="shared" ref="AI10:AI73" si="7">AB10+S10+T10+U10+M10</f>
        <v>5.2790000000000004E-2</v>
      </c>
      <c r="AJ10" s="343">
        <f t="shared" ref="AJ10:AJ73" si="8">SUM(AE10:AI10)</f>
        <v>1.25143</v>
      </c>
      <c r="AK10" s="131"/>
      <c r="AL10" s="114">
        <f>'Rates in Detail'!Y14</f>
        <v>5.1569999999999998E-2</v>
      </c>
      <c r="AM10" s="114">
        <f>'Rates in Detail'!Z14</f>
        <v>-7.2999999999999996E-4</v>
      </c>
      <c r="AN10" s="986">
        <f t="shared" ref="AN10:AN73" si="9">SUM(AL10:AM10)</f>
        <v>5.0839999999999996E-2</v>
      </c>
      <c r="AO10" s="131"/>
      <c r="AP10" s="114"/>
      <c r="AQ10" s="114"/>
      <c r="AR10" s="114"/>
      <c r="AS10" s="114"/>
      <c r="AT10" s="114"/>
      <c r="AU10" s="348">
        <f t="shared" ref="AU10:AU73" si="10">SUM(AP10:AT10)</f>
        <v>0</v>
      </c>
      <c r="AW10" s="114">
        <f t="shared" ref="AW10:AW73" si="11">AE10+AL10+AP10</f>
        <v>0.88546999999999998</v>
      </c>
      <c r="AX10" s="114">
        <f t="shared" ref="AX10:AX73" si="12">AF10+AQ10</f>
        <v>0</v>
      </c>
      <c r="AY10" s="114">
        <f t="shared" ref="AY10:AY73" si="13">AG10+AR10</f>
        <v>0.10141</v>
      </c>
      <c r="AZ10" s="114">
        <f t="shared" ref="AZ10:AZ73" si="14">AH10+AS10</f>
        <v>0.26333000000000001</v>
      </c>
      <c r="BA10" s="114">
        <f t="shared" ref="BA10:BA73" si="15">M10+AM10+AT10</f>
        <v>9.2330000000000009E-2</v>
      </c>
      <c r="BB10" s="343">
        <f t="shared" ref="BB10:BB73" si="16">SUM(AW10:BA10)</f>
        <v>1.3425400000000001</v>
      </c>
    </row>
    <row r="11" spans="2:54" x14ac:dyDescent="0.2">
      <c r="B11" s="110">
        <f t="shared" ref="B11:B74" si="17">B10+1</f>
        <v>3</v>
      </c>
      <c r="C11" s="904" t="str">
        <f>'WA Volumes &amp; Revenues'!B17</f>
        <v>2R</v>
      </c>
      <c r="D11" s="904" t="s">
        <v>283</v>
      </c>
      <c r="E11" s="111" t="s">
        <v>283</v>
      </c>
      <c r="F11" s="113">
        <f>'WA Volumes &amp; Revenues'!E17</f>
        <v>54953515.785084128</v>
      </c>
      <c r="G11" s="113">
        <f>'WA Volumes &amp; Revenues'!H17</f>
        <v>81119</v>
      </c>
      <c r="H11" s="907">
        <f>'WA Volumes &amp; Revenues'!O17</f>
        <v>8</v>
      </c>
      <c r="I11" s="908">
        <f>'WA Volumes &amp; Revenues'!N17</f>
        <v>8</v>
      </c>
      <c r="J11" s="627">
        <f>'Rates in Detail'!E15</f>
        <v>0.45815999999999979</v>
      </c>
      <c r="K11" s="631">
        <f>'Rates in Detail'!H15</f>
        <v>0.10141</v>
      </c>
      <c r="L11" s="631">
        <f>'Rates in Detail'!F15</f>
        <v>0.26333000000000001</v>
      </c>
      <c r="M11" s="631">
        <f>'Rates in Detail'!I15</f>
        <v>6.6579999999999986E-2</v>
      </c>
      <c r="N11" s="135">
        <f t="shared" si="1"/>
        <v>0.88947999999999972</v>
      </c>
      <c r="O11" s="973">
        <f>'Rates in Detail'!L15</f>
        <v>8.3699999999999997E-2</v>
      </c>
      <c r="P11" s="631">
        <f>'Rates in Detail'!P15</f>
        <v>-5.7600000000000004E-3</v>
      </c>
      <c r="Q11" s="631">
        <f>'Rates in Detail'!Q15</f>
        <v>0</v>
      </c>
      <c r="R11" s="254">
        <f t="shared" si="2"/>
        <v>7.7939999999999995E-2</v>
      </c>
      <c r="S11" s="973">
        <f>'Rates in Detail'!S15</f>
        <v>-1.9740000000000001E-2</v>
      </c>
      <c r="T11" s="631">
        <f>'Rates in Detail'!T15</f>
        <v>-1.091E-2</v>
      </c>
      <c r="U11" s="631">
        <f>'Rates in Detail'!U15</f>
        <v>0</v>
      </c>
      <c r="V11" s="260">
        <f t="shared" si="3"/>
        <v>4.7289999999999999E-2</v>
      </c>
      <c r="W11" s="620"/>
      <c r="X11" s="114"/>
      <c r="Y11" s="114"/>
      <c r="Z11" s="114"/>
      <c r="AA11" s="114"/>
      <c r="AB11" s="114"/>
      <c r="AC11" s="348">
        <f t="shared" si="4"/>
        <v>0</v>
      </c>
      <c r="AE11" s="114">
        <f t="shared" si="5"/>
        <v>0.5360999999999998</v>
      </c>
      <c r="AF11" s="114"/>
      <c r="AG11" s="114">
        <f t="shared" si="6"/>
        <v>0.10141</v>
      </c>
      <c r="AH11" s="114">
        <f t="shared" si="0"/>
        <v>0.26333000000000001</v>
      </c>
      <c r="AI11" s="114">
        <f t="shared" si="7"/>
        <v>3.592999999999999E-2</v>
      </c>
      <c r="AJ11" s="343">
        <f t="shared" si="8"/>
        <v>0.93676999999999988</v>
      </c>
      <c r="AK11" s="131"/>
      <c r="AL11" s="114">
        <f>'Rates in Detail'!Y15</f>
        <v>3.925E-2</v>
      </c>
      <c r="AM11" s="114">
        <f>'Rates in Detail'!Z15</f>
        <v>-5.5000000000000003E-4</v>
      </c>
      <c r="AN11" s="986">
        <f t="shared" si="9"/>
        <v>3.8699999999999998E-2</v>
      </c>
      <c r="AO11" s="131"/>
      <c r="AP11" s="114"/>
      <c r="AQ11" s="114"/>
      <c r="AR11" s="114"/>
      <c r="AS11" s="114"/>
      <c r="AT11" s="114"/>
      <c r="AU11" s="348">
        <f t="shared" si="10"/>
        <v>0</v>
      </c>
      <c r="AW11" s="114">
        <f t="shared" si="11"/>
        <v>0.57534999999999981</v>
      </c>
      <c r="AX11" s="114">
        <f t="shared" si="12"/>
        <v>0</v>
      </c>
      <c r="AY11" s="114">
        <f t="shared" si="13"/>
        <v>0.10141</v>
      </c>
      <c r="AZ11" s="114">
        <f t="shared" si="14"/>
        <v>0.26333000000000001</v>
      </c>
      <c r="BA11" s="114">
        <f t="shared" si="15"/>
        <v>6.6029999999999991E-2</v>
      </c>
      <c r="BB11" s="343">
        <f t="shared" si="16"/>
        <v>1.0061199999999999</v>
      </c>
    </row>
    <row r="12" spans="2:54" x14ac:dyDescent="0.2">
      <c r="B12" s="110">
        <f t="shared" si="17"/>
        <v>4</v>
      </c>
      <c r="C12" s="904" t="str">
        <f>'WA Volumes &amp; Revenues'!B18</f>
        <v>3 CFS</v>
      </c>
      <c r="D12" s="904" t="s">
        <v>283</v>
      </c>
      <c r="E12" s="111" t="s">
        <v>283</v>
      </c>
      <c r="F12" s="113">
        <f>'WA Volumes &amp; Revenues'!E18</f>
        <v>17867210.60654201</v>
      </c>
      <c r="G12" s="113">
        <f>'WA Volumes &amp; Revenues'!H18</f>
        <v>6318</v>
      </c>
      <c r="H12" s="907">
        <f>'WA Volumes &amp; Revenues'!O18</f>
        <v>22</v>
      </c>
      <c r="I12" s="909">
        <f>'WA Volumes &amp; Revenues'!N18</f>
        <v>22</v>
      </c>
      <c r="J12" s="627">
        <f>'Rates in Detail'!E16</f>
        <v>0.44368000000000019</v>
      </c>
      <c r="K12" s="631">
        <f>'Rates in Detail'!H16</f>
        <v>0.10141</v>
      </c>
      <c r="L12" s="631">
        <f>'Rates in Detail'!F16</f>
        <v>0.26333000000000001</v>
      </c>
      <c r="M12" s="631">
        <f>'Rates in Detail'!I16</f>
        <v>5.8480000000000004E-2</v>
      </c>
      <c r="N12" s="136">
        <f t="shared" si="1"/>
        <v>0.86690000000000011</v>
      </c>
      <c r="O12" s="627">
        <f>'Rates in Detail'!L16</f>
        <v>7.5149999999999995E-2</v>
      </c>
      <c r="P12" s="631">
        <f>'Rates in Detail'!P16</f>
        <v>-5.1700000000000001E-3</v>
      </c>
      <c r="Q12" s="631">
        <f>'Rates in Detail'!Q16</f>
        <v>0</v>
      </c>
      <c r="R12" s="254">
        <f t="shared" si="2"/>
        <v>6.9980000000000001E-2</v>
      </c>
      <c r="S12" s="627">
        <f>'Rates in Detail'!S16</f>
        <v>-1.7729999999999999E-2</v>
      </c>
      <c r="T12" s="631">
        <f>'Rates in Detail'!T16</f>
        <v>-9.7999999999999997E-3</v>
      </c>
      <c r="U12" s="631">
        <f>'Rates in Detail'!U16</f>
        <v>0</v>
      </c>
      <c r="V12" s="260">
        <f t="shared" si="3"/>
        <v>4.2450000000000002E-2</v>
      </c>
      <c r="W12" s="620"/>
      <c r="X12" s="114"/>
      <c r="Y12" s="114"/>
      <c r="Z12" s="114"/>
      <c r="AA12" s="114"/>
      <c r="AB12" s="114"/>
      <c r="AC12" s="348">
        <f t="shared" si="4"/>
        <v>0</v>
      </c>
      <c r="AE12" s="114">
        <f t="shared" si="5"/>
        <v>0.51366000000000023</v>
      </c>
      <c r="AF12" s="114"/>
      <c r="AG12" s="114">
        <f t="shared" si="6"/>
        <v>0.10141</v>
      </c>
      <c r="AH12" s="114">
        <f t="shared" si="0"/>
        <v>0.26333000000000001</v>
      </c>
      <c r="AI12" s="114">
        <f t="shared" si="7"/>
        <v>3.0950000000000005E-2</v>
      </c>
      <c r="AJ12" s="343">
        <f t="shared" si="8"/>
        <v>0.90935000000000032</v>
      </c>
      <c r="AK12" s="131"/>
      <c r="AL12" s="114">
        <f>'Rates in Detail'!Y16</f>
        <v>3.524E-2</v>
      </c>
      <c r="AM12" s="114">
        <f>'Rates in Detail'!Z16</f>
        <v>-5.0000000000000001E-4</v>
      </c>
      <c r="AN12" s="986">
        <f t="shared" si="9"/>
        <v>3.474E-2</v>
      </c>
      <c r="AO12" s="131"/>
      <c r="AP12" s="114"/>
      <c r="AQ12" s="114"/>
      <c r="AR12" s="114"/>
      <c r="AS12" s="114"/>
      <c r="AT12" s="114"/>
      <c r="AU12" s="348">
        <f t="shared" si="10"/>
        <v>0</v>
      </c>
      <c r="AW12" s="114">
        <f t="shared" si="11"/>
        <v>0.54890000000000028</v>
      </c>
      <c r="AX12" s="114">
        <f t="shared" si="12"/>
        <v>0</v>
      </c>
      <c r="AY12" s="114">
        <f t="shared" si="13"/>
        <v>0.10141</v>
      </c>
      <c r="AZ12" s="114">
        <f t="shared" si="14"/>
        <v>0.26333000000000001</v>
      </c>
      <c r="BA12" s="114">
        <f t="shared" si="15"/>
        <v>5.7980000000000004E-2</v>
      </c>
      <c r="BB12" s="343">
        <f t="shared" si="16"/>
        <v>0.97162000000000026</v>
      </c>
    </row>
    <row r="13" spans="2:54" x14ac:dyDescent="0.2">
      <c r="B13" s="110">
        <f t="shared" si="17"/>
        <v>5</v>
      </c>
      <c r="C13" s="904" t="str">
        <f>'WA Volumes &amp; Revenues'!B19</f>
        <v>3 IFS</v>
      </c>
      <c r="D13" s="904" t="s">
        <v>283</v>
      </c>
      <c r="E13" s="111" t="s">
        <v>283</v>
      </c>
      <c r="F13" s="113">
        <f>'WA Volumes &amp; Revenues'!E19</f>
        <v>283651.99999999994</v>
      </c>
      <c r="G13" s="113">
        <f>'WA Volumes &amp; Revenues'!H19</f>
        <v>24.25</v>
      </c>
      <c r="H13" s="907">
        <f>'WA Volumes &amp; Revenues'!O19</f>
        <v>22</v>
      </c>
      <c r="I13" s="909">
        <f>'WA Volumes &amp; Revenues'!N19</f>
        <v>22</v>
      </c>
      <c r="J13" s="627">
        <f>'Rates in Detail'!E17</f>
        <v>0.46249000000000001</v>
      </c>
      <c r="K13" s="631">
        <f>'Rates in Detail'!H17</f>
        <v>0.10141</v>
      </c>
      <c r="L13" s="631">
        <f>'Rates in Detail'!F17</f>
        <v>0.26333000000000001</v>
      </c>
      <c r="M13" s="631">
        <f>'Rates in Detail'!I17</f>
        <v>-8.9999999999999802E-5</v>
      </c>
      <c r="N13" s="136">
        <f t="shared" si="1"/>
        <v>0.8271400000000001</v>
      </c>
      <c r="O13" s="627">
        <f>'Rates in Detail'!L17</f>
        <v>6.8080000000000002E-2</v>
      </c>
      <c r="P13" s="631">
        <f>'Rates in Detail'!P17</f>
        <v>-4.6899999999999997E-3</v>
      </c>
      <c r="Q13" s="631">
        <f>'Rates in Detail'!Q17</f>
        <v>0</v>
      </c>
      <c r="R13" s="254">
        <f t="shared" si="2"/>
        <v>6.3390000000000002E-2</v>
      </c>
      <c r="S13" s="627">
        <f>'Rates in Detail'!S17</f>
        <v>0</v>
      </c>
      <c r="T13" s="631">
        <f>'Rates in Detail'!T17</f>
        <v>-8.8699999999999994E-3</v>
      </c>
      <c r="U13" s="631">
        <f>'Rates in Detail'!U17</f>
        <v>0</v>
      </c>
      <c r="V13" s="260">
        <f t="shared" si="3"/>
        <v>5.4519999999999999E-2</v>
      </c>
      <c r="W13" s="620"/>
      <c r="X13" s="114"/>
      <c r="Y13" s="114"/>
      <c r="Z13" s="114"/>
      <c r="AA13" s="114"/>
      <c r="AB13" s="114"/>
      <c r="AC13" s="348">
        <f t="shared" si="4"/>
        <v>0</v>
      </c>
      <c r="AE13" s="114">
        <f t="shared" si="5"/>
        <v>0.52588000000000001</v>
      </c>
      <c r="AF13" s="114"/>
      <c r="AG13" s="114">
        <f t="shared" si="6"/>
        <v>0.10141</v>
      </c>
      <c r="AH13" s="114">
        <f t="shared" si="0"/>
        <v>0.26333000000000001</v>
      </c>
      <c r="AI13" s="114">
        <f t="shared" si="7"/>
        <v>-8.9599999999999992E-3</v>
      </c>
      <c r="AJ13" s="343">
        <f t="shared" si="8"/>
        <v>0.88166</v>
      </c>
      <c r="AK13" s="131"/>
      <c r="AL13" s="114">
        <f>'Rates in Detail'!Y17</f>
        <v>3.1919999999999997E-2</v>
      </c>
      <c r="AM13" s="114">
        <f>'Rates in Detail'!Z17</f>
        <v>-4.4999999999999999E-4</v>
      </c>
      <c r="AN13" s="986">
        <f t="shared" si="9"/>
        <v>3.1469999999999998E-2</v>
      </c>
      <c r="AO13" s="131"/>
      <c r="AP13" s="114"/>
      <c r="AQ13" s="114"/>
      <c r="AR13" s="114"/>
      <c r="AS13" s="114"/>
      <c r="AT13" s="114"/>
      <c r="AU13" s="348">
        <f t="shared" si="10"/>
        <v>0</v>
      </c>
      <c r="AW13" s="114">
        <f t="shared" si="11"/>
        <v>0.55779999999999996</v>
      </c>
      <c r="AX13" s="114">
        <f t="shared" si="12"/>
        <v>0</v>
      </c>
      <c r="AY13" s="114">
        <f t="shared" si="13"/>
        <v>0.10141</v>
      </c>
      <c r="AZ13" s="114">
        <f t="shared" si="14"/>
        <v>0.26333000000000001</v>
      </c>
      <c r="BA13" s="114">
        <f t="shared" si="15"/>
        <v>-5.3999999999999979E-4</v>
      </c>
      <c r="BB13" s="343">
        <f t="shared" si="16"/>
        <v>0.92199999999999993</v>
      </c>
    </row>
    <row r="14" spans="2:54" x14ac:dyDescent="0.2">
      <c r="B14" s="110">
        <f t="shared" si="17"/>
        <v>6</v>
      </c>
      <c r="C14" s="905" t="str">
        <f>'WA Volumes &amp; Revenues'!B20</f>
        <v>27R</v>
      </c>
      <c r="D14" s="904" t="s">
        <v>283</v>
      </c>
      <c r="E14" s="111" t="s">
        <v>283</v>
      </c>
      <c r="F14" s="113">
        <f>'WA Volumes &amp; Revenues'!E20</f>
        <v>461371.76933137607</v>
      </c>
      <c r="G14" s="113">
        <f>'WA Volumes &amp; Revenues'!H20</f>
        <v>776</v>
      </c>
      <c r="H14" s="910">
        <f>'WA Volumes &amp; Revenues'!O20</f>
        <v>9</v>
      </c>
      <c r="I14" s="911">
        <f>'WA Volumes &amp; Revenues'!N20</f>
        <v>9</v>
      </c>
      <c r="J14" s="627">
        <f>'Rates in Detail'!E18</f>
        <v>0.24087999999999973</v>
      </c>
      <c r="K14" s="631">
        <f>'Rates in Detail'!H18</f>
        <v>0.10141</v>
      </c>
      <c r="L14" s="631">
        <f>'Rates in Detail'!F18</f>
        <v>0.26333000000000001</v>
      </c>
      <c r="M14" s="631">
        <f>'Rates in Detail'!I18</f>
        <v>3.8710000000000001E-2</v>
      </c>
      <c r="N14" s="136">
        <f t="shared" si="1"/>
        <v>0.64432999999999985</v>
      </c>
      <c r="O14" s="627">
        <f>'Rates in Detail'!L18</f>
        <v>5.9569999999999998E-2</v>
      </c>
      <c r="P14" s="631">
        <f>'Rates in Detail'!P18</f>
        <v>-4.1000000000000003E-3</v>
      </c>
      <c r="Q14" s="631">
        <f>'Rates in Detail'!Q18</f>
        <v>0</v>
      </c>
      <c r="R14" s="254">
        <f t="shared" si="2"/>
        <v>5.5469999999999998E-2</v>
      </c>
      <c r="S14" s="627">
        <f>'Rates in Detail'!S18</f>
        <v>-1.405E-2</v>
      </c>
      <c r="T14" s="631">
        <f>'Rates in Detail'!T18</f>
        <v>-7.77E-3</v>
      </c>
      <c r="U14" s="631">
        <f>'Rates in Detail'!U18</f>
        <v>0</v>
      </c>
      <c r="V14" s="260">
        <f t="shared" si="3"/>
        <v>3.3649999999999999E-2</v>
      </c>
      <c r="W14" s="620"/>
      <c r="X14" s="114"/>
      <c r="Y14" s="114"/>
      <c r="Z14" s="114"/>
      <c r="AA14" s="114"/>
      <c r="AB14" s="114"/>
      <c r="AC14" s="348">
        <f t="shared" si="4"/>
        <v>0</v>
      </c>
      <c r="AE14" s="114">
        <f t="shared" si="5"/>
        <v>0.29634999999999972</v>
      </c>
      <c r="AF14" s="114"/>
      <c r="AG14" s="114">
        <f t="shared" si="6"/>
        <v>0.10141</v>
      </c>
      <c r="AH14" s="114">
        <f t="shared" si="0"/>
        <v>0.26333000000000001</v>
      </c>
      <c r="AI14" s="114">
        <f t="shared" si="7"/>
        <v>1.6890000000000002E-2</v>
      </c>
      <c r="AJ14" s="343">
        <f t="shared" si="8"/>
        <v>0.67797999999999969</v>
      </c>
      <c r="AK14" s="131"/>
      <c r="AL14" s="114">
        <f>'Rates in Detail'!Y18</f>
        <v>2.793E-2</v>
      </c>
      <c r="AM14" s="114">
        <f>'Rates in Detail'!Z18</f>
        <v>-3.8999999999999999E-4</v>
      </c>
      <c r="AN14" s="986">
        <f t="shared" si="9"/>
        <v>2.7539999999999999E-2</v>
      </c>
      <c r="AO14" s="131"/>
      <c r="AP14" s="114"/>
      <c r="AQ14" s="114"/>
      <c r="AR14" s="114"/>
      <c r="AS14" s="114"/>
      <c r="AT14" s="114"/>
      <c r="AU14" s="348">
        <f t="shared" si="10"/>
        <v>0</v>
      </c>
      <c r="AW14" s="114">
        <f t="shared" si="11"/>
        <v>0.32427999999999974</v>
      </c>
      <c r="AX14" s="114">
        <f t="shared" si="12"/>
        <v>0</v>
      </c>
      <c r="AY14" s="114">
        <f t="shared" si="13"/>
        <v>0.10141</v>
      </c>
      <c r="AZ14" s="114">
        <f t="shared" si="14"/>
        <v>0.26333000000000001</v>
      </c>
      <c r="BA14" s="114">
        <f t="shared" si="15"/>
        <v>3.832E-2</v>
      </c>
      <c r="BB14" s="343">
        <f t="shared" si="16"/>
        <v>0.72733999999999976</v>
      </c>
    </row>
    <row r="15" spans="2:54" x14ac:dyDescent="0.2">
      <c r="B15" s="110">
        <f t="shared" si="17"/>
        <v>7</v>
      </c>
      <c r="C15" s="906" t="str">
        <f>'WA Volumes &amp; Revenues'!B21</f>
        <v>41C Firm Sales</v>
      </c>
      <c r="D15" s="906" t="s">
        <v>4</v>
      </c>
      <c r="E15" s="115">
        <v>2000</v>
      </c>
      <c r="F15" s="116">
        <f>'WA Volumes &amp; Revenues'!E21</f>
        <v>1777065.1510316674</v>
      </c>
      <c r="G15" s="116">
        <f>'WA Volumes &amp; Revenues'!H21</f>
        <v>91</v>
      </c>
      <c r="H15" s="912">
        <f>'WA Volumes &amp; Revenues'!O21</f>
        <v>250</v>
      </c>
      <c r="I15" s="913">
        <f>'WA Volumes &amp; Revenues'!N21</f>
        <v>250</v>
      </c>
      <c r="J15" s="628">
        <f>'Rates in Detail'!E19</f>
        <v>0.34474000000000016</v>
      </c>
      <c r="K15" s="630">
        <f>'Rates in Detail'!H19</f>
        <v>0</v>
      </c>
      <c r="L15" s="630">
        <f>'Rates in Detail'!F19</f>
        <v>0.26333000000000001</v>
      </c>
      <c r="M15" s="630">
        <f>'Rates in Detail'!I19</f>
        <v>4.3429999999999996E-2</v>
      </c>
      <c r="N15" s="137">
        <f t="shared" si="1"/>
        <v>0.65150000000000008</v>
      </c>
      <c r="O15" s="628">
        <f>'Rates in Detail'!L19</f>
        <v>5.9679999999999997E-2</v>
      </c>
      <c r="P15" s="630">
        <f>'Rates in Detail'!P19</f>
        <v>-4.1099999999999999E-3</v>
      </c>
      <c r="Q15" s="630">
        <f>'Rates in Detail'!Q19</f>
        <v>0</v>
      </c>
      <c r="R15" s="255">
        <f t="shared" si="2"/>
        <v>5.5569999999999994E-2</v>
      </c>
      <c r="S15" s="628">
        <f>'Rates in Detail'!S19</f>
        <v>-1.4080000000000001E-2</v>
      </c>
      <c r="T15" s="630">
        <f>'Rates in Detail'!T19</f>
        <v>-7.7799999999999996E-3</v>
      </c>
      <c r="U15" s="630">
        <f>'Rates in Detail'!U19</f>
        <v>0</v>
      </c>
      <c r="V15" s="261">
        <f t="shared" si="3"/>
        <v>3.370999999999999E-2</v>
      </c>
      <c r="W15" s="620"/>
      <c r="X15" s="117"/>
      <c r="Y15" s="117"/>
      <c r="Z15" s="117"/>
      <c r="AA15" s="117"/>
      <c r="AB15" s="117"/>
      <c r="AC15" s="349">
        <f t="shared" si="4"/>
        <v>0</v>
      </c>
      <c r="AE15" s="114">
        <f t="shared" si="5"/>
        <v>0.40031000000000017</v>
      </c>
      <c r="AF15" s="114"/>
      <c r="AG15" s="114">
        <f t="shared" si="6"/>
        <v>0</v>
      </c>
      <c r="AH15" s="114">
        <f t="shared" si="0"/>
        <v>0.26333000000000001</v>
      </c>
      <c r="AI15" s="114">
        <f t="shared" si="7"/>
        <v>2.1569999999999995E-2</v>
      </c>
      <c r="AJ15" s="343">
        <f t="shared" si="8"/>
        <v>0.68521000000000021</v>
      </c>
      <c r="AK15" s="131"/>
      <c r="AL15" s="117">
        <f>'Rates in Detail'!Y19</f>
        <v>2.7990000000000001E-2</v>
      </c>
      <c r="AM15" s="117">
        <f>'Rates in Detail'!Z19</f>
        <v>-4.0000000000000002E-4</v>
      </c>
      <c r="AN15" s="987">
        <f t="shared" si="9"/>
        <v>2.759E-2</v>
      </c>
      <c r="AO15" s="131"/>
      <c r="AP15" s="117"/>
      <c r="AQ15" s="117"/>
      <c r="AR15" s="117"/>
      <c r="AS15" s="117"/>
      <c r="AT15" s="117"/>
      <c r="AU15" s="349">
        <f t="shared" si="10"/>
        <v>0</v>
      </c>
      <c r="AW15" s="117">
        <f t="shared" si="11"/>
        <v>0.42830000000000018</v>
      </c>
      <c r="AX15" s="117">
        <f t="shared" si="12"/>
        <v>0</v>
      </c>
      <c r="AY15" s="117">
        <f t="shared" si="13"/>
        <v>0</v>
      </c>
      <c r="AZ15" s="117">
        <f t="shared" si="14"/>
        <v>0.26333000000000001</v>
      </c>
      <c r="BA15" s="117">
        <f t="shared" si="15"/>
        <v>4.3029999999999999E-2</v>
      </c>
      <c r="BB15" s="344">
        <f t="shared" si="16"/>
        <v>0.7346600000000002</v>
      </c>
    </row>
    <row r="16" spans="2:54" x14ac:dyDescent="0.2">
      <c r="B16" s="110">
        <f t="shared" si="17"/>
        <v>8</v>
      </c>
      <c r="C16" s="904"/>
      <c r="D16" s="904" t="s">
        <v>5</v>
      </c>
      <c r="E16" s="112" t="s">
        <v>74</v>
      </c>
      <c r="F16" s="113">
        <f>'WA Volumes &amp; Revenues'!E22</f>
        <v>1974656.4658023661</v>
      </c>
      <c r="G16" s="113"/>
      <c r="H16" s="907"/>
      <c r="I16" s="909"/>
      <c r="J16" s="627">
        <f>'Rates in Detail'!E20</f>
        <v>0.30376999999999998</v>
      </c>
      <c r="K16" s="631">
        <f>'Rates in Detail'!H20</f>
        <v>0</v>
      </c>
      <c r="L16" s="631">
        <f>'Rates in Detail'!F20</f>
        <v>0.26333000000000001</v>
      </c>
      <c r="M16" s="631">
        <f>'Rates in Detail'!I20</f>
        <v>3.7170000000000002E-2</v>
      </c>
      <c r="N16" s="135">
        <f t="shared" si="1"/>
        <v>0.60426999999999997</v>
      </c>
      <c r="O16" s="627">
        <f>'Rates in Detail'!L20</f>
        <v>5.2589999999999998E-2</v>
      </c>
      <c r="P16" s="631">
        <f>'Rates in Detail'!P20</f>
        <v>-3.62E-3</v>
      </c>
      <c r="Q16" s="631">
        <f>'Rates in Detail'!Q20</f>
        <v>0</v>
      </c>
      <c r="R16" s="254">
        <f t="shared" si="2"/>
        <v>4.897E-2</v>
      </c>
      <c r="S16" s="627">
        <f>'Rates in Detail'!S20</f>
        <v>-1.24E-2</v>
      </c>
      <c r="T16" s="631">
        <f>'Rates in Detail'!T20</f>
        <v>-6.8599999999999998E-3</v>
      </c>
      <c r="U16" s="631">
        <f>'Rates in Detail'!U20</f>
        <v>0</v>
      </c>
      <c r="V16" s="260">
        <f t="shared" si="3"/>
        <v>2.971E-2</v>
      </c>
      <c r="W16" s="620"/>
      <c r="X16" s="114"/>
      <c r="Y16" s="114"/>
      <c r="Z16" s="114"/>
      <c r="AA16" s="114"/>
      <c r="AB16" s="114"/>
      <c r="AC16" s="348">
        <f t="shared" si="4"/>
        <v>0</v>
      </c>
      <c r="AE16" s="114">
        <f t="shared" si="5"/>
        <v>0.35274</v>
      </c>
      <c r="AF16" s="114"/>
      <c r="AG16" s="114">
        <f t="shared" si="6"/>
        <v>0</v>
      </c>
      <c r="AH16" s="114">
        <f t="shared" si="0"/>
        <v>0.26333000000000001</v>
      </c>
      <c r="AI16" s="114">
        <f t="shared" si="7"/>
        <v>1.7910000000000002E-2</v>
      </c>
      <c r="AJ16" s="343">
        <f t="shared" si="8"/>
        <v>0.63397999999999999</v>
      </c>
      <c r="AK16" s="131"/>
      <c r="AL16" s="114">
        <f>'Rates in Detail'!Y20</f>
        <v>2.4660000000000001E-2</v>
      </c>
      <c r="AM16" s="114">
        <f>'Rates in Detail'!Z20</f>
        <v>-3.5E-4</v>
      </c>
      <c r="AN16" s="986">
        <f t="shared" si="9"/>
        <v>2.4310000000000002E-2</v>
      </c>
      <c r="AO16" s="131"/>
      <c r="AP16" s="114"/>
      <c r="AQ16" s="114"/>
      <c r="AR16" s="114"/>
      <c r="AS16" s="114"/>
      <c r="AT16" s="114"/>
      <c r="AU16" s="348">
        <f t="shared" si="10"/>
        <v>0</v>
      </c>
      <c r="AW16" s="114">
        <f t="shared" si="11"/>
        <v>0.37740000000000001</v>
      </c>
      <c r="AX16" s="114">
        <f t="shared" si="12"/>
        <v>0</v>
      </c>
      <c r="AY16" s="114">
        <f t="shared" si="13"/>
        <v>0</v>
      </c>
      <c r="AZ16" s="114">
        <f t="shared" si="14"/>
        <v>0.26333000000000001</v>
      </c>
      <c r="BA16" s="114">
        <f t="shared" si="15"/>
        <v>3.6819999999999999E-2</v>
      </c>
      <c r="BB16" s="343">
        <f t="shared" si="16"/>
        <v>0.67754999999999999</v>
      </c>
    </row>
    <row r="17" spans="2:54" x14ac:dyDescent="0.2">
      <c r="B17" s="110">
        <f t="shared" si="17"/>
        <v>9</v>
      </c>
      <c r="C17" s="906" t="str">
        <f>'WA Volumes &amp; Revenues'!B23</f>
        <v>41I Firm Sales</v>
      </c>
      <c r="D17" s="906" t="s">
        <v>4</v>
      </c>
      <c r="E17" s="115">
        <v>2000</v>
      </c>
      <c r="F17" s="116">
        <f>'WA Volumes &amp; Revenues'!E23</f>
        <v>392890.20000000007</v>
      </c>
      <c r="G17" s="116">
        <f>'WA Volumes &amp; Revenues'!H23</f>
        <v>17.833333333333332</v>
      </c>
      <c r="H17" s="912">
        <f>'WA Volumes &amp; Revenues'!O23</f>
        <v>250</v>
      </c>
      <c r="I17" s="913">
        <f>'WA Volumes &amp; Revenues'!N23</f>
        <v>250</v>
      </c>
      <c r="J17" s="628">
        <f>'Rates in Detail'!E21</f>
        <v>0.34416000000000024</v>
      </c>
      <c r="K17" s="630">
        <f>'Rates in Detail'!H21</f>
        <v>0</v>
      </c>
      <c r="L17" s="630">
        <f>'Rates in Detail'!F21</f>
        <v>0.26333000000000001</v>
      </c>
      <c r="M17" s="630">
        <f>'Rates in Detail'!I21</f>
        <v>-1.7200000000000002E-3</v>
      </c>
      <c r="N17" s="137">
        <f t="shared" si="1"/>
        <v>0.60577000000000025</v>
      </c>
      <c r="O17" s="628">
        <f>'Rates in Detail'!L21</f>
        <v>5.6809999999999999E-2</v>
      </c>
      <c r="P17" s="630">
        <f>'Rates in Detail'!P21</f>
        <v>-3.9100000000000003E-3</v>
      </c>
      <c r="Q17" s="630">
        <f>'Rates in Detail'!Q21</f>
        <v>0</v>
      </c>
      <c r="R17" s="255">
        <f t="shared" si="2"/>
        <v>5.2900000000000003E-2</v>
      </c>
      <c r="S17" s="628">
        <f>'Rates in Detail'!S21</f>
        <v>0</v>
      </c>
      <c r="T17" s="630">
        <f>'Rates in Detail'!T21</f>
        <v>-7.4000000000000003E-3</v>
      </c>
      <c r="U17" s="630">
        <f>'Rates in Detail'!U21</f>
        <v>0</v>
      </c>
      <c r="V17" s="261">
        <f t="shared" si="3"/>
        <v>4.5499999999999999E-2</v>
      </c>
      <c r="W17" s="620"/>
      <c r="X17" s="117"/>
      <c r="Y17" s="117"/>
      <c r="Z17" s="117"/>
      <c r="AA17" s="117"/>
      <c r="AB17" s="117"/>
      <c r="AC17" s="349">
        <f t="shared" si="4"/>
        <v>0</v>
      </c>
      <c r="AE17" s="114">
        <f t="shared" si="5"/>
        <v>0.39706000000000025</v>
      </c>
      <c r="AF17" s="114"/>
      <c r="AG17" s="114">
        <f t="shared" si="6"/>
        <v>0</v>
      </c>
      <c r="AH17" s="114">
        <f t="shared" si="0"/>
        <v>0.26333000000000001</v>
      </c>
      <c r="AI17" s="114">
        <f t="shared" si="7"/>
        <v>-9.1199999999999996E-3</v>
      </c>
      <c r="AJ17" s="343">
        <f t="shared" si="8"/>
        <v>0.65127000000000024</v>
      </c>
      <c r="AK17" s="131"/>
      <c r="AL17" s="117">
        <f>'Rates in Detail'!Y21</f>
        <v>2.664E-2</v>
      </c>
      <c r="AM17" s="117">
        <f>'Rates in Detail'!Z21</f>
        <v>-3.8000000000000002E-4</v>
      </c>
      <c r="AN17" s="987">
        <f t="shared" si="9"/>
        <v>2.6260000000000002E-2</v>
      </c>
      <c r="AO17" s="131"/>
      <c r="AP17" s="117"/>
      <c r="AQ17" s="117"/>
      <c r="AR17" s="117"/>
      <c r="AS17" s="117"/>
      <c r="AT17" s="117"/>
      <c r="AU17" s="349">
        <f t="shared" si="10"/>
        <v>0</v>
      </c>
      <c r="AW17" s="117">
        <f t="shared" si="11"/>
        <v>0.42370000000000024</v>
      </c>
      <c r="AX17" s="117">
        <f t="shared" si="12"/>
        <v>0</v>
      </c>
      <c r="AY17" s="117">
        <f t="shared" si="13"/>
        <v>0</v>
      </c>
      <c r="AZ17" s="117">
        <f t="shared" si="14"/>
        <v>0.26333000000000001</v>
      </c>
      <c r="BA17" s="117">
        <f t="shared" si="15"/>
        <v>-2.1000000000000003E-3</v>
      </c>
      <c r="BB17" s="344">
        <f t="shared" si="16"/>
        <v>0.68493000000000026</v>
      </c>
    </row>
    <row r="18" spans="2:54" x14ac:dyDescent="0.2">
      <c r="B18" s="110">
        <f t="shared" si="17"/>
        <v>10</v>
      </c>
      <c r="C18" s="904"/>
      <c r="D18" s="904" t="s">
        <v>5</v>
      </c>
      <c r="E18" s="112" t="s">
        <v>74</v>
      </c>
      <c r="F18" s="113">
        <f>'WA Volumes &amp; Revenues'!E24</f>
        <v>621650.00000000012</v>
      </c>
      <c r="G18" s="113"/>
      <c r="H18" s="907"/>
      <c r="I18" s="909"/>
      <c r="J18" s="627">
        <f>'Rates in Detail'!E22</f>
        <v>0.30325000000000002</v>
      </c>
      <c r="K18" s="631">
        <f>'Rates in Detail'!H22</f>
        <v>0</v>
      </c>
      <c r="L18" s="631">
        <f>'Rates in Detail'!F22</f>
        <v>0.26333000000000001</v>
      </c>
      <c r="M18" s="631">
        <f>'Rates in Detail'!I22</f>
        <v>-2.6199999999999999E-3</v>
      </c>
      <c r="N18" s="135">
        <f t="shared" si="1"/>
        <v>0.56396000000000013</v>
      </c>
      <c r="O18" s="627">
        <f>'Rates in Detail'!L22</f>
        <v>5.0049999999999997E-2</v>
      </c>
      <c r="P18" s="631">
        <f>'Rates in Detail'!P22</f>
        <v>-3.4399999999999999E-3</v>
      </c>
      <c r="Q18" s="631">
        <f>'Rates in Detail'!Q22</f>
        <v>0</v>
      </c>
      <c r="R18" s="254">
        <f t="shared" si="2"/>
        <v>4.6609999999999999E-2</v>
      </c>
      <c r="S18" s="627">
        <f>'Rates in Detail'!S22</f>
        <v>0</v>
      </c>
      <c r="T18" s="631">
        <f>'Rates in Detail'!T22</f>
        <v>-6.5199999999999998E-3</v>
      </c>
      <c r="U18" s="631">
        <f>'Rates in Detail'!U22</f>
        <v>0</v>
      </c>
      <c r="V18" s="260">
        <f t="shared" si="3"/>
        <v>4.0090000000000001E-2</v>
      </c>
      <c r="W18" s="620"/>
      <c r="X18" s="114"/>
      <c r="Y18" s="114"/>
      <c r="Z18" s="114"/>
      <c r="AA18" s="114"/>
      <c r="AB18" s="114"/>
      <c r="AC18" s="348">
        <f t="shared" si="4"/>
        <v>0</v>
      </c>
      <c r="AE18" s="114">
        <f t="shared" si="5"/>
        <v>0.34986</v>
      </c>
      <c r="AF18" s="114"/>
      <c r="AG18" s="114">
        <f t="shared" si="6"/>
        <v>0</v>
      </c>
      <c r="AH18" s="114">
        <f t="shared" si="0"/>
        <v>0.26333000000000001</v>
      </c>
      <c r="AI18" s="114">
        <f t="shared" si="7"/>
        <v>-9.1399999999999988E-3</v>
      </c>
      <c r="AJ18" s="343">
        <f t="shared" si="8"/>
        <v>0.60404999999999998</v>
      </c>
      <c r="AK18" s="131"/>
      <c r="AL18" s="114">
        <f>'Rates in Detail'!Y22</f>
        <v>2.3470000000000001E-2</v>
      </c>
      <c r="AM18" s="114">
        <f>'Rates in Detail'!Z22</f>
        <v>-3.3E-4</v>
      </c>
      <c r="AN18" s="986">
        <f t="shared" si="9"/>
        <v>2.3140000000000001E-2</v>
      </c>
      <c r="AO18" s="131"/>
      <c r="AP18" s="114"/>
      <c r="AQ18" s="114"/>
      <c r="AR18" s="114"/>
      <c r="AS18" s="114"/>
      <c r="AT18" s="114"/>
      <c r="AU18" s="348">
        <f t="shared" si="10"/>
        <v>0</v>
      </c>
      <c r="AW18" s="114">
        <f t="shared" si="11"/>
        <v>0.37333</v>
      </c>
      <c r="AX18" s="114">
        <f t="shared" si="12"/>
        <v>0</v>
      </c>
      <c r="AY18" s="114">
        <f t="shared" si="13"/>
        <v>0</v>
      </c>
      <c r="AZ18" s="114">
        <f t="shared" si="14"/>
        <v>0.26333000000000001</v>
      </c>
      <c r="BA18" s="114">
        <f t="shared" si="15"/>
        <v>-2.9499999999999999E-3</v>
      </c>
      <c r="BB18" s="343">
        <f t="shared" si="16"/>
        <v>0.63371</v>
      </c>
    </row>
    <row r="19" spans="2:54" x14ac:dyDescent="0.2">
      <c r="B19" s="110">
        <f t="shared" si="17"/>
        <v>11</v>
      </c>
      <c r="C19" s="906" t="str">
        <f>'WA Volumes &amp; Revenues'!B25</f>
        <v>41C Interr Sales</v>
      </c>
      <c r="D19" s="906" t="s">
        <v>4</v>
      </c>
      <c r="E19" s="115">
        <v>2000</v>
      </c>
      <c r="F19" s="116">
        <f>'WA Volumes &amp; Revenues'!E25</f>
        <v>0</v>
      </c>
      <c r="G19" s="116">
        <f>'WA Volumes &amp; Revenues'!H25</f>
        <v>0</v>
      </c>
      <c r="H19" s="912">
        <f>'WA Volumes &amp; Revenues'!O25</f>
        <v>250</v>
      </c>
      <c r="I19" s="913">
        <f>'WA Volumes &amp; Revenues'!N25</f>
        <v>250</v>
      </c>
      <c r="J19" s="628">
        <f>'Rates in Detail'!E23</f>
        <v>0.34372999999999987</v>
      </c>
      <c r="K19" s="630">
        <f>'Rates in Detail'!H23</f>
        <v>0</v>
      </c>
      <c r="L19" s="630">
        <f>'Rates in Detail'!F23</f>
        <v>0.26333000000000001</v>
      </c>
      <c r="M19" s="630">
        <f>'Rates in Detail'!I23</f>
        <v>5.3189999999999994E-2</v>
      </c>
      <c r="N19" s="137">
        <f t="shared" si="1"/>
        <v>0.66024999999999989</v>
      </c>
      <c r="O19" s="628">
        <f>'Rates in Detail'!L23</f>
        <v>4.3560000000000001E-2</v>
      </c>
      <c r="P19" s="630">
        <f>'Rates in Detail'!P23</f>
        <v>-3.2200000000000002E-3</v>
      </c>
      <c r="Q19" s="630">
        <f>'Rates in Detail'!Q23</f>
        <v>0</v>
      </c>
      <c r="R19" s="255">
        <f t="shared" si="2"/>
        <v>4.0340000000000001E-2</v>
      </c>
      <c r="S19" s="628">
        <f>'Rates in Detail'!S23</f>
        <v>-1.404E-2</v>
      </c>
      <c r="T19" s="630">
        <f>'Rates in Detail'!T23</f>
        <v>-6.1000000000000004E-3</v>
      </c>
      <c r="U19" s="630">
        <f>'Rates in Detail'!U23</f>
        <v>0</v>
      </c>
      <c r="V19" s="261">
        <f t="shared" si="3"/>
        <v>2.0199999999999999E-2</v>
      </c>
      <c r="W19" s="620"/>
      <c r="X19" s="117"/>
      <c r="Y19" s="117"/>
      <c r="Z19" s="117"/>
      <c r="AA19" s="117"/>
      <c r="AB19" s="117"/>
      <c r="AC19" s="349">
        <f t="shared" si="4"/>
        <v>0</v>
      </c>
      <c r="AE19" s="114">
        <f t="shared" si="5"/>
        <v>0.38406999999999986</v>
      </c>
      <c r="AF19" s="114"/>
      <c r="AG19" s="114">
        <f t="shared" si="6"/>
        <v>0</v>
      </c>
      <c r="AH19" s="114">
        <f t="shared" si="0"/>
        <v>0.26333000000000001</v>
      </c>
      <c r="AI19" s="114">
        <f t="shared" si="7"/>
        <v>3.3049999999999996E-2</v>
      </c>
      <c r="AJ19" s="343">
        <f t="shared" si="8"/>
        <v>0.68044999999999989</v>
      </c>
      <c r="AK19" s="131"/>
      <c r="AL19" s="117">
        <f>'Rates in Detail'!Y23</f>
        <v>2.1749999999999999E-2</v>
      </c>
      <c r="AM19" s="117">
        <f>'Rates in Detail'!Z23</f>
        <v>-3.1E-4</v>
      </c>
      <c r="AN19" s="987">
        <f t="shared" si="9"/>
        <v>2.1439999999999997E-2</v>
      </c>
      <c r="AO19" s="131"/>
      <c r="AP19" s="117"/>
      <c r="AQ19" s="117"/>
      <c r="AR19" s="117"/>
      <c r="AS19" s="117"/>
      <c r="AT19" s="117"/>
      <c r="AU19" s="349">
        <f t="shared" si="10"/>
        <v>0</v>
      </c>
      <c r="AW19" s="117">
        <f t="shared" si="11"/>
        <v>0.40581999999999985</v>
      </c>
      <c r="AX19" s="117">
        <f t="shared" si="12"/>
        <v>0</v>
      </c>
      <c r="AY19" s="117">
        <f t="shared" si="13"/>
        <v>0</v>
      </c>
      <c r="AZ19" s="117">
        <f t="shared" si="14"/>
        <v>0.26333000000000001</v>
      </c>
      <c r="BA19" s="117">
        <f t="shared" si="15"/>
        <v>5.2879999999999996E-2</v>
      </c>
      <c r="BB19" s="344">
        <f t="shared" si="16"/>
        <v>0.72202999999999995</v>
      </c>
    </row>
    <row r="20" spans="2:54" x14ac:dyDescent="0.2">
      <c r="B20" s="110">
        <f t="shared" si="17"/>
        <v>12</v>
      </c>
      <c r="C20" s="904"/>
      <c r="D20" s="904" t="s">
        <v>5</v>
      </c>
      <c r="E20" s="112" t="s">
        <v>74</v>
      </c>
      <c r="F20" s="113">
        <f>'WA Volumes &amp; Revenues'!E26</f>
        <v>0</v>
      </c>
      <c r="G20" s="113"/>
      <c r="H20" s="907"/>
      <c r="I20" s="909"/>
      <c r="J20" s="627">
        <f>'Rates in Detail'!E24</f>
        <v>0.30284999999999984</v>
      </c>
      <c r="K20" s="631">
        <f>'Rates in Detail'!H24</f>
        <v>0</v>
      </c>
      <c r="L20" s="631">
        <f>'Rates in Detail'!F24</f>
        <v>0.26333000000000001</v>
      </c>
      <c r="M20" s="631">
        <f>'Rates in Detail'!I24</f>
        <v>4.6990000000000004E-2</v>
      </c>
      <c r="N20" s="135">
        <f t="shared" si="1"/>
        <v>0.61316999999999988</v>
      </c>
      <c r="O20" s="627">
        <f>'Rates in Detail'!L24</f>
        <v>3.8379999999999997E-2</v>
      </c>
      <c r="P20" s="631">
        <f>'Rates in Detail'!P24</f>
        <v>-2.8400000000000001E-3</v>
      </c>
      <c r="Q20" s="631">
        <f>'Rates in Detail'!Q24</f>
        <v>0</v>
      </c>
      <c r="R20" s="254">
        <f t="shared" si="2"/>
        <v>3.5539999999999995E-2</v>
      </c>
      <c r="S20" s="627">
        <f>'Rates in Detail'!S24</f>
        <v>-1.2370000000000001E-2</v>
      </c>
      <c r="T20" s="631">
        <f>'Rates in Detail'!T24</f>
        <v>-5.3699999999999998E-3</v>
      </c>
      <c r="U20" s="631">
        <f>'Rates in Detail'!U24</f>
        <v>0</v>
      </c>
      <c r="V20" s="260">
        <f t="shared" si="3"/>
        <v>1.7799999999999996E-2</v>
      </c>
      <c r="W20" s="620"/>
      <c r="X20" s="114"/>
      <c r="Y20" s="114"/>
      <c r="Z20" s="114"/>
      <c r="AA20" s="114"/>
      <c r="AB20" s="114"/>
      <c r="AC20" s="348">
        <f t="shared" si="4"/>
        <v>0</v>
      </c>
      <c r="AE20" s="114">
        <f t="shared" si="5"/>
        <v>0.33838999999999986</v>
      </c>
      <c r="AF20" s="114"/>
      <c r="AG20" s="114">
        <f t="shared" si="6"/>
        <v>0</v>
      </c>
      <c r="AH20" s="114">
        <f t="shared" si="0"/>
        <v>0.26333000000000001</v>
      </c>
      <c r="AI20" s="114">
        <f t="shared" si="7"/>
        <v>2.9250000000000005E-2</v>
      </c>
      <c r="AJ20" s="343">
        <f t="shared" si="8"/>
        <v>0.63096999999999981</v>
      </c>
      <c r="AK20" s="131"/>
      <c r="AL20" s="114">
        <f>'Rates in Detail'!Y24</f>
        <v>1.917E-2</v>
      </c>
      <c r="AM20" s="114">
        <f>'Rates in Detail'!Z24</f>
        <v>-2.7E-4</v>
      </c>
      <c r="AN20" s="986">
        <f t="shared" si="9"/>
        <v>1.89E-2</v>
      </c>
      <c r="AO20" s="131"/>
      <c r="AP20" s="114"/>
      <c r="AQ20" s="114"/>
      <c r="AR20" s="114"/>
      <c r="AS20" s="114"/>
      <c r="AT20" s="114"/>
      <c r="AU20" s="348">
        <f t="shared" si="10"/>
        <v>0</v>
      </c>
      <c r="AW20" s="114">
        <f t="shared" si="11"/>
        <v>0.35755999999999988</v>
      </c>
      <c r="AX20" s="114">
        <f t="shared" si="12"/>
        <v>0</v>
      </c>
      <c r="AY20" s="114">
        <f t="shared" si="13"/>
        <v>0</v>
      </c>
      <c r="AZ20" s="114">
        <f t="shared" si="14"/>
        <v>0.26333000000000001</v>
      </c>
      <c r="BA20" s="114">
        <f t="shared" si="15"/>
        <v>4.6720000000000005E-2</v>
      </c>
      <c r="BB20" s="343">
        <f t="shared" si="16"/>
        <v>0.66760999999999993</v>
      </c>
    </row>
    <row r="21" spans="2:54" x14ac:dyDescent="0.2">
      <c r="B21" s="110">
        <f t="shared" si="17"/>
        <v>13</v>
      </c>
      <c r="C21" s="906" t="str">
        <f>'WA Volumes &amp; Revenues'!B27</f>
        <v>41I Interr Sales</v>
      </c>
      <c r="D21" s="906" t="s">
        <v>4</v>
      </c>
      <c r="E21" s="115">
        <v>2000</v>
      </c>
      <c r="F21" s="116">
        <f>'WA Volumes &amp; Revenues'!E27</f>
        <v>0</v>
      </c>
      <c r="G21" s="116">
        <f>'WA Volumes &amp; Revenues'!H27</f>
        <v>0</v>
      </c>
      <c r="H21" s="912">
        <f>'WA Volumes &amp; Revenues'!O27</f>
        <v>250</v>
      </c>
      <c r="I21" s="913">
        <f>'WA Volumes &amp; Revenues'!N27</f>
        <v>250</v>
      </c>
      <c r="J21" s="628">
        <f>'Rates in Detail'!E25</f>
        <v>0.34372999999999987</v>
      </c>
      <c r="K21" s="630">
        <f>'Rates in Detail'!H25</f>
        <v>0</v>
      </c>
      <c r="L21" s="630">
        <f>'Rates in Detail'!F25</f>
        <v>0.26333000000000001</v>
      </c>
      <c r="M21" s="630">
        <f>'Rates in Detail'!I25</f>
        <v>8.7499999999999991E-3</v>
      </c>
      <c r="N21" s="137">
        <f t="shared" si="1"/>
        <v>0.61580999999999997</v>
      </c>
      <c r="O21" s="628">
        <f>'Rates in Detail'!L25</f>
        <v>4.3560000000000001E-2</v>
      </c>
      <c r="P21" s="630">
        <f>'Rates in Detail'!P25</f>
        <v>-3.2200000000000002E-3</v>
      </c>
      <c r="Q21" s="630">
        <f>'Rates in Detail'!Q25</f>
        <v>0</v>
      </c>
      <c r="R21" s="255">
        <f t="shared" si="2"/>
        <v>4.0340000000000001E-2</v>
      </c>
      <c r="S21" s="628">
        <f>'Rates in Detail'!S25</f>
        <v>0</v>
      </c>
      <c r="T21" s="630">
        <f>'Rates in Detail'!T25</f>
        <v>-6.1000000000000004E-3</v>
      </c>
      <c r="U21" s="630">
        <f>'Rates in Detail'!U25</f>
        <v>0</v>
      </c>
      <c r="V21" s="261">
        <f t="shared" si="3"/>
        <v>3.424E-2</v>
      </c>
      <c r="W21" s="620"/>
      <c r="X21" s="117"/>
      <c r="Y21" s="117"/>
      <c r="Z21" s="117"/>
      <c r="AA21" s="117"/>
      <c r="AB21" s="117"/>
      <c r="AC21" s="349">
        <f t="shared" si="4"/>
        <v>0</v>
      </c>
      <c r="AE21" s="114">
        <f t="shared" si="5"/>
        <v>0.38406999999999986</v>
      </c>
      <c r="AF21" s="114"/>
      <c r="AG21" s="114">
        <f t="shared" si="6"/>
        <v>0</v>
      </c>
      <c r="AH21" s="114">
        <f t="shared" si="0"/>
        <v>0.26333000000000001</v>
      </c>
      <c r="AI21" s="114">
        <f t="shared" si="7"/>
        <v>2.6499999999999987E-3</v>
      </c>
      <c r="AJ21" s="343">
        <f t="shared" si="8"/>
        <v>0.65004999999999991</v>
      </c>
      <c r="AK21" s="131"/>
      <c r="AL21" s="117">
        <f>'Rates in Detail'!Y25</f>
        <v>2.1749999999999999E-2</v>
      </c>
      <c r="AM21" s="117">
        <f>'Rates in Detail'!Z25</f>
        <v>-3.1E-4</v>
      </c>
      <c r="AN21" s="987">
        <f t="shared" si="9"/>
        <v>2.1439999999999997E-2</v>
      </c>
      <c r="AO21" s="131"/>
      <c r="AP21" s="117"/>
      <c r="AQ21" s="117"/>
      <c r="AR21" s="117"/>
      <c r="AS21" s="117"/>
      <c r="AT21" s="117"/>
      <c r="AU21" s="349">
        <f t="shared" si="10"/>
        <v>0</v>
      </c>
      <c r="AW21" s="117">
        <f t="shared" si="11"/>
        <v>0.40581999999999985</v>
      </c>
      <c r="AX21" s="117">
        <f t="shared" si="12"/>
        <v>0</v>
      </c>
      <c r="AY21" s="117">
        <f t="shared" si="13"/>
        <v>0</v>
      </c>
      <c r="AZ21" s="117">
        <f t="shared" si="14"/>
        <v>0.26333000000000001</v>
      </c>
      <c r="BA21" s="117">
        <f t="shared" si="15"/>
        <v>8.4399999999999996E-3</v>
      </c>
      <c r="BB21" s="344">
        <f t="shared" si="16"/>
        <v>0.67758999999999991</v>
      </c>
    </row>
    <row r="22" spans="2:54" x14ac:dyDescent="0.2">
      <c r="B22" s="110">
        <f t="shared" si="17"/>
        <v>14</v>
      </c>
      <c r="C22" s="904"/>
      <c r="D22" s="904" t="s">
        <v>5</v>
      </c>
      <c r="E22" s="112" t="s">
        <v>74</v>
      </c>
      <c r="F22" s="113">
        <f>'WA Volumes &amp; Revenues'!E28</f>
        <v>0</v>
      </c>
      <c r="G22" s="113"/>
      <c r="H22" s="907"/>
      <c r="I22" s="909"/>
      <c r="J22" s="627">
        <f>'Rates in Detail'!E26</f>
        <v>0.30284999999999984</v>
      </c>
      <c r="K22" s="631">
        <f>'Rates in Detail'!H26</f>
        <v>0</v>
      </c>
      <c r="L22" s="631">
        <f>'Rates in Detail'!F26</f>
        <v>0.26333000000000001</v>
      </c>
      <c r="M22" s="631">
        <f>'Rates in Detail'!I26</f>
        <v>7.8399999999999997E-3</v>
      </c>
      <c r="N22" s="135">
        <f t="shared" si="1"/>
        <v>0.57401999999999986</v>
      </c>
      <c r="O22" s="627">
        <f>'Rates in Detail'!L26</f>
        <v>3.8379999999999997E-2</v>
      </c>
      <c r="P22" s="631">
        <f>'Rates in Detail'!P26</f>
        <v>-2.8400000000000001E-3</v>
      </c>
      <c r="Q22" s="631">
        <f>'Rates in Detail'!Q26</f>
        <v>0</v>
      </c>
      <c r="R22" s="254">
        <f t="shared" si="2"/>
        <v>3.5539999999999995E-2</v>
      </c>
      <c r="S22" s="627">
        <f>'Rates in Detail'!S26</f>
        <v>0</v>
      </c>
      <c r="T22" s="631">
        <f>'Rates in Detail'!T26</f>
        <v>-5.3699999999999998E-3</v>
      </c>
      <c r="U22" s="631">
        <f>'Rates in Detail'!U26</f>
        <v>0</v>
      </c>
      <c r="V22" s="260">
        <f t="shared" si="3"/>
        <v>3.0169999999999995E-2</v>
      </c>
      <c r="W22" s="620"/>
      <c r="X22" s="114"/>
      <c r="Y22" s="114"/>
      <c r="Z22" s="114"/>
      <c r="AA22" s="114"/>
      <c r="AB22" s="114"/>
      <c r="AC22" s="348">
        <f t="shared" si="4"/>
        <v>0</v>
      </c>
      <c r="AE22" s="114">
        <f t="shared" si="5"/>
        <v>0.33838999999999986</v>
      </c>
      <c r="AF22" s="114"/>
      <c r="AG22" s="114">
        <f t="shared" si="6"/>
        <v>0</v>
      </c>
      <c r="AH22" s="114">
        <f t="shared" si="0"/>
        <v>0.26333000000000001</v>
      </c>
      <c r="AI22" s="114">
        <f t="shared" si="7"/>
        <v>2.47E-3</v>
      </c>
      <c r="AJ22" s="343">
        <f t="shared" si="8"/>
        <v>0.60418999999999978</v>
      </c>
      <c r="AK22" s="131"/>
      <c r="AL22" s="114">
        <f>'Rates in Detail'!Y26</f>
        <v>1.917E-2</v>
      </c>
      <c r="AM22" s="114">
        <f>'Rates in Detail'!Z26</f>
        <v>-2.7E-4</v>
      </c>
      <c r="AN22" s="986">
        <f t="shared" si="9"/>
        <v>1.89E-2</v>
      </c>
      <c r="AO22" s="131"/>
      <c r="AP22" s="114"/>
      <c r="AQ22" s="114"/>
      <c r="AR22" s="114"/>
      <c r="AS22" s="114"/>
      <c r="AT22" s="114"/>
      <c r="AU22" s="348">
        <f t="shared" si="10"/>
        <v>0</v>
      </c>
      <c r="AW22" s="114">
        <f t="shared" si="11"/>
        <v>0.35755999999999988</v>
      </c>
      <c r="AX22" s="114">
        <f t="shared" si="12"/>
        <v>0</v>
      </c>
      <c r="AY22" s="114">
        <f t="shared" si="13"/>
        <v>0</v>
      </c>
      <c r="AZ22" s="114">
        <f t="shared" si="14"/>
        <v>0.26333000000000001</v>
      </c>
      <c r="BA22" s="114">
        <f t="shared" si="15"/>
        <v>7.5699999999999995E-3</v>
      </c>
      <c r="BB22" s="343">
        <f t="shared" si="16"/>
        <v>0.62845999999999991</v>
      </c>
    </row>
    <row r="23" spans="2:54" x14ac:dyDescent="0.2">
      <c r="B23" s="110">
        <f t="shared" si="17"/>
        <v>15</v>
      </c>
      <c r="C23" s="906" t="str">
        <f>'WA Volumes &amp; Revenues'!B29</f>
        <v>41C Firm Transpt</v>
      </c>
      <c r="D23" s="906" t="s">
        <v>4</v>
      </c>
      <c r="E23" s="115">
        <v>2000</v>
      </c>
      <c r="F23" s="116">
        <f>'WA Volumes &amp; Revenues'!E29</f>
        <v>168721</v>
      </c>
      <c r="G23" s="116">
        <f>'WA Volumes &amp; Revenues'!H29</f>
        <v>7.916666666666667</v>
      </c>
      <c r="H23" s="912">
        <f>'WA Volumes &amp; Revenues'!O29</f>
        <v>500</v>
      </c>
      <c r="I23" s="913">
        <f>'WA Volumes &amp; Revenues'!N29</f>
        <v>500</v>
      </c>
      <c r="J23" s="628">
        <f>'Rates in Detail'!E27</f>
        <v>0.34791</v>
      </c>
      <c r="K23" s="630">
        <f>'Rates in Detail'!H27</f>
        <v>0</v>
      </c>
      <c r="L23" s="630">
        <f>'Rates in Detail'!F27</f>
        <v>0</v>
      </c>
      <c r="M23" s="630">
        <f>'Rates in Detail'!I27</f>
        <v>1.5499999999999999E-3</v>
      </c>
      <c r="N23" s="137">
        <f t="shared" si="1"/>
        <v>0.34945999999999999</v>
      </c>
      <c r="O23" s="628">
        <f>'Rates in Detail'!L27</f>
        <v>6.3149999999999998E-2</v>
      </c>
      <c r="P23" s="630">
        <f>'Rates in Detail'!P27</f>
        <v>-4.3499999999999997E-3</v>
      </c>
      <c r="Q23" s="630">
        <f>'Rates in Detail'!Q27</f>
        <v>0</v>
      </c>
      <c r="R23" s="255">
        <f t="shared" si="2"/>
        <v>5.8799999999999998E-2</v>
      </c>
      <c r="S23" s="628">
        <f>'Rates in Detail'!S27</f>
        <v>0</v>
      </c>
      <c r="T23" s="630">
        <f>'Rates in Detail'!T27</f>
        <v>-8.2299999999999995E-3</v>
      </c>
      <c r="U23" s="630">
        <f>'Rates in Detail'!U27</f>
        <v>0</v>
      </c>
      <c r="V23" s="261">
        <f t="shared" si="3"/>
        <v>5.0569999999999997E-2</v>
      </c>
      <c r="W23" s="620"/>
      <c r="X23" s="117"/>
      <c r="Y23" s="117"/>
      <c r="Z23" s="117"/>
      <c r="AA23" s="117"/>
      <c r="AB23" s="117"/>
      <c r="AC23" s="349">
        <f t="shared" si="4"/>
        <v>0</v>
      </c>
      <c r="AE23" s="114">
        <f t="shared" si="5"/>
        <v>0.40671000000000002</v>
      </c>
      <c r="AF23" s="114"/>
      <c r="AG23" s="114">
        <f t="shared" si="6"/>
        <v>0</v>
      </c>
      <c r="AH23" s="114">
        <f t="shared" si="0"/>
        <v>0</v>
      </c>
      <c r="AI23" s="114">
        <f t="shared" si="7"/>
        <v>-6.6799999999999993E-3</v>
      </c>
      <c r="AJ23" s="343">
        <f t="shared" si="8"/>
        <v>0.40003</v>
      </c>
      <c r="AK23" s="131"/>
      <c r="AL23" s="117">
        <f>'Rates in Detail'!Y27</f>
        <v>2.9610000000000001E-2</v>
      </c>
      <c r="AM23" s="117">
        <f>'Rates in Detail'!Z27</f>
        <v>-4.2000000000000002E-4</v>
      </c>
      <c r="AN23" s="987">
        <f t="shared" si="9"/>
        <v>2.9190000000000001E-2</v>
      </c>
      <c r="AO23" s="131"/>
      <c r="AP23" s="117"/>
      <c r="AQ23" s="117"/>
      <c r="AR23" s="117"/>
      <c r="AS23" s="117"/>
      <c r="AT23" s="117"/>
      <c r="AU23" s="349">
        <f t="shared" si="10"/>
        <v>0</v>
      </c>
      <c r="AW23" s="117">
        <f t="shared" si="11"/>
        <v>0.43632000000000004</v>
      </c>
      <c r="AX23" s="117">
        <f t="shared" si="12"/>
        <v>0</v>
      </c>
      <c r="AY23" s="117">
        <f t="shared" si="13"/>
        <v>0</v>
      </c>
      <c r="AZ23" s="117">
        <f t="shared" si="14"/>
        <v>0</v>
      </c>
      <c r="BA23" s="117">
        <f t="shared" si="15"/>
        <v>1.1299999999999999E-3</v>
      </c>
      <c r="BB23" s="344">
        <f t="shared" si="16"/>
        <v>0.43745000000000006</v>
      </c>
    </row>
    <row r="24" spans="2:54" x14ac:dyDescent="0.2">
      <c r="B24" s="110">
        <f t="shared" si="17"/>
        <v>16</v>
      </c>
      <c r="C24" s="904"/>
      <c r="D24" s="904" t="s">
        <v>5</v>
      </c>
      <c r="E24" s="112" t="s">
        <v>74</v>
      </c>
      <c r="F24" s="113">
        <f>'WA Volumes &amp; Revenues'!E30</f>
        <v>272866</v>
      </c>
      <c r="G24" s="113"/>
      <c r="H24" s="907"/>
      <c r="I24" s="909"/>
      <c r="J24" s="627">
        <f>'Rates in Detail'!E28</f>
        <v>0.30653000000000008</v>
      </c>
      <c r="K24" s="631">
        <f>'Rates in Detail'!H28</f>
        <v>0</v>
      </c>
      <c r="L24" s="631">
        <f>'Rates in Detail'!F28</f>
        <v>0</v>
      </c>
      <c r="M24" s="631">
        <f>'Rates in Detail'!I28</f>
        <v>1.3600000000000001E-3</v>
      </c>
      <c r="N24" s="135">
        <f t="shared" si="1"/>
        <v>0.30789000000000011</v>
      </c>
      <c r="O24" s="627">
        <f>'Rates in Detail'!L28</f>
        <v>5.5640000000000002E-2</v>
      </c>
      <c r="P24" s="631">
        <f>'Rates in Detail'!P28</f>
        <v>-3.8300000000000001E-3</v>
      </c>
      <c r="Q24" s="631">
        <f>'Rates in Detail'!Q28</f>
        <v>0</v>
      </c>
      <c r="R24" s="254">
        <f t="shared" si="2"/>
        <v>5.1810000000000002E-2</v>
      </c>
      <c r="S24" s="627">
        <f>'Rates in Detail'!S28</f>
        <v>0</v>
      </c>
      <c r="T24" s="631">
        <f>'Rates in Detail'!T28</f>
        <v>-7.2500000000000004E-3</v>
      </c>
      <c r="U24" s="631">
        <f>'Rates in Detail'!U28</f>
        <v>0</v>
      </c>
      <c r="V24" s="260">
        <f t="shared" si="3"/>
        <v>4.4560000000000002E-2</v>
      </c>
      <c r="W24" s="620"/>
      <c r="X24" s="114"/>
      <c r="Y24" s="114"/>
      <c r="Z24" s="114"/>
      <c r="AA24" s="114"/>
      <c r="AB24" s="114"/>
      <c r="AC24" s="348">
        <f t="shared" si="4"/>
        <v>0</v>
      </c>
      <c r="AE24" s="114">
        <f t="shared" si="5"/>
        <v>0.3583400000000001</v>
      </c>
      <c r="AF24" s="114"/>
      <c r="AG24" s="114">
        <f t="shared" si="6"/>
        <v>0</v>
      </c>
      <c r="AH24" s="114">
        <f t="shared" si="0"/>
        <v>0</v>
      </c>
      <c r="AI24" s="114">
        <f t="shared" si="7"/>
        <v>-5.8900000000000003E-3</v>
      </c>
      <c r="AJ24" s="343">
        <f t="shared" si="8"/>
        <v>0.3524500000000001</v>
      </c>
      <c r="AK24" s="131"/>
      <c r="AL24" s="114">
        <f>'Rates in Detail'!Y28</f>
        <v>2.6089999999999999E-2</v>
      </c>
      <c r="AM24" s="114">
        <f>'Rates in Detail'!Z28</f>
        <v>-3.6999999999999999E-4</v>
      </c>
      <c r="AN24" s="986">
        <f t="shared" si="9"/>
        <v>2.572E-2</v>
      </c>
      <c r="AO24" s="131"/>
      <c r="AP24" s="114"/>
      <c r="AQ24" s="114"/>
      <c r="AR24" s="114"/>
      <c r="AS24" s="114"/>
      <c r="AT24" s="114"/>
      <c r="AU24" s="348">
        <f t="shared" si="10"/>
        <v>0</v>
      </c>
      <c r="AW24" s="114">
        <f t="shared" si="11"/>
        <v>0.3844300000000001</v>
      </c>
      <c r="AX24" s="114">
        <f t="shared" si="12"/>
        <v>0</v>
      </c>
      <c r="AY24" s="114">
        <f t="shared" si="13"/>
        <v>0</v>
      </c>
      <c r="AZ24" s="114">
        <f t="shared" si="14"/>
        <v>0</v>
      </c>
      <c r="BA24" s="114">
        <f t="shared" si="15"/>
        <v>9.8999999999999999E-4</v>
      </c>
      <c r="BB24" s="343">
        <f t="shared" si="16"/>
        <v>0.3854200000000001</v>
      </c>
    </row>
    <row r="25" spans="2:54" x14ac:dyDescent="0.2">
      <c r="B25" s="110">
        <f t="shared" si="17"/>
        <v>17</v>
      </c>
      <c r="C25" s="906" t="str">
        <f>'WA Volumes &amp; Revenues'!B31</f>
        <v>41I Firm Transpt</v>
      </c>
      <c r="D25" s="906" t="s">
        <v>4</v>
      </c>
      <c r="E25" s="115">
        <v>2000</v>
      </c>
      <c r="F25" s="116">
        <f>'WA Volumes &amp; Revenues'!E31</f>
        <v>0</v>
      </c>
      <c r="G25" s="116">
        <f>'WA Volumes &amp; Revenues'!H31</f>
        <v>0</v>
      </c>
      <c r="H25" s="912">
        <f>'WA Volumes &amp; Revenues'!O31</f>
        <v>500</v>
      </c>
      <c r="I25" s="913">
        <f>'WA Volumes &amp; Revenues'!N31</f>
        <v>500</v>
      </c>
      <c r="J25" s="628">
        <f>'Rates in Detail'!E29</f>
        <v>0.34791</v>
      </c>
      <c r="K25" s="630">
        <f>'Rates in Detail'!H29</f>
        <v>0</v>
      </c>
      <c r="L25" s="630">
        <f>'Rates in Detail'!F29</f>
        <v>0</v>
      </c>
      <c r="M25" s="630">
        <f>'Rates in Detail'!I29</f>
        <v>1.5499999999999999E-3</v>
      </c>
      <c r="N25" s="137">
        <f t="shared" si="1"/>
        <v>0.34945999999999999</v>
      </c>
      <c r="O25" s="628">
        <f>'Rates in Detail'!L29</f>
        <v>4.4089999999999997E-2</v>
      </c>
      <c r="P25" s="630">
        <f>'Rates in Detail'!P29</f>
        <v>-3.2599999999999999E-3</v>
      </c>
      <c r="Q25" s="630">
        <f>'Rates in Detail'!Q29</f>
        <v>0</v>
      </c>
      <c r="R25" s="255">
        <f t="shared" si="2"/>
        <v>4.0829999999999998E-2</v>
      </c>
      <c r="S25" s="628">
        <f>'Rates in Detail'!S29</f>
        <v>0</v>
      </c>
      <c r="T25" s="630">
        <f>'Rates in Detail'!T29</f>
        <v>-6.1700000000000001E-3</v>
      </c>
      <c r="U25" s="630">
        <f>'Rates in Detail'!U29</f>
        <v>0</v>
      </c>
      <c r="V25" s="261">
        <f t="shared" si="3"/>
        <v>3.4659999999999996E-2</v>
      </c>
      <c r="W25" s="620"/>
      <c r="X25" s="117"/>
      <c r="Y25" s="117"/>
      <c r="Z25" s="117"/>
      <c r="AA25" s="117"/>
      <c r="AB25" s="117"/>
      <c r="AC25" s="349">
        <f t="shared" si="4"/>
        <v>0</v>
      </c>
      <c r="AE25" s="114">
        <f t="shared" si="5"/>
        <v>0.38873999999999997</v>
      </c>
      <c r="AF25" s="114"/>
      <c r="AG25" s="114">
        <f t="shared" si="6"/>
        <v>0</v>
      </c>
      <c r="AH25" s="114">
        <f t="shared" si="0"/>
        <v>0</v>
      </c>
      <c r="AI25" s="114">
        <f t="shared" si="7"/>
        <v>-4.62E-3</v>
      </c>
      <c r="AJ25" s="343">
        <f t="shared" si="8"/>
        <v>0.38411999999999996</v>
      </c>
      <c r="AK25" s="131"/>
      <c r="AL25" s="117">
        <f>'Rates in Detail'!Y29</f>
        <v>2.2020000000000001E-2</v>
      </c>
      <c r="AM25" s="117">
        <f>'Rates in Detail'!Z29</f>
        <v>-3.1E-4</v>
      </c>
      <c r="AN25" s="987">
        <f t="shared" si="9"/>
        <v>2.171E-2</v>
      </c>
      <c r="AO25" s="131"/>
      <c r="AP25" s="117"/>
      <c r="AQ25" s="117"/>
      <c r="AR25" s="117"/>
      <c r="AS25" s="117"/>
      <c r="AT25" s="117"/>
      <c r="AU25" s="349">
        <f t="shared" si="10"/>
        <v>0</v>
      </c>
      <c r="AW25" s="117">
        <f t="shared" si="11"/>
        <v>0.41075999999999996</v>
      </c>
      <c r="AX25" s="117">
        <f t="shared" si="12"/>
        <v>0</v>
      </c>
      <c r="AY25" s="117">
        <f t="shared" si="13"/>
        <v>0</v>
      </c>
      <c r="AZ25" s="117">
        <f t="shared" si="14"/>
        <v>0</v>
      </c>
      <c r="BA25" s="117">
        <f t="shared" si="15"/>
        <v>1.24E-3</v>
      </c>
      <c r="BB25" s="344">
        <f t="shared" si="16"/>
        <v>0.41199999999999998</v>
      </c>
    </row>
    <row r="26" spans="2:54" x14ac:dyDescent="0.2">
      <c r="B26" s="110">
        <f t="shared" si="17"/>
        <v>18</v>
      </c>
      <c r="C26" s="904"/>
      <c r="D26" s="904" t="s">
        <v>5</v>
      </c>
      <c r="E26" s="112" t="s">
        <v>74</v>
      </c>
      <c r="F26" s="113">
        <f>'WA Volumes &amp; Revenues'!E32</f>
        <v>0</v>
      </c>
      <c r="G26" s="113"/>
      <c r="H26" s="907"/>
      <c r="I26" s="909"/>
      <c r="J26" s="627">
        <f>'Rates in Detail'!E30</f>
        <v>0.30653000000000008</v>
      </c>
      <c r="K26" s="631">
        <f>'Rates in Detail'!H30</f>
        <v>0</v>
      </c>
      <c r="L26" s="631">
        <f>'Rates in Detail'!F30</f>
        <v>0</v>
      </c>
      <c r="M26" s="631">
        <f>'Rates in Detail'!I30</f>
        <v>1.3600000000000001E-3</v>
      </c>
      <c r="N26" s="135">
        <f t="shared" si="1"/>
        <v>0.30789000000000011</v>
      </c>
      <c r="O26" s="627">
        <f>'Rates in Detail'!L30</f>
        <v>3.8850000000000003E-2</v>
      </c>
      <c r="P26" s="631">
        <f>'Rates in Detail'!P30</f>
        <v>-2.8700000000000002E-3</v>
      </c>
      <c r="Q26" s="631">
        <f>'Rates in Detail'!Q30</f>
        <v>0</v>
      </c>
      <c r="R26" s="254">
        <f t="shared" si="2"/>
        <v>3.5980000000000005E-2</v>
      </c>
      <c r="S26" s="627">
        <f>'Rates in Detail'!S30</f>
        <v>0</v>
      </c>
      <c r="T26" s="631">
        <f>'Rates in Detail'!T30</f>
        <v>-5.4400000000000004E-3</v>
      </c>
      <c r="U26" s="631">
        <f>'Rates in Detail'!U30</f>
        <v>0</v>
      </c>
      <c r="V26" s="260">
        <f t="shared" si="3"/>
        <v>3.0540000000000005E-2</v>
      </c>
      <c r="W26" s="620"/>
      <c r="X26" s="114"/>
      <c r="Y26" s="114"/>
      <c r="Z26" s="114"/>
      <c r="AA26" s="114"/>
      <c r="AB26" s="114"/>
      <c r="AC26" s="348">
        <f t="shared" si="4"/>
        <v>0</v>
      </c>
      <c r="AE26" s="114">
        <f t="shared" si="5"/>
        <v>0.34251000000000009</v>
      </c>
      <c r="AF26" s="114"/>
      <c r="AG26" s="114">
        <f t="shared" si="6"/>
        <v>0</v>
      </c>
      <c r="AH26" s="114">
        <f t="shared" si="0"/>
        <v>0</v>
      </c>
      <c r="AI26" s="114">
        <f t="shared" si="7"/>
        <v>-4.0800000000000003E-3</v>
      </c>
      <c r="AJ26" s="343">
        <f t="shared" si="8"/>
        <v>0.33843000000000012</v>
      </c>
      <c r="AK26" s="131"/>
      <c r="AL26" s="114">
        <f>'Rates in Detail'!Y30</f>
        <v>1.9400000000000001E-2</v>
      </c>
      <c r="AM26" s="114">
        <f>'Rates in Detail'!Z30</f>
        <v>-2.7999999999999998E-4</v>
      </c>
      <c r="AN26" s="986">
        <f t="shared" si="9"/>
        <v>1.9120000000000002E-2</v>
      </c>
      <c r="AO26" s="131"/>
      <c r="AP26" s="114"/>
      <c r="AQ26" s="114"/>
      <c r="AR26" s="114"/>
      <c r="AS26" s="114"/>
      <c r="AT26" s="114"/>
      <c r="AU26" s="348">
        <f t="shared" si="10"/>
        <v>0</v>
      </c>
      <c r="AW26" s="114">
        <f t="shared" si="11"/>
        <v>0.36191000000000006</v>
      </c>
      <c r="AX26" s="114">
        <f t="shared" si="12"/>
        <v>0</v>
      </c>
      <c r="AY26" s="114">
        <f t="shared" si="13"/>
        <v>0</v>
      </c>
      <c r="AZ26" s="114">
        <f t="shared" si="14"/>
        <v>0</v>
      </c>
      <c r="BA26" s="114">
        <f t="shared" si="15"/>
        <v>1.0800000000000002E-3</v>
      </c>
      <c r="BB26" s="343">
        <f t="shared" si="16"/>
        <v>0.36299000000000009</v>
      </c>
    </row>
    <row r="27" spans="2:54" x14ac:dyDescent="0.2">
      <c r="B27" s="110">
        <f t="shared" si="17"/>
        <v>19</v>
      </c>
      <c r="C27" s="906" t="str">
        <f>'WA Volumes &amp; Revenues'!B33</f>
        <v>42C Firm Sales</v>
      </c>
      <c r="D27" s="906" t="s">
        <v>4</v>
      </c>
      <c r="E27" s="115">
        <v>10000</v>
      </c>
      <c r="F27" s="116">
        <f>'WA Volumes &amp; Revenues'!E33</f>
        <v>350769.66174469434</v>
      </c>
      <c r="G27" s="116">
        <f>'WA Volumes &amp; Revenues'!H33</f>
        <v>5</v>
      </c>
      <c r="H27" s="912">
        <f>'WA Volumes &amp; Revenues'!O33</f>
        <v>1300</v>
      </c>
      <c r="I27" s="913">
        <f>'WA Volumes &amp; Revenues'!N33</f>
        <v>1300</v>
      </c>
      <c r="J27" s="628">
        <f>'Rates in Detail'!E31</f>
        <v>0.15245999999999996</v>
      </c>
      <c r="K27" s="630">
        <f>'Rates in Detail'!H31</f>
        <v>0</v>
      </c>
      <c r="L27" s="630">
        <f>'Rates in Detail'!F31</f>
        <v>0.26333000000000001</v>
      </c>
      <c r="M27" s="630">
        <f>'Rates in Detail'!I31</f>
        <v>1.9560000000000001E-2</v>
      </c>
      <c r="N27" s="137">
        <f t="shared" si="1"/>
        <v>0.43535000000000001</v>
      </c>
      <c r="O27" s="628">
        <f>'Rates in Detail'!L31</f>
        <v>4.4949999999999997E-2</v>
      </c>
      <c r="P27" s="630">
        <f>'Rates in Detail'!P31</f>
        <v>-3.0899999999999999E-3</v>
      </c>
      <c r="Q27" s="630">
        <f>'Rates in Detail'!Q31</f>
        <v>0</v>
      </c>
      <c r="R27" s="255">
        <f t="shared" si="2"/>
        <v>4.1859999999999994E-2</v>
      </c>
      <c r="S27" s="628">
        <f>'Rates in Detail'!S31</f>
        <v>-1.06E-2</v>
      </c>
      <c r="T27" s="630">
        <f>'Rates in Detail'!T31</f>
        <v>-5.8599999999999998E-3</v>
      </c>
      <c r="U27" s="630">
        <f>'Rates in Detail'!U31</f>
        <v>0</v>
      </c>
      <c r="V27" s="261">
        <f t="shared" si="3"/>
        <v>2.5399999999999995E-2</v>
      </c>
      <c r="W27" s="620"/>
      <c r="X27" s="117"/>
      <c r="Y27" s="117"/>
      <c r="Z27" s="117"/>
      <c r="AA27" s="117"/>
      <c r="AB27" s="117"/>
      <c r="AC27" s="349">
        <f t="shared" si="4"/>
        <v>0</v>
      </c>
      <c r="AE27" s="114">
        <f t="shared" si="5"/>
        <v>0.19431999999999994</v>
      </c>
      <c r="AF27" s="114"/>
      <c r="AG27" s="114">
        <f t="shared" si="6"/>
        <v>0</v>
      </c>
      <c r="AH27" s="114">
        <f t="shared" si="0"/>
        <v>0.26333000000000001</v>
      </c>
      <c r="AI27" s="114">
        <f t="shared" si="7"/>
        <v>3.1000000000000021E-3</v>
      </c>
      <c r="AJ27" s="343">
        <f t="shared" si="8"/>
        <v>0.46074999999999994</v>
      </c>
      <c r="AK27" s="131"/>
      <c r="AL27" s="117">
        <f>'Rates in Detail'!Y31</f>
        <v>2.1080000000000002E-2</v>
      </c>
      <c r="AM27" s="117">
        <f>'Rates in Detail'!Z31</f>
        <v>-2.9999999999999997E-4</v>
      </c>
      <c r="AN27" s="987">
        <f t="shared" si="9"/>
        <v>2.078E-2</v>
      </c>
      <c r="AO27" s="131"/>
      <c r="AP27" s="117"/>
      <c r="AQ27" s="117"/>
      <c r="AR27" s="117"/>
      <c r="AS27" s="117"/>
      <c r="AT27" s="117"/>
      <c r="AU27" s="349">
        <f t="shared" si="10"/>
        <v>0</v>
      </c>
      <c r="AW27" s="117">
        <f t="shared" si="11"/>
        <v>0.21539999999999992</v>
      </c>
      <c r="AX27" s="117">
        <f t="shared" si="12"/>
        <v>0</v>
      </c>
      <c r="AY27" s="117">
        <f t="shared" si="13"/>
        <v>0</v>
      </c>
      <c r="AZ27" s="117">
        <f t="shared" si="14"/>
        <v>0.26333000000000001</v>
      </c>
      <c r="BA27" s="117">
        <f t="shared" si="15"/>
        <v>1.9259999999999999E-2</v>
      </c>
      <c r="BB27" s="344">
        <f t="shared" si="16"/>
        <v>0.49798999999999993</v>
      </c>
    </row>
    <row r="28" spans="2:54" x14ac:dyDescent="0.2">
      <c r="B28" s="110">
        <f t="shared" si="17"/>
        <v>20</v>
      </c>
      <c r="C28" s="906"/>
      <c r="D28" s="906" t="s">
        <v>5</v>
      </c>
      <c r="E28" s="115">
        <v>20000</v>
      </c>
      <c r="F28" s="116">
        <f>'WA Volumes &amp; Revenues'!E34</f>
        <v>303088.75426472601</v>
      </c>
      <c r="G28" s="116"/>
      <c r="H28" s="912"/>
      <c r="I28" s="913"/>
      <c r="J28" s="628">
        <f>'Rates in Detail'!E32</f>
        <v>0.1364699999999997</v>
      </c>
      <c r="K28" s="630">
        <f>'Rates in Detail'!H32</f>
        <v>0</v>
      </c>
      <c r="L28" s="630">
        <f>'Rates in Detail'!F32</f>
        <v>0.26333000000000001</v>
      </c>
      <c r="M28" s="630">
        <f>'Rates in Detail'!I32</f>
        <v>1.6539999999999999E-2</v>
      </c>
      <c r="N28" s="137">
        <f t="shared" si="1"/>
        <v>0.41633999999999971</v>
      </c>
      <c r="O28" s="628">
        <f>'Rates in Detail'!L32</f>
        <v>4.0230000000000002E-2</v>
      </c>
      <c r="P28" s="630">
        <f>'Rates in Detail'!P32</f>
        <v>-2.7699999999999999E-3</v>
      </c>
      <c r="Q28" s="630">
        <f>'Rates in Detail'!Q32</f>
        <v>0</v>
      </c>
      <c r="R28" s="255">
        <f t="shared" si="2"/>
        <v>3.746E-2</v>
      </c>
      <c r="S28" s="628">
        <f>'Rates in Detail'!S32</f>
        <v>-9.4900000000000002E-3</v>
      </c>
      <c r="T28" s="630">
        <f>'Rates in Detail'!T32</f>
        <v>-5.2500000000000003E-3</v>
      </c>
      <c r="U28" s="630">
        <f>'Rates in Detail'!U32</f>
        <v>0</v>
      </c>
      <c r="V28" s="261">
        <f t="shared" si="3"/>
        <v>2.2720000000000001E-2</v>
      </c>
      <c r="W28" s="620"/>
      <c r="X28" s="117"/>
      <c r="Y28" s="117"/>
      <c r="Z28" s="117"/>
      <c r="AA28" s="117"/>
      <c r="AB28" s="117"/>
      <c r="AC28" s="349">
        <f t="shared" si="4"/>
        <v>0</v>
      </c>
      <c r="AE28" s="114">
        <f t="shared" si="5"/>
        <v>0.1739299999999997</v>
      </c>
      <c r="AF28" s="114"/>
      <c r="AG28" s="114">
        <f t="shared" si="6"/>
        <v>0</v>
      </c>
      <c r="AH28" s="114">
        <f t="shared" si="0"/>
        <v>0.26333000000000001</v>
      </c>
      <c r="AI28" s="114">
        <f t="shared" si="7"/>
        <v>1.7999999999999995E-3</v>
      </c>
      <c r="AJ28" s="343">
        <f t="shared" si="8"/>
        <v>0.43905999999999973</v>
      </c>
      <c r="AK28" s="131"/>
      <c r="AL28" s="117">
        <f>'Rates in Detail'!Y32</f>
        <v>1.8859999999999998E-2</v>
      </c>
      <c r="AM28" s="117">
        <f>'Rates in Detail'!Z32</f>
        <v>-2.7E-4</v>
      </c>
      <c r="AN28" s="987">
        <f t="shared" si="9"/>
        <v>1.8589999999999999E-2</v>
      </c>
      <c r="AO28" s="131"/>
      <c r="AP28" s="117"/>
      <c r="AQ28" s="117"/>
      <c r="AR28" s="117"/>
      <c r="AS28" s="117"/>
      <c r="AT28" s="117"/>
      <c r="AU28" s="349">
        <f t="shared" si="10"/>
        <v>0</v>
      </c>
      <c r="AW28" s="117">
        <f t="shared" si="11"/>
        <v>0.19278999999999968</v>
      </c>
      <c r="AX28" s="117">
        <f t="shared" si="12"/>
        <v>0</v>
      </c>
      <c r="AY28" s="117">
        <f t="shared" si="13"/>
        <v>0</v>
      </c>
      <c r="AZ28" s="117">
        <f t="shared" si="14"/>
        <v>0.26333000000000001</v>
      </c>
      <c r="BA28" s="117">
        <f t="shared" si="15"/>
        <v>1.627E-2</v>
      </c>
      <c r="BB28" s="344">
        <f t="shared" si="16"/>
        <v>0.4723899999999997</v>
      </c>
    </row>
    <row r="29" spans="2:54" x14ac:dyDescent="0.2">
      <c r="B29" s="110">
        <f t="shared" si="17"/>
        <v>21</v>
      </c>
      <c r="C29" s="906"/>
      <c r="D29" s="906" t="s">
        <v>6</v>
      </c>
      <c r="E29" s="115">
        <v>20000</v>
      </c>
      <c r="F29" s="116">
        <f>'WA Volumes &amp; Revenues'!E35</f>
        <v>59441.942130257296</v>
      </c>
      <c r="G29" s="116"/>
      <c r="H29" s="912"/>
      <c r="I29" s="913"/>
      <c r="J29" s="628">
        <f>'Rates in Detail'!E33</f>
        <v>0.1046699999999999</v>
      </c>
      <c r="K29" s="630">
        <f>'Rates in Detail'!H33</f>
        <v>0</v>
      </c>
      <c r="L29" s="630">
        <f>'Rates in Detail'!F33</f>
        <v>0.26333000000000001</v>
      </c>
      <c r="M29" s="630">
        <f>'Rates in Detail'!I33</f>
        <v>1.052E-2</v>
      </c>
      <c r="N29" s="137">
        <f t="shared" si="1"/>
        <v>0.37851999999999986</v>
      </c>
      <c r="O29" s="628">
        <f>'Rates in Detail'!L33</f>
        <v>3.0859999999999999E-2</v>
      </c>
      <c r="P29" s="630">
        <f>'Rates in Detail'!P33</f>
        <v>-2.1199999999999999E-3</v>
      </c>
      <c r="Q29" s="630">
        <f>'Rates in Detail'!Q33</f>
        <v>0</v>
      </c>
      <c r="R29" s="255">
        <f t="shared" si="2"/>
        <v>2.8739999999999998E-2</v>
      </c>
      <c r="S29" s="628">
        <f>'Rates in Detail'!S33</f>
        <v>-7.28E-3</v>
      </c>
      <c r="T29" s="630">
        <f>'Rates in Detail'!T33</f>
        <v>-4.0200000000000001E-3</v>
      </c>
      <c r="U29" s="630">
        <f>'Rates in Detail'!U33</f>
        <v>0</v>
      </c>
      <c r="V29" s="261">
        <f t="shared" si="3"/>
        <v>1.7440000000000001E-2</v>
      </c>
      <c r="W29" s="620"/>
      <c r="X29" s="117"/>
      <c r="Y29" s="117"/>
      <c r="Z29" s="117"/>
      <c r="AA29" s="117"/>
      <c r="AB29" s="117"/>
      <c r="AC29" s="349">
        <f t="shared" si="4"/>
        <v>0</v>
      </c>
      <c r="AE29" s="114">
        <f t="shared" si="5"/>
        <v>0.13340999999999989</v>
      </c>
      <c r="AF29" s="114"/>
      <c r="AG29" s="114">
        <f t="shared" si="6"/>
        <v>0</v>
      </c>
      <c r="AH29" s="114">
        <f t="shared" si="0"/>
        <v>0.26333000000000001</v>
      </c>
      <c r="AI29" s="114">
        <f t="shared" si="7"/>
        <v>-7.8000000000000118E-4</v>
      </c>
      <c r="AJ29" s="343">
        <f t="shared" si="8"/>
        <v>0.39595999999999987</v>
      </c>
      <c r="AK29" s="131"/>
      <c r="AL29" s="117">
        <f>'Rates in Detail'!Y33</f>
        <v>1.447E-2</v>
      </c>
      <c r="AM29" s="117">
        <f>'Rates in Detail'!Z33</f>
        <v>-2.0000000000000001E-4</v>
      </c>
      <c r="AN29" s="987">
        <f t="shared" si="9"/>
        <v>1.427E-2</v>
      </c>
      <c r="AO29" s="131"/>
      <c r="AP29" s="117"/>
      <c r="AQ29" s="117"/>
      <c r="AR29" s="117"/>
      <c r="AS29" s="117"/>
      <c r="AT29" s="117"/>
      <c r="AU29" s="349">
        <f t="shared" si="10"/>
        <v>0</v>
      </c>
      <c r="AW29" s="117">
        <f t="shared" si="11"/>
        <v>0.1478799999999999</v>
      </c>
      <c r="AX29" s="117">
        <f t="shared" si="12"/>
        <v>0</v>
      </c>
      <c r="AY29" s="117">
        <f t="shared" si="13"/>
        <v>0</v>
      </c>
      <c r="AZ29" s="117">
        <f t="shared" si="14"/>
        <v>0.26333000000000001</v>
      </c>
      <c r="BA29" s="117">
        <f t="shared" si="15"/>
        <v>1.0319999999999999E-2</v>
      </c>
      <c r="BB29" s="344">
        <f t="shared" si="16"/>
        <v>0.4215299999999999</v>
      </c>
    </row>
    <row r="30" spans="2:54" x14ac:dyDescent="0.2">
      <c r="B30" s="110">
        <f t="shared" si="17"/>
        <v>22</v>
      </c>
      <c r="C30" s="906"/>
      <c r="D30" s="906" t="s">
        <v>7</v>
      </c>
      <c r="E30" s="115">
        <v>100000</v>
      </c>
      <c r="F30" s="116">
        <f>'WA Volumes &amp; Revenues'!E36</f>
        <v>3614.6071898605187</v>
      </c>
      <c r="G30" s="116"/>
      <c r="H30" s="912"/>
      <c r="I30" s="913"/>
      <c r="J30" s="628">
        <f>'Rates in Detail'!E34</f>
        <v>8.3729999999999999E-2</v>
      </c>
      <c r="K30" s="630">
        <f>'Rates in Detail'!H34</f>
        <v>0</v>
      </c>
      <c r="L30" s="630">
        <f>'Rates in Detail'!F34</f>
        <v>0.26333000000000001</v>
      </c>
      <c r="M30" s="630">
        <f>'Rates in Detail'!I34</f>
        <v>6.550000000000002E-3</v>
      </c>
      <c r="N30" s="137">
        <f t="shared" si="1"/>
        <v>0.35361000000000004</v>
      </c>
      <c r="O30" s="628">
        <f>'Rates in Detail'!L34</f>
        <v>2.4680000000000001E-2</v>
      </c>
      <c r="P30" s="630">
        <f>'Rates in Detail'!P34</f>
        <v>-1.6999999999999999E-3</v>
      </c>
      <c r="Q30" s="630">
        <f>'Rates in Detail'!Q34</f>
        <v>0</v>
      </c>
      <c r="R30" s="255">
        <f t="shared" si="2"/>
        <v>2.298E-2</v>
      </c>
      <c r="S30" s="628">
        <f>'Rates in Detail'!S34</f>
        <v>-5.8199999999999997E-3</v>
      </c>
      <c r="T30" s="630">
        <f>'Rates in Detail'!T34</f>
        <v>-3.2200000000000002E-3</v>
      </c>
      <c r="U30" s="630">
        <f>'Rates in Detail'!U34</f>
        <v>0</v>
      </c>
      <c r="V30" s="261">
        <f t="shared" si="3"/>
        <v>1.3940000000000001E-2</v>
      </c>
      <c r="W30" s="620"/>
      <c r="X30" s="117"/>
      <c r="Y30" s="117"/>
      <c r="Z30" s="117"/>
      <c r="AA30" s="117"/>
      <c r="AB30" s="117"/>
      <c r="AC30" s="349">
        <f t="shared" si="4"/>
        <v>0</v>
      </c>
      <c r="AE30" s="114">
        <f t="shared" si="5"/>
        <v>0.10671</v>
      </c>
      <c r="AF30" s="114"/>
      <c r="AG30" s="114">
        <f t="shared" si="6"/>
        <v>0</v>
      </c>
      <c r="AH30" s="114">
        <f t="shared" si="0"/>
        <v>0.26333000000000001</v>
      </c>
      <c r="AI30" s="114">
        <f t="shared" si="7"/>
        <v>-2.4899999999999974E-3</v>
      </c>
      <c r="AJ30" s="343">
        <f t="shared" si="8"/>
        <v>0.36755000000000004</v>
      </c>
      <c r="AK30" s="131"/>
      <c r="AL30" s="117">
        <f>'Rates in Detail'!Y34</f>
        <v>1.157E-2</v>
      </c>
      <c r="AM30" s="117">
        <f>'Rates in Detail'!Z34</f>
        <v>-1.6000000000000001E-4</v>
      </c>
      <c r="AN30" s="987">
        <f t="shared" si="9"/>
        <v>1.141E-2</v>
      </c>
      <c r="AO30" s="131"/>
      <c r="AP30" s="117"/>
      <c r="AQ30" s="117"/>
      <c r="AR30" s="117"/>
      <c r="AS30" s="117"/>
      <c r="AT30" s="117"/>
      <c r="AU30" s="349">
        <f t="shared" si="10"/>
        <v>0</v>
      </c>
      <c r="AW30" s="117">
        <f t="shared" si="11"/>
        <v>0.11828</v>
      </c>
      <c r="AX30" s="117">
        <f t="shared" si="12"/>
        <v>0</v>
      </c>
      <c r="AY30" s="117">
        <f t="shared" si="13"/>
        <v>0</v>
      </c>
      <c r="AZ30" s="117">
        <f t="shared" si="14"/>
        <v>0.26333000000000001</v>
      </c>
      <c r="BA30" s="117">
        <f t="shared" si="15"/>
        <v>6.3900000000000016E-3</v>
      </c>
      <c r="BB30" s="344">
        <f t="shared" si="16"/>
        <v>0.38800000000000001</v>
      </c>
    </row>
    <row r="31" spans="2:54" x14ac:dyDescent="0.2">
      <c r="B31" s="110">
        <f t="shared" si="17"/>
        <v>23</v>
      </c>
      <c r="C31" s="906"/>
      <c r="D31" s="906" t="s">
        <v>8</v>
      </c>
      <c r="E31" s="115">
        <v>600000</v>
      </c>
      <c r="F31" s="116">
        <f>'WA Volumes &amp; Revenues'!E37</f>
        <v>0</v>
      </c>
      <c r="G31" s="116"/>
      <c r="H31" s="912"/>
      <c r="I31" s="913"/>
      <c r="J31" s="628">
        <f>'Rates in Detail'!E35</f>
        <v>5.5809999999999992E-2</v>
      </c>
      <c r="K31" s="630">
        <f>'Rates in Detail'!H35</f>
        <v>0</v>
      </c>
      <c r="L31" s="630">
        <f>'Rates in Detail'!F35</f>
        <v>0.26333000000000001</v>
      </c>
      <c r="M31" s="630">
        <f>'Rates in Detail'!I35</f>
        <v>1.239999999999998E-3</v>
      </c>
      <c r="N31" s="137">
        <f t="shared" si="1"/>
        <v>0.32038</v>
      </c>
      <c r="O31" s="628">
        <f>'Rates in Detail'!L35</f>
        <v>1.6449999999999999E-2</v>
      </c>
      <c r="P31" s="630">
        <f>'Rates in Detail'!P35</f>
        <v>-1.1299999999999999E-3</v>
      </c>
      <c r="Q31" s="630">
        <f>'Rates in Detail'!Q35</f>
        <v>0</v>
      </c>
      <c r="R31" s="255">
        <f t="shared" si="2"/>
        <v>1.532E-2</v>
      </c>
      <c r="S31" s="628">
        <f>'Rates in Detail'!S35</f>
        <v>-3.8800000000000002E-3</v>
      </c>
      <c r="T31" s="630">
        <f>'Rates in Detail'!T35</f>
        <v>-2.15E-3</v>
      </c>
      <c r="U31" s="630">
        <f>'Rates in Detail'!U35</f>
        <v>0</v>
      </c>
      <c r="V31" s="261">
        <f t="shared" si="3"/>
        <v>9.2899999999999996E-3</v>
      </c>
      <c r="W31" s="620"/>
      <c r="X31" s="117"/>
      <c r="Y31" s="117"/>
      <c r="Z31" s="117"/>
      <c r="AA31" s="117"/>
      <c r="AB31" s="117"/>
      <c r="AC31" s="349">
        <f t="shared" si="4"/>
        <v>0</v>
      </c>
      <c r="AE31" s="114">
        <f t="shared" si="5"/>
        <v>7.1129999999999999E-2</v>
      </c>
      <c r="AF31" s="114"/>
      <c r="AG31" s="114">
        <f t="shared" si="6"/>
        <v>0</v>
      </c>
      <c r="AH31" s="114">
        <f t="shared" si="0"/>
        <v>0.26333000000000001</v>
      </c>
      <c r="AI31" s="114">
        <f t="shared" si="7"/>
        <v>-4.7900000000000026E-3</v>
      </c>
      <c r="AJ31" s="343">
        <f t="shared" si="8"/>
        <v>0.32966999999999996</v>
      </c>
      <c r="AK31" s="131"/>
      <c r="AL31" s="117">
        <f>'Rates in Detail'!Y35</f>
        <v>7.7099999999999998E-3</v>
      </c>
      <c r="AM31" s="117">
        <f>'Rates in Detail'!Z35</f>
        <v>-1.1E-4</v>
      </c>
      <c r="AN31" s="987">
        <f t="shared" si="9"/>
        <v>7.6E-3</v>
      </c>
      <c r="AO31" s="131"/>
      <c r="AP31" s="117"/>
      <c r="AQ31" s="117"/>
      <c r="AR31" s="117"/>
      <c r="AS31" s="117"/>
      <c r="AT31" s="117"/>
      <c r="AU31" s="349">
        <f t="shared" si="10"/>
        <v>0</v>
      </c>
      <c r="AW31" s="117">
        <f t="shared" si="11"/>
        <v>7.8839999999999993E-2</v>
      </c>
      <c r="AX31" s="117">
        <f t="shared" si="12"/>
        <v>0</v>
      </c>
      <c r="AY31" s="117">
        <f t="shared" si="13"/>
        <v>0</v>
      </c>
      <c r="AZ31" s="117">
        <f t="shared" si="14"/>
        <v>0.26333000000000001</v>
      </c>
      <c r="BA31" s="117">
        <f t="shared" si="15"/>
        <v>1.129999999999998E-3</v>
      </c>
      <c r="BB31" s="344">
        <f t="shared" si="16"/>
        <v>0.34329999999999999</v>
      </c>
    </row>
    <row r="32" spans="2:54" x14ac:dyDescent="0.2">
      <c r="B32" s="110">
        <f t="shared" si="17"/>
        <v>24</v>
      </c>
      <c r="C32" s="904"/>
      <c r="D32" s="904" t="s">
        <v>9</v>
      </c>
      <c r="E32" s="112" t="s">
        <v>74</v>
      </c>
      <c r="F32" s="113">
        <f>'WA Volumes &amp; Revenues'!E38</f>
        <v>0</v>
      </c>
      <c r="G32" s="113"/>
      <c r="H32" s="907"/>
      <c r="I32" s="909"/>
      <c r="J32" s="627">
        <f>'Rates in Detail'!E36</f>
        <v>2.0920000000000029E-2</v>
      </c>
      <c r="K32" s="631">
        <f>'Rates in Detail'!H36</f>
        <v>0</v>
      </c>
      <c r="L32" s="631">
        <f>'Rates in Detail'!F36</f>
        <v>0.26333000000000001</v>
      </c>
      <c r="M32" s="631">
        <f>'Rates in Detail'!I36</f>
        <v>-5.3500000000000006E-3</v>
      </c>
      <c r="N32" s="135">
        <f t="shared" si="1"/>
        <v>0.27890000000000004</v>
      </c>
      <c r="O32" s="627">
        <f>'Rates in Detail'!L36</f>
        <v>6.1700000000000001E-3</v>
      </c>
      <c r="P32" s="631">
        <f>'Rates in Detail'!P36</f>
        <v>-4.2000000000000002E-4</v>
      </c>
      <c r="Q32" s="631">
        <f>'Rates in Detail'!Q36</f>
        <v>0</v>
      </c>
      <c r="R32" s="254">
        <f t="shared" si="2"/>
        <v>5.7499999999999999E-3</v>
      </c>
      <c r="S32" s="627">
        <f>'Rates in Detail'!S36</f>
        <v>-1.4499999999999999E-3</v>
      </c>
      <c r="T32" s="631">
        <f>'Rates in Detail'!T36</f>
        <v>-8.0000000000000004E-4</v>
      </c>
      <c r="U32" s="631">
        <f>'Rates in Detail'!U36</f>
        <v>0</v>
      </c>
      <c r="V32" s="260">
        <f t="shared" si="3"/>
        <v>3.5000000000000001E-3</v>
      </c>
      <c r="W32" s="620"/>
      <c r="X32" s="114"/>
      <c r="Y32" s="114"/>
      <c r="Z32" s="114"/>
      <c r="AA32" s="114"/>
      <c r="AB32" s="114"/>
      <c r="AC32" s="348">
        <f t="shared" si="4"/>
        <v>0</v>
      </c>
      <c r="AE32" s="114">
        <f t="shared" si="5"/>
        <v>2.6670000000000027E-2</v>
      </c>
      <c r="AF32" s="114"/>
      <c r="AG32" s="114">
        <f t="shared" si="6"/>
        <v>0</v>
      </c>
      <c r="AH32" s="114">
        <f t="shared" si="0"/>
        <v>0.26333000000000001</v>
      </c>
      <c r="AI32" s="114">
        <f t="shared" si="7"/>
        <v>-7.6000000000000009E-3</v>
      </c>
      <c r="AJ32" s="343">
        <f t="shared" si="8"/>
        <v>0.28240000000000004</v>
      </c>
      <c r="AK32" s="131"/>
      <c r="AL32" s="114">
        <f>'Rates in Detail'!Y36</f>
        <v>2.8900000000000002E-3</v>
      </c>
      <c r="AM32" s="114">
        <f>'Rates in Detail'!Z36</f>
        <v>-4.0000000000000003E-5</v>
      </c>
      <c r="AN32" s="986">
        <f t="shared" si="9"/>
        <v>2.8500000000000001E-3</v>
      </c>
      <c r="AO32" s="131"/>
      <c r="AP32" s="114"/>
      <c r="AQ32" s="114"/>
      <c r="AR32" s="114"/>
      <c r="AS32" s="114"/>
      <c r="AT32" s="114"/>
      <c r="AU32" s="348">
        <f t="shared" si="10"/>
        <v>0</v>
      </c>
      <c r="AW32" s="114">
        <f t="shared" si="11"/>
        <v>2.9560000000000027E-2</v>
      </c>
      <c r="AX32" s="114">
        <f t="shared" si="12"/>
        <v>0</v>
      </c>
      <c r="AY32" s="114">
        <f t="shared" si="13"/>
        <v>0</v>
      </c>
      <c r="AZ32" s="114">
        <f t="shared" si="14"/>
        <v>0.26333000000000001</v>
      </c>
      <c r="BA32" s="114">
        <f t="shared" si="15"/>
        <v>-5.3900000000000007E-3</v>
      </c>
      <c r="BB32" s="343">
        <f t="shared" si="16"/>
        <v>0.28750000000000003</v>
      </c>
    </row>
    <row r="33" spans="2:54" x14ac:dyDescent="0.2">
      <c r="B33" s="110">
        <f t="shared" si="17"/>
        <v>25</v>
      </c>
      <c r="C33" s="906" t="str">
        <f>'WA Volumes &amp; Revenues'!B39</f>
        <v>42I Firm Sales</v>
      </c>
      <c r="D33" s="906" t="s">
        <v>4</v>
      </c>
      <c r="E33" s="115">
        <v>10000</v>
      </c>
      <c r="F33" s="116">
        <f>'WA Volumes &amp; Revenues'!E39</f>
        <v>1093724.2000000002</v>
      </c>
      <c r="G33" s="116">
        <f>'WA Volumes &amp; Revenues'!H39</f>
        <v>11.916666666666666</v>
      </c>
      <c r="H33" s="912">
        <f>'WA Volumes &amp; Revenues'!O39</f>
        <v>1300</v>
      </c>
      <c r="I33" s="913">
        <f>'WA Volumes &amp; Revenues'!N39</f>
        <v>1300</v>
      </c>
      <c r="J33" s="628">
        <f>'Rates in Detail'!E37</f>
        <v>0.14721000000000001</v>
      </c>
      <c r="K33" s="630">
        <f>'Rates in Detail'!H37</f>
        <v>0</v>
      </c>
      <c r="L33" s="630">
        <f>'Rates in Detail'!F37</f>
        <v>0.26333000000000001</v>
      </c>
      <c r="M33" s="630">
        <f>'Rates in Detail'!I37</f>
        <v>-4.6100000000000012E-3</v>
      </c>
      <c r="N33" s="137">
        <f t="shared" si="1"/>
        <v>0.40593000000000001</v>
      </c>
      <c r="O33" s="628">
        <f>'Rates in Detail'!L37</f>
        <v>3.9980000000000002E-2</v>
      </c>
      <c r="P33" s="630">
        <f>'Rates in Detail'!P37</f>
        <v>-2.7499999999999998E-3</v>
      </c>
      <c r="Q33" s="630">
        <f>'Rates in Detail'!Q37</f>
        <v>0</v>
      </c>
      <c r="R33" s="255">
        <f t="shared" si="2"/>
        <v>3.7229999999999999E-2</v>
      </c>
      <c r="S33" s="628">
        <f>'Rates in Detail'!S37</f>
        <v>0</v>
      </c>
      <c r="T33" s="630">
        <f>'Rates in Detail'!T37</f>
        <v>-5.2100000000000002E-3</v>
      </c>
      <c r="U33" s="630">
        <f>'Rates in Detail'!U37</f>
        <v>0</v>
      </c>
      <c r="V33" s="261">
        <f t="shared" si="3"/>
        <v>3.202E-2</v>
      </c>
      <c r="W33" s="620"/>
      <c r="X33" s="117"/>
      <c r="Y33" s="117"/>
      <c r="Z33" s="117"/>
      <c r="AA33" s="117"/>
      <c r="AB33" s="117"/>
      <c r="AC33" s="349">
        <f t="shared" si="4"/>
        <v>0</v>
      </c>
      <c r="AE33" s="114">
        <f t="shared" si="5"/>
        <v>0.18443999999999999</v>
      </c>
      <c r="AF33" s="114"/>
      <c r="AG33" s="114">
        <f t="shared" si="6"/>
        <v>0</v>
      </c>
      <c r="AH33" s="114">
        <f t="shared" si="0"/>
        <v>0.26333000000000001</v>
      </c>
      <c r="AI33" s="114">
        <f t="shared" si="7"/>
        <v>-9.8200000000000023E-3</v>
      </c>
      <c r="AJ33" s="343">
        <f t="shared" si="8"/>
        <v>0.43795000000000001</v>
      </c>
      <c r="AK33" s="131"/>
      <c r="AL33" s="117">
        <f>'Rates in Detail'!Y37</f>
        <v>1.8749999999999999E-2</v>
      </c>
      <c r="AM33" s="117">
        <f>'Rates in Detail'!Z37</f>
        <v>-2.7E-4</v>
      </c>
      <c r="AN33" s="987">
        <f t="shared" si="9"/>
        <v>1.848E-2</v>
      </c>
      <c r="AO33" s="131"/>
      <c r="AP33" s="117"/>
      <c r="AQ33" s="117"/>
      <c r="AR33" s="117"/>
      <c r="AS33" s="117"/>
      <c r="AT33" s="117"/>
      <c r="AU33" s="349">
        <f t="shared" si="10"/>
        <v>0</v>
      </c>
      <c r="AW33" s="117">
        <f t="shared" si="11"/>
        <v>0.20318999999999998</v>
      </c>
      <c r="AX33" s="117">
        <f t="shared" si="12"/>
        <v>0</v>
      </c>
      <c r="AY33" s="117">
        <f t="shared" si="13"/>
        <v>0</v>
      </c>
      <c r="AZ33" s="117">
        <f t="shared" si="14"/>
        <v>0.26333000000000001</v>
      </c>
      <c r="BA33" s="117">
        <f t="shared" si="15"/>
        <v>-4.8800000000000015E-3</v>
      </c>
      <c r="BB33" s="344">
        <f t="shared" si="16"/>
        <v>0.46163999999999999</v>
      </c>
    </row>
    <row r="34" spans="2:54" x14ac:dyDescent="0.2">
      <c r="B34" s="110">
        <f t="shared" si="17"/>
        <v>26</v>
      </c>
      <c r="C34" s="906"/>
      <c r="D34" s="906" t="s">
        <v>5</v>
      </c>
      <c r="E34" s="115">
        <v>20000</v>
      </c>
      <c r="F34" s="116">
        <f>'WA Volumes &amp; Revenues'!E40</f>
        <v>655939.80000000005</v>
      </c>
      <c r="G34" s="116"/>
      <c r="H34" s="912"/>
      <c r="I34" s="913"/>
      <c r="J34" s="628">
        <f>'Rates in Detail'!E38</f>
        <v>0.13177</v>
      </c>
      <c r="K34" s="630">
        <f>'Rates in Detail'!H38</f>
        <v>0</v>
      </c>
      <c r="L34" s="630">
        <f>'Rates in Detail'!F38</f>
        <v>0.26333000000000001</v>
      </c>
      <c r="M34" s="630">
        <f>'Rates in Detail'!I38</f>
        <v>-5.1100000000000008E-3</v>
      </c>
      <c r="N34" s="137">
        <f t="shared" si="1"/>
        <v>0.38999</v>
      </c>
      <c r="O34" s="628">
        <f>'Rates in Detail'!L38</f>
        <v>3.5790000000000002E-2</v>
      </c>
      <c r="P34" s="630">
        <f>'Rates in Detail'!P38</f>
        <v>-2.4599999999999999E-3</v>
      </c>
      <c r="Q34" s="630">
        <f>'Rates in Detail'!Q38</f>
        <v>0</v>
      </c>
      <c r="R34" s="255">
        <f t="shared" si="2"/>
        <v>3.3330000000000005E-2</v>
      </c>
      <c r="S34" s="628">
        <f>'Rates in Detail'!S38</f>
        <v>0</v>
      </c>
      <c r="T34" s="630">
        <f>'Rates in Detail'!T38</f>
        <v>-4.6699999999999997E-3</v>
      </c>
      <c r="U34" s="630">
        <f>'Rates in Detail'!U38</f>
        <v>0</v>
      </c>
      <c r="V34" s="261">
        <f t="shared" si="3"/>
        <v>2.8660000000000005E-2</v>
      </c>
      <c r="W34" s="620"/>
      <c r="X34" s="117"/>
      <c r="Y34" s="117"/>
      <c r="Z34" s="117"/>
      <c r="AA34" s="117"/>
      <c r="AB34" s="117"/>
      <c r="AC34" s="349">
        <f t="shared" si="4"/>
        <v>0</v>
      </c>
      <c r="AE34" s="114">
        <f t="shared" si="5"/>
        <v>0.1651</v>
      </c>
      <c r="AF34" s="114"/>
      <c r="AG34" s="114">
        <f t="shared" si="6"/>
        <v>0</v>
      </c>
      <c r="AH34" s="114">
        <f t="shared" si="0"/>
        <v>0.26333000000000001</v>
      </c>
      <c r="AI34" s="114">
        <f t="shared" si="7"/>
        <v>-9.7800000000000005E-3</v>
      </c>
      <c r="AJ34" s="343">
        <f t="shared" si="8"/>
        <v>0.41864999999999997</v>
      </c>
      <c r="AK34" s="131"/>
      <c r="AL34" s="117">
        <f>'Rates in Detail'!Y38</f>
        <v>1.678E-2</v>
      </c>
      <c r="AM34" s="117">
        <f>'Rates in Detail'!Z38</f>
        <v>-2.4000000000000001E-4</v>
      </c>
      <c r="AN34" s="987">
        <f t="shared" si="9"/>
        <v>1.6539999999999999E-2</v>
      </c>
      <c r="AO34" s="131"/>
      <c r="AP34" s="117"/>
      <c r="AQ34" s="117"/>
      <c r="AR34" s="117"/>
      <c r="AS34" s="117"/>
      <c r="AT34" s="117"/>
      <c r="AU34" s="349">
        <f t="shared" si="10"/>
        <v>0</v>
      </c>
      <c r="AW34" s="117">
        <f t="shared" si="11"/>
        <v>0.18187999999999999</v>
      </c>
      <c r="AX34" s="117">
        <f t="shared" si="12"/>
        <v>0</v>
      </c>
      <c r="AY34" s="117">
        <f t="shared" si="13"/>
        <v>0</v>
      </c>
      <c r="AZ34" s="117">
        <f t="shared" si="14"/>
        <v>0.26333000000000001</v>
      </c>
      <c r="BA34" s="117">
        <f t="shared" si="15"/>
        <v>-5.3500000000000006E-3</v>
      </c>
      <c r="BB34" s="344">
        <f t="shared" si="16"/>
        <v>0.43985999999999997</v>
      </c>
    </row>
    <row r="35" spans="2:54" x14ac:dyDescent="0.2">
      <c r="B35" s="110">
        <f t="shared" si="17"/>
        <v>27</v>
      </c>
      <c r="C35" s="906"/>
      <c r="D35" s="906" t="s">
        <v>6</v>
      </c>
      <c r="E35" s="115">
        <v>20000</v>
      </c>
      <c r="F35" s="116">
        <f>'WA Volumes &amp; Revenues'!E41</f>
        <v>81241.3</v>
      </c>
      <c r="G35" s="116"/>
      <c r="H35" s="912"/>
      <c r="I35" s="913"/>
      <c r="J35" s="628">
        <f>'Rates in Detail'!E39</f>
        <v>0.10104999999999985</v>
      </c>
      <c r="K35" s="630">
        <f>'Rates in Detail'!H39</f>
        <v>0</v>
      </c>
      <c r="L35" s="630">
        <f>'Rates in Detail'!F39</f>
        <v>0.26333000000000001</v>
      </c>
      <c r="M35" s="630">
        <f>'Rates in Detail'!I39</f>
        <v>-6.0700000000000007E-3</v>
      </c>
      <c r="N35" s="137">
        <f t="shared" si="1"/>
        <v>0.35830999999999985</v>
      </c>
      <c r="O35" s="628">
        <f>'Rates in Detail'!L39</f>
        <v>2.7439999999999999E-2</v>
      </c>
      <c r="P35" s="630">
        <f>'Rates in Detail'!P39</f>
        <v>-1.89E-3</v>
      </c>
      <c r="Q35" s="630">
        <f>'Rates in Detail'!Q39</f>
        <v>0</v>
      </c>
      <c r="R35" s="255">
        <f t="shared" si="2"/>
        <v>2.555E-2</v>
      </c>
      <c r="S35" s="628">
        <f>'Rates in Detail'!S39</f>
        <v>0</v>
      </c>
      <c r="T35" s="630">
        <f>'Rates in Detail'!T39</f>
        <v>-3.5799999999999998E-3</v>
      </c>
      <c r="U35" s="630">
        <f>'Rates in Detail'!U39</f>
        <v>0</v>
      </c>
      <c r="V35" s="261">
        <f t="shared" si="3"/>
        <v>2.197E-2</v>
      </c>
      <c r="W35" s="620"/>
      <c r="X35" s="117"/>
      <c r="Y35" s="117"/>
      <c r="Z35" s="117"/>
      <c r="AA35" s="117"/>
      <c r="AB35" s="117"/>
      <c r="AC35" s="349">
        <f t="shared" si="4"/>
        <v>0</v>
      </c>
      <c r="AE35" s="114">
        <f t="shared" si="5"/>
        <v>0.12659999999999985</v>
      </c>
      <c r="AF35" s="114"/>
      <c r="AG35" s="114">
        <f t="shared" si="6"/>
        <v>0</v>
      </c>
      <c r="AH35" s="114">
        <f t="shared" si="0"/>
        <v>0.26333000000000001</v>
      </c>
      <c r="AI35" s="114">
        <f t="shared" si="7"/>
        <v>-9.6500000000000006E-3</v>
      </c>
      <c r="AJ35" s="343">
        <f t="shared" si="8"/>
        <v>0.3802799999999999</v>
      </c>
      <c r="AK35" s="131"/>
      <c r="AL35" s="117">
        <f>'Rates in Detail'!Y39</f>
        <v>1.2869999999999999E-2</v>
      </c>
      <c r="AM35" s="117">
        <f>'Rates in Detail'!Z39</f>
        <v>-1.8000000000000001E-4</v>
      </c>
      <c r="AN35" s="987">
        <f t="shared" si="9"/>
        <v>1.269E-2</v>
      </c>
      <c r="AO35" s="131"/>
      <c r="AP35" s="117"/>
      <c r="AQ35" s="117"/>
      <c r="AR35" s="117"/>
      <c r="AS35" s="117"/>
      <c r="AT35" s="117"/>
      <c r="AU35" s="349">
        <f t="shared" si="10"/>
        <v>0</v>
      </c>
      <c r="AW35" s="117">
        <f t="shared" si="11"/>
        <v>0.13946999999999984</v>
      </c>
      <c r="AX35" s="117">
        <f t="shared" si="12"/>
        <v>0</v>
      </c>
      <c r="AY35" s="117">
        <f t="shared" si="13"/>
        <v>0</v>
      </c>
      <c r="AZ35" s="117">
        <f t="shared" si="14"/>
        <v>0.26333000000000001</v>
      </c>
      <c r="BA35" s="117">
        <f t="shared" si="15"/>
        <v>-6.2500000000000003E-3</v>
      </c>
      <c r="BB35" s="344">
        <f t="shared" si="16"/>
        <v>0.39654999999999985</v>
      </c>
    </row>
    <row r="36" spans="2:54" x14ac:dyDescent="0.2">
      <c r="B36" s="110">
        <f t="shared" si="17"/>
        <v>28</v>
      </c>
      <c r="C36" s="906"/>
      <c r="D36" s="906" t="s">
        <v>7</v>
      </c>
      <c r="E36" s="115">
        <v>100000</v>
      </c>
      <c r="F36" s="116">
        <f>'WA Volumes &amp; Revenues'!E42</f>
        <v>9320.1</v>
      </c>
      <c r="G36" s="116"/>
      <c r="H36" s="912"/>
      <c r="I36" s="913"/>
      <c r="J36" s="628">
        <f>'Rates in Detail'!E40</f>
        <v>8.0839999999999995E-2</v>
      </c>
      <c r="K36" s="630">
        <f>'Rates in Detail'!H40</f>
        <v>0</v>
      </c>
      <c r="L36" s="630">
        <f>'Rates in Detail'!F40</f>
        <v>0.26333000000000001</v>
      </c>
      <c r="M36" s="630">
        <f>'Rates in Detail'!I40</f>
        <v>-6.7300000000000007E-3</v>
      </c>
      <c r="N36" s="137">
        <f t="shared" si="1"/>
        <v>0.33743999999999996</v>
      </c>
      <c r="O36" s="628">
        <f>'Rates in Detail'!L40</f>
        <v>2.196E-2</v>
      </c>
      <c r="P36" s="630">
        <f>'Rates in Detail'!P40</f>
        <v>-1.5100000000000001E-3</v>
      </c>
      <c r="Q36" s="630">
        <f>'Rates in Detail'!Q40</f>
        <v>0</v>
      </c>
      <c r="R36" s="255">
        <f t="shared" si="2"/>
        <v>2.0449999999999999E-2</v>
      </c>
      <c r="S36" s="628">
        <f>'Rates in Detail'!S40</f>
        <v>0</v>
      </c>
      <c r="T36" s="630">
        <f>'Rates in Detail'!T40</f>
        <v>-2.8600000000000001E-3</v>
      </c>
      <c r="U36" s="630">
        <f>'Rates in Detail'!U40</f>
        <v>0</v>
      </c>
      <c r="V36" s="261">
        <f t="shared" si="3"/>
        <v>1.7589999999999998E-2</v>
      </c>
      <c r="W36" s="620"/>
      <c r="X36" s="117"/>
      <c r="Y36" s="117"/>
      <c r="Z36" s="117"/>
      <c r="AA36" s="117"/>
      <c r="AB36" s="117"/>
      <c r="AC36" s="349">
        <f t="shared" si="4"/>
        <v>0</v>
      </c>
      <c r="AE36" s="114">
        <f t="shared" si="5"/>
        <v>0.10128999999999999</v>
      </c>
      <c r="AF36" s="114"/>
      <c r="AG36" s="114">
        <f t="shared" si="6"/>
        <v>0</v>
      </c>
      <c r="AH36" s="114">
        <f t="shared" si="0"/>
        <v>0.26333000000000001</v>
      </c>
      <c r="AI36" s="114">
        <f t="shared" si="7"/>
        <v>-9.5900000000000013E-3</v>
      </c>
      <c r="AJ36" s="343">
        <f t="shared" si="8"/>
        <v>0.35503000000000001</v>
      </c>
      <c r="AK36" s="131"/>
      <c r="AL36" s="117">
        <f>'Rates in Detail'!Y40</f>
        <v>1.03E-2</v>
      </c>
      <c r="AM36" s="117">
        <f>'Rates in Detail'!Z40</f>
        <v>-1.4999999999999999E-4</v>
      </c>
      <c r="AN36" s="987">
        <f t="shared" si="9"/>
        <v>1.0149999999999999E-2</v>
      </c>
      <c r="AO36" s="131"/>
      <c r="AP36" s="117"/>
      <c r="AQ36" s="117"/>
      <c r="AR36" s="117"/>
      <c r="AS36" s="117"/>
      <c r="AT36" s="117"/>
      <c r="AU36" s="349">
        <f t="shared" si="10"/>
        <v>0</v>
      </c>
      <c r="AW36" s="117">
        <f t="shared" si="11"/>
        <v>0.11158999999999999</v>
      </c>
      <c r="AX36" s="117">
        <f t="shared" si="12"/>
        <v>0</v>
      </c>
      <c r="AY36" s="117">
        <f t="shared" si="13"/>
        <v>0</v>
      </c>
      <c r="AZ36" s="117">
        <f t="shared" si="14"/>
        <v>0.26333000000000001</v>
      </c>
      <c r="BA36" s="117">
        <f t="shared" si="15"/>
        <v>-6.8800000000000007E-3</v>
      </c>
      <c r="BB36" s="344">
        <f t="shared" si="16"/>
        <v>0.36804000000000003</v>
      </c>
    </row>
    <row r="37" spans="2:54" x14ac:dyDescent="0.2">
      <c r="B37" s="110">
        <f t="shared" si="17"/>
        <v>29</v>
      </c>
      <c r="C37" s="906"/>
      <c r="D37" s="906" t="s">
        <v>8</v>
      </c>
      <c r="E37" s="115">
        <v>600000</v>
      </c>
      <c r="F37" s="116">
        <f>'WA Volumes &amp; Revenues'!E43</f>
        <v>0</v>
      </c>
      <c r="G37" s="116"/>
      <c r="H37" s="912"/>
      <c r="I37" s="913"/>
      <c r="J37" s="628">
        <f>'Rates in Detail'!E41</f>
        <v>5.391E-2</v>
      </c>
      <c r="K37" s="630">
        <f>'Rates in Detail'!H41</f>
        <v>0</v>
      </c>
      <c r="L37" s="630">
        <f>'Rates in Detail'!F41</f>
        <v>0.26333000000000001</v>
      </c>
      <c r="M37" s="630">
        <f>'Rates in Detail'!I41</f>
        <v>-7.5900000000000004E-3</v>
      </c>
      <c r="N37" s="137">
        <f t="shared" si="1"/>
        <v>0.30965000000000004</v>
      </c>
      <c r="O37" s="628">
        <f>'Rates in Detail'!L41</f>
        <v>1.464E-2</v>
      </c>
      <c r="P37" s="630">
        <f>'Rates in Detail'!P41</f>
        <v>-1.01E-3</v>
      </c>
      <c r="Q37" s="630">
        <f>'Rates in Detail'!Q41</f>
        <v>0</v>
      </c>
      <c r="R37" s="255">
        <f t="shared" si="2"/>
        <v>1.363E-2</v>
      </c>
      <c r="S37" s="628">
        <f>'Rates in Detail'!S41</f>
        <v>0</v>
      </c>
      <c r="T37" s="630">
        <f>'Rates in Detail'!T41</f>
        <v>-1.91E-3</v>
      </c>
      <c r="U37" s="630">
        <f>'Rates in Detail'!U41</f>
        <v>0</v>
      </c>
      <c r="V37" s="261">
        <f t="shared" si="3"/>
        <v>1.172E-2</v>
      </c>
      <c r="W37" s="620"/>
      <c r="X37" s="117"/>
      <c r="Y37" s="117"/>
      <c r="Z37" s="117"/>
      <c r="AA37" s="117"/>
      <c r="AB37" s="117"/>
      <c r="AC37" s="349">
        <f t="shared" si="4"/>
        <v>0</v>
      </c>
      <c r="AE37" s="114">
        <f t="shared" si="5"/>
        <v>6.7540000000000003E-2</v>
      </c>
      <c r="AF37" s="114"/>
      <c r="AG37" s="114">
        <f t="shared" si="6"/>
        <v>0</v>
      </c>
      <c r="AH37" s="114">
        <f t="shared" si="0"/>
        <v>0.26333000000000001</v>
      </c>
      <c r="AI37" s="114">
        <f t="shared" si="7"/>
        <v>-9.4999999999999998E-3</v>
      </c>
      <c r="AJ37" s="343">
        <f t="shared" si="8"/>
        <v>0.32136999999999999</v>
      </c>
      <c r="AK37" s="131"/>
      <c r="AL37" s="117">
        <f>'Rates in Detail'!Y41</f>
        <v>6.8700000000000002E-3</v>
      </c>
      <c r="AM37" s="117">
        <f>'Rates in Detail'!Z41</f>
        <v>-1E-4</v>
      </c>
      <c r="AN37" s="987">
        <f t="shared" si="9"/>
        <v>6.77E-3</v>
      </c>
      <c r="AO37" s="131"/>
      <c r="AP37" s="117"/>
      <c r="AQ37" s="117"/>
      <c r="AR37" s="117"/>
      <c r="AS37" s="117"/>
      <c r="AT37" s="117"/>
      <c r="AU37" s="349">
        <f t="shared" si="10"/>
        <v>0</v>
      </c>
      <c r="AW37" s="117">
        <f t="shared" si="11"/>
        <v>7.4410000000000004E-2</v>
      </c>
      <c r="AX37" s="117">
        <f t="shared" si="12"/>
        <v>0</v>
      </c>
      <c r="AY37" s="117">
        <f t="shared" si="13"/>
        <v>0</v>
      </c>
      <c r="AZ37" s="117">
        <f t="shared" si="14"/>
        <v>0.26333000000000001</v>
      </c>
      <c r="BA37" s="117">
        <f t="shared" si="15"/>
        <v>-7.6900000000000007E-3</v>
      </c>
      <c r="BB37" s="344">
        <f t="shared" si="16"/>
        <v>0.33005000000000007</v>
      </c>
    </row>
    <row r="38" spans="2:54" x14ac:dyDescent="0.2">
      <c r="B38" s="110">
        <f t="shared" si="17"/>
        <v>30</v>
      </c>
      <c r="C38" s="904"/>
      <c r="D38" s="904" t="s">
        <v>9</v>
      </c>
      <c r="E38" s="112" t="s">
        <v>74</v>
      </c>
      <c r="F38" s="113">
        <f>'WA Volumes &amp; Revenues'!E44</f>
        <v>0</v>
      </c>
      <c r="G38" s="113"/>
      <c r="H38" s="907"/>
      <c r="I38" s="909"/>
      <c r="J38" s="627">
        <f>'Rates in Detail'!E42</f>
        <v>2.0199999999999999E-2</v>
      </c>
      <c r="K38" s="631">
        <f>'Rates in Detail'!H42</f>
        <v>0</v>
      </c>
      <c r="L38" s="631">
        <f>'Rates in Detail'!F42</f>
        <v>0.26333000000000001</v>
      </c>
      <c r="M38" s="631">
        <f>'Rates in Detail'!I42</f>
        <v>-8.6700000000000006E-3</v>
      </c>
      <c r="N38" s="135">
        <f t="shared" si="1"/>
        <v>0.27485999999999999</v>
      </c>
      <c r="O38" s="627">
        <f>'Rates in Detail'!L42</f>
        <v>5.4900000000000001E-3</v>
      </c>
      <c r="P38" s="631">
        <f>'Rates in Detail'!P42</f>
        <v>-3.8000000000000002E-4</v>
      </c>
      <c r="Q38" s="631">
        <f>'Rates in Detail'!Q42</f>
        <v>0</v>
      </c>
      <c r="R38" s="254">
        <f t="shared" si="2"/>
        <v>5.11E-3</v>
      </c>
      <c r="S38" s="627">
        <f>'Rates in Detail'!S42</f>
        <v>0</v>
      </c>
      <c r="T38" s="631">
        <f>'Rates in Detail'!T42</f>
        <v>-7.2000000000000005E-4</v>
      </c>
      <c r="U38" s="631">
        <f>'Rates in Detail'!U42</f>
        <v>0</v>
      </c>
      <c r="V38" s="260">
        <f t="shared" si="3"/>
        <v>4.3899999999999998E-3</v>
      </c>
      <c r="W38" s="620"/>
      <c r="X38" s="114"/>
      <c r="Y38" s="114"/>
      <c r="Z38" s="114"/>
      <c r="AA38" s="114"/>
      <c r="AB38" s="114"/>
      <c r="AC38" s="348">
        <f t="shared" si="4"/>
        <v>0</v>
      </c>
      <c r="AE38" s="114">
        <f t="shared" si="5"/>
        <v>2.5309999999999999E-2</v>
      </c>
      <c r="AF38" s="114"/>
      <c r="AG38" s="114">
        <f t="shared" si="6"/>
        <v>0</v>
      </c>
      <c r="AH38" s="114">
        <f t="shared" si="0"/>
        <v>0.26333000000000001</v>
      </c>
      <c r="AI38" s="114">
        <f t="shared" si="7"/>
        <v>-9.3900000000000008E-3</v>
      </c>
      <c r="AJ38" s="343">
        <f t="shared" si="8"/>
        <v>0.27925</v>
      </c>
      <c r="AK38" s="131"/>
      <c r="AL38" s="114">
        <f>'Rates in Detail'!Y42</f>
        <v>2.5699999999999998E-3</v>
      </c>
      <c r="AM38" s="114">
        <f>'Rates in Detail'!Z42</f>
        <v>-4.0000000000000003E-5</v>
      </c>
      <c r="AN38" s="986">
        <f t="shared" si="9"/>
        <v>2.5299999999999997E-3</v>
      </c>
      <c r="AO38" s="131"/>
      <c r="AP38" s="114"/>
      <c r="AQ38" s="114"/>
      <c r="AR38" s="114"/>
      <c r="AS38" s="114"/>
      <c r="AT38" s="114"/>
      <c r="AU38" s="348">
        <f t="shared" si="10"/>
        <v>0</v>
      </c>
      <c r="AW38" s="114">
        <f t="shared" si="11"/>
        <v>2.7879999999999999E-2</v>
      </c>
      <c r="AX38" s="114">
        <f t="shared" si="12"/>
        <v>0</v>
      </c>
      <c r="AY38" s="114">
        <f t="shared" si="13"/>
        <v>0</v>
      </c>
      <c r="AZ38" s="114">
        <f t="shared" si="14"/>
        <v>0.26333000000000001</v>
      </c>
      <c r="BA38" s="114">
        <f t="shared" si="15"/>
        <v>-8.7100000000000007E-3</v>
      </c>
      <c r="BB38" s="343">
        <f t="shared" si="16"/>
        <v>0.28250000000000003</v>
      </c>
    </row>
    <row r="39" spans="2:54" x14ac:dyDescent="0.2">
      <c r="B39" s="110">
        <f t="shared" si="17"/>
        <v>31</v>
      </c>
      <c r="C39" s="906" t="str">
        <f>'WA Volumes &amp; Revenues'!B45</f>
        <v>42C Firm Transpt</v>
      </c>
      <c r="D39" s="906" t="s">
        <v>4</v>
      </c>
      <c r="E39" s="115">
        <v>10000</v>
      </c>
      <c r="F39" s="116">
        <f>'WA Volumes &amp; Revenues'!E45</f>
        <v>480000</v>
      </c>
      <c r="G39" s="116">
        <f>'WA Volumes &amp; Revenues'!H45</f>
        <v>4</v>
      </c>
      <c r="H39" s="912">
        <f>'WA Volumes &amp; Revenues'!O45</f>
        <v>1550</v>
      </c>
      <c r="I39" s="913">
        <f>'WA Volumes &amp; Revenues'!N45</f>
        <v>1550</v>
      </c>
      <c r="J39" s="628">
        <f>'Rates in Detail'!E43</f>
        <v>0.13791999999999999</v>
      </c>
      <c r="K39" s="630">
        <f>'Rates in Detail'!H43</f>
        <v>0</v>
      </c>
      <c r="L39" s="630">
        <f>'Rates in Detail'!F43</f>
        <v>0</v>
      </c>
      <c r="M39" s="630">
        <f>'Rates in Detail'!I43</f>
        <v>5.9999999999999995E-4</v>
      </c>
      <c r="N39" s="137">
        <f t="shared" si="1"/>
        <v>0.13851999999999998</v>
      </c>
      <c r="O39" s="628">
        <f>'Rates in Detail'!L43</f>
        <v>2.5399999999999999E-2</v>
      </c>
      <c r="P39" s="630">
        <f>'Rates in Detail'!P43</f>
        <v>-1.75E-3</v>
      </c>
      <c r="Q39" s="630">
        <f>'Rates in Detail'!Q43</f>
        <v>0</v>
      </c>
      <c r="R39" s="255">
        <f t="shared" si="2"/>
        <v>2.3649999999999997E-2</v>
      </c>
      <c r="S39" s="628">
        <f>'Rates in Detail'!S43</f>
        <v>0</v>
      </c>
      <c r="T39" s="630">
        <f>'Rates in Detail'!T43</f>
        <v>-3.31E-3</v>
      </c>
      <c r="U39" s="630">
        <f>'Rates in Detail'!U43</f>
        <v>0</v>
      </c>
      <c r="V39" s="261">
        <f t="shared" si="3"/>
        <v>2.0339999999999997E-2</v>
      </c>
      <c r="W39" s="620"/>
      <c r="X39" s="117"/>
      <c r="Y39" s="117"/>
      <c r="Z39" s="117"/>
      <c r="AA39" s="117"/>
      <c r="AB39" s="117"/>
      <c r="AC39" s="349">
        <f t="shared" si="4"/>
        <v>0</v>
      </c>
      <c r="AE39" s="114">
        <f t="shared" si="5"/>
        <v>0.16156999999999999</v>
      </c>
      <c r="AF39" s="114"/>
      <c r="AG39" s="114">
        <f t="shared" si="6"/>
        <v>0</v>
      </c>
      <c r="AH39" s="114">
        <f t="shared" si="0"/>
        <v>0</v>
      </c>
      <c r="AI39" s="114">
        <f t="shared" si="7"/>
        <v>-2.7100000000000002E-3</v>
      </c>
      <c r="AJ39" s="343">
        <f t="shared" si="8"/>
        <v>0.15886</v>
      </c>
      <c r="AK39" s="131"/>
      <c r="AL39" s="117">
        <f>'Rates in Detail'!Y43</f>
        <v>1.191E-2</v>
      </c>
      <c r="AM39" s="117">
        <f>'Rates in Detail'!Z43</f>
        <v>-1.7000000000000001E-4</v>
      </c>
      <c r="AN39" s="987">
        <f t="shared" si="9"/>
        <v>1.174E-2</v>
      </c>
      <c r="AO39" s="131"/>
      <c r="AP39" s="117"/>
      <c r="AQ39" s="117"/>
      <c r="AR39" s="117"/>
      <c r="AS39" s="117"/>
      <c r="AT39" s="117"/>
      <c r="AU39" s="349">
        <f t="shared" si="10"/>
        <v>0</v>
      </c>
      <c r="AW39" s="117">
        <f t="shared" si="11"/>
        <v>0.17348</v>
      </c>
      <c r="AX39" s="117">
        <f t="shared" si="12"/>
        <v>0</v>
      </c>
      <c r="AY39" s="117">
        <f t="shared" si="13"/>
        <v>0</v>
      </c>
      <c r="AZ39" s="117">
        <f t="shared" si="14"/>
        <v>0</v>
      </c>
      <c r="BA39" s="117">
        <f t="shared" si="15"/>
        <v>4.2999999999999994E-4</v>
      </c>
      <c r="BB39" s="344">
        <f t="shared" si="16"/>
        <v>0.17391000000000001</v>
      </c>
    </row>
    <row r="40" spans="2:54" x14ac:dyDescent="0.2">
      <c r="B40" s="110">
        <f t="shared" si="17"/>
        <v>32</v>
      </c>
      <c r="C40" s="906"/>
      <c r="D40" s="906" t="s">
        <v>5</v>
      </c>
      <c r="E40" s="115">
        <v>20000</v>
      </c>
      <c r="F40" s="116">
        <f>'WA Volumes &amp; Revenues'!E46</f>
        <v>807846</v>
      </c>
      <c r="G40" s="116"/>
      <c r="H40" s="912"/>
      <c r="I40" s="913"/>
      <c r="J40" s="628">
        <f>'Rates in Detail'!E44</f>
        <v>0.12346999999999998</v>
      </c>
      <c r="K40" s="630">
        <f>'Rates in Detail'!H44</f>
        <v>0</v>
      </c>
      <c r="L40" s="630">
        <f>'Rates in Detail'!F44</f>
        <v>0</v>
      </c>
      <c r="M40" s="630">
        <f>'Rates in Detail'!I44</f>
        <v>5.2999999999999998E-4</v>
      </c>
      <c r="N40" s="137">
        <f t="shared" si="1"/>
        <v>0.12399999999999999</v>
      </c>
      <c r="O40" s="628">
        <f>'Rates in Detail'!L44</f>
        <v>2.274E-2</v>
      </c>
      <c r="P40" s="630">
        <f>'Rates in Detail'!P44</f>
        <v>-1.57E-3</v>
      </c>
      <c r="Q40" s="630">
        <f>'Rates in Detail'!Q44</f>
        <v>0</v>
      </c>
      <c r="R40" s="255">
        <f t="shared" si="2"/>
        <v>2.1170000000000001E-2</v>
      </c>
      <c r="S40" s="628">
        <f>'Rates in Detail'!S44</f>
        <v>0</v>
      </c>
      <c r="T40" s="630">
        <f>'Rates in Detail'!T44</f>
        <v>-2.96E-3</v>
      </c>
      <c r="U40" s="630">
        <f>'Rates in Detail'!U44</f>
        <v>0</v>
      </c>
      <c r="V40" s="261">
        <f t="shared" si="3"/>
        <v>1.821E-2</v>
      </c>
      <c r="W40" s="620"/>
      <c r="X40" s="117"/>
      <c r="Y40" s="117"/>
      <c r="Z40" s="117"/>
      <c r="AA40" s="117"/>
      <c r="AB40" s="117"/>
      <c r="AC40" s="349">
        <f t="shared" si="4"/>
        <v>0</v>
      </c>
      <c r="AE40" s="114">
        <f t="shared" si="5"/>
        <v>0.14463999999999999</v>
      </c>
      <c r="AF40" s="114"/>
      <c r="AG40" s="114">
        <f t="shared" si="6"/>
        <v>0</v>
      </c>
      <c r="AH40" s="114">
        <f t="shared" si="0"/>
        <v>0</v>
      </c>
      <c r="AI40" s="114">
        <f t="shared" si="7"/>
        <v>-2.4299999999999999E-3</v>
      </c>
      <c r="AJ40" s="343">
        <f t="shared" si="8"/>
        <v>0.14221</v>
      </c>
      <c r="AK40" s="131"/>
      <c r="AL40" s="117">
        <f>'Rates in Detail'!Y44</f>
        <v>1.0659999999999999E-2</v>
      </c>
      <c r="AM40" s="117">
        <f>'Rates in Detail'!Z44</f>
        <v>-1.4999999999999999E-4</v>
      </c>
      <c r="AN40" s="987">
        <f t="shared" si="9"/>
        <v>1.0509999999999999E-2</v>
      </c>
      <c r="AO40" s="131"/>
      <c r="AP40" s="117"/>
      <c r="AQ40" s="117"/>
      <c r="AR40" s="117"/>
      <c r="AS40" s="117"/>
      <c r="AT40" s="117"/>
      <c r="AU40" s="349">
        <f t="shared" si="10"/>
        <v>0</v>
      </c>
      <c r="AW40" s="117">
        <f t="shared" si="11"/>
        <v>0.15529999999999999</v>
      </c>
      <c r="AX40" s="117">
        <f t="shared" si="12"/>
        <v>0</v>
      </c>
      <c r="AY40" s="117">
        <f t="shared" si="13"/>
        <v>0</v>
      </c>
      <c r="AZ40" s="117">
        <f t="shared" si="14"/>
        <v>0</v>
      </c>
      <c r="BA40" s="117">
        <f t="shared" si="15"/>
        <v>3.8000000000000002E-4</v>
      </c>
      <c r="BB40" s="344">
        <f t="shared" si="16"/>
        <v>0.15567999999999999</v>
      </c>
    </row>
    <row r="41" spans="2:54" x14ac:dyDescent="0.2">
      <c r="B41" s="110">
        <f t="shared" si="17"/>
        <v>33</v>
      </c>
      <c r="C41" s="906"/>
      <c r="D41" s="906" t="s">
        <v>6</v>
      </c>
      <c r="E41" s="115">
        <v>20000</v>
      </c>
      <c r="F41" s="116">
        <f>'WA Volumes &amp; Revenues'!E47</f>
        <v>583779</v>
      </c>
      <c r="G41" s="116"/>
      <c r="H41" s="912"/>
      <c r="I41" s="913"/>
      <c r="J41" s="628">
        <f>'Rates in Detail'!E45</f>
        <v>9.4670000000000004E-2</v>
      </c>
      <c r="K41" s="630">
        <f>'Rates in Detail'!H45</f>
        <v>0</v>
      </c>
      <c r="L41" s="630">
        <f>'Rates in Detail'!F45</f>
        <v>0</v>
      </c>
      <c r="M41" s="630">
        <f>'Rates in Detail'!I45</f>
        <v>4.1000000000000005E-4</v>
      </c>
      <c r="N41" s="137">
        <f t="shared" si="1"/>
        <v>9.5079999999999998E-2</v>
      </c>
      <c r="O41" s="628">
        <f>'Rates in Detail'!L45</f>
        <v>1.7440000000000001E-2</v>
      </c>
      <c r="P41" s="630">
        <f>'Rates in Detail'!P45</f>
        <v>-1.1999999999999999E-3</v>
      </c>
      <c r="Q41" s="630">
        <f>'Rates in Detail'!Q45</f>
        <v>0</v>
      </c>
      <c r="R41" s="255">
        <f t="shared" si="2"/>
        <v>1.6240000000000001E-2</v>
      </c>
      <c r="S41" s="628">
        <f>'Rates in Detail'!S45</f>
        <v>0</v>
      </c>
      <c r="T41" s="630">
        <f>'Rates in Detail'!T45</f>
        <v>-2.2699999999999999E-3</v>
      </c>
      <c r="U41" s="630">
        <f>'Rates in Detail'!U45</f>
        <v>0</v>
      </c>
      <c r="V41" s="261">
        <f t="shared" ref="V41:V72" si="18">SUM(R41:U41)</f>
        <v>1.3970000000000002E-2</v>
      </c>
      <c r="W41" s="620"/>
      <c r="X41" s="117"/>
      <c r="Y41" s="117"/>
      <c r="Z41" s="117"/>
      <c r="AA41" s="117"/>
      <c r="AB41" s="117"/>
      <c r="AC41" s="349">
        <f t="shared" si="4"/>
        <v>0</v>
      </c>
      <c r="AE41" s="114">
        <f t="shared" si="5"/>
        <v>0.11091000000000001</v>
      </c>
      <c r="AF41" s="114"/>
      <c r="AG41" s="114">
        <f t="shared" ref="AG41:AG77" si="19">Z41+K41</f>
        <v>0</v>
      </c>
      <c r="AH41" s="114">
        <f t="shared" ref="AH41:AH77" si="20">AA41+L41</f>
        <v>0</v>
      </c>
      <c r="AI41" s="114">
        <f t="shared" si="7"/>
        <v>-1.8599999999999999E-3</v>
      </c>
      <c r="AJ41" s="343">
        <f t="shared" si="8"/>
        <v>0.10905000000000001</v>
      </c>
      <c r="AK41" s="131"/>
      <c r="AL41" s="117">
        <f>'Rates in Detail'!Y45</f>
        <v>8.1799999999999998E-3</v>
      </c>
      <c r="AM41" s="117">
        <f>'Rates in Detail'!Z45</f>
        <v>-1.2E-4</v>
      </c>
      <c r="AN41" s="987">
        <f t="shared" si="9"/>
        <v>8.0599999999999995E-3</v>
      </c>
      <c r="AO41" s="131"/>
      <c r="AP41" s="117"/>
      <c r="AQ41" s="117"/>
      <c r="AR41" s="117"/>
      <c r="AS41" s="117"/>
      <c r="AT41" s="117"/>
      <c r="AU41" s="349">
        <f t="shared" si="10"/>
        <v>0</v>
      </c>
      <c r="AW41" s="117">
        <f t="shared" si="11"/>
        <v>0.11909</v>
      </c>
      <c r="AX41" s="117">
        <f t="shared" si="12"/>
        <v>0</v>
      </c>
      <c r="AY41" s="117">
        <f t="shared" si="13"/>
        <v>0</v>
      </c>
      <c r="AZ41" s="117">
        <f t="shared" si="14"/>
        <v>0</v>
      </c>
      <c r="BA41" s="117">
        <f t="shared" si="15"/>
        <v>2.9000000000000006E-4</v>
      </c>
      <c r="BB41" s="344">
        <f t="shared" si="16"/>
        <v>0.11938</v>
      </c>
    </row>
    <row r="42" spans="2:54" x14ac:dyDescent="0.2">
      <c r="B42" s="110">
        <f t="shared" si="17"/>
        <v>34</v>
      </c>
      <c r="C42" s="906"/>
      <c r="D42" s="906" t="s">
        <v>7</v>
      </c>
      <c r="E42" s="115">
        <v>100000</v>
      </c>
      <c r="F42" s="116">
        <f>'WA Volumes &amp; Revenues'!E48</f>
        <v>598933</v>
      </c>
      <c r="G42" s="116"/>
      <c r="H42" s="912"/>
      <c r="I42" s="913"/>
      <c r="J42" s="628">
        <f>'Rates in Detail'!E46</f>
        <v>7.5750000000000012E-2</v>
      </c>
      <c r="K42" s="630">
        <f>'Rates in Detail'!H46</f>
        <v>0</v>
      </c>
      <c r="L42" s="630">
        <f>'Rates in Detail'!F46</f>
        <v>0</v>
      </c>
      <c r="M42" s="630">
        <f>'Rates in Detail'!I46</f>
        <v>3.1999999999999997E-4</v>
      </c>
      <c r="N42" s="137">
        <f t="shared" si="1"/>
        <v>7.6070000000000013E-2</v>
      </c>
      <c r="O42" s="628">
        <f>'Rates in Detail'!L46</f>
        <v>1.3950000000000001E-2</v>
      </c>
      <c r="P42" s="630">
        <f>'Rates in Detail'!P46</f>
        <v>-9.6000000000000002E-4</v>
      </c>
      <c r="Q42" s="630">
        <f>'Rates in Detail'!Q46</f>
        <v>0</v>
      </c>
      <c r="R42" s="255">
        <f t="shared" si="2"/>
        <v>1.299E-2</v>
      </c>
      <c r="S42" s="628">
        <f>'Rates in Detail'!S46</f>
        <v>0</v>
      </c>
      <c r="T42" s="630">
        <f>'Rates in Detail'!T46</f>
        <v>-1.82E-3</v>
      </c>
      <c r="U42" s="630">
        <f>'Rates in Detail'!U46</f>
        <v>0</v>
      </c>
      <c r="V42" s="261">
        <f t="shared" si="18"/>
        <v>1.1169999999999999E-2</v>
      </c>
      <c r="W42" s="620"/>
      <c r="X42" s="117"/>
      <c r="Y42" s="117"/>
      <c r="Z42" s="117"/>
      <c r="AA42" s="117"/>
      <c r="AB42" s="117"/>
      <c r="AC42" s="349">
        <f t="shared" si="4"/>
        <v>0</v>
      </c>
      <c r="AE42" s="114">
        <f t="shared" si="5"/>
        <v>8.8740000000000013E-2</v>
      </c>
      <c r="AF42" s="114"/>
      <c r="AG42" s="114">
        <f t="shared" si="19"/>
        <v>0</v>
      </c>
      <c r="AH42" s="114">
        <f t="shared" si="20"/>
        <v>0</v>
      </c>
      <c r="AI42" s="114">
        <f t="shared" si="7"/>
        <v>-1.5E-3</v>
      </c>
      <c r="AJ42" s="343">
        <f t="shared" si="8"/>
        <v>8.7240000000000012E-2</v>
      </c>
      <c r="AK42" s="131"/>
      <c r="AL42" s="117">
        <f>'Rates in Detail'!Y46</f>
        <v>6.5399999999999998E-3</v>
      </c>
      <c r="AM42" s="117">
        <f>'Rates in Detail'!Z46</f>
        <v>-9.0000000000000006E-5</v>
      </c>
      <c r="AN42" s="987">
        <f t="shared" si="9"/>
        <v>6.45E-3</v>
      </c>
      <c r="AO42" s="131"/>
      <c r="AP42" s="117"/>
      <c r="AQ42" s="117"/>
      <c r="AR42" s="117"/>
      <c r="AS42" s="117"/>
      <c r="AT42" s="117"/>
      <c r="AU42" s="349">
        <f t="shared" si="10"/>
        <v>0</v>
      </c>
      <c r="AW42" s="117">
        <f t="shared" si="11"/>
        <v>9.5280000000000017E-2</v>
      </c>
      <c r="AX42" s="117">
        <f t="shared" si="12"/>
        <v>0</v>
      </c>
      <c r="AY42" s="117">
        <f t="shared" si="13"/>
        <v>0</v>
      </c>
      <c r="AZ42" s="117">
        <f t="shared" si="14"/>
        <v>0</v>
      </c>
      <c r="BA42" s="117">
        <f t="shared" si="15"/>
        <v>2.2999999999999995E-4</v>
      </c>
      <c r="BB42" s="344">
        <f t="shared" si="16"/>
        <v>9.5510000000000012E-2</v>
      </c>
    </row>
    <row r="43" spans="2:54" x14ac:dyDescent="0.2">
      <c r="B43" s="110">
        <f t="shared" si="17"/>
        <v>35</v>
      </c>
      <c r="C43" s="906"/>
      <c r="D43" s="906" t="s">
        <v>8</v>
      </c>
      <c r="E43" s="115">
        <v>600000</v>
      </c>
      <c r="F43" s="116">
        <f>'WA Volumes &amp; Revenues'!E49</f>
        <v>0</v>
      </c>
      <c r="G43" s="116"/>
      <c r="H43" s="912"/>
      <c r="I43" s="913"/>
      <c r="J43" s="628">
        <f>'Rates in Detail'!E47</f>
        <v>5.0500000000000003E-2</v>
      </c>
      <c r="K43" s="630">
        <f>'Rates in Detail'!H47</f>
        <v>0</v>
      </c>
      <c r="L43" s="630">
        <f>'Rates in Detail'!F47</f>
        <v>0</v>
      </c>
      <c r="M43" s="630">
        <f>'Rates in Detail'!I47</f>
        <v>2.1000000000000001E-4</v>
      </c>
      <c r="N43" s="137">
        <f t="shared" si="1"/>
        <v>5.0710000000000005E-2</v>
      </c>
      <c r="O43" s="628">
        <f>'Rates in Detail'!L47</f>
        <v>9.2999999999999992E-3</v>
      </c>
      <c r="P43" s="630">
        <f>'Rates in Detail'!P47</f>
        <v>-6.4000000000000005E-4</v>
      </c>
      <c r="Q43" s="630">
        <f>'Rates in Detail'!Q47</f>
        <v>0</v>
      </c>
      <c r="R43" s="255">
        <f t="shared" si="2"/>
        <v>8.6599999999999993E-3</v>
      </c>
      <c r="S43" s="628">
        <f>'Rates in Detail'!S47</f>
        <v>0</v>
      </c>
      <c r="T43" s="630">
        <f>'Rates in Detail'!T47</f>
        <v>-1.2099999999999999E-3</v>
      </c>
      <c r="U43" s="630">
        <f>'Rates in Detail'!U47</f>
        <v>0</v>
      </c>
      <c r="V43" s="261">
        <f t="shared" si="18"/>
        <v>7.4499999999999992E-3</v>
      </c>
      <c r="W43" s="620"/>
      <c r="X43" s="117"/>
      <c r="Y43" s="117"/>
      <c r="Z43" s="117"/>
      <c r="AA43" s="117"/>
      <c r="AB43" s="117"/>
      <c r="AC43" s="349">
        <f t="shared" si="4"/>
        <v>0</v>
      </c>
      <c r="AE43" s="114">
        <f t="shared" si="5"/>
        <v>5.9160000000000004E-2</v>
      </c>
      <c r="AF43" s="114"/>
      <c r="AG43" s="114">
        <f t="shared" si="19"/>
        <v>0</v>
      </c>
      <c r="AH43" s="114">
        <f t="shared" si="20"/>
        <v>0</v>
      </c>
      <c r="AI43" s="114">
        <f t="shared" si="7"/>
        <v>-1E-3</v>
      </c>
      <c r="AJ43" s="343">
        <f t="shared" si="8"/>
        <v>5.8160000000000003E-2</v>
      </c>
      <c r="AK43" s="131"/>
      <c r="AL43" s="117">
        <f>'Rates in Detail'!Y47</f>
        <v>4.3600000000000002E-3</v>
      </c>
      <c r="AM43" s="117">
        <f>'Rates in Detail'!Z47</f>
        <v>-6.0000000000000002E-5</v>
      </c>
      <c r="AN43" s="987">
        <f t="shared" si="9"/>
        <v>4.3E-3</v>
      </c>
      <c r="AO43" s="131"/>
      <c r="AP43" s="117"/>
      <c r="AQ43" s="117"/>
      <c r="AR43" s="117"/>
      <c r="AS43" s="117"/>
      <c r="AT43" s="117"/>
      <c r="AU43" s="349">
        <f t="shared" si="10"/>
        <v>0</v>
      </c>
      <c r="AW43" s="117">
        <f t="shared" si="11"/>
        <v>6.3520000000000007E-2</v>
      </c>
      <c r="AX43" s="117">
        <f t="shared" si="12"/>
        <v>0</v>
      </c>
      <c r="AY43" s="117">
        <f t="shared" si="13"/>
        <v>0</v>
      </c>
      <c r="AZ43" s="117">
        <f t="shared" si="14"/>
        <v>0</v>
      </c>
      <c r="BA43" s="117">
        <f t="shared" si="15"/>
        <v>1.5000000000000001E-4</v>
      </c>
      <c r="BB43" s="344">
        <f t="shared" si="16"/>
        <v>6.3670000000000004E-2</v>
      </c>
    </row>
    <row r="44" spans="2:54" x14ac:dyDescent="0.2">
      <c r="B44" s="110">
        <f t="shared" si="17"/>
        <v>36</v>
      </c>
      <c r="C44" s="904"/>
      <c r="D44" s="904" t="s">
        <v>9</v>
      </c>
      <c r="E44" s="112" t="s">
        <v>74</v>
      </c>
      <c r="F44" s="113">
        <f>'WA Volumes &amp; Revenues'!E50</f>
        <v>0</v>
      </c>
      <c r="G44" s="113"/>
      <c r="H44" s="907"/>
      <c r="I44" s="909"/>
      <c r="J44" s="627">
        <f>'Rates in Detail'!E48</f>
        <v>1.8929999999999999E-2</v>
      </c>
      <c r="K44" s="631">
        <f>'Rates in Detail'!H48</f>
        <v>0</v>
      </c>
      <c r="L44" s="631">
        <f>'Rates in Detail'!F48</f>
        <v>0</v>
      </c>
      <c r="M44" s="631">
        <f>'Rates in Detail'!I48</f>
        <v>7.9999999999999993E-5</v>
      </c>
      <c r="N44" s="135">
        <f t="shared" si="1"/>
        <v>1.9009999999999999E-2</v>
      </c>
      <c r="O44" s="627">
        <f>'Rates in Detail'!L48</f>
        <v>3.49E-3</v>
      </c>
      <c r="P44" s="631">
        <f>'Rates in Detail'!P48</f>
        <v>-2.4000000000000001E-4</v>
      </c>
      <c r="Q44" s="631">
        <f>'Rates in Detail'!Q48</f>
        <v>0</v>
      </c>
      <c r="R44" s="254">
        <f t="shared" si="2"/>
        <v>3.2499999999999999E-3</v>
      </c>
      <c r="S44" s="627">
        <f>'Rates in Detail'!S48</f>
        <v>0</v>
      </c>
      <c r="T44" s="631">
        <f>'Rates in Detail'!T48</f>
        <v>-4.4999999999999999E-4</v>
      </c>
      <c r="U44" s="631">
        <f>'Rates in Detail'!U48</f>
        <v>0</v>
      </c>
      <c r="V44" s="260">
        <f t="shared" si="18"/>
        <v>2.8E-3</v>
      </c>
      <c r="W44" s="620"/>
      <c r="X44" s="114"/>
      <c r="Y44" s="114"/>
      <c r="Z44" s="114"/>
      <c r="AA44" s="114"/>
      <c r="AB44" s="114"/>
      <c r="AC44" s="348">
        <f t="shared" si="4"/>
        <v>0</v>
      </c>
      <c r="AE44" s="114">
        <f t="shared" si="5"/>
        <v>2.2179999999999998E-2</v>
      </c>
      <c r="AF44" s="114"/>
      <c r="AG44" s="114">
        <f t="shared" si="19"/>
        <v>0</v>
      </c>
      <c r="AH44" s="114">
        <f t="shared" si="20"/>
        <v>0</v>
      </c>
      <c r="AI44" s="114">
        <f t="shared" si="7"/>
        <v>-3.6999999999999999E-4</v>
      </c>
      <c r="AJ44" s="343">
        <f t="shared" si="8"/>
        <v>2.181E-2</v>
      </c>
      <c r="AK44" s="131"/>
      <c r="AL44" s="114">
        <f>'Rates in Detail'!Y48</f>
        <v>1.64E-3</v>
      </c>
      <c r="AM44" s="114">
        <f>'Rates in Detail'!Z48</f>
        <v>-2.0000000000000002E-5</v>
      </c>
      <c r="AN44" s="986">
        <f t="shared" si="9"/>
        <v>1.6199999999999999E-3</v>
      </c>
      <c r="AO44" s="131"/>
      <c r="AP44" s="114"/>
      <c r="AQ44" s="114"/>
      <c r="AR44" s="114"/>
      <c r="AS44" s="114"/>
      <c r="AT44" s="114"/>
      <c r="AU44" s="348">
        <f t="shared" si="10"/>
        <v>0</v>
      </c>
      <c r="AW44" s="114">
        <f t="shared" si="11"/>
        <v>2.3819999999999997E-2</v>
      </c>
      <c r="AX44" s="114">
        <f t="shared" si="12"/>
        <v>0</v>
      </c>
      <c r="AY44" s="114">
        <f t="shared" si="13"/>
        <v>0</v>
      </c>
      <c r="AZ44" s="114">
        <f t="shared" si="14"/>
        <v>0</v>
      </c>
      <c r="BA44" s="114">
        <f t="shared" si="15"/>
        <v>5.9999999999999995E-5</v>
      </c>
      <c r="BB44" s="343">
        <f t="shared" si="16"/>
        <v>2.3879999999999998E-2</v>
      </c>
    </row>
    <row r="45" spans="2:54" x14ac:dyDescent="0.2">
      <c r="B45" s="110">
        <f t="shared" si="17"/>
        <v>37</v>
      </c>
      <c r="C45" s="906" t="str">
        <f>'WA Volumes &amp; Revenues'!B51</f>
        <v>42I Firm Transpt</v>
      </c>
      <c r="D45" s="906" t="s">
        <v>4</v>
      </c>
      <c r="E45" s="115">
        <v>10000</v>
      </c>
      <c r="F45" s="116">
        <f>'WA Volumes &amp; Revenues'!E51</f>
        <v>924395</v>
      </c>
      <c r="G45" s="116">
        <f>'WA Volumes &amp; Revenues'!H51</f>
        <v>8.9166666666666661</v>
      </c>
      <c r="H45" s="912">
        <f>'WA Volumes &amp; Revenues'!O51</f>
        <v>1550</v>
      </c>
      <c r="I45" s="913">
        <f>'WA Volumes &amp; Revenues'!N51</f>
        <v>1550</v>
      </c>
      <c r="J45" s="628">
        <f>'Rates in Detail'!E49</f>
        <v>0.13941000000000001</v>
      </c>
      <c r="K45" s="630">
        <f>'Rates in Detail'!H49</f>
        <v>0</v>
      </c>
      <c r="L45" s="630">
        <f>'Rates in Detail'!F49</f>
        <v>0</v>
      </c>
      <c r="M45" s="630">
        <f>'Rates in Detail'!I49</f>
        <v>5.8999999999999992E-4</v>
      </c>
      <c r="N45" s="137">
        <f t="shared" si="1"/>
        <v>0.14000000000000001</v>
      </c>
      <c r="O45" s="628">
        <f>'Rates in Detail'!L49</f>
        <v>2.5739999999999999E-2</v>
      </c>
      <c r="P45" s="630">
        <f>'Rates in Detail'!P49</f>
        <v>-1.7700000000000001E-3</v>
      </c>
      <c r="Q45" s="630">
        <f>'Rates in Detail'!Q49</f>
        <v>0</v>
      </c>
      <c r="R45" s="255">
        <f t="shared" si="2"/>
        <v>2.3969999999999998E-2</v>
      </c>
      <c r="S45" s="628">
        <f>'Rates in Detail'!S49</f>
        <v>0</v>
      </c>
      <c r="T45" s="630">
        <f>'Rates in Detail'!T49</f>
        <v>-3.3600000000000001E-3</v>
      </c>
      <c r="U45" s="630">
        <f>'Rates in Detail'!U49</f>
        <v>0</v>
      </c>
      <c r="V45" s="261">
        <f t="shared" si="18"/>
        <v>2.0609999999999996E-2</v>
      </c>
      <c r="W45" s="620"/>
      <c r="X45" s="117"/>
      <c r="Y45" s="117"/>
      <c r="Z45" s="117"/>
      <c r="AA45" s="117"/>
      <c r="AB45" s="117"/>
      <c r="AC45" s="349">
        <f t="shared" si="4"/>
        <v>0</v>
      </c>
      <c r="AE45" s="114">
        <f t="shared" si="5"/>
        <v>0.16338</v>
      </c>
      <c r="AF45" s="114"/>
      <c r="AG45" s="114">
        <f t="shared" si="19"/>
        <v>0</v>
      </c>
      <c r="AH45" s="114">
        <f t="shared" si="20"/>
        <v>0</v>
      </c>
      <c r="AI45" s="114">
        <f t="shared" si="7"/>
        <v>-2.7700000000000003E-3</v>
      </c>
      <c r="AJ45" s="343">
        <f t="shared" si="8"/>
        <v>0.16061</v>
      </c>
      <c r="AK45" s="131"/>
      <c r="AL45" s="117">
        <f>'Rates in Detail'!Y49</f>
        <v>1.2070000000000001E-2</v>
      </c>
      <c r="AM45" s="117">
        <f>'Rates in Detail'!Z49</f>
        <v>-1.7000000000000001E-4</v>
      </c>
      <c r="AN45" s="987">
        <f t="shared" si="9"/>
        <v>1.1900000000000001E-2</v>
      </c>
      <c r="AO45" s="131"/>
      <c r="AP45" s="117"/>
      <c r="AQ45" s="117"/>
      <c r="AR45" s="117"/>
      <c r="AS45" s="117"/>
      <c r="AT45" s="117"/>
      <c r="AU45" s="349">
        <f t="shared" si="10"/>
        <v>0</v>
      </c>
      <c r="AW45" s="117">
        <f t="shared" si="11"/>
        <v>0.17544999999999999</v>
      </c>
      <c r="AX45" s="117">
        <f t="shared" si="12"/>
        <v>0</v>
      </c>
      <c r="AY45" s="117">
        <f t="shared" si="13"/>
        <v>0</v>
      </c>
      <c r="AZ45" s="117">
        <f t="shared" si="14"/>
        <v>0</v>
      </c>
      <c r="BA45" s="117">
        <f t="shared" si="15"/>
        <v>4.1999999999999991E-4</v>
      </c>
      <c r="BB45" s="344">
        <f t="shared" si="16"/>
        <v>0.17587</v>
      </c>
    </row>
    <row r="46" spans="2:54" x14ac:dyDescent="0.2">
      <c r="B46" s="110">
        <f t="shared" si="17"/>
        <v>38</v>
      </c>
      <c r="C46" s="906"/>
      <c r="D46" s="906" t="s">
        <v>5</v>
      </c>
      <c r="E46" s="115">
        <v>20000</v>
      </c>
      <c r="F46" s="116">
        <f>'WA Volumes &amp; Revenues'!E52</f>
        <v>1036796</v>
      </c>
      <c r="G46" s="116"/>
      <c r="H46" s="912"/>
      <c r="I46" s="913"/>
      <c r="J46" s="628">
        <f>'Rates in Detail'!E50</f>
        <v>0.12478999999999997</v>
      </c>
      <c r="K46" s="630">
        <f>'Rates in Detail'!H50</f>
        <v>0</v>
      </c>
      <c r="L46" s="630">
        <f>'Rates in Detail'!F50</f>
        <v>0</v>
      </c>
      <c r="M46" s="630">
        <f>'Rates in Detail'!I50</f>
        <v>5.2000000000000006E-4</v>
      </c>
      <c r="N46" s="137">
        <f t="shared" si="1"/>
        <v>0.12530999999999998</v>
      </c>
      <c r="O46" s="628">
        <f>'Rates in Detail'!L50</f>
        <v>2.3040000000000001E-2</v>
      </c>
      <c r="P46" s="630">
        <f>'Rates in Detail'!P50</f>
        <v>-1.5900000000000001E-3</v>
      </c>
      <c r="Q46" s="630">
        <f>'Rates in Detail'!Q50</f>
        <v>0</v>
      </c>
      <c r="R46" s="255">
        <f t="shared" si="2"/>
        <v>2.145E-2</v>
      </c>
      <c r="S46" s="628">
        <f>'Rates in Detail'!S50</f>
        <v>0</v>
      </c>
      <c r="T46" s="630">
        <f>'Rates in Detail'!T50</f>
        <v>-3.0000000000000001E-3</v>
      </c>
      <c r="U46" s="630">
        <f>'Rates in Detail'!U50</f>
        <v>0</v>
      </c>
      <c r="V46" s="261">
        <f t="shared" si="18"/>
        <v>1.8450000000000001E-2</v>
      </c>
      <c r="W46" s="620"/>
      <c r="X46" s="117"/>
      <c r="Y46" s="117"/>
      <c r="Z46" s="117"/>
      <c r="AA46" s="117"/>
      <c r="AB46" s="117"/>
      <c r="AC46" s="349">
        <f t="shared" si="4"/>
        <v>0</v>
      </c>
      <c r="AE46" s="114">
        <f t="shared" si="5"/>
        <v>0.14623999999999998</v>
      </c>
      <c r="AF46" s="114"/>
      <c r="AG46" s="114">
        <f t="shared" si="19"/>
        <v>0</v>
      </c>
      <c r="AH46" s="114">
        <f t="shared" si="20"/>
        <v>0</v>
      </c>
      <c r="AI46" s="114">
        <f t="shared" si="7"/>
        <v>-2.48E-3</v>
      </c>
      <c r="AJ46" s="343">
        <f t="shared" si="8"/>
        <v>0.14375999999999997</v>
      </c>
      <c r="AK46" s="131"/>
      <c r="AL46" s="117">
        <f>'Rates in Detail'!Y50</f>
        <v>1.0800000000000001E-2</v>
      </c>
      <c r="AM46" s="117">
        <f>'Rates in Detail'!Z50</f>
        <v>-1.4999999999999999E-4</v>
      </c>
      <c r="AN46" s="987">
        <f t="shared" si="9"/>
        <v>1.065E-2</v>
      </c>
      <c r="AO46" s="131"/>
      <c r="AP46" s="117"/>
      <c r="AQ46" s="117"/>
      <c r="AR46" s="117"/>
      <c r="AS46" s="117"/>
      <c r="AT46" s="117"/>
      <c r="AU46" s="349">
        <f t="shared" si="10"/>
        <v>0</v>
      </c>
      <c r="AW46" s="117">
        <f t="shared" si="11"/>
        <v>0.15703999999999999</v>
      </c>
      <c r="AX46" s="117">
        <f t="shared" si="12"/>
        <v>0</v>
      </c>
      <c r="AY46" s="117">
        <f t="shared" si="13"/>
        <v>0</v>
      </c>
      <c r="AZ46" s="117">
        <f t="shared" si="14"/>
        <v>0</v>
      </c>
      <c r="BA46" s="117">
        <f t="shared" si="15"/>
        <v>3.700000000000001E-4</v>
      </c>
      <c r="BB46" s="344">
        <f t="shared" si="16"/>
        <v>0.15740999999999999</v>
      </c>
    </row>
    <row r="47" spans="2:54" x14ac:dyDescent="0.2">
      <c r="B47" s="110">
        <f t="shared" si="17"/>
        <v>39</v>
      </c>
      <c r="C47" s="906"/>
      <c r="D47" s="906" t="s">
        <v>6</v>
      </c>
      <c r="E47" s="115">
        <v>20000</v>
      </c>
      <c r="F47" s="116">
        <f>'WA Volumes &amp; Revenues'!E53</f>
        <v>937215</v>
      </c>
      <c r="G47" s="116"/>
      <c r="H47" s="912"/>
      <c r="I47" s="913"/>
      <c r="J47" s="628">
        <f>'Rates in Detail'!E51</f>
        <v>9.5690000000000011E-2</v>
      </c>
      <c r="K47" s="630">
        <f>'Rates in Detail'!H51</f>
        <v>0</v>
      </c>
      <c r="L47" s="630">
        <f>'Rates in Detail'!F51</f>
        <v>0</v>
      </c>
      <c r="M47" s="630">
        <f>'Rates in Detail'!I51</f>
        <v>4.1000000000000005E-4</v>
      </c>
      <c r="N47" s="137">
        <f t="shared" si="1"/>
        <v>9.6100000000000005E-2</v>
      </c>
      <c r="O47" s="628">
        <f>'Rates in Detail'!L51</f>
        <v>1.7670000000000002E-2</v>
      </c>
      <c r="P47" s="630">
        <f>'Rates in Detail'!P51</f>
        <v>-1.2199999999999999E-3</v>
      </c>
      <c r="Q47" s="630">
        <f>'Rates in Detail'!Q51</f>
        <v>0</v>
      </c>
      <c r="R47" s="255">
        <f t="shared" si="2"/>
        <v>1.6450000000000003E-2</v>
      </c>
      <c r="S47" s="628">
        <f>'Rates in Detail'!S51</f>
        <v>0</v>
      </c>
      <c r="T47" s="630">
        <f>'Rates in Detail'!T51</f>
        <v>-2.3E-3</v>
      </c>
      <c r="U47" s="630">
        <f>'Rates in Detail'!U51</f>
        <v>0</v>
      </c>
      <c r="V47" s="261">
        <f t="shared" si="18"/>
        <v>1.4150000000000003E-2</v>
      </c>
      <c r="W47" s="620"/>
      <c r="X47" s="117"/>
      <c r="Y47" s="117"/>
      <c r="Z47" s="117"/>
      <c r="AA47" s="117"/>
      <c r="AB47" s="117"/>
      <c r="AC47" s="349">
        <f t="shared" si="4"/>
        <v>0</v>
      </c>
      <c r="AE47" s="114">
        <f t="shared" si="5"/>
        <v>0.11214000000000002</v>
      </c>
      <c r="AF47" s="114"/>
      <c r="AG47" s="114">
        <f t="shared" si="19"/>
        <v>0</v>
      </c>
      <c r="AH47" s="114">
        <f t="shared" si="20"/>
        <v>0</v>
      </c>
      <c r="AI47" s="114">
        <f t="shared" si="7"/>
        <v>-1.89E-3</v>
      </c>
      <c r="AJ47" s="343">
        <f t="shared" si="8"/>
        <v>0.11025000000000001</v>
      </c>
      <c r="AK47" s="131"/>
      <c r="AL47" s="117">
        <f>'Rates in Detail'!Y51</f>
        <v>8.2799999999999992E-3</v>
      </c>
      <c r="AM47" s="117">
        <f>'Rates in Detail'!Z51</f>
        <v>-1.2E-4</v>
      </c>
      <c r="AN47" s="987">
        <f t="shared" si="9"/>
        <v>8.1599999999999989E-3</v>
      </c>
      <c r="AO47" s="131"/>
      <c r="AP47" s="117"/>
      <c r="AQ47" s="117"/>
      <c r="AR47" s="117"/>
      <c r="AS47" s="117"/>
      <c r="AT47" s="117"/>
      <c r="AU47" s="349">
        <f t="shared" si="10"/>
        <v>0</v>
      </c>
      <c r="AW47" s="117">
        <f t="shared" si="11"/>
        <v>0.12042000000000001</v>
      </c>
      <c r="AX47" s="117">
        <f t="shared" si="12"/>
        <v>0</v>
      </c>
      <c r="AY47" s="117">
        <f t="shared" si="13"/>
        <v>0</v>
      </c>
      <c r="AZ47" s="117">
        <f t="shared" si="14"/>
        <v>0</v>
      </c>
      <c r="BA47" s="117">
        <f t="shared" si="15"/>
        <v>2.9000000000000006E-4</v>
      </c>
      <c r="BB47" s="344">
        <f t="shared" si="16"/>
        <v>0.12071000000000001</v>
      </c>
    </row>
    <row r="48" spans="2:54" x14ac:dyDescent="0.2">
      <c r="B48" s="110">
        <f t="shared" si="17"/>
        <v>40</v>
      </c>
      <c r="C48" s="906"/>
      <c r="D48" s="906" t="s">
        <v>7</v>
      </c>
      <c r="E48" s="115">
        <v>100000</v>
      </c>
      <c r="F48" s="116">
        <f>'WA Volumes &amp; Revenues'!E54</f>
        <v>2390318</v>
      </c>
      <c r="G48" s="116"/>
      <c r="H48" s="912"/>
      <c r="I48" s="913"/>
      <c r="J48" s="628">
        <f>'Rates in Detail'!E52</f>
        <v>7.6560000000000017E-2</v>
      </c>
      <c r="K48" s="630">
        <f>'Rates in Detail'!H52</f>
        <v>0</v>
      </c>
      <c r="L48" s="630">
        <f>'Rates in Detail'!F52</f>
        <v>0</v>
      </c>
      <c r="M48" s="630">
        <f>'Rates in Detail'!I52</f>
        <v>3.1999999999999997E-4</v>
      </c>
      <c r="N48" s="137">
        <f t="shared" si="1"/>
        <v>7.6880000000000018E-2</v>
      </c>
      <c r="O48" s="628">
        <f>'Rates in Detail'!L52</f>
        <v>1.414E-2</v>
      </c>
      <c r="P48" s="630">
        <f>'Rates in Detail'!P52</f>
        <v>-9.7000000000000005E-4</v>
      </c>
      <c r="Q48" s="630">
        <f>'Rates in Detail'!Q52</f>
        <v>0</v>
      </c>
      <c r="R48" s="255">
        <f t="shared" si="2"/>
        <v>1.3169999999999999E-2</v>
      </c>
      <c r="S48" s="628">
        <f>'Rates in Detail'!S52</f>
        <v>0</v>
      </c>
      <c r="T48" s="630">
        <f>'Rates in Detail'!T52</f>
        <v>-1.8400000000000001E-3</v>
      </c>
      <c r="U48" s="630">
        <f>'Rates in Detail'!U52</f>
        <v>0</v>
      </c>
      <c r="V48" s="261">
        <f t="shared" si="18"/>
        <v>1.133E-2</v>
      </c>
      <c r="W48" s="620"/>
      <c r="X48" s="117"/>
      <c r="Y48" s="117"/>
      <c r="Z48" s="117"/>
      <c r="AA48" s="117"/>
      <c r="AB48" s="117"/>
      <c r="AC48" s="349">
        <f t="shared" si="4"/>
        <v>0</v>
      </c>
      <c r="AE48" s="114">
        <f t="shared" si="5"/>
        <v>8.9730000000000018E-2</v>
      </c>
      <c r="AF48" s="114"/>
      <c r="AG48" s="114">
        <f t="shared" si="19"/>
        <v>0</v>
      </c>
      <c r="AH48" s="114">
        <f t="shared" si="20"/>
        <v>0</v>
      </c>
      <c r="AI48" s="114">
        <f t="shared" si="7"/>
        <v>-1.5200000000000001E-3</v>
      </c>
      <c r="AJ48" s="343">
        <f t="shared" si="8"/>
        <v>8.8210000000000025E-2</v>
      </c>
      <c r="AK48" s="131"/>
      <c r="AL48" s="117">
        <f>'Rates in Detail'!Y52</f>
        <v>6.6299999999999996E-3</v>
      </c>
      <c r="AM48" s="117">
        <f>'Rates in Detail'!Z52</f>
        <v>-9.0000000000000006E-5</v>
      </c>
      <c r="AN48" s="987">
        <f t="shared" si="9"/>
        <v>6.5399999999999998E-3</v>
      </c>
      <c r="AO48" s="131"/>
      <c r="AP48" s="117"/>
      <c r="AQ48" s="117"/>
      <c r="AR48" s="117"/>
      <c r="AS48" s="117"/>
      <c r="AT48" s="117"/>
      <c r="AU48" s="349">
        <f t="shared" si="10"/>
        <v>0</v>
      </c>
      <c r="AW48" s="117">
        <f t="shared" si="11"/>
        <v>9.6360000000000015E-2</v>
      </c>
      <c r="AX48" s="117">
        <f t="shared" si="12"/>
        <v>0</v>
      </c>
      <c r="AY48" s="117">
        <f t="shared" si="13"/>
        <v>0</v>
      </c>
      <c r="AZ48" s="117">
        <f t="shared" si="14"/>
        <v>0</v>
      </c>
      <c r="BA48" s="117">
        <f t="shared" si="15"/>
        <v>2.2999999999999995E-4</v>
      </c>
      <c r="BB48" s="344">
        <f t="shared" si="16"/>
        <v>9.6590000000000009E-2</v>
      </c>
    </row>
    <row r="49" spans="2:54" x14ac:dyDescent="0.2">
      <c r="B49" s="110">
        <f t="shared" si="17"/>
        <v>41</v>
      </c>
      <c r="C49" s="906"/>
      <c r="D49" s="906" t="s">
        <v>8</v>
      </c>
      <c r="E49" s="115">
        <v>600000</v>
      </c>
      <c r="F49" s="116">
        <f>'WA Volumes &amp; Revenues'!E55</f>
        <v>1492257</v>
      </c>
      <c r="G49" s="116"/>
      <c r="H49" s="912"/>
      <c r="I49" s="913"/>
      <c r="J49" s="628">
        <f>'Rates in Detail'!E53</f>
        <v>5.1040000000000002E-2</v>
      </c>
      <c r="K49" s="630">
        <f>'Rates in Detail'!H53</f>
        <v>0</v>
      </c>
      <c r="L49" s="630">
        <f>'Rates in Detail'!F53</f>
        <v>0</v>
      </c>
      <c r="M49" s="630">
        <f>'Rates in Detail'!I53</f>
        <v>2.1000000000000001E-4</v>
      </c>
      <c r="N49" s="137">
        <f t="shared" si="1"/>
        <v>5.1250000000000004E-2</v>
      </c>
      <c r="O49" s="628">
        <f>'Rates in Detail'!L53</f>
        <v>9.4199999999999996E-3</v>
      </c>
      <c r="P49" s="630">
        <f>'Rates in Detail'!P53</f>
        <v>-6.4999999999999997E-4</v>
      </c>
      <c r="Q49" s="630">
        <f>'Rates in Detail'!Q53</f>
        <v>0</v>
      </c>
      <c r="R49" s="255">
        <f t="shared" si="2"/>
        <v>8.77E-3</v>
      </c>
      <c r="S49" s="628">
        <f>'Rates in Detail'!S53</f>
        <v>0</v>
      </c>
      <c r="T49" s="630">
        <f>'Rates in Detail'!T53</f>
        <v>-1.23E-3</v>
      </c>
      <c r="U49" s="630">
        <f>'Rates in Detail'!U53</f>
        <v>0</v>
      </c>
      <c r="V49" s="261">
        <f t="shared" si="18"/>
        <v>7.5399999999999998E-3</v>
      </c>
      <c r="W49" s="620"/>
      <c r="X49" s="117"/>
      <c r="Y49" s="117"/>
      <c r="Z49" s="117"/>
      <c r="AA49" s="117"/>
      <c r="AB49" s="117"/>
      <c r="AC49" s="349">
        <f t="shared" si="4"/>
        <v>0</v>
      </c>
      <c r="AE49" s="114">
        <f t="shared" si="5"/>
        <v>5.9810000000000002E-2</v>
      </c>
      <c r="AF49" s="114"/>
      <c r="AG49" s="114">
        <f t="shared" si="19"/>
        <v>0</v>
      </c>
      <c r="AH49" s="114">
        <f t="shared" si="20"/>
        <v>0</v>
      </c>
      <c r="AI49" s="114">
        <f t="shared" si="7"/>
        <v>-1.0200000000000001E-3</v>
      </c>
      <c r="AJ49" s="343">
        <f t="shared" si="8"/>
        <v>5.8790000000000002E-2</v>
      </c>
      <c r="AK49" s="131"/>
      <c r="AL49" s="117">
        <f>'Rates in Detail'!Y53</f>
        <v>4.4200000000000003E-3</v>
      </c>
      <c r="AM49" s="117">
        <f>'Rates in Detail'!Z53</f>
        <v>-6.0000000000000002E-5</v>
      </c>
      <c r="AN49" s="987">
        <f t="shared" si="9"/>
        <v>4.3600000000000002E-3</v>
      </c>
      <c r="AO49" s="131"/>
      <c r="AP49" s="117"/>
      <c r="AQ49" s="117"/>
      <c r="AR49" s="117"/>
      <c r="AS49" s="117"/>
      <c r="AT49" s="117"/>
      <c r="AU49" s="349">
        <f t="shared" si="10"/>
        <v>0</v>
      </c>
      <c r="AW49" s="117">
        <f t="shared" si="11"/>
        <v>6.4230000000000009E-2</v>
      </c>
      <c r="AX49" s="117">
        <f t="shared" si="12"/>
        <v>0</v>
      </c>
      <c r="AY49" s="117">
        <f t="shared" si="13"/>
        <v>0</v>
      </c>
      <c r="AZ49" s="117">
        <f t="shared" si="14"/>
        <v>0</v>
      </c>
      <c r="BA49" s="117">
        <f t="shared" si="15"/>
        <v>1.5000000000000001E-4</v>
      </c>
      <c r="BB49" s="344">
        <f t="shared" si="16"/>
        <v>6.4380000000000007E-2</v>
      </c>
    </row>
    <row r="50" spans="2:54" x14ac:dyDescent="0.2">
      <c r="B50" s="110">
        <f t="shared" si="17"/>
        <v>42</v>
      </c>
      <c r="C50" s="904"/>
      <c r="D50" s="904" t="s">
        <v>9</v>
      </c>
      <c r="E50" s="112" t="s">
        <v>74</v>
      </c>
      <c r="F50" s="113">
        <f>'WA Volumes &amp; Revenues'!E56</f>
        <v>0</v>
      </c>
      <c r="G50" s="113"/>
      <c r="H50" s="907"/>
      <c r="I50" s="909"/>
      <c r="J50" s="627">
        <f>'Rates in Detail'!E54</f>
        <v>1.9140000000000001E-2</v>
      </c>
      <c r="K50" s="631">
        <f>'Rates in Detail'!H54</f>
        <v>0</v>
      </c>
      <c r="L50" s="631">
        <f>'Rates in Detail'!F54</f>
        <v>0</v>
      </c>
      <c r="M50" s="631">
        <f>'Rates in Detail'!I54</f>
        <v>7.9999999999999993E-5</v>
      </c>
      <c r="N50" s="135">
        <f t="shared" si="1"/>
        <v>1.9220000000000001E-2</v>
      </c>
      <c r="O50" s="627">
        <f>'Rates in Detail'!L54</f>
        <v>3.5300000000000002E-3</v>
      </c>
      <c r="P50" s="631">
        <f>'Rates in Detail'!P54</f>
        <v>-2.4000000000000001E-4</v>
      </c>
      <c r="Q50" s="631">
        <f>'Rates in Detail'!Q54</f>
        <v>0</v>
      </c>
      <c r="R50" s="254">
        <f t="shared" si="2"/>
        <v>3.29E-3</v>
      </c>
      <c r="S50" s="627">
        <f>'Rates in Detail'!S54</f>
        <v>0</v>
      </c>
      <c r="T50" s="631">
        <f>'Rates in Detail'!T54</f>
        <v>-4.6000000000000001E-4</v>
      </c>
      <c r="U50" s="631">
        <f>'Rates in Detail'!U54</f>
        <v>0</v>
      </c>
      <c r="V50" s="260">
        <f t="shared" si="18"/>
        <v>2.8300000000000001E-3</v>
      </c>
      <c r="W50" s="620"/>
      <c r="X50" s="114"/>
      <c r="Y50" s="114"/>
      <c r="Z50" s="114"/>
      <c r="AA50" s="114"/>
      <c r="AB50" s="114"/>
      <c r="AC50" s="348">
        <f t="shared" si="4"/>
        <v>0</v>
      </c>
      <c r="AE50" s="114">
        <f t="shared" si="5"/>
        <v>2.2430000000000002E-2</v>
      </c>
      <c r="AF50" s="114"/>
      <c r="AG50" s="114">
        <f t="shared" si="19"/>
        <v>0</v>
      </c>
      <c r="AH50" s="114">
        <f t="shared" si="20"/>
        <v>0</v>
      </c>
      <c r="AI50" s="114">
        <f t="shared" si="7"/>
        <v>-3.8000000000000002E-4</v>
      </c>
      <c r="AJ50" s="343">
        <f t="shared" si="8"/>
        <v>2.2050000000000004E-2</v>
      </c>
      <c r="AK50" s="131"/>
      <c r="AL50" s="114">
        <f>'Rates in Detail'!Y54</f>
        <v>1.66E-3</v>
      </c>
      <c r="AM50" s="114">
        <f>'Rates in Detail'!Z54</f>
        <v>-2.0000000000000002E-5</v>
      </c>
      <c r="AN50" s="986">
        <f t="shared" si="9"/>
        <v>1.64E-3</v>
      </c>
      <c r="AO50" s="131"/>
      <c r="AP50" s="114"/>
      <c r="AQ50" s="114"/>
      <c r="AR50" s="114"/>
      <c r="AS50" s="114"/>
      <c r="AT50" s="114"/>
      <c r="AU50" s="348">
        <f t="shared" si="10"/>
        <v>0</v>
      </c>
      <c r="AW50" s="114">
        <f t="shared" si="11"/>
        <v>2.409E-2</v>
      </c>
      <c r="AX50" s="114">
        <f t="shared" si="12"/>
        <v>0</v>
      </c>
      <c r="AY50" s="114">
        <f t="shared" si="13"/>
        <v>0</v>
      </c>
      <c r="AZ50" s="114">
        <f t="shared" si="14"/>
        <v>0</v>
      </c>
      <c r="BA50" s="114">
        <f t="shared" si="15"/>
        <v>5.9999999999999995E-5</v>
      </c>
      <c r="BB50" s="343">
        <f t="shared" si="16"/>
        <v>2.4150000000000001E-2</v>
      </c>
    </row>
    <row r="51" spans="2:54" x14ac:dyDescent="0.2">
      <c r="B51" s="110">
        <f t="shared" si="17"/>
        <v>43</v>
      </c>
      <c r="C51" s="906" t="str">
        <f>'WA Volumes &amp; Revenues'!B57</f>
        <v>42C Interr Sales</v>
      </c>
      <c r="D51" s="906" t="s">
        <v>4</v>
      </c>
      <c r="E51" s="115">
        <v>10000</v>
      </c>
      <c r="F51" s="116">
        <f>'WA Volumes &amp; Revenues'!E57</f>
        <v>240000</v>
      </c>
      <c r="G51" s="116">
        <f>'WA Volumes &amp; Revenues'!H57</f>
        <v>2</v>
      </c>
      <c r="H51" s="912">
        <f>'WA Volumes &amp; Revenues'!O57</f>
        <v>1300</v>
      </c>
      <c r="I51" s="913">
        <f>'WA Volumes &amp; Revenues'!N57</f>
        <v>1300</v>
      </c>
      <c r="J51" s="628">
        <f>'Rates in Detail'!E55</f>
        <v>0.13682000000000002</v>
      </c>
      <c r="K51" s="630">
        <f>'Rates in Detail'!H55</f>
        <v>0</v>
      </c>
      <c r="L51" s="630">
        <f>'Rates in Detail'!F55</f>
        <v>0.26333000000000001</v>
      </c>
      <c r="M51" s="630">
        <f>'Rates in Detail'!I55</f>
        <v>2.334E-2</v>
      </c>
      <c r="N51" s="137">
        <f t="shared" si="1"/>
        <v>0.42349000000000003</v>
      </c>
      <c r="O51" s="628">
        <f>'Rates in Detail'!L55</f>
        <v>2.6700000000000002E-2</v>
      </c>
      <c r="P51" s="630">
        <f>'Rates in Detail'!P55</f>
        <v>-1.8400000000000001E-3</v>
      </c>
      <c r="Q51" s="630">
        <f>'Rates in Detail'!Q55</f>
        <v>0</v>
      </c>
      <c r="R51" s="255">
        <f t="shared" si="2"/>
        <v>2.486E-2</v>
      </c>
      <c r="S51" s="628">
        <f>'Rates in Detail'!S55</f>
        <v>-6.3E-3</v>
      </c>
      <c r="T51" s="630">
        <f>'Rates in Detail'!T55</f>
        <v>-3.48E-3</v>
      </c>
      <c r="U51" s="630">
        <f>'Rates in Detail'!U55</f>
        <v>0</v>
      </c>
      <c r="V51" s="261">
        <f t="shared" si="18"/>
        <v>1.508E-2</v>
      </c>
      <c r="W51" s="620"/>
      <c r="X51" s="117"/>
      <c r="Y51" s="117"/>
      <c r="Z51" s="117"/>
      <c r="AA51" s="117"/>
      <c r="AB51" s="117"/>
      <c r="AC51" s="349">
        <f t="shared" si="4"/>
        <v>0</v>
      </c>
      <c r="AE51" s="114">
        <f t="shared" si="5"/>
        <v>0.16168000000000002</v>
      </c>
      <c r="AF51" s="114"/>
      <c r="AG51" s="114">
        <f t="shared" si="19"/>
        <v>0</v>
      </c>
      <c r="AH51" s="114">
        <f t="shared" si="20"/>
        <v>0.26333000000000001</v>
      </c>
      <c r="AI51" s="114">
        <f t="shared" si="7"/>
        <v>1.3559999999999999E-2</v>
      </c>
      <c r="AJ51" s="343">
        <f t="shared" si="8"/>
        <v>0.43857000000000002</v>
      </c>
      <c r="AK51" s="131"/>
      <c r="AL51" s="117">
        <f>'Rates in Detail'!Y55</f>
        <v>1.252E-2</v>
      </c>
      <c r="AM51" s="117">
        <f>'Rates in Detail'!Z55</f>
        <v>-1.8000000000000001E-4</v>
      </c>
      <c r="AN51" s="987">
        <f t="shared" si="9"/>
        <v>1.234E-2</v>
      </c>
      <c r="AO51" s="131"/>
      <c r="AP51" s="117"/>
      <c r="AQ51" s="117"/>
      <c r="AR51" s="117"/>
      <c r="AS51" s="117"/>
      <c r="AT51" s="117"/>
      <c r="AU51" s="349">
        <f t="shared" si="10"/>
        <v>0</v>
      </c>
      <c r="AW51" s="117">
        <f t="shared" si="11"/>
        <v>0.17420000000000002</v>
      </c>
      <c r="AX51" s="117">
        <f t="shared" si="12"/>
        <v>0</v>
      </c>
      <c r="AY51" s="117">
        <f t="shared" si="13"/>
        <v>0</v>
      </c>
      <c r="AZ51" s="117">
        <f t="shared" si="14"/>
        <v>0.26333000000000001</v>
      </c>
      <c r="BA51" s="117">
        <f t="shared" si="15"/>
        <v>2.316E-2</v>
      </c>
      <c r="BB51" s="344">
        <f t="shared" si="16"/>
        <v>0.46069000000000004</v>
      </c>
    </row>
    <row r="52" spans="2:54" x14ac:dyDescent="0.2">
      <c r="B52" s="110">
        <f t="shared" si="17"/>
        <v>44</v>
      </c>
      <c r="C52" s="906"/>
      <c r="D52" s="906" t="s">
        <v>5</v>
      </c>
      <c r="E52" s="115">
        <v>20000</v>
      </c>
      <c r="F52" s="116">
        <f>'WA Volumes &amp; Revenues'!E58</f>
        <v>467511</v>
      </c>
      <c r="G52" s="116"/>
      <c r="H52" s="912"/>
      <c r="I52" s="913"/>
      <c r="J52" s="628">
        <f>'Rates in Detail'!E56</f>
        <v>0.12246999999999988</v>
      </c>
      <c r="K52" s="630">
        <f>'Rates in Detail'!H56</f>
        <v>0</v>
      </c>
      <c r="L52" s="630">
        <f>'Rates in Detail'!F56</f>
        <v>0.26333000000000001</v>
      </c>
      <c r="M52" s="630">
        <f>'Rates in Detail'!I56</f>
        <v>2.0999999999999998E-2</v>
      </c>
      <c r="N52" s="137">
        <f t="shared" si="1"/>
        <v>0.40679999999999994</v>
      </c>
      <c r="O52" s="628">
        <f>'Rates in Detail'!L56</f>
        <v>2.3900000000000001E-2</v>
      </c>
      <c r="P52" s="630">
        <f>'Rates in Detail'!P56</f>
        <v>-1.64E-3</v>
      </c>
      <c r="Q52" s="630">
        <f>'Rates in Detail'!Q56</f>
        <v>0</v>
      </c>
      <c r="R52" s="255">
        <f t="shared" si="2"/>
        <v>2.2260000000000002E-2</v>
      </c>
      <c r="S52" s="628">
        <f>'Rates in Detail'!S56</f>
        <v>-5.64E-3</v>
      </c>
      <c r="T52" s="630">
        <f>'Rates in Detail'!T56</f>
        <v>-3.1199999999999999E-3</v>
      </c>
      <c r="U52" s="630">
        <f>'Rates in Detail'!U56</f>
        <v>0</v>
      </c>
      <c r="V52" s="261">
        <f t="shared" si="18"/>
        <v>1.3500000000000003E-2</v>
      </c>
      <c r="W52" s="620"/>
      <c r="X52" s="117"/>
      <c r="Y52" s="117"/>
      <c r="Z52" s="117"/>
      <c r="AA52" s="117"/>
      <c r="AB52" s="117"/>
      <c r="AC52" s="349">
        <f t="shared" si="4"/>
        <v>0</v>
      </c>
      <c r="AE52" s="114">
        <f t="shared" si="5"/>
        <v>0.14472999999999989</v>
      </c>
      <c r="AF52" s="114"/>
      <c r="AG52" s="114">
        <f t="shared" si="19"/>
        <v>0</v>
      </c>
      <c r="AH52" s="114">
        <f t="shared" si="20"/>
        <v>0.26333000000000001</v>
      </c>
      <c r="AI52" s="114">
        <f t="shared" si="7"/>
        <v>1.2239999999999997E-2</v>
      </c>
      <c r="AJ52" s="343">
        <f t="shared" si="8"/>
        <v>0.42029999999999984</v>
      </c>
      <c r="AK52" s="131"/>
      <c r="AL52" s="117">
        <f>'Rates in Detail'!Y56</f>
        <v>1.1209999999999999E-2</v>
      </c>
      <c r="AM52" s="117">
        <f>'Rates in Detail'!Z56</f>
        <v>-1.6000000000000001E-4</v>
      </c>
      <c r="AN52" s="987">
        <f t="shared" si="9"/>
        <v>1.1049999999999999E-2</v>
      </c>
      <c r="AO52" s="131"/>
      <c r="AP52" s="117"/>
      <c r="AQ52" s="117"/>
      <c r="AR52" s="117"/>
      <c r="AS52" s="117"/>
      <c r="AT52" s="117"/>
      <c r="AU52" s="349">
        <f t="shared" si="10"/>
        <v>0</v>
      </c>
      <c r="AW52" s="117">
        <f t="shared" si="11"/>
        <v>0.15593999999999988</v>
      </c>
      <c r="AX52" s="117">
        <f t="shared" si="12"/>
        <v>0</v>
      </c>
      <c r="AY52" s="117">
        <f t="shared" si="13"/>
        <v>0</v>
      </c>
      <c r="AZ52" s="117">
        <f t="shared" si="14"/>
        <v>0.26333000000000001</v>
      </c>
      <c r="BA52" s="117">
        <f t="shared" si="15"/>
        <v>2.0839999999999997E-2</v>
      </c>
      <c r="BB52" s="344">
        <f t="shared" si="16"/>
        <v>0.44010999999999989</v>
      </c>
    </row>
    <row r="53" spans="2:54" x14ac:dyDescent="0.2">
      <c r="B53" s="110">
        <f t="shared" si="17"/>
        <v>45</v>
      </c>
      <c r="C53" s="906"/>
      <c r="D53" s="906" t="s">
        <v>6</v>
      </c>
      <c r="E53" s="115">
        <v>20000</v>
      </c>
      <c r="F53" s="116">
        <f>'WA Volumes &amp; Revenues'!E59</f>
        <v>218004</v>
      </c>
      <c r="G53" s="116"/>
      <c r="H53" s="912"/>
      <c r="I53" s="913"/>
      <c r="J53" s="628">
        <f>'Rates in Detail'!E57</f>
        <v>9.3909999999999993E-2</v>
      </c>
      <c r="K53" s="630">
        <f>'Rates in Detail'!H57</f>
        <v>0</v>
      </c>
      <c r="L53" s="630">
        <f>'Rates in Detail'!F57</f>
        <v>0.26333000000000001</v>
      </c>
      <c r="M53" s="630">
        <f>'Rates in Detail'!I57</f>
        <v>1.6370000000000003E-2</v>
      </c>
      <c r="N53" s="137">
        <f t="shared" si="1"/>
        <v>0.37361</v>
      </c>
      <c r="O53" s="628">
        <f>'Rates in Detail'!L57</f>
        <v>1.8329999999999999E-2</v>
      </c>
      <c r="P53" s="630">
        <f>'Rates in Detail'!P57</f>
        <v>-1.2600000000000001E-3</v>
      </c>
      <c r="Q53" s="630">
        <f>'Rates in Detail'!Q57</f>
        <v>0</v>
      </c>
      <c r="R53" s="255">
        <f t="shared" si="2"/>
        <v>1.7069999999999998E-2</v>
      </c>
      <c r="S53" s="628">
        <f>'Rates in Detail'!S57</f>
        <v>-4.3200000000000001E-3</v>
      </c>
      <c r="T53" s="630">
        <f>'Rates in Detail'!T57</f>
        <v>-2.3900000000000002E-3</v>
      </c>
      <c r="U53" s="630">
        <f>'Rates in Detail'!U57</f>
        <v>0</v>
      </c>
      <c r="V53" s="261">
        <f t="shared" si="18"/>
        <v>1.0359999999999998E-2</v>
      </c>
      <c r="W53" s="620"/>
      <c r="X53" s="117"/>
      <c r="Y53" s="117"/>
      <c r="Z53" s="117"/>
      <c r="AA53" s="117"/>
      <c r="AB53" s="117"/>
      <c r="AC53" s="349">
        <f t="shared" si="4"/>
        <v>0</v>
      </c>
      <c r="AE53" s="114">
        <f t="shared" si="5"/>
        <v>0.11098</v>
      </c>
      <c r="AF53" s="114"/>
      <c r="AG53" s="114">
        <f t="shared" si="19"/>
        <v>0</v>
      </c>
      <c r="AH53" s="114">
        <f t="shared" si="20"/>
        <v>0.26333000000000001</v>
      </c>
      <c r="AI53" s="114">
        <f t="shared" si="7"/>
        <v>9.6600000000000019E-3</v>
      </c>
      <c r="AJ53" s="343">
        <f t="shared" si="8"/>
        <v>0.38397000000000003</v>
      </c>
      <c r="AK53" s="131"/>
      <c r="AL53" s="117">
        <f>'Rates in Detail'!Y57</f>
        <v>8.5900000000000004E-3</v>
      </c>
      <c r="AM53" s="117">
        <f>'Rates in Detail'!Z57</f>
        <v>-1.2E-4</v>
      </c>
      <c r="AN53" s="987">
        <f t="shared" si="9"/>
        <v>8.4700000000000001E-3</v>
      </c>
      <c r="AO53" s="131"/>
      <c r="AP53" s="117"/>
      <c r="AQ53" s="117"/>
      <c r="AR53" s="117"/>
      <c r="AS53" s="117"/>
      <c r="AT53" s="117"/>
      <c r="AU53" s="349">
        <f t="shared" si="10"/>
        <v>0</v>
      </c>
      <c r="AW53" s="117">
        <f t="shared" si="11"/>
        <v>0.11957</v>
      </c>
      <c r="AX53" s="117">
        <f t="shared" si="12"/>
        <v>0</v>
      </c>
      <c r="AY53" s="117">
        <f t="shared" si="13"/>
        <v>0</v>
      </c>
      <c r="AZ53" s="117">
        <f t="shared" si="14"/>
        <v>0.26333000000000001</v>
      </c>
      <c r="BA53" s="117">
        <f t="shared" si="15"/>
        <v>1.6250000000000004E-2</v>
      </c>
      <c r="BB53" s="344">
        <f t="shared" si="16"/>
        <v>0.39915</v>
      </c>
    </row>
    <row r="54" spans="2:54" x14ac:dyDescent="0.2">
      <c r="B54" s="110">
        <f t="shared" si="17"/>
        <v>46</v>
      </c>
      <c r="C54" s="906"/>
      <c r="D54" s="906" t="s">
        <v>7</v>
      </c>
      <c r="E54" s="115">
        <v>100000</v>
      </c>
      <c r="F54" s="116">
        <f>'WA Volumes &amp; Revenues'!E60</f>
        <v>18208</v>
      </c>
      <c r="G54" s="116"/>
      <c r="H54" s="912"/>
      <c r="I54" s="913"/>
      <c r="J54" s="628">
        <f>'Rates in Detail'!E58</f>
        <v>7.5130000000000044E-2</v>
      </c>
      <c r="K54" s="630">
        <f>'Rates in Detail'!H58</f>
        <v>0</v>
      </c>
      <c r="L54" s="630">
        <f>'Rates in Detail'!F58</f>
        <v>0.26333000000000001</v>
      </c>
      <c r="M54" s="630">
        <f>'Rates in Detail'!I58</f>
        <v>1.3339999999999999E-2</v>
      </c>
      <c r="N54" s="137">
        <f t="shared" si="1"/>
        <v>0.35180000000000006</v>
      </c>
      <c r="O54" s="628">
        <f>'Rates in Detail'!L58</f>
        <v>1.4659999999999999E-2</v>
      </c>
      <c r="P54" s="630">
        <f>'Rates in Detail'!P58</f>
        <v>-1.01E-3</v>
      </c>
      <c r="Q54" s="630">
        <f>'Rates in Detail'!Q58</f>
        <v>0</v>
      </c>
      <c r="R54" s="255">
        <f t="shared" si="2"/>
        <v>1.3649999999999999E-2</v>
      </c>
      <c r="S54" s="628">
        <f>'Rates in Detail'!S58</f>
        <v>-3.46E-3</v>
      </c>
      <c r="T54" s="630">
        <f>'Rates in Detail'!T58</f>
        <v>-1.91E-3</v>
      </c>
      <c r="U54" s="630">
        <f>'Rates in Detail'!U58</f>
        <v>0</v>
      </c>
      <c r="V54" s="261">
        <f t="shared" si="18"/>
        <v>8.2799999999999992E-3</v>
      </c>
      <c r="W54" s="620"/>
      <c r="X54" s="117"/>
      <c r="Y54" s="117"/>
      <c r="Z54" s="117"/>
      <c r="AA54" s="117"/>
      <c r="AB54" s="117"/>
      <c r="AC54" s="349">
        <f t="shared" si="4"/>
        <v>0</v>
      </c>
      <c r="AE54" s="114">
        <f t="shared" si="5"/>
        <v>8.8780000000000039E-2</v>
      </c>
      <c r="AF54" s="114"/>
      <c r="AG54" s="114">
        <f t="shared" si="19"/>
        <v>0</v>
      </c>
      <c r="AH54" s="114">
        <f t="shared" si="20"/>
        <v>0.26333000000000001</v>
      </c>
      <c r="AI54" s="114">
        <f t="shared" si="7"/>
        <v>7.9699999999999997E-3</v>
      </c>
      <c r="AJ54" s="343">
        <f t="shared" si="8"/>
        <v>0.36008000000000001</v>
      </c>
      <c r="AK54" s="131"/>
      <c r="AL54" s="117">
        <f>'Rates in Detail'!Y58</f>
        <v>6.8799999999999998E-3</v>
      </c>
      <c r="AM54" s="117">
        <f>'Rates in Detail'!Z58</f>
        <v>-1E-4</v>
      </c>
      <c r="AN54" s="987">
        <f t="shared" si="9"/>
        <v>6.7799999999999996E-3</v>
      </c>
      <c r="AO54" s="131"/>
      <c r="AP54" s="117"/>
      <c r="AQ54" s="117"/>
      <c r="AR54" s="117"/>
      <c r="AS54" s="117"/>
      <c r="AT54" s="117"/>
      <c r="AU54" s="349">
        <f t="shared" si="10"/>
        <v>0</v>
      </c>
      <c r="AW54" s="117">
        <f t="shared" si="11"/>
        <v>9.5660000000000037E-2</v>
      </c>
      <c r="AX54" s="117">
        <f t="shared" si="12"/>
        <v>0</v>
      </c>
      <c r="AY54" s="117">
        <f t="shared" si="13"/>
        <v>0</v>
      </c>
      <c r="AZ54" s="117">
        <f t="shared" si="14"/>
        <v>0.26333000000000001</v>
      </c>
      <c r="BA54" s="117">
        <f t="shared" si="15"/>
        <v>1.324E-2</v>
      </c>
      <c r="BB54" s="344">
        <f t="shared" si="16"/>
        <v>0.37223000000000001</v>
      </c>
    </row>
    <row r="55" spans="2:54" x14ac:dyDescent="0.2">
      <c r="B55" s="110">
        <f t="shared" si="17"/>
        <v>47</v>
      </c>
      <c r="C55" s="906"/>
      <c r="D55" s="906" t="s">
        <v>8</v>
      </c>
      <c r="E55" s="115">
        <v>600000</v>
      </c>
      <c r="F55" s="116">
        <f>'WA Volumes &amp; Revenues'!E61</f>
        <v>0</v>
      </c>
      <c r="G55" s="116"/>
      <c r="H55" s="912"/>
      <c r="I55" s="913"/>
      <c r="J55" s="628">
        <f>'Rates in Detail'!E59</f>
        <v>5.0089999999999968E-2</v>
      </c>
      <c r="K55" s="630">
        <f>'Rates in Detail'!H59</f>
        <v>0</v>
      </c>
      <c r="L55" s="630">
        <f>'Rates in Detail'!F59</f>
        <v>0.26333000000000001</v>
      </c>
      <c r="M55" s="630">
        <f>'Rates in Detail'!I59</f>
        <v>9.2699999999999987E-3</v>
      </c>
      <c r="N55" s="137">
        <f t="shared" si="1"/>
        <v>0.32268999999999998</v>
      </c>
      <c r="O55" s="628">
        <f>'Rates in Detail'!L59</f>
        <v>9.7800000000000005E-3</v>
      </c>
      <c r="P55" s="630">
        <f>'Rates in Detail'!P59</f>
        <v>-6.7000000000000002E-4</v>
      </c>
      <c r="Q55" s="630">
        <f>'Rates in Detail'!Q59</f>
        <v>0</v>
      </c>
      <c r="R55" s="255">
        <f t="shared" si="2"/>
        <v>9.11E-3</v>
      </c>
      <c r="S55" s="628">
        <f>'Rates in Detail'!S59</f>
        <v>-2.31E-3</v>
      </c>
      <c r="T55" s="630">
        <f>'Rates in Detail'!T59</f>
        <v>-1.2700000000000001E-3</v>
      </c>
      <c r="U55" s="630">
        <f>'Rates in Detail'!U59</f>
        <v>0</v>
      </c>
      <c r="V55" s="261">
        <f t="shared" si="18"/>
        <v>5.5300000000000002E-3</v>
      </c>
      <c r="W55" s="620"/>
      <c r="X55" s="117"/>
      <c r="Y55" s="117"/>
      <c r="Z55" s="117"/>
      <c r="AA55" s="117"/>
      <c r="AB55" s="117"/>
      <c r="AC55" s="349">
        <f t="shared" si="4"/>
        <v>0</v>
      </c>
      <c r="AE55" s="114">
        <f t="shared" si="5"/>
        <v>5.9199999999999968E-2</v>
      </c>
      <c r="AF55" s="114"/>
      <c r="AG55" s="114">
        <f t="shared" si="19"/>
        <v>0</v>
      </c>
      <c r="AH55" s="114">
        <f t="shared" si="20"/>
        <v>0.26333000000000001</v>
      </c>
      <c r="AI55" s="114">
        <f t="shared" si="7"/>
        <v>5.6899999999999989E-3</v>
      </c>
      <c r="AJ55" s="343">
        <f t="shared" si="8"/>
        <v>0.32821999999999996</v>
      </c>
      <c r="AK55" s="131"/>
      <c r="AL55" s="117">
        <f>'Rates in Detail'!Y59</f>
        <v>4.5799999999999999E-3</v>
      </c>
      <c r="AM55" s="117">
        <f>'Rates in Detail'!Z59</f>
        <v>-6.0000000000000002E-5</v>
      </c>
      <c r="AN55" s="987">
        <f t="shared" si="9"/>
        <v>4.5199999999999997E-3</v>
      </c>
      <c r="AO55" s="131"/>
      <c r="AP55" s="117"/>
      <c r="AQ55" s="117"/>
      <c r="AR55" s="117"/>
      <c r="AS55" s="117"/>
      <c r="AT55" s="117"/>
      <c r="AU55" s="349">
        <f t="shared" si="10"/>
        <v>0</v>
      </c>
      <c r="AW55" s="117">
        <f t="shared" si="11"/>
        <v>6.3779999999999962E-2</v>
      </c>
      <c r="AX55" s="117">
        <f t="shared" si="12"/>
        <v>0</v>
      </c>
      <c r="AY55" s="117">
        <f t="shared" si="13"/>
        <v>0</v>
      </c>
      <c r="AZ55" s="117">
        <f t="shared" si="14"/>
        <v>0.26333000000000001</v>
      </c>
      <c r="BA55" s="117">
        <f t="shared" si="15"/>
        <v>9.2099999999999994E-3</v>
      </c>
      <c r="BB55" s="344">
        <f t="shared" si="16"/>
        <v>0.33631999999999995</v>
      </c>
    </row>
    <row r="56" spans="2:54" x14ac:dyDescent="0.2">
      <c r="B56" s="110">
        <f t="shared" si="17"/>
        <v>48</v>
      </c>
      <c r="C56" s="904"/>
      <c r="D56" s="904" t="s">
        <v>9</v>
      </c>
      <c r="E56" s="112" t="s">
        <v>74</v>
      </c>
      <c r="F56" s="113">
        <f>'WA Volumes &amp; Revenues'!E62</f>
        <v>0</v>
      </c>
      <c r="G56" s="113"/>
      <c r="H56" s="907"/>
      <c r="I56" s="909"/>
      <c r="J56" s="627">
        <f>'Rates in Detail'!E60</f>
        <v>1.8790000000000001E-2</v>
      </c>
      <c r="K56" s="631">
        <f>'Rates in Detail'!H60</f>
        <v>0</v>
      </c>
      <c r="L56" s="631">
        <f>'Rates in Detail'!F60</f>
        <v>0.26333000000000001</v>
      </c>
      <c r="M56" s="631">
        <f>'Rates in Detail'!I60</f>
        <v>4.1999999999999989E-3</v>
      </c>
      <c r="N56" s="135">
        <f t="shared" si="1"/>
        <v>0.28632000000000002</v>
      </c>
      <c r="O56" s="627">
        <f>'Rates in Detail'!L60</f>
        <v>3.6700000000000001E-3</v>
      </c>
      <c r="P56" s="631">
        <f>'Rates in Detail'!P60</f>
        <v>-2.5000000000000001E-4</v>
      </c>
      <c r="Q56" s="631">
        <f>'Rates in Detail'!Q60</f>
        <v>0</v>
      </c>
      <c r="R56" s="254">
        <f t="shared" si="2"/>
        <v>3.4200000000000003E-3</v>
      </c>
      <c r="S56" s="627">
        <f>'Rates in Detail'!S60</f>
        <v>-8.7000000000000001E-4</v>
      </c>
      <c r="T56" s="631">
        <f>'Rates in Detail'!T60</f>
        <v>-4.8000000000000001E-4</v>
      </c>
      <c r="U56" s="631">
        <f>'Rates in Detail'!U60</f>
        <v>0</v>
      </c>
      <c r="V56" s="260">
        <f t="shared" si="18"/>
        <v>2.0700000000000002E-3</v>
      </c>
      <c r="W56" s="620"/>
      <c r="X56" s="114"/>
      <c r="Y56" s="114"/>
      <c r="Z56" s="114"/>
      <c r="AA56" s="114"/>
      <c r="AB56" s="114"/>
      <c r="AC56" s="348">
        <f t="shared" si="4"/>
        <v>0</v>
      </c>
      <c r="AE56" s="114">
        <f t="shared" si="5"/>
        <v>2.2210000000000001E-2</v>
      </c>
      <c r="AF56" s="114"/>
      <c r="AG56" s="114">
        <f t="shared" si="19"/>
        <v>0</v>
      </c>
      <c r="AH56" s="114">
        <f t="shared" si="20"/>
        <v>0.26333000000000001</v>
      </c>
      <c r="AI56" s="114">
        <f t="shared" si="7"/>
        <v>2.8499999999999988E-3</v>
      </c>
      <c r="AJ56" s="343">
        <f t="shared" si="8"/>
        <v>0.28839000000000004</v>
      </c>
      <c r="AK56" s="131"/>
      <c r="AL56" s="114">
        <f>'Rates in Detail'!Y60</f>
        <v>1.72E-3</v>
      </c>
      <c r="AM56" s="114">
        <f>'Rates in Detail'!Z60</f>
        <v>-2.0000000000000002E-5</v>
      </c>
      <c r="AN56" s="986">
        <f t="shared" si="9"/>
        <v>1.6999999999999999E-3</v>
      </c>
      <c r="AO56" s="131"/>
      <c r="AP56" s="114"/>
      <c r="AQ56" s="114"/>
      <c r="AR56" s="114"/>
      <c r="AS56" s="114"/>
      <c r="AT56" s="114"/>
      <c r="AU56" s="348">
        <f t="shared" si="10"/>
        <v>0</v>
      </c>
      <c r="AW56" s="114">
        <f t="shared" si="11"/>
        <v>2.393E-2</v>
      </c>
      <c r="AX56" s="114">
        <f t="shared" si="12"/>
        <v>0</v>
      </c>
      <c r="AY56" s="114">
        <f t="shared" si="13"/>
        <v>0</v>
      </c>
      <c r="AZ56" s="114">
        <f t="shared" si="14"/>
        <v>0.26333000000000001</v>
      </c>
      <c r="BA56" s="114">
        <f t="shared" si="15"/>
        <v>4.1799999999999988E-3</v>
      </c>
      <c r="BB56" s="343">
        <f t="shared" si="16"/>
        <v>0.29144000000000003</v>
      </c>
    </row>
    <row r="57" spans="2:54" x14ac:dyDescent="0.2">
      <c r="B57" s="110">
        <f t="shared" si="17"/>
        <v>49</v>
      </c>
      <c r="C57" s="906" t="str">
        <f>'WA Volumes &amp; Revenues'!B63</f>
        <v>42I Interr Sales</v>
      </c>
      <c r="D57" s="906" t="s">
        <v>4</v>
      </c>
      <c r="E57" s="115">
        <v>10000</v>
      </c>
      <c r="F57" s="116">
        <f>'WA Volumes &amp; Revenues'!E63</f>
        <v>156740</v>
      </c>
      <c r="G57" s="116">
        <f>'WA Volumes &amp; Revenues'!H63</f>
        <v>1.9166666666666701</v>
      </c>
      <c r="H57" s="912">
        <f>'WA Volumes &amp; Revenues'!O63</f>
        <v>1300</v>
      </c>
      <c r="I57" s="913">
        <f>'WA Volumes &amp; Revenues'!N63</f>
        <v>1300</v>
      </c>
      <c r="J57" s="628">
        <f>'Rates in Detail'!E61</f>
        <v>0.14583999999999989</v>
      </c>
      <c r="K57" s="630">
        <f>'Rates in Detail'!H61</f>
        <v>0</v>
      </c>
      <c r="L57" s="630">
        <f>'Rates in Detail'!F61</f>
        <v>0.26333000000000001</v>
      </c>
      <c r="M57" s="630">
        <f>'Rates in Detail'!I61</f>
        <v>6.9699999999999996E-3</v>
      </c>
      <c r="N57" s="137">
        <f t="shared" si="1"/>
        <v>0.4161399999999999</v>
      </c>
      <c r="O57" s="628">
        <f>'Rates in Detail'!L61</f>
        <v>3.6839999999999998E-2</v>
      </c>
      <c r="P57" s="630">
        <f>'Rates in Detail'!P61</f>
        <v>-2.5400000000000002E-3</v>
      </c>
      <c r="Q57" s="630">
        <f>'Rates in Detail'!Q61</f>
        <v>0</v>
      </c>
      <c r="R57" s="255">
        <f t="shared" si="2"/>
        <v>3.4299999999999997E-2</v>
      </c>
      <c r="S57" s="628">
        <f>'Rates in Detail'!S61</f>
        <v>0</v>
      </c>
      <c r="T57" s="630">
        <f>'Rates in Detail'!T61</f>
        <v>-4.7999999999999996E-3</v>
      </c>
      <c r="U57" s="630">
        <f>'Rates in Detail'!U61</f>
        <v>0</v>
      </c>
      <c r="V57" s="261">
        <f t="shared" si="18"/>
        <v>2.9499999999999998E-2</v>
      </c>
      <c r="W57" s="620"/>
      <c r="X57" s="117"/>
      <c r="Y57" s="117"/>
      <c r="Z57" s="117"/>
      <c r="AA57" s="117"/>
      <c r="AB57" s="117"/>
      <c r="AC57" s="349">
        <f t="shared" si="4"/>
        <v>0</v>
      </c>
      <c r="AE57" s="114">
        <f t="shared" si="5"/>
        <v>0.18013999999999988</v>
      </c>
      <c r="AF57" s="114"/>
      <c r="AG57" s="114">
        <f t="shared" si="19"/>
        <v>0</v>
      </c>
      <c r="AH57" s="114">
        <f t="shared" si="20"/>
        <v>0.26333000000000001</v>
      </c>
      <c r="AI57" s="114">
        <f t="shared" si="7"/>
        <v>2.1700000000000001E-3</v>
      </c>
      <c r="AJ57" s="343">
        <f t="shared" si="8"/>
        <v>0.44563999999999993</v>
      </c>
      <c r="AK57" s="131"/>
      <c r="AL57" s="117">
        <f>'Rates in Detail'!Y61</f>
        <v>1.728E-2</v>
      </c>
      <c r="AM57" s="117">
        <f>'Rates in Detail'!Z61</f>
        <v>-2.4000000000000001E-4</v>
      </c>
      <c r="AN57" s="987">
        <f t="shared" si="9"/>
        <v>1.704E-2</v>
      </c>
      <c r="AO57" s="131"/>
      <c r="AP57" s="117"/>
      <c r="AQ57" s="117"/>
      <c r="AR57" s="117"/>
      <c r="AS57" s="117"/>
      <c r="AT57" s="117"/>
      <c r="AU57" s="349">
        <f t="shared" si="10"/>
        <v>0</v>
      </c>
      <c r="AW57" s="117">
        <f t="shared" si="11"/>
        <v>0.19741999999999987</v>
      </c>
      <c r="AX57" s="117">
        <f t="shared" si="12"/>
        <v>0</v>
      </c>
      <c r="AY57" s="117">
        <f t="shared" si="13"/>
        <v>0</v>
      </c>
      <c r="AZ57" s="117">
        <f t="shared" si="14"/>
        <v>0.26333000000000001</v>
      </c>
      <c r="BA57" s="117">
        <f t="shared" si="15"/>
        <v>6.7299999999999999E-3</v>
      </c>
      <c r="BB57" s="344">
        <f t="shared" si="16"/>
        <v>0.4674799999999999</v>
      </c>
    </row>
    <row r="58" spans="2:54" x14ac:dyDescent="0.2">
      <c r="B58" s="110">
        <f t="shared" si="17"/>
        <v>50</v>
      </c>
      <c r="C58" s="906"/>
      <c r="D58" s="906" t="s">
        <v>5</v>
      </c>
      <c r="E58" s="115">
        <v>20000</v>
      </c>
      <c r="F58" s="116">
        <f>'WA Volumes &amp; Revenues'!E64</f>
        <v>159690</v>
      </c>
      <c r="G58" s="116"/>
      <c r="H58" s="912"/>
      <c r="I58" s="913"/>
      <c r="J58" s="628">
        <f>'Rates in Detail'!E62</f>
        <v>0.13054999999999992</v>
      </c>
      <c r="K58" s="630">
        <f>'Rates in Detail'!H62</f>
        <v>0</v>
      </c>
      <c r="L58" s="630">
        <f>'Rates in Detail'!F62</f>
        <v>0.26333000000000001</v>
      </c>
      <c r="M58" s="630">
        <f>'Rates in Detail'!I62</f>
        <v>6.3499999999999997E-3</v>
      </c>
      <c r="N58" s="137">
        <f t="shared" si="1"/>
        <v>0.40022999999999992</v>
      </c>
      <c r="O58" s="628">
        <f>'Rates in Detail'!L62</f>
        <v>3.2980000000000002E-2</v>
      </c>
      <c r="P58" s="630">
        <f>'Rates in Detail'!P62</f>
        <v>-2.2699999999999999E-3</v>
      </c>
      <c r="Q58" s="630">
        <f>'Rates in Detail'!Q62</f>
        <v>0</v>
      </c>
      <c r="R58" s="255">
        <f t="shared" si="2"/>
        <v>3.0710000000000001E-2</v>
      </c>
      <c r="S58" s="628">
        <f>'Rates in Detail'!S62</f>
        <v>0</v>
      </c>
      <c r="T58" s="630">
        <f>'Rates in Detail'!T62</f>
        <v>-4.3E-3</v>
      </c>
      <c r="U58" s="630">
        <f>'Rates in Detail'!U62</f>
        <v>0</v>
      </c>
      <c r="V58" s="261">
        <f t="shared" si="18"/>
        <v>2.6410000000000003E-2</v>
      </c>
      <c r="W58" s="620"/>
      <c r="X58" s="117"/>
      <c r="Y58" s="117"/>
      <c r="Z58" s="117"/>
      <c r="AA58" s="117"/>
      <c r="AB58" s="117"/>
      <c r="AC58" s="349">
        <f t="shared" si="4"/>
        <v>0</v>
      </c>
      <c r="AE58" s="114">
        <f t="shared" si="5"/>
        <v>0.1612599999999999</v>
      </c>
      <c r="AF58" s="114"/>
      <c r="AG58" s="114">
        <f t="shared" si="19"/>
        <v>0</v>
      </c>
      <c r="AH58" s="114">
        <f t="shared" si="20"/>
        <v>0.26333000000000001</v>
      </c>
      <c r="AI58" s="114">
        <f t="shared" si="7"/>
        <v>2.0499999999999997E-3</v>
      </c>
      <c r="AJ58" s="343">
        <f t="shared" si="8"/>
        <v>0.42663999999999991</v>
      </c>
      <c r="AK58" s="131"/>
      <c r="AL58" s="117">
        <f>'Rates in Detail'!Y62</f>
        <v>1.546E-2</v>
      </c>
      <c r="AM58" s="117">
        <f>'Rates in Detail'!Z62</f>
        <v>-2.2000000000000001E-4</v>
      </c>
      <c r="AN58" s="987">
        <f t="shared" si="9"/>
        <v>1.524E-2</v>
      </c>
      <c r="AO58" s="131"/>
      <c r="AP58" s="117"/>
      <c r="AQ58" s="117"/>
      <c r="AR58" s="117"/>
      <c r="AS58" s="117"/>
      <c r="AT58" s="117"/>
      <c r="AU58" s="349">
        <f t="shared" si="10"/>
        <v>0</v>
      </c>
      <c r="AW58" s="117">
        <f t="shared" si="11"/>
        <v>0.1767199999999999</v>
      </c>
      <c r="AX58" s="117">
        <f t="shared" si="12"/>
        <v>0</v>
      </c>
      <c r="AY58" s="117">
        <f t="shared" si="13"/>
        <v>0</v>
      </c>
      <c r="AZ58" s="117">
        <f t="shared" si="14"/>
        <v>0.26333000000000001</v>
      </c>
      <c r="BA58" s="117">
        <f t="shared" si="15"/>
        <v>6.13E-3</v>
      </c>
      <c r="BB58" s="344">
        <f t="shared" si="16"/>
        <v>0.44617999999999997</v>
      </c>
    </row>
    <row r="59" spans="2:54" x14ac:dyDescent="0.2">
      <c r="B59" s="110">
        <f t="shared" si="17"/>
        <v>51</v>
      </c>
      <c r="C59" s="906"/>
      <c r="D59" s="906" t="s">
        <v>6</v>
      </c>
      <c r="E59" s="115">
        <v>20000</v>
      </c>
      <c r="F59" s="116">
        <f>'WA Volumes &amp; Revenues'!E65</f>
        <v>0</v>
      </c>
      <c r="G59" s="116"/>
      <c r="H59" s="912"/>
      <c r="I59" s="913"/>
      <c r="J59" s="628">
        <f>'Rates in Detail'!E63</f>
        <v>0.10011</v>
      </c>
      <c r="K59" s="630">
        <f>'Rates in Detail'!H63</f>
        <v>0</v>
      </c>
      <c r="L59" s="630">
        <f>'Rates in Detail'!F63</f>
        <v>0.26333000000000001</v>
      </c>
      <c r="M59" s="630">
        <f>'Rates in Detail'!I63</f>
        <v>5.1399999999999996E-3</v>
      </c>
      <c r="N59" s="137">
        <f t="shared" si="1"/>
        <v>0.36857999999999996</v>
      </c>
      <c r="O59" s="628">
        <f>'Rates in Detail'!L63</f>
        <v>2.529E-2</v>
      </c>
      <c r="P59" s="630">
        <f>'Rates in Detail'!P63</f>
        <v>-1.74E-3</v>
      </c>
      <c r="Q59" s="630">
        <f>'Rates in Detail'!Q63</f>
        <v>0</v>
      </c>
      <c r="R59" s="255">
        <f t="shared" si="2"/>
        <v>2.3550000000000001E-2</v>
      </c>
      <c r="S59" s="628">
        <f>'Rates in Detail'!S63</f>
        <v>0</v>
      </c>
      <c r="T59" s="630">
        <f>'Rates in Detail'!T63</f>
        <v>-3.3E-3</v>
      </c>
      <c r="U59" s="630">
        <f>'Rates in Detail'!U63</f>
        <v>0</v>
      </c>
      <c r="V59" s="261">
        <f t="shared" si="18"/>
        <v>2.0250000000000001E-2</v>
      </c>
      <c r="W59" s="620"/>
      <c r="X59" s="117"/>
      <c r="Y59" s="117"/>
      <c r="Z59" s="117"/>
      <c r="AA59" s="117"/>
      <c r="AB59" s="117"/>
      <c r="AC59" s="349">
        <f t="shared" si="4"/>
        <v>0</v>
      </c>
      <c r="AE59" s="114">
        <f t="shared" si="5"/>
        <v>0.12366000000000001</v>
      </c>
      <c r="AF59" s="114"/>
      <c r="AG59" s="114">
        <f t="shared" si="19"/>
        <v>0</v>
      </c>
      <c r="AH59" s="114">
        <f t="shared" si="20"/>
        <v>0.26333000000000001</v>
      </c>
      <c r="AI59" s="114">
        <f t="shared" si="7"/>
        <v>1.8399999999999996E-3</v>
      </c>
      <c r="AJ59" s="343">
        <f t="shared" si="8"/>
        <v>0.38883000000000001</v>
      </c>
      <c r="AK59" s="131"/>
      <c r="AL59" s="117">
        <f>'Rates in Detail'!Y63</f>
        <v>1.1860000000000001E-2</v>
      </c>
      <c r="AM59" s="117">
        <f>'Rates in Detail'!Z63</f>
        <v>-1.7000000000000001E-4</v>
      </c>
      <c r="AN59" s="987">
        <f t="shared" si="9"/>
        <v>1.1690000000000001E-2</v>
      </c>
      <c r="AO59" s="131"/>
      <c r="AP59" s="117"/>
      <c r="AQ59" s="117"/>
      <c r="AR59" s="117"/>
      <c r="AS59" s="117"/>
      <c r="AT59" s="117"/>
      <c r="AU59" s="349">
        <f t="shared" si="10"/>
        <v>0</v>
      </c>
      <c r="AW59" s="117">
        <f t="shared" si="11"/>
        <v>0.13552</v>
      </c>
      <c r="AX59" s="117">
        <f t="shared" si="12"/>
        <v>0</v>
      </c>
      <c r="AY59" s="117">
        <f t="shared" si="13"/>
        <v>0</v>
      </c>
      <c r="AZ59" s="117">
        <f t="shared" si="14"/>
        <v>0.26333000000000001</v>
      </c>
      <c r="BA59" s="117">
        <f t="shared" si="15"/>
        <v>4.9699999999999996E-3</v>
      </c>
      <c r="BB59" s="344">
        <f t="shared" si="16"/>
        <v>0.40382000000000001</v>
      </c>
    </row>
    <row r="60" spans="2:54" x14ac:dyDescent="0.2">
      <c r="B60" s="110">
        <f t="shared" si="17"/>
        <v>52</v>
      </c>
      <c r="C60" s="906"/>
      <c r="D60" s="906" t="s">
        <v>7</v>
      </c>
      <c r="E60" s="115">
        <v>100000</v>
      </c>
      <c r="F60" s="116">
        <f>'WA Volumes &amp; Revenues'!E66</f>
        <v>0</v>
      </c>
      <c r="G60" s="116"/>
      <c r="H60" s="912"/>
      <c r="I60" s="913"/>
      <c r="J60" s="628">
        <f>'Rates in Detail'!E64</f>
        <v>8.0089999999999995E-2</v>
      </c>
      <c r="K60" s="630">
        <f>'Rates in Detail'!H64</f>
        <v>0</v>
      </c>
      <c r="L60" s="630">
        <f>'Rates in Detail'!F64</f>
        <v>0.26333000000000001</v>
      </c>
      <c r="M60" s="630">
        <f>'Rates in Detail'!I64</f>
        <v>4.3499999999999997E-3</v>
      </c>
      <c r="N60" s="137">
        <f t="shared" si="1"/>
        <v>0.34777000000000002</v>
      </c>
      <c r="O60" s="628">
        <f>'Rates in Detail'!L64</f>
        <v>2.0230000000000001E-2</v>
      </c>
      <c r="P60" s="630">
        <f>'Rates in Detail'!P64</f>
        <v>-1.39E-3</v>
      </c>
      <c r="Q60" s="630">
        <f>'Rates in Detail'!Q64</f>
        <v>0</v>
      </c>
      <c r="R60" s="255">
        <f t="shared" si="2"/>
        <v>1.8840000000000003E-2</v>
      </c>
      <c r="S60" s="628">
        <f>'Rates in Detail'!S64</f>
        <v>0</v>
      </c>
      <c r="T60" s="630">
        <f>'Rates in Detail'!T64</f>
        <v>-2.64E-3</v>
      </c>
      <c r="U60" s="630">
        <f>'Rates in Detail'!U64</f>
        <v>0</v>
      </c>
      <c r="V60" s="261">
        <f t="shared" si="18"/>
        <v>1.6200000000000003E-2</v>
      </c>
      <c r="W60" s="620"/>
      <c r="X60" s="117"/>
      <c r="Y60" s="117"/>
      <c r="Z60" s="117"/>
      <c r="AA60" s="117"/>
      <c r="AB60" s="117"/>
      <c r="AC60" s="349">
        <f t="shared" si="4"/>
        <v>0</v>
      </c>
      <c r="AE60" s="114">
        <f t="shared" si="5"/>
        <v>9.892999999999999E-2</v>
      </c>
      <c r="AF60" s="114"/>
      <c r="AG60" s="114">
        <f t="shared" si="19"/>
        <v>0</v>
      </c>
      <c r="AH60" s="114">
        <f t="shared" si="20"/>
        <v>0.26333000000000001</v>
      </c>
      <c r="AI60" s="114">
        <f t="shared" si="7"/>
        <v>1.7099999999999997E-3</v>
      </c>
      <c r="AJ60" s="343">
        <f t="shared" si="8"/>
        <v>0.36397000000000002</v>
      </c>
      <c r="AK60" s="131"/>
      <c r="AL60" s="117">
        <f>'Rates in Detail'!Y64</f>
        <v>9.4900000000000002E-3</v>
      </c>
      <c r="AM60" s="117">
        <f>'Rates in Detail'!Z64</f>
        <v>-1.2999999999999999E-4</v>
      </c>
      <c r="AN60" s="987">
        <f t="shared" si="9"/>
        <v>9.3600000000000003E-3</v>
      </c>
      <c r="AO60" s="131"/>
      <c r="AP60" s="117"/>
      <c r="AQ60" s="117"/>
      <c r="AR60" s="117"/>
      <c r="AS60" s="117"/>
      <c r="AT60" s="117"/>
      <c r="AU60" s="349">
        <f t="shared" si="10"/>
        <v>0</v>
      </c>
      <c r="AW60" s="117">
        <f t="shared" si="11"/>
        <v>0.10841999999999999</v>
      </c>
      <c r="AX60" s="117">
        <f t="shared" si="12"/>
        <v>0</v>
      </c>
      <c r="AY60" s="117">
        <f t="shared" si="13"/>
        <v>0</v>
      </c>
      <c r="AZ60" s="117">
        <f t="shared" si="14"/>
        <v>0.26333000000000001</v>
      </c>
      <c r="BA60" s="117">
        <f t="shared" si="15"/>
        <v>4.2199999999999998E-3</v>
      </c>
      <c r="BB60" s="344">
        <f t="shared" si="16"/>
        <v>0.37597000000000003</v>
      </c>
    </row>
    <row r="61" spans="2:54" x14ac:dyDescent="0.2">
      <c r="B61" s="110">
        <f t="shared" si="17"/>
        <v>53</v>
      </c>
      <c r="C61" s="906"/>
      <c r="D61" s="906" t="s">
        <v>8</v>
      </c>
      <c r="E61" s="115">
        <v>600000</v>
      </c>
      <c r="F61" s="116">
        <f>'WA Volumes &amp; Revenues'!E67</f>
        <v>0</v>
      </c>
      <c r="G61" s="116"/>
      <c r="H61" s="912"/>
      <c r="I61" s="913"/>
      <c r="J61" s="628">
        <f>'Rates in Detail'!E65</f>
        <v>5.339E-2</v>
      </c>
      <c r="K61" s="630">
        <f>'Rates in Detail'!H65</f>
        <v>0</v>
      </c>
      <c r="L61" s="630">
        <f>'Rates in Detail'!F65</f>
        <v>0.26333000000000001</v>
      </c>
      <c r="M61" s="630">
        <f>'Rates in Detail'!I65</f>
        <v>3.2999999999999995E-3</v>
      </c>
      <c r="N61" s="137">
        <f t="shared" si="1"/>
        <v>0.32002000000000003</v>
      </c>
      <c r="O61" s="628">
        <f>'Rates in Detail'!L65</f>
        <v>1.349E-2</v>
      </c>
      <c r="P61" s="630">
        <f>'Rates in Detail'!P65</f>
        <v>-9.3000000000000005E-4</v>
      </c>
      <c r="Q61" s="630">
        <f>'Rates in Detail'!Q65</f>
        <v>0</v>
      </c>
      <c r="R61" s="255">
        <f t="shared" si="2"/>
        <v>1.256E-2</v>
      </c>
      <c r="S61" s="628">
        <f>'Rates in Detail'!S65</f>
        <v>0</v>
      </c>
      <c r="T61" s="630">
        <f>'Rates in Detail'!T65</f>
        <v>-1.7600000000000001E-3</v>
      </c>
      <c r="U61" s="630">
        <f>'Rates in Detail'!U65</f>
        <v>0</v>
      </c>
      <c r="V61" s="261">
        <f t="shared" si="18"/>
        <v>1.0800000000000001E-2</v>
      </c>
      <c r="W61" s="620"/>
      <c r="X61" s="117"/>
      <c r="Y61" s="117"/>
      <c r="Z61" s="117"/>
      <c r="AA61" s="117"/>
      <c r="AB61" s="117"/>
      <c r="AC61" s="349">
        <f t="shared" si="4"/>
        <v>0</v>
      </c>
      <c r="AE61" s="114">
        <f t="shared" si="5"/>
        <v>6.5949999999999995E-2</v>
      </c>
      <c r="AF61" s="114"/>
      <c r="AG61" s="114">
        <f t="shared" si="19"/>
        <v>0</v>
      </c>
      <c r="AH61" s="114">
        <f t="shared" si="20"/>
        <v>0.26333000000000001</v>
      </c>
      <c r="AI61" s="114">
        <f t="shared" si="7"/>
        <v>1.5399999999999995E-3</v>
      </c>
      <c r="AJ61" s="343">
        <f t="shared" si="8"/>
        <v>0.33082</v>
      </c>
      <c r="AK61" s="131"/>
      <c r="AL61" s="117">
        <f>'Rates in Detail'!Y65</f>
        <v>6.3200000000000001E-3</v>
      </c>
      <c r="AM61" s="117">
        <f>'Rates in Detail'!Z65</f>
        <v>-9.0000000000000006E-5</v>
      </c>
      <c r="AN61" s="987">
        <f t="shared" si="9"/>
        <v>6.2300000000000003E-3</v>
      </c>
      <c r="AO61" s="131"/>
      <c r="AP61" s="117"/>
      <c r="AQ61" s="117"/>
      <c r="AR61" s="117"/>
      <c r="AS61" s="117"/>
      <c r="AT61" s="117"/>
      <c r="AU61" s="349">
        <f t="shared" si="10"/>
        <v>0</v>
      </c>
      <c r="AW61" s="117">
        <f t="shared" si="11"/>
        <v>7.2270000000000001E-2</v>
      </c>
      <c r="AX61" s="117">
        <f t="shared" si="12"/>
        <v>0</v>
      </c>
      <c r="AY61" s="117">
        <f t="shared" si="13"/>
        <v>0</v>
      </c>
      <c r="AZ61" s="117">
        <f t="shared" si="14"/>
        <v>0.26333000000000001</v>
      </c>
      <c r="BA61" s="117">
        <f t="shared" si="15"/>
        <v>3.2099999999999997E-3</v>
      </c>
      <c r="BB61" s="344">
        <f t="shared" si="16"/>
        <v>0.33881</v>
      </c>
    </row>
    <row r="62" spans="2:54" x14ac:dyDescent="0.2">
      <c r="B62" s="110">
        <f t="shared" si="17"/>
        <v>54</v>
      </c>
      <c r="C62" s="904"/>
      <c r="D62" s="904" t="s">
        <v>9</v>
      </c>
      <c r="E62" s="112" t="s">
        <v>74</v>
      </c>
      <c r="F62" s="113">
        <f>'WA Volumes &amp; Revenues'!E68</f>
        <v>0</v>
      </c>
      <c r="G62" s="113"/>
      <c r="H62" s="907"/>
      <c r="I62" s="909"/>
      <c r="J62" s="627">
        <f>'Rates in Detail'!E66</f>
        <v>2.002E-2</v>
      </c>
      <c r="K62" s="631">
        <f>'Rates in Detail'!H66</f>
        <v>0</v>
      </c>
      <c r="L62" s="631">
        <f>'Rates in Detail'!F66</f>
        <v>0.26333000000000001</v>
      </c>
      <c r="M62" s="631">
        <f>'Rates in Detail'!I66</f>
        <v>1.9499999999999995E-3</v>
      </c>
      <c r="N62" s="135">
        <f t="shared" si="1"/>
        <v>0.2853</v>
      </c>
      <c r="O62" s="627">
        <f>'Rates in Detail'!L66</f>
        <v>5.0600000000000003E-3</v>
      </c>
      <c r="P62" s="631">
        <f>'Rates in Detail'!P66</f>
        <v>-3.5E-4</v>
      </c>
      <c r="Q62" s="631">
        <f>'Rates in Detail'!Q66</f>
        <v>0</v>
      </c>
      <c r="R62" s="254">
        <f t="shared" si="2"/>
        <v>4.7100000000000006E-3</v>
      </c>
      <c r="S62" s="627">
        <f>'Rates in Detail'!S66</f>
        <v>0</v>
      </c>
      <c r="T62" s="631">
        <f>'Rates in Detail'!T66</f>
        <v>-6.6E-4</v>
      </c>
      <c r="U62" s="631">
        <f>'Rates in Detail'!U66</f>
        <v>0</v>
      </c>
      <c r="V62" s="260">
        <f t="shared" si="18"/>
        <v>4.0500000000000006E-3</v>
      </c>
      <c r="W62" s="620"/>
      <c r="X62" s="114"/>
      <c r="Y62" s="114"/>
      <c r="Z62" s="114"/>
      <c r="AA62" s="114"/>
      <c r="AB62" s="114"/>
      <c r="AC62" s="348">
        <f t="shared" si="4"/>
        <v>0</v>
      </c>
      <c r="AE62" s="114">
        <f t="shared" si="5"/>
        <v>2.4730000000000002E-2</v>
      </c>
      <c r="AF62" s="114"/>
      <c r="AG62" s="114">
        <f t="shared" si="19"/>
        <v>0</v>
      </c>
      <c r="AH62" s="114">
        <f t="shared" si="20"/>
        <v>0.26333000000000001</v>
      </c>
      <c r="AI62" s="114">
        <f t="shared" si="7"/>
        <v>1.2899999999999995E-3</v>
      </c>
      <c r="AJ62" s="343">
        <f t="shared" si="8"/>
        <v>0.28935</v>
      </c>
      <c r="AK62" s="131"/>
      <c r="AL62" s="114">
        <f>'Rates in Detail'!Y66</f>
        <v>2.3700000000000001E-3</v>
      </c>
      <c r="AM62" s="114">
        <f>'Rates in Detail'!Z66</f>
        <v>-3.0000000000000001E-5</v>
      </c>
      <c r="AN62" s="986">
        <f t="shared" si="9"/>
        <v>2.3400000000000001E-3</v>
      </c>
      <c r="AO62" s="131"/>
      <c r="AP62" s="114"/>
      <c r="AQ62" s="114"/>
      <c r="AR62" s="114"/>
      <c r="AS62" s="114"/>
      <c r="AT62" s="114"/>
      <c r="AU62" s="348">
        <f t="shared" si="10"/>
        <v>0</v>
      </c>
      <c r="AW62" s="114">
        <f t="shared" si="11"/>
        <v>2.7100000000000003E-2</v>
      </c>
      <c r="AX62" s="114">
        <f t="shared" si="12"/>
        <v>0</v>
      </c>
      <c r="AY62" s="114">
        <f t="shared" si="13"/>
        <v>0</v>
      </c>
      <c r="AZ62" s="114">
        <f t="shared" si="14"/>
        <v>0.26333000000000001</v>
      </c>
      <c r="BA62" s="114">
        <f t="shared" si="15"/>
        <v>1.9199999999999994E-3</v>
      </c>
      <c r="BB62" s="343">
        <f t="shared" si="16"/>
        <v>0.29235</v>
      </c>
    </row>
    <row r="63" spans="2:54" x14ac:dyDescent="0.2">
      <c r="B63" s="110">
        <f t="shared" si="17"/>
        <v>55</v>
      </c>
      <c r="C63" s="906" t="str">
        <f>'WA Volumes &amp; Revenues'!B69</f>
        <v>42C Inter Transpt</v>
      </c>
      <c r="D63" s="906" t="s">
        <v>4</v>
      </c>
      <c r="E63" s="115">
        <v>10000</v>
      </c>
      <c r="F63" s="116">
        <f>'WA Volumes &amp; Revenues'!E69</f>
        <v>0</v>
      </c>
      <c r="G63" s="116">
        <f>'WA Volumes &amp; Revenues'!H69</f>
        <v>0</v>
      </c>
      <c r="H63" s="912">
        <f>'WA Volumes &amp; Revenues'!O69</f>
        <v>1550</v>
      </c>
      <c r="I63" s="913">
        <f>'WA Volumes &amp; Revenues'!N69</f>
        <v>1550</v>
      </c>
      <c r="J63" s="628">
        <f>'Rates in Detail'!E67</f>
        <v>0.13402999999999998</v>
      </c>
      <c r="K63" s="630">
        <f>'Rates in Detail'!H67</f>
        <v>0</v>
      </c>
      <c r="L63" s="630">
        <f>'Rates in Detail'!F67</f>
        <v>0</v>
      </c>
      <c r="M63" s="630">
        <f>'Rates in Detail'!I67</f>
        <v>5.6999999999999998E-4</v>
      </c>
      <c r="N63" s="137">
        <f t="shared" si="1"/>
        <v>0.13459999999999997</v>
      </c>
      <c r="O63" s="628">
        <f>'Rates in Detail'!L67</f>
        <v>1.6990000000000002E-2</v>
      </c>
      <c r="P63" s="630">
        <f>'Rates in Detail'!P67</f>
        <v>-1.2600000000000001E-3</v>
      </c>
      <c r="Q63" s="630">
        <f>'Rates in Detail'!Q67</f>
        <v>0</v>
      </c>
      <c r="R63" s="255">
        <f t="shared" si="2"/>
        <v>1.5730000000000001E-2</v>
      </c>
      <c r="S63" s="628">
        <f>'Rates in Detail'!S67</f>
        <v>0</v>
      </c>
      <c r="T63" s="630">
        <f>'Rates in Detail'!T67</f>
        <v>-2.3800000000000002E-3</v>
      </c>
      <c r="U63" s="630">
        <f>'Rates in Detail'!U67</f>
        <v>0</v>
      </c>
      <c r="V63" s="261">
        <f t="shared" si="18"/>
        <v>1.3350000000000001E-2</v>
      </c>
      <c r="W63" s="620"/>
      <c r="X63" s="117"/>
      <c r="Y63" s="117"/>
      <c r="Z63" s="117"/>
      <c r="AA63" s="117"/>
      <c r="AB63" s="117"/>
      <c r="AC63" s="349">
        <f t="shared" si="4"/>
        <v>0</v>
      </c>
      <c r="AE63" s="114">
        <f t="shared" si="5"/>
        <v>0.14975999999999998</v>
      </c>
      <c r="AF63" s="114"/>
      <c r="AG63" s="114">
        <f t="shared" si="19"/>
        <v>0</v>
      </c>
      <c r="AH63" s="114">
        <f t="shared" si="20"/>
        <v>0</v>
      </c>
      <c r="AI63" s="114">
        <f t="shared" si="7"/>
        <v>-1.8100000000000002E-3</v>
      </c>
      <c r="AJ63" s="343">
        <f t="shared" si="8"/>
        <v>0.14794999999999997</v>
      </c>
      <c r="AK63" s="131"/>
      <c r="AL63" s="117">
        <f>'Rates in Detail'!Y67</f>
        <v>8.4799999999999997E-3</v>
      </c>
      <c r="AM63" s="117">
        <f>'Rates in Detail'!Z67</f>
        <v>-1.2E-4</v>
      </c>
      <c r="AN63" s="987">
        <f t="shared" si="9"/>
        <v>8.3599999999999994E-3</v>
      </c>
      <c r="AO63" s="131"/>
      <c r="AP63" s="117"/>
      <c r="AQ63" s="117"/>
      <c r="AR63" s="117"/>
      <c r="AS63" s="117"/>
      <c r="AT63" s="117"/>
      <c r="AU63" s="349">
        <f t="shared" si="10"/>
        <v>0</v>
      </c>
      <c r="AW63" s="117">
        <f t="shared" si="11"/>
        <v>0.15823999999999996</v>
      </c>
      <c r="AX63" s="117">
        <f t="shared" si="12"/>
        <v>0</v>
      </c>
      <c r="AY63" s="117">
        <f t="shared" si="13"/>
        <v>0</v>
      </c>
      <c r="AZ63" s="117">
        <f t="shared" si="14"/>
        <v>0</v>
      </c>
      <c r="BA63" s="117">
        <f t="shared" si="15"/>
        <v>4.4999999999999999E-4</v>
      </c>
      <c r="BB63" s="344">
        <f t="shared" si="16"/>
        <v>0.15868999999999997</v>
      </c>
    </row>
    <row r="64" spans="2:54" x14ac:dyDescent="0.2">
      <c r="B64" s="110">
        <f t="shared" si="17"/>
        <v>56</v>
      </c>
      <c r="C64" s="906"/>
      <c r="D64" s="906" t="s">
        <v>5</v>
      </c>
      <c r="E64" s="115">
        <v>20000</v>
      </c>
      <c r="F64" s="116">
        <f>'WA Volumes &amp; Revenues'!E70</f>
        <v>0</v>
      </c>
      <c r="G64" s="116"/>
      <c r="H64" s="912"/>
      <c r="I64" s="913"/>
      <c r="J64" s="628">
        <f>'Rates in Detail'!E68</f>
        <v>0.11997999999999999</v>
      </c>
      <c r="K64" s="630">
        <f>'Rates in Detail'!H68</f>
        <v>0</v>
      </c>
      <c r="L64" s="630">
        <f>'Rates in Detail'!F68</f>
        <v>0</v>
      </c>
      <c r="M64" s="630">
        <f>'Rates in Detail'!I68</f>
        <v>5.1000000000000004E-4</v>
      </c>
      <c r="N64" s="137">
        <f t="shared" si="1"/>
        <v>0.12048999999999999</v>
      </c>
      <c r="O64" s="628">
        <f>'Rates in Detail'!L68</f>
        <v>1.521E-2</v>
      </c>
      <c r="P64" s="630">
        <f>'Rates in Detail'!P68</f>
        <v>-1.1199999999999999E-3</v>
      </c>
      <c r="Q64" s="630">
        <f>'Rates in Detail'!Q68</f>
        <v>0</v>
      </c>
      <c r="R64" s="255">
        <f t="shared" si="2"/>
        <v>1.409E-2</v>
      </c>
      <c r="S64" s="628">
        <f>'Rates in Detail'!S68</f>
        <v>0</v>
      </c>
      <c r="T64" s="630">
        <f>'Rates in Detail'!T68</f>
        <v>-2.1299999999999999E-3</v>
      </c>
      <c r="U64" s="630">
        <f>'Rates in Detail'!U68</f>
        <v>0</v>
      </c>
      <c r="V64" s="261">
        <f t="shared" si="18"/>
        <v>1.196E-2</v>
      </c>
      <c r="W64" s="620"/>
      <c r="X64" s="117"/>
      <c r="Y64" s="117"/>
      <c r="Z64" s="117"/>
      <c r="AA64" s="117"/>
      <c r="AB64" s="117"/>
      <c r="AC64" s="349">
        <f t="shared" si="4"/>
        <v>0</v>
      </c>
      <c r="AE64" s="114">
        <f t="shared" si="5"/>
        <v>0.13406999999999999</v>
      </c>
      <c r="AF64" s="114"/>
      <c r="AG64" s="114">
        <f t="shared" si="19"/>
        <v>0</v>
      </c>
      <c r="AH64" s="114">
        <f t="shared" si="20"/>
        <v>0</v>
      </c>
      <c r="AI64" s="114">
        <f t="shared" si="7"/>
        <v>-1.6199999999999999E-3</v>
      </c>
      <c r="AJ64" s="343">
        <f t="shared" si="8"/>
        <v>0.13244999999999998</v>
      </c>
      <c r="AK64" s="131"/>
      <c r="AL64" s="117">
        <f>'Rates in Detail'!Y68</f>
        <v>7.5900000000000004E-3</v>
      </c>
      <c r="AM64" s="117">
        <f>'Rates in Detail'!Z68</f>
        <v>-1.1E-4</v>
      </c>
      <c r="AN64" s="987">
        <f t="shared" si="9"/>
        <v>7.4800000000000005E-3</v>
      </c>
      <c r="AO64" s="131"/>
      <c r="AP64" s="117"/>
      <c r="AQ64" s="117"/>
      <c r="AR64" s="117"/>
      <c r="AS64" s="117"/>
      <c r="AT64" s="117"/>
      <c r="AU64" s="349">
        <f t="shared" si="10"/>
        <v>0</v>
      </c>
      <c r="AW64" s="117">
        <f t="shared" si="11"/>
        <v>0.14166000000000001</v>
      </c>
      <c r="AX64" s="117">
        <f t="shared" si="12"/>
        <v>0</v>
      </c>
      <c r="AY64" s="117">
        <f t="shared" si="13"/>
        <v>0</v>
      </c>
      <c r="AZ64" s="117">
        <f t="shared" si="14"/>
        <v>0</v>
      </c>
      <c r="BA64" s="117">
        <f t="shared" si="15"/>
        <v>4.0000000000000002E-4</v>
      </c>
      <c r="BB64" s="344">
        <f t="shared" si="16"/>
        <v>0.14206000000000002</v>
      </c>
    </row>
    <row r="65" spans="2:54" x14ac:dyDescent="0.2">
      <c r="B65" s="110">
        <f t="shared" si="17"/>
        <v>57</v>
      </c>
      <c r="C65" s="906"/>
      <c r="D65" s="906" t="s">
        <v>6</v>
      </c>
      <c r="E65" s="115">
        <v>20000</v>
      </c>
      <c r="F65" s="116">
        <f>'WA Volumes &amp; Revenues'!E71</f>
        <v>0</v>
      </c>
      <c r="G65" s="116"/>
      <c r="H65" s="912"/>
      <c r="I65" s="913"/>
      <c r="J65" s="628">
        <f>'Rates in Detail'!E69</f>
        <v>9.1999999999999998E-2</v>
      </c>
      <c r="K65" s="630">
        <f>'Rates in Detail'!H69</f>
        <v>0</v>
      </c>
      <c r="L65" s="630">
        <f>'Rates in Detail'!F69</f>
        <v>0</v>
      </c>
      <c r="M65" s="630">
        <f>'Rates in Detail'!I69</f>
        <v>3.7999999999999997E-4</v>
      </c>
      <c r="N65" s="137">
        <f t="shared" si="1"/>
        <v>9.2380000000000004E-2</v>
      </c>
      <c r="O65" s="628">
        <f>'Rates in Detail'!L69</f>
        <v>1.166E-2</v>
      </c>
      <c r="P65" s="630">
        <f>'Rates in Detail'!P69</f>
        <v>-8.5999999999999998E-4</v>
      </c>
      <c r="Q65" s="630">
        <f>'Rates in Detail'!Q69</f>
        <v>0</v>
      </c>
      <c r="R65" s="255">
        <f t="shared" si="2"/>
        <v>1.0800000000000001E-2</v>
      </c>
      <c r="S65" s="628">
        <f>'Rates in Detail'!S69</f>
        <v>0</v>
      </c>
      <c r="T65" s="630">
        <f>'Rates in Detail'!T69</f>
        <v>-1.6299999999999999E-3</v>
      </c>
      <c r="U65" s="630">
        <f>'Rates in Detail'!U69</f>
        <v>0</v>
      </c>
      <c r="V65" s="261">
        <f t="shared" si="18"/>
        <v>9.1700000000000011E-3</v>
      </c>
      <c r="W65" s="620"/>
      <c r="X65" s="117"/>
      <c r="Y65" s="117"/>
      <c r="Z65" s="117"/>
      <c r="AA65" s="117"/>
      <c r="AB65" s="117"/>
      <c r="AC65" s="349">
        <f t="shared" si="4"/>
        <v>0</v>
      </c>
      <c r="AE65" s="114">
        <f t="shared" si="5"/>
        <v>0.1028</v>
      </c>
      <c r="AF65" s="114"/>
      <c r="AG65" s="114">
        <f t="shared" si="19"/>
        <v>0</v>
      </c>
      <c r="AH65" s="114">
        <f t="shared" si="20"/>
        <v>0</v>
      </c>
      <c r="AI65" s="114">
        <f t="shared" si="7"/>
        <v>-1.25E-3</v>
      </c>
      <c r="AJ65" s="343">
        <f t="shared" si="8"/>
        <v>0.10155</v>
      </c>
      <c r="AK65" s="131"/>
      <c r="AL65" s="117">
        <f>'Rates in Detail'!Y69</f>
        <v>5.8199999999999997E-3</v>
      </c>
      <c r="AM65" s="117">
        <f>'Rates in Detail'!Z69</f>
        <v>-8.0000000000000007E-5</v>
      </c>
      <c r="AN65" s="987">
        <f t="shared" si="9"/>
        <v>5.7399999999999994E-3</v>
      </c>
      <c r="AO65" s="131"/>
      <c r="AP65" s="117"/>
      <c r="AQ65" s="117"/>
      <c r="AR65" s="117"/>
      <c r="AS65" s="117"/>
      <c r="AT65" s="117"/>
      <c r="AU65" s="349">
        <f t="shared" si="10"/>
        <v>0</v>
      </c>
      <c r="AW65" s="117">
        <f t="shared" si="11"/>
        <v>0.10862000000000001</v>
      </c>
      <c r="AX65" s="117">
        <f t="shared" si="12"/>
        <v>0</v>
      </c>
      <c r="AY65" s="117">
        <f t="shared" si="13"/>
        <v>0</v>
      </c>
      <c r="AZ65" s="117">
        <f t="shared" si="14"/>
        <v>0</v>
      </c>
      <c r="BA65" s="117">
        <f t="shared" si="15"/>
        <v>2.9999999999999997E-4</v>
      </c>
      <c r="BB65" s="344">
        <f t="shared" si="16"/>
        <v>0.10892</v>
      </c>
    </row>
    <row r="66" spans="2:54" x14ac:dyDescent="0.2">
      <c r="B66" s="110">
        <f t="shared" si="17"/>
        <v>58</v>
      </c>
      <c r="C66" s="906"/>
      <c r="D66" s="906" t="s">
        <v>7</v>
      </c>
      <c r="E66" s="115">
        <v>100000</v>
      </c>
      <c r="F66" s="116">
        <f>'WA Volumes &amp; Revenues'!E72</f>
        <v>0</v>
      </c>
      <c r="G66" s="116"/>
      <c r="H66" s="912"/>
      <c r="I66" s="913"/>
      <c r="J66" s="628">
        <f>'Rates in Detail'!E70</f>
        <v>7.3609999999999995E-2</v>
      </c>
      <c r="K66" s="630">
        <f>'Rates in Detail'!H70</f>
        <v>0</v>
      </c>
      <c r="L66" s="630">
        <f>'Rates in Detail'!F70</f>
        <v>0</v>
      </c>
      <c r="M66" s="630">
        <f>'Rates in Detail'!I70</f>
        <v>3.0999999999999995E-4</v>
      </c>
      <c r="N66" s="137">
        <f t="shared" si="1"/>
        <v>7.392E-2</v>
      </c>
      <c r="O66" s="628">
        <f>'Rates in Detail'!L70</f>
        <v>9.3299999999999998E-3</v>
      </c>
      <c r="P66" s="630">
        <f>'Rates in Detail'!P70</f>
        <v>-6.8999999999999997E-4</v>
      </c>
      <c r="Q66" s="630">
        <f>'Rates in Detail'!Q70</f>
        <v>0</v>
      </c>
      <c r="R66" s="255">
        <f t="shared" si="2"/>
        <v>8.6400000000000001E-3</v>
      </c>
      <c r="S66" s="628">
        <f>'Rates in Detail'!S70</f>
        <v>0</v>
      </c>
      <c r="T66" s="630">
        <f>'Rates in Detail'!T70</f>
        <v>-1.31E-3</v>
      </c>
      <c r="U66" s="630">
        <f>'Rates in Detail'!U70</f>
        <v>0</v>
      </c>
      <c r="V66" s="261">
        <f t="shared" si="18"/>
        <v>7.3299999999999997E-3</v>
      </c>
      <c r="W66" s="620"/>
      <c r="X66" s="117"/>
      <c r="Y66" s="117"/>
      <c r="Z66" s="117"/>
      <c r="AA66" s="117"/>
      <c r="AB66" s="117"/>
      <c r="AC66" s="349">
        <f t="shared" si="4"/>
        <v>0</v>
      </c>
      <c r="AE66" s="114">
        <f t="shared" si="5"/>
        <v>8.224999999999999E-2</v>
      </c>
      <c r="AF66" s="114"/>
      <c r="AG66" s="114">
        <f t="shared" si="19"/>
        <v>0</v>
      </c>
      <c r="AH66" s="114">
        <f t="shared" si="20"/>
        <v>0</v>
      </c>
      <c r="AI66" s="114">
        <f t="shared" si="7"/>
        <v>-1E-3</v>
      </c>
      <c r="AJ66" s="343">
        <f t="shared" si="8"/>
        <v>8.1249999999999989E-2</v>
      </c>
      <c r="AK66" s="131"/>
      <c r="AL66" s="117">
        <f>'Rates in Detail'!Y70</f>
        <v>4.6600000000000001E-3</v>
      </c>
      <c r="AM66" s="117">
        <f>'Rates in Detail'!Z70</f>
        <v>-6.9999999999999994E-5</v>
      </c>
      <c r="AN66" s="987">
        <f t="shared" si="9"/>
        <v>4.5900000000000003E-3</v>
      </c>
      <c r="AO66" s="131"/>
      <c r="AP66" s="117"/>
      <c r="AQ66" s="117"/>
      <c r="AR66" s="117"/>
      <c r="AS66" s="117"/>
      <c r="AT66" s="117"/>
      <c r="AU66" s="349">
        <f t="shared" si="10"/>
        <v>0</v>
      </c>
      <c r="AW66" s="117">
        <f t="shared" si="11"/>
        <v>8.6909999999999987E-2</v>
      </c>
      <c r="AX66" s="117">
        <f t="shared" si="12"/>
        <v>0</v>
      </c>
      <c r="AY66" s="117">
        <f t="shared" si="13"/>
        <v>0</v>
      </c>
      <c r="AZ66" s="117">
        <f t="shared" si="14"/>
        <v>0</v>
      </c>
      <c r="BA66" s="117">
        <f t="shared" si="15"/>
        <v>2.3999999999999995E-4</v>
      </c>
      <c r="BB66" s="344">
        <f t="shared" si="16"/>
        <v>8.7149999999999991E-2</v>
      </c>
    </row>
    <row r="67" spans="2:54" x14ac:dyDescent="0.2">
      <c r="B67" s="110">
        <f t="shared" si="17"/>
        <v>59</v>
      </c>
      <c r="C67" s="906"/>
      <c r="D67" s="906" t="s">
        <v>8</v>
      </c>
      <c r="E67" s="115">
        <v>600000</v>
      </c>
      <c r="F67" s="116">
        <f>'WA Volumes &amp; Revenues'!E73</f>
        <v>0</v>
      </c>
      <c r="G67" s="116"/>
      <c r="H67" s="912"/>
      <c r="I67" s="913"/>
      <c r="J67" s="628">
        <f>'Rates in Detail'!E71</f>
        <v>4.9079999999999999E-2</v>
      </c>
      <c r="K67" s="630">
        <f>'Rates in Detail'!H71</f>
        <v>0</v>
      </c>
      <c r="L67" s="630">
        <f>'Rates in Detail'!F71</f>
        <v>0</v>
      </c>
      <c r="M67" s="630">
        <f>'Rates in Detail'!I71</f>
        <v>2.0999999999999998E-4</v>
      </c>
      <c r="N67" s="137">
        <f t="shared" si="1"/>
        <v>4.929E-2</v>
      </c>
      <c r="O67" s="628">
        <f>'Rates in Detail'!L71</f>
        <v>6.2199999999999998E-3</v>
      </c>
      <c r="P67" s="630">
        <f>'Rates in Detail'!P71</f>
        <v>-4.6000000000000001E-4</v>
      </c>
      <c r="Q67" s="630">
        <f>'Rates in Detail'!Q71</f>
        <v>0</v>
      </c>
      <c r="R67" s="255">
        <f t="shared" si="2"/>
        <v>5.7599999999999995E-3</v>
      </c>
      <c r="S67" s="628">
        <f>'Rates in Detail'!S71</f>
        <v>0</v>
      </c>
      <c r="T67" s="630">
        <f>'Rates in Detail'!T71</f>
        <v>-8.7000000000000001E-4</v>
      </c>
      <c r="U67" s="630">
        <f>'Rates in Detail'!U71</f>
        <v>0</v>
      </c>
      <c r="V67" s="261">
        <f t="shared" si="18"/>
        <v>4.8899999999999994E-3</v>
      </c>
      <c r="W67" s="620"/>
      <c r="X67" s="117"/>
      <c r="Y67" s="117"/>
      <c r="Z67" s="117"/>
      <c r="AA67" s="117"/>
      <c r="AB67" s="117"/>
      <c r="AC67" s="349">
        <f t="shared" si="4"/>
        <v>0</v>
      </c>
      <c r="AE67" s="114">
        <f t="shared" si="5"/>
        <v>5.484E-2</v>
      </c>
      <c r="AF67" s="114"/>
      <c r="AG67" s="114">
        <f t="shared" si="19"/>
        <v>0</v>
      </c>
      <c r="AH67" s="114">
        <f t="shared" si="20"/>
        <v>0</v>
      </c>
      <c r="AI67" s="114">
        <f t="shared" si="7"/>
        <v>-6.6E-4</v>
      </c>
      <c r="AJ67" s="343">
        <f t="shared" si="8"/>
        <v>5.4179999999999999E-2</v>
      </c>
      <c r="AK67" s="131"/>
      <c r="AL67" s="117">
        <f>'Rates in Detail'!Y71</f>
        <v>3.1099999999999999E-3</v>
      </c>
      <c r="AM67" s="117">
        <f>'Rates in Detail'!Z71</f>
        <v>-4.0000000000000003E-5</v>
      </c>
      <c r="AN67" s="987">
        <f t="shared" si="9"/>
        <v>3.0699999999999998E-3</v>
      </c>
      <c r="AO67" s="131"/>
      <c r="AP67" s="117"/>
      <c r="AQ67" s="117"/>
      <c r="AR67" s="117"/>
      <c r="AS67" s="117"/>
      <c r="AT67" s="117"/>
      <c r="AU67" s="349">
        <f t="shared" si="10"/>
        <v>0</v>
      </c>
      <c r="AW67" s="117">
        <f t="shared" si="11"/>
        <v>5.7950000000000002E-2</v>
      </c>
      <c r="AX67" s="117">
        <f t="shared" si="12"/>
        <v>0</v>
      </c>
      <c r="AY67" s="117">
        <f t="shared" si="13"/>
        <v>0</v>
      </c>
      <c r="AZ67" s="117">
        <f t="shared" si="14"/>
        <v>0</v>
      </c>
      <c r="BA67" s="117">
        <f t="shared" si="15"/>
        <v>1.6999999999999999E-4</v>
      </c>
      <c r="BB67" s="344">
        <f t="shared" si="16"/>
        <v>5.8119999999999998E-2</v>
      </c>
    </row>
    <row r="68" spans="2:54" x14ac:dyDescent="0.2">
      <c r="B68" s="110">
        <f t="shared" si="17"/>
        <v>60</v>
      </c>
      <c r="C68" s="904"/>
      <c r="D68" s="904" t="s">
        <v>9</v>
      </c>
      <c r="E68" s="112" t="s">
        <v>74</v>
      </c>
      <c r="F68" s="113">
        <f>'WA Volumes &amp; Revenues'!E74</f>
        <v>0</v>
      </c>
      <c r="G68" s="113"/>
      <c r="H68" s="907"/>
      <c r="I68" s="909"/>
      <c r="J68" s="627">
        <f>'Rates in Detail'!E72</f>
        <v>1.839E-2</v>
      </c>
      <c r="K68" s="631">
        <f>'Rates in Detail'!H72</f>
        <v>0</v>
      </c>
      <c r="L68" s="631">
        <f>'Rates in Detail'!F72</f>
        <v>0</v>
      </c>
      <c r="M68" s="631">
        <f>'Rates in Detail'!I72</f>
        <v>6.9999999999999994E-5</v>
      </c>
      <c r="N68" s="135">
        <f t="shared" si="1"/>
        <v>1.8460000000000001E-2</v>
      </c>
      <c r="O68" s="627">
        <f>'Rates in Detail'!L72</f>
        <v>2.33E-3</v>
      </c>
      <c r="P68" s="631">
        <f>'Rates in Detail'!P72</f>
        <v>-1.7000000000000001E-4</v>
      </c>
      <c r="Q68" s="631">
        <f>'Rates in Detail'!Q72</f>
        <v>0</v>
      </c>
      <c r="R68" s="254">
        <f t="shared" si="2"/>
        <v>2.16E-3</v>
      </c>
      <c r="S68" s="627">
        <f>'Rates in Detail'!S72</f>
        <v>0</v>
      </c>
      <c r="T68" s="631">
        <f>'Rates in Detail'!T72</f>
        <v>-3.3E-4</v>
      </c>
      <c r="U68" s="631">
        <f>'Rates in Detail'!U72</f>
        <v>0</v>
      </c>
      <c r="V68" s="260">
        <f t="shared" si="18"/>
        <v>1.83E-3</v>
      </c>
      <c r="W68" s="620"/>
      <c r="X68" s="114"/>
      <c r="Y68" s="114"/>
      <c r="Z68" s="114"/>
      <c r="AA68" s="114"/>
      <c r="AB68" s="114"/>
      <c r="AC68" s="348">
        <f t="shared" si="4"/>
        <v>0</v>
      </c>
      <c r="AE68" s="114">
        <f t="shared" si="5"/>
        <v>2.0549999999999999E-2</v>
      </c>
      <c r="AF68" s="114"/>
      <c r="AG68" s="114">
        <f t="shared" si="19"/>
        <v>0</v>
      </c>
      <c r="AH68" s="114">
        <f t="shared" si="20"/>
        <v>0</v>
      </c>
      <c r="AI68" s="114">
        <f t="shared" si="7"/>
        <v>-2.6000000000000003E-4</v>
      </c>
      <c r="AJ68" s="343">
        <f t="shared" si="8"/>
        <v>2.0289999999999999E-2</v>
      </c>
      <c r="AK68" s="131"/>
      <c r="AL68" s="114">
        <f>'Rates in Detail'!Y72</f>
        <v>1.16E-3</v>
      </c>
      <c r="AM68" s="114">
        <f>'Rates in Detail'!Z72</f>
        <v>-2.0000000000000002E-5</v>
      </c>
      <c r="AN68" s="986">
        <f t="shared" si="9"/>
        <v>1.14E-3</v>
      </c>
      <c r="AO68" s="131"/>
      <c r="AP68" s="114"/>
      <c r="AQ68" s="114"/>
      <c r="AR68" s="114"/>
      <c r="AS68" s="114"/>
      <c r="AT68" s="114"/>
      <c r="AU68" s="348">
        <f t="shared" si="10"/>
        <v>0</v>
      </c>
      <c r="AW68" s="114">
        <f t="shared" si="11"/>
        <v>2.171E-2</v>
      </c>
      <c r="AX68" s="114">
        <f t="shared" si="12"/>
        <v>0</v>
      </c>
      <c r="AY68" s="114">
        <f t="shared" si="13"/>
        <v>0</v>
      </c>
      <c r="AZ68" s="114">
        <f t="shared" si="14"/>
        <v>0</v>
      </c>
      <c r="BA68" s="114">
        <f t="shared" si="15"/>
        <v>4.9999999999999996E-5</v>
      </c>
      <c r="BB68" s="343">
        <f t="shared" si="16"/>
        <v>2.1760000000000002E-2</v>
      </c>
    </row>
    <row r="69" spans="2:54" x14ac:dyDescent="0.2">
      <c r="B69" s="110">
        <f t="shared" si="17"/>
        <v>61</v>
      </c>
      <c r="C69" s="906" t="str">
        <f>'WA Volumes &amp; Revenues'!B75</f>
        <v>42I Inter Transpt</v>
      </c>
      <c r="D69" s="906" t="s">
        <v>4</v>
      </c>
      <c r="E69" s="115">
        <v>10000</v>
      </c>
      <c r="F69" s="116">
        <f>'WA Volumes &amp; Revenues'!E75</f>
        <v>844078</v>
      </c>
      <c r="G69" s="116">
        <f>'WA Volumes &amp; Revenues'!H75</f>
        <v>7</v>
      </c>
      <c r="H69" s="912">
        <f>'WA Volumes &amp; Revenues'!O75</f>
        <v>1550</v>
      </c>
      <c r="I69" s="913">
        <f>'WA Volumes &amp; Revenues'!N75</f>
        <v>1550</v>
      </c>
      <c r="J69" s="628">
        <f>'Rates in Detail'!E73</f>
        <v>0.13402999999999998</v>
      </c>
      <c r="K69" s="630">
        <f>'Rates in Detail'!H73</f>
        <v>0</v>
      </c>
      <c r="L69" s="630">
        <f>'Rates in Detail'!F73</f>
        <v>0</v>
      </c>
      <c r="M69" s="630">
        <f>'Rates in Detail'!I73</f>
        <v>5.6999999999999998E-4</v>
      </c>
      <c r="N69" s="137">
        <f t="shared" si="1"/>
        <v>0.13459999999999997</v>
      </c>
      <c r="O69" s="628">
        <f>'Rates in Detail'!L73</f>
        <v>2.1659999999999999E-2</v>
      </c>
      <c r="P69" s="630">
        <f>'Rates in Detail'!P73</f>
        <v>-1.49E-3</v>
      </c>
      <c r="Q69" s="630">
        <f>'Rates in Detail'!Q73</f>
        <v>0</v>
      </c>
      <c r="R69" s="255">
        <f t="shared" si="2"/>
        <v>2.017E-2</v>
      </c>
      <c r="S69" s="628">
        <f>'Rates in Detail'!S73</f>
        <v>0</v>
      </c>
      <c r="T69" s="630">
        <f>'Rates in Detail'!T73</f>
        <v>-2.82E-3</v>
      </c>
      <c r="U69" s="630">
        <f>'Rates in Detail'!U73</f>
        <v>0</v>
      </c>
      <c r="V69" s="261">
        <f t="shared" si="18"/>
        <v>1.7350000000000001E-2</v>
      </c>
      <c r="W69" s="620"/>
      <c r="X69" s="117"/>
      <c r="Y69" s="117"/>
      <c r="Z69" s="117"/>
      <c r="AA69" s="117"/>
      <c r="AB69" s="117"/>
      <c r="AC69" s="349">
        <f t="shared" si="4"/>
        <v>0</v>
      </c>
      <c r="AE69" s="114">
        <f t="shared" si="5"/>
        <v>0.15419999999999998</v>
      </c>
      <c r="AF69" s="114"/>
      <c r="AG69" s="114">
        <f t="shared" si="19"/>
        <v>0</v>
      </c>
      <c r="AH69" s="114">
        <f t="shared" si="20"/>
        <v>0</v>
      </c>
      <c r="AI69" s="114">
        <f t="shared" si="7"/>
        <v>-2.2500000000000003E-3</v>
      </c>
      <c r="AJ69" s="343">
        <f t="shared" si="8"/>
        <v>0.15194999999999997</v>
      </c>
      <c r="AK69" s="131"/>
      <c r="AL69" s="117">
        <f>'Rates in Detail'!Y73</f>
        <v>1.0160000000000001E-2</v>
      </c>
      <c r="AM69" s="117">
        <f>'Rates in Detail'!Z73</f>
        <v>-1.3999999999999999E-4</v>
      </c>
      <c r="AN69" s="987">
        <f t="shared" si="9"/>
        <v>1.0020000000000001E-2</v>
      </c>
      <c r="AO69" s="131"/>
      <c r="AP69" s="117"/>
      <c r="AQ69" s="117"/>
      <c r="AR69" s="117"/>
      <c r="AS69" s="117"/>
      <c r="AT69" s="117"/>
      <c r="AU69" s="349">
        <f t="shared" si="10"/>
        <v>0</v>
      </c>
      <c r="AW69" s="117">
        <f t="shared" si="11"/>
        <v>0.16435999999999998</v>
      </c>
      <c r="AX69" s="117">
        <f t="shared" si="12"/>
        <v>0</v>
      </c>
      <c r="AY69" s="117">
        <f t="shared" si="13"/>
        <v>0</v>
      </c>
      <c r="AZ69" s="117">
        <f t="shared" si="14"/>
        <v>0</v>
      </c>
      <c r="BA69" s="117">
        <f t="shared" si="15"/>
        <v>4.2999999999999999E-4</v>
      </c>
      <c r="BB69" s="344">
        <f t="shared" si="16"/>
        <v>0.16478999999999999</v>
      </c>
    </row>
    <row r="70" spans="2:54" x14ac:dyDescent="0.2">
      <c r="B70" s="110">
        <f t="shared" si="17"/>
        <v>62</v>
      </c>
      <c r="C70" s="906"/>
      <c r="D70" s="906" t="s">
        <v>5</v>
      </c>
      <c r="E70" s="115">
        <v>20000</v>
      </c>
      <c r="F70" s="116">
        <f>'WA Volumes &amp; Revenues'!E76</f>
        <v>1445175</v>
      </c>
      <c r="G70" s="116"/>
      <c r="H70" s="912"/>
      <c r="I70" s="913"/>
      <c r="J70" s="628">
        <f>'Rates in Detail'!E74</f>
        <v>0.11997999999999999</v>
      </c>
      <c r="K70" s="630">
        <f>'Rates in Detail'!H74</f>
        <v>0</v>
      </c>
      <c r="L70" s="630">
        <f>'Rates in Detail'!F74</f>
        <v>0</v>
      </c>
      <c r="M70" s="630">
        <f>'Rates in Detail'!I74</f>
        <v>5.1000000000000004E-4</v>
      </c>
      <c r="N70" s="137">
        <f t="shared" si="1"/>
        <v>0.12048999999999999</v>
      </c>
      <c r="O70" s="628">
        <f>'Rates in Detail'!L74</f>
        <v>1.9390000000000001E-2</v>
      </c>
      <c r="P70" s="630">
        <f>'Rates in Detail'!P74</f>
        <v>-1.33E-3</v>
      </c>
      <c r="Q70" s="630">
        <f>'Rates in Detail'!Q74</f>
        <v>0</v>
      </c>
      <c r="R70" s="255">
        <f t="shared" si="2"/>
        <v>1.806E-2</v>
      </c>
      <c r="S70" s="628">
        <f>'Rates in Detail'!S74</f>
        <v>0</v>
      </c>
      <c r="T70" s="630">
        <f>'Rates in Detail'!T74</f>
        <v>-2.5300000000000001E-3</v>
      </c>
      <c r="U70" s="630">
        <f>'Rates in Detail'!U74</f>
        <v>0</v>
      </c>
      <c r="V70" s="261">
        <f t="shared" si="18"/>
        <v>1.5529999999999999E-2</v>
      </c>
      <c r="W70" s="620"/>
      <c r="X70" s="117"/>
      <c r="Y70" s="117"/>
      <c r="Z70" s="117"/>
      <c r="AA70" s="117"/>
      <c r="AB70" s="117"/>
      <c r="AC70" s="349">
        <f t="shared" si="4"/>
        <v>0</v>
      </c>
      <c r="AE70" s="114">
        <f t="shared" si="5"/>
        <v>0.13804</v>
      </c>
      <c r="AF70" s="114"/>
      <c r="AG70" s="114">
        <f t="shared" si="19"/>
        <v>0</v>
      </c>
      <c r="AH70" s="114">
        <f t="shared" si="20"/>
        <v>0</v>
      </c>
      <c r="AI70" s="114">
        <f t="shared" si="7"/>
        <v>-2.0200000000000001E-3</v>
      </c>
      <c r="AJ70" s="343">
        <f t="shared" si="8"/>
        <v>0.13602</v>
      </c>
      <c r="AK70" s="131"/>
      <c r="AL70" s="117">
        <f>'Rates in Detail'!Y74</f>
        <v>9.0900000000000009E-3</v>
      </c>
      <c r="AM70" s="117">
        <f>'Rates in Detail'!Z74</f>
        <v>-1.2999999999999999E-4</v>
      </c>
      <c r="AN70" s="987">
        <f t="shared" si="9"/>
        <v>8.9600000000000009E-3</v>
      </c>
      <c r="AO70" s="131"/>
      <c r="AP70" s="117"/>
      <c r="AQ70" s="117"/>
      <c r="AR70" s="117"/>
      <c r="AS70" s="117"/>
      <c r="AT70" s="117"/>
      <c r="AU70" s="349">
        <f t="shared" si="10"/>
        <v>0</v>
      </c>
      <c r="AW70" s="117">
        <f t="shared" si="11"/>
        <v>0.14712999999999998</v>
      </c>
      <c r="AX70" s="117">
        <f t="shared" si="12"/>
        <v>0</v>
      </c>
      <c r="AY70" s="117">
        <f t="shared" si="13"/>
        <v>0</v>
      </c>
      <c r="AZ70" s="117">
        <f t="shared" si="14"/>
        <v>0</v>
      </c>
      <c r="BA70" s="117">
        <f t="shared" si="15"/>
        <v>3.8000000000000002E-4</v>
      </c>
      <c r="BB70" s="344">
        <f t="shared" si="16"/>
        <v>0.14750999999999997</v>
      </c>
    </row>
    <row r="71" spans="2:54" x14ac:dyDescent="0.2">
      <c r="B71" s="110">
        <f t="shared" si="17"/>
        <v>63</v>
      </c>
      <c r="C71" s="906"/>
      <c r="D71" s="906" t="s">
        <v>6</v>
      </c>
      <c r="E71" s="115">
        <v>20000</v>
      </c>
      <c r="F71" s="116">
        <f>'WA Volumes &amp; Revenues'!E77</f>
        <v>1034978</v>
      </c>
      <c r="G71" s="116"/>
      <c r="H71" s="912"/>
      <c r="I71" s="913"/>
      <c r="J71" s="628">
        <f>'Rates in Detail'!E75</f>
        <v>9.1999999999999998E-2</v>
      </c>
      <c r="K71" s="630">
        <f>'Rates in Detail'!H75</f>
        <v>0</v>
      </c>
      <c r="L71" s="630">
        <f>'Rates in Detail'!F75</f>
        <v>0</v>
      </c>
      <c r="M71" s="630">
        <f>'Rates in Detail'!I75</f>
        <v>3.7999999999999997E-4</v>
      </c>
      <c r="N71" s="137">
        <f t="shared" si="1"/>
        <v>9.2380000000000004E-2</v>
      </c>
      <c r="O71" s="628">
        <f>'Rates in Detail'!L75</f>
        <v>1.487E-2</v>
      </c>
      <c r="P71" s="630">
        <f>'Rates in Detail'!P75</f>
        <v>-1.0200000000000001E-3</v>
      </c>
      <c r="Q71" s="630">
        <f>'Rates in Detail'!Q75</f>
        <v>0</v>
      </c>
      <c r="R71" s="255">
        <f t="shared" si="2"/>
        <v>1.3849999999999999E-2</v>
      </c>
      <c r="S71" s="628">
        <f>'Rates in Detail'!S75</f>
        <v>0</v>
      </c>
      <c r="T71" s="630">
        <f>'Rates in Detail'!T75</f>
        <v>-1.9400000000000001E-3</v>
      </c>
      <c r="U71" s="630">
        <f>'Rates in Detail'!U75</f>
        <v>0</v>
      </c>
      <c r="V71" s="261">
        <f t="shared" si="18"/>
        <v>1.1909999999999999E-2</v>
      </c>
      <c r="W71" s="620"/>
      <c r="X71" s="117"/>
      <c r="Y71" s="117"/>
      <c r="Z71" s="117"/>
      <c r="AA71" s="117"/>
      <c r="AB71" s="117"/>
      <c r="AC71" s="349">
        <f t="shared" si="4"/>
        <v>0</v>
      </c>
      <c r="AE71" s="114">
        <f t="shared" si="5"/>
        <v>0.10585</v>
      </c>
      <c r="AF71" s="114"/>
      <c r="AG71" s="114">
        <f t="shared" si="19"/>
        <v>0</v>
      </c>
      <c r="AH71" s="114">
        <f t="shared" si="20"/>
        <v>0</v>
      </c>
      <c r="AI71" s="114">
        <f t="shared" si="7"/>
        <v>-1.5600000000000002E-3</v>
      </c>
      <c r="AJ71" s="343">
        <f t="shared" si="8"/>
        <v>0.10428999999999999</v>
      </c>
      <c r="AK71" s="131"/>
      <c r="AL71" s="117">
        <f>'Rates in Detail'!Y75</f>
        <v>6.9699999999999996E-3</v>
      </c>
      <c r="AM71" s="117">
        <f>'Rates in Detail'!Z75</f>
        <v>-1E-4</v>
      </c>
      <c r="AN71" s="987">
        <f t="shared" si="9"/>
        <v>6.8699999999999994E-3</v>
      </c>
      <c r="AO71" s="131"/>
      <c r="AP71" s="117"/>
      <c r="AQ71" s="117"/>
      <c r="AR71" s="117"/>
      <c r="AS71" s="117"/>
      <c r="AT71" s="117"/>
      <c r="AU71" s="349">
        <f t="shared" si="10"/>
        <v>0</v>
      </c>
      <c r="AW71" s="117">
        <f t="shared" si="11"/>
        <v>0.11282</v>
      </c>
      <c r="AX71" s="117">
        <f t="shared" si="12"/>
        <v>0</v>
      </c>
      <c r="AY71" s="117">
        <f t="shared" si="13"/>
        <v>0</v>
      </c>
      <c r="AZ71" s="117">
        <f t="shared" si="14"/>
        <v>0</v>
      </c>
      <c r="BA71" s="117">
        <f t="shared" si="15"/>
        <v>2.7999999999999998E-4</v>
      </c>
      <c r="BB71" s="344">
        <f t="shared" si="16"/>
        <v>0.11310000000000001</v>
      </c>
    </row>
    <row r="72" spans="2:54" x14ac:dyDescent="0.2">
      <c r="B72" s="110">
        <f t="shared" si="17"/>
        <v>64</v>
      </c>
      <c r="C72" s="906"/>
      <c r="D72" s="906" t="s">
        <v>7</v>
      </c>
      <c r="E72" s="115">
        <v>100000</v>
      </c>
      <c r="F72" s="116">
        <f>'WA Volumes &amp; Revenues'!E78</f>
        <v>3359916</v>
      </c>
      <c r="G72" s="116"/>
      <c r="H72" s="912"/>
      <c r="I72" s="913"/>
      <c r="J72" s="628">
        <f>'Rates in Detail'!E76</f>
        <v>7.3609999999999995E-2</v>
      </c>
      <c r="K72" s="630">
        <f>'Rates in Detail'!H76</f>
        <v>0</v>
      </c>
      <c r="L72" s="630">
        <f>'Rates in Detail'!F76</f>
        <v>0</v>
      </c>
      <c r="M72" s="630">
        <f>'Rates in Detail'!I76</f>
        <v>3.0999999999999995E-4</v>
      </c>
      <c r="N72" s="137">
        <f t="shared" si="1"/>
        <v>7.392E-2</v>
      </c>
      <c r="O72" s="628">
        <f>'Rates in Detail'!L76</f>
        <v>1.189E-2</v>
      </c>
      <c r="P72" s="630">
        <f>'Rates in Detail'!P76</f>
        <v>-8.1999999999999998E-4</v>
      </c>
      <c r="Q72" s="630">
        <f>'Rates in Detail'!Q76</f>
        <v>0</v>
      </c>
      <c r="R72" s="255">
        <f t="shared" si="2"/>
        <v>1.107E-2</v>
      </c>
      <c r="S72" s="628">
        <f>'Rates in Detail'!S76</f>
        <v>0</v>
      </c>
      <c r="T72" s="630">
        <f>'Rates in Detail'!T76</f>
        <v>-1.5499999999999999E-3</v>
      </c>
      <c r="U72" s="630">
        <f>'Rates in Detail'!U76</f>
        <v>0</v>
      </c>
      <c r="V72" s="261">
        <f t="shared" si="18"/>
        <v>9.5200000000000007E-3</v>
      </c>
      <c r="W72" s="620"/>
      <c r="X72" s="117"/>
      <c r="Y72" s="117"/>
      <c r="Z72" s="117"/>
      <c r="AA72" s="117"/>
      <c r="AB72" s="117"/>
      <c r="AC72" s="349">
        <f t="shared" si="4"/>
        <v>0</v>
      </c>
      <c r="AE72" s="114">
        <f t="shared" si="5"/>
        <v>8.4679999999999991E-2</v>
      </c>
      <c r="AF72" s="114"/>
      <c r="AG72" s="114">
        <f t="shared" si="19"/>
        <v>0</v>
      </c>
      <c r="AH72" s="114">
        <f t="shared" si="20"/>
        <v>0</v>
      </c>
      <c r="AI72" s="114">
        <f t="shared" si="7"/>
        <v>-1.24E-3</v>
      </c>
      <c r="AJ72" s="343">
        <f t="shared" si="8"/>
        <v>8.3439999999999986E-2</v>
      </c>
      <c r="AK72" s="131"/>
      <c r="AL72" s="117">
        <f>'Rates in Detail'!Y76</f>
        <v>5.5799999999999999E-3</v>
      </c>
      <c r="AM72" s="117">
        <f>'Rates in Detail'!Z76</f>
        <v>-8.0000000000000007E-5</v>
      </c>
      <c r="AN72" s="987">
        <f t="shared" si="9"/>
        <v>5.4999999999999997E-3</v>
      </c>
      <c r="AO72" s="131"/>
      <c r="AP72" s="117"/>
      <c r="AQ72" s="117"/>
      <c r="AR72" s="117"/>
      <c r="AS72" s="117"/>
      <c r="AT72" s="117"/>
      <c r="AU72" s="349">
        <f t="shared" si="10"/>
        <v>0</v>
      </c>
      <c r="AW72" s="117">
        <f t="shared" si="11"/>
        <v>9.0259999999999993E-2</v>
      </c>
      <c r="AX72" s="117">
        <f t="shared" si="12"/>
        <v>0</v>
      </c>
      <c r="AY72" s="117">
        <f t="shared" si="13"/>
        <v>0</v>
      </c>
      <c r="AZ72" s="117">
        <f t="shared" si="14"/>
        <v>0</v>
      </c>
      <c r="BA72" s="117">
        <f t="shared" si="15"/>
        <v>2.2999999999999995E-4</v>
      </c>
      <c r="BB72" s="344">
        <f t="shared" si="16"/>
        <v>9.0489999999999987E-2</v>
      </c>
    </row>
    <row r="73" spans="2:54" x14ac:dyDescent="0.2">
      <c r="B73" s="110">
        <f t="shared" si="17"/>
        <v>65</v>
      </c>
      <c r="C73" s="906"/>
      <c r="D73" s="906" t="s">
        <v>8</v>
      </c>
      <c r="E73" s="115">
        <v>600000</v>
      </c>
      <c r="F73" s="116">
        <f>'WA Volumes &amp; Revenues'!E79</f>
        <v>1349120</v>
      </c>
      <c r="G73" s="116"/>
      <c r="H73" s="912"/>
      <c r="I73" s="913"/>
      <c r="J73" s="628">
        <f>'Rates in Detail'!E77</f>
        <v>4.9079999999999999E-2</v>
      </c>
      <c r="K73" s="630">
        <f>'Rates in Detail'!H77</f>
        <v>0</v>
      </c>
      <c r="L73" s="630">
        <f>'Rates in Detail'!F77</f>
        <v>0</v>
      </c>
      <c r="M73" s="630">
        <f>'Rates in Detail'!I77</f>
        <v>2.0999999999999998E-4</v>
      </c>
      <c r="N73" s="137">
        <f t="shared" si="1"/>
        <v>4.929E-2</v>
      </c>
      <c r="O73" s="628">
        <f>'Rates in Detail'!L77</f>
        <v>7.9299999999999995E-3</v>
      </c>
      <c r="P73" s="630">
        <f>'Rates in Detail'!P77</f>
        <v>-5.5000000000000003E-4</v>
      </c>
      <c r="Q73" s="630">
        <f>'Rates in Detail'!Q77</f>
        <v>0</v>
      </c>
      <c r="R73" s="255">
        <f t="shared" si="2"/>
        <v>7.3799999999999994E-3</v>
      </c>
      <c r="S73" s="628">
        <f>'Rates in Detail'!S77</f>
        <v>0</v>
      </c>
      <c r="T73" s="630">
        <f>'Rates in Detail'!T77</f>
        <v>-1.0300000000000001E-3</v>
      </c>
      <c r="U73" s="630">
        <f>'Rates in Detail'!U77</f>
        <v>0</v>
      </c>
      <c r="V73" s="261">
        <f t="shared" ref="V73:V77" si="21">SUM(R73:U73)</f>
        <v>6.3499999999999997E-3</v>
      </c>
      <c r="W73" s="620"/>
      <c r="X73" s="117"/>
      <c r="Y73" s="117"/>
      <c r="Z73" s="117"/>
      <c r="AA73" s="117"/>
      <c r="AB73" s="117"/>
      <c r="AC73" s="349">
        <f t="shared" si="4"/>
        <v>0</v>
      </c>
      <c r="AE73" s="114">
        <f t="shared" si="5"/>
        <v>5.6459999999999996E-2</v>
      </c>
      <c r="AF73" s="114"/>
      <c r="AG73" s="114">
        <f t="shared" si="19"/>
        <v>0</v>
      </c>
      <c r="AH73" s="114">
        <f t="shared" si="20"/>
        <v>0</v>
      </c>
      <c r="AI73" s="114">
        <f t="shared" si="7"/>
        <v>-8.2000000000000009E-4</v>
      </c>
      <c r="AJ73" s="343">
        <f t="shared" si="8"/>
        <v>5.5639999999999995E-2</v>
      </c>
      <c r="AK73" s="131"/>
      <c r="AL73" s="117">
        <f>'Rates in Detail'!Y77</f>
        <v>3.7200000000000002E-3</v>
      </c>
      <c r="AM73" s="117">
        <f>'Rates in Detail'!Z77</f>
        <v>-5.0000000000000002E-5</v>
      </c>
      <c r="AN73" s="987">
        <f t="shared" si="9"/>
        <v>3.6700000000000001E-3</v>
      </c>
      <c r="AO73" s="131"/>
      <c r="AP73" s="117"/>
      <c r="AQ73" s="117"/>
      <c r="AR73" s="117"/>
      <c r="AS73" s="117"/>
      <c r="AT73" s="117"/>
      <c r="AU73" s="349">
        <f t="shared" si="10"/>
        <v>0</v>
      </c>
      <c r="AW73" s="117">
        <f t="shared" si="11"/>
        <v>6.0179999999999997E-2</v>
      </c>
      <c r="AX73" s="117">
        <f t="shared" si="12"/>
        <v>0</v>
      </c>
      <c r="AY73" s="117">
        <f t="shared" si="13"/>
        <v>0</v>
      </c>
      <c r="AZ73" s="117">
        <f t="shared" si="14"/>
        <v>0</v>
      </c>
      <c r="BA73" s="117">
        <f t="shared" si="15"/>
        <v>1.5999999999999999E-4</v>
      </c>
      <c r="BB73" s="344">
        <f t="shared" si="16"/>
        <v>6.0339999999999998E-2</v>
      </c>
    </row>
    <row r="74" spans="2:54" x14ac:dyDescent="0.2">
      <c r="B74" s="110">
        <f t="shared" si="17"/>
        <v>66</v>
      </c>
      <c r="C74" s="904"/>
      <c r="D74" s="904" t="s">
        <v>9</v>
      </c>
      <c r="E74" s="112" t="s">
        <v>74</v>
      </c>
      <c r="F74" s="113">
        <f>'WA Volumes &amp; Revenues'!E80</f>
        <v>0</v>
      </c>
      <c r="G74" s="113"/>
      <c r="H74" s="907"/>
      <c r="I74" s="909"/>
      <c r="J74" s="628">
        <f>'Rates in Detail'!E78</f>
        <v>1.839E-2</v>
      </c>
      <c r="K74" s="630">
        <f>'Rates in Detail'!H78</f>
        <v>0</v>
      </c>
      <c r="L74" s="630">
        <f>'Rates in Detail'!F78</f>
        <v>0</v>
      </c>
      <c r="M74" s="630">
        <f>'Rates in Detail'!I78</f>
        <v>6.9999999999999994E-5</v>
      </c>
      <c r="N74" s="629">
        <f t="shared" ref="N74:N77" si="22">SUM(J74:M74)</f>
        <v>1.8460000000000001E-2</v>
      </c>
      <c r="O74" s="628">
        <f>'Rates in Detail'!L78</f>
        <v>2.97E-3</v>
      </c>
      <c r="P74" s="630">
        <f>'Rates in Detail'!P78</f>
        <v>-2.0000000000000001E-4</v>
      </c>
      <c r="Q74" s="630">
        <f>'Rates in Detail'!Q78</f>
        <v>0</v>
      </c>
      <c r="R74" s="255">
        <f t="shared" ref="R74:R77" si="23">SUM(O74:Q74)</f>
        <v>2.7699999999999999E-3</v>
      </c>
      <c r="S74" s="628">
        <f>'Rates in Detail'!S78</f>
        <v>0</v>
      </c>
      <c r="T74" s="630">
        <f>'Rates in Detail'!T78</f>
        <v>-3.8999999999999999E-4</v>
      </c>
      <c r="U74" s="630">
        <f>'Rates in Detail'!U78</f>
        <v>0</v>
      </c>
      <c r="V74" s="261">
        <f t="shared" si="21"/>
        <v>2.3799999999999997E-3</v>
      </c>
      <c r="W74" s="620"/>
      <c r="X74" s="117"/>
      <c r="Y74" s="117"/>
      <c r="Z74" s="117"/>
      <c r="AA74" s="117"/>
      <c r="AB74" s="117"/>
      <c r="AC74" s="349">
        <f t="shared" ref="AC74:AC77" si="24">SUM(X74:AB74)</f>
        <v>0</v>
      </c>
      <c r="AE74" s="114">
        <f t="shared" ref="AE74:AE77" si="25">X74+O74+P74+Q74+J74</f>
        <v>2.1159999999999998E-2</v>
      </c>
      <c r="AF74" s="114"/>
      <c r="AG74" s="114">
        <f t="shared" si="19"/>
        <v>0</v>
      </c>
      <c r="AH74" s="114">
        <f t="shared" si="20"/>
        <v>0</v>
      </c>
      <c r="AI74" s="114">
        <f t="shared" ref="AI74:AI77" si="26">AB74+S74+T74+U74+M74</f>
        <v>-3.1999999999999997E-4</v>
      </c>
      <c r="AJ74" s="343">
        <f t="shared" ref="AJ74:AJ77" si="27">SUM(AE74:AI74)</f>
        <v>2.0839999999999997E-2</v>
      </c>
      <c r="AK74" s="131"/>
      <c r="AL74" s="117">
        <f>'Rates in Detail'!Y78</f>
        <v>1.39E-3</v>
      </c>
      <c r="AM74" s="117">
        <f>'Rates in Detail'!Z78</f>
        <v>-2.0000000000000002E-5</v>
      </c>
      <c r="AN74" s="987">
        <f t="shared" ref="AN74:AN77" si="28">SUM(AL74:AM74)</f>
        <v>1.3699999999999999E-3</v>
      </c>
      <c r="AO74" s="131"/>
      <c r="AP74" s="117"/>
      <c r="AQ74" s="117"/>
      <c r="AR74" s="117"/>
      <c r="AS74" s="117"/>
      <c r="AT74" s="117"/>
      <c r="AU74" s="349">
        <f t="shared" ref="AU74:AU77" si="29">SUM(AP74:AT74)</f>
        <v>0</v>
      </c>
      <c r="AW74" s="117">
        <f t="shared" ref="AW74:AW77" si="30">AE74+AL74+AP74</f>
        <v>2.2549999999999997E-2</v>
      </c>
      <c r="AX74" s="117">
        <f t="shared" ref="AX74:AX77" si="31">AF74+AQ74</f>
        <v>0</v>
      </c>
      <c r="AY74" s="117">
        <f t="shared" ref="AY74:AY77" si="32">AG74+AR74</f>
        <v>0</v>
      </c>
      <c r="AZ74" s="117">
        <f t="shared" ref="AZ74:AZ77" si="33">AH74+AS74</f>
        <v>0</v>
      </c>
      <c r="BA74" s="117">
        <f t="shared" ref="BA74:BA77" si="34">M74+AM74+AT74</f>
        <v>4.9999999999999996E-5</v>
      </c>
      <c r="BB74" s="344">
        <f t="shared" ref="BB74:BB77" si="35">SUM(AW74:BA74)</f>
        <v>2.2599999999999999E-2</v>
      </c>
    </row>
    <row r="75" spans="2:54" x14ac:dyDescent="0.2">
      <c r="B75" s="110">
        <f t="shared" ref="B75:B77" si="36">B74+1</f>
        <v>67</v>
      </c>
      <c r="C75" s="905" t="str">
        <f>'WA Volumes &amp; Revenues'!B81</f>
        <v>43 Firm Transpt</v>
      </c>
      <c r="D75" s="904" t="s">
        <v>283</v>
      </c>
      <c r="E75" s="111" t="s">
        <v>283</v>
      </c>
      <c r="F75" s="113">
        <f>'WA Volumes &amp; Revenues'!E81</f>
        <v>0</v>
      </c>
      <c r="G75" s="113">
        <f>'WA Volumes &amp; Revenues'!H81</f>
        <v>0</v>
      </c>
      <c r="H75" s="907">
        <f>'WA Volumes &amp; Revenues'!O81</f>
        <v>38000</v>
      </c>
      <c r="I75" s="909">
        <f>'WA Volumes &amp; Revenues'!N81</f>
        <v>38000</v>
      </c>
      <c r="J75" s="625">
        <f>'Rates in Detail'!E79</f>
        <v>4.9099999999999994E-3</v>
      </c>
      <c r="K75" s="626">
        <f>'Rates in Detail'!H79</f>
        <v>0</v>
      </c>
      <c r="L75" s="626">
        <f>'Rates in Detail'!F79</f>
        <v>0</v>
      </c>
      <c r="M75" s="626">
        <f>'Rates in Detail'!I79</f>
        <v>1.0000000000000001E-5</v>
      </c>
      <c r="N75" s="135">
        <f t="shared" si="22"/>
        <v>4.919999999999999E-3</v>
      </c>
      <c r="O75" s="625">
        <f>'Rates in Detail'!L79</f>
        <v>0</v>
      </c>
      <c r="P75" s="626">
        <f>'Rates in Detail'!P79</f>
        <v>0</v>
      </c>
      <c r="Q75" s="626">
        <f>'Rates in Detail'!Q79</f>
        <v>0</v>
      </c>
      <c r="R75" s="914">
        <f t="shared" si="23"/>
        <v>0</v>
      </c>
      <c r="S75" s="625">
        <f>'Rates in Detail'!S79</f>
        <v>0</v>
      </c>
      <c r="T75" s="626">
        <f>'Rates in Detail'!T79</f>
        <v>0</v>
      </c>
      <c r="U75" s="626">
        <f>'Rates in Detail'!U79</f>
        <v>0</v>
      </c>
      <c r="V75" s="915">
        <f t="shared" si="21"/>
        <v>0</v>
      </c>
      <c r="W75" s="620"/>
      <c r="X75" s="119"/>
      <c r="Y75" s="119"/>
      <c r="Z75" s="119"/>
      <c r="AA75" s="119"/>
      <c r="AB75" s="119"/>
      <c r="AC75" s="350">
        <f t="shared" si="24"/>
        <v>0</v>
      </c>
      <c r="AE75" s="114">
        <f>X75+O75+P75+Q75+J75</f>
        <v>4.9099999999999994E-3</v>
      </c>
      <c r="AF75" s="114"/>
      <c r="AG75" s="114">
        <f t="shared" si="19"/>
        <v>0</v>
      </c>
      <c r="AH75" s="114">
        <f t="shared" si="20"/>
        <v>0</v>
      </c>
      <c r="AI75" s="114">
        <f t="shared" si="26"/>
        <v>1.0000000000000001E-5</v>
      </c>
      <c r="AJ75" s="343">
        <f t="shared" si="27"/>
        <v>4.919999999999999E-3</v>
      </c>
      <c r="AK75" s="131"/>
      <c r="AL75" s="119">
        <f>'Rates in Detail'!Y79</f>
        <v>0</v>
      </c>
      <c r="AM75" s="119">
        <f>'Rates in Detail'!Z79</f>
        <v>0</v>
      </c>
      <c r="AN75" s="988">
        <f t="shared" si="28"/>
        <v>0</v>
      </c>
      <c r="AO75" s="131"/>
      <c r="AP75" s="119"/>
      <c r="AQ75" s="119"/>
      <c r="AR75" s="119"/>
      <c r="AS75" s="119"/>
      <c r="AT75" s="119"/>
      <c r="AU75" s="350">
        <f t="shared" si="29"/>
        <v>0</v>
      </c>
      <c r="AW75" s="119">
        <f t="shared" si="30"/>
        <v>4.9099999999999994E-3</v>
      </c>
      <c r="AX75" s="119">
        <f t="shared" si="31"/>
        <v>0</v>
      </c>
      <c r="AY75" s="119">
        <f t="shared" si="32"/>
        <v>0</v>
      </c>
      <c r="AZ75" s="119">
        <f t="shared" si="33"/>
        <v>0</v>
      </c>
      <c r="BA75" s="119">
        <f t="shared" si="34"/>
        <v>1.0000000000000001E-5</v>
      </c>
      <c r="BB75" s="345">
        <f t="shared" si="35"/>
        <v>4.919999999999999E-3</v>
      </c>
    </row>
    <row r="76" spans="2:54" x14ac:dyDescent="0.2">
      <c r="B76" s="110">
        <f t="shared" si="36"/>
        <v>68</v>
      </c>
      <c r="C76" s="905" t="str">
        <f>'WA Volumes &amp; Revenues'!B82</f>
        <v>43 Interr Transpt</v>
      </c>
      <c r="D76" s="904" t="s">
        <v>283</v>
      </c>
      <c r="E76" s="111" t="s">
        <v>283</v>
      </c>
      <c r="F76" s="113">
        <f>'WA Volumes &amp; Revenues'!E82</f>
        <v>0</v>
      </c>
      <c r="G76" s="113">
        <f>'WA Volumes &amp; Revenues'!H82</f>
        <v>0</v>
      </c>
      <c r="H76" s="907">
        <f>'WA Volumes &amp; Revenues'!O82</f>
        <v>38000</v>
      </c>
      <c r="I76" s="909">
        <f>'WA Volumes &amp; Revenues'!N82</f>
        <v>38000</v>
      </c>
      <c r="J76" s="625">
        <f>'Rates in Detail'!E80</f>
        <v>4.9099999999999994E-3</v>
      </c>
      <c r="K76" s="626">
        <f>'Rates in Detail'!H80</f>
        <v>0</v>
      </c>
      <c r="L76" s="626">
        <f>'Rates in Detail'!F80</f>
        <v>0</v>
      </c>
      <c r="M76" s="626">
        <f>'Rates in Detail'!I80</f>
        <v>1.0000000000000001E-5</v>
      </c>
      <c r="N76" s="135">
        <f t="shared" si="22"/>
        <v>4.919999999999999E-3</v>
      </c>
      <c r="O76" s="625">
        <f>'Rates in Detail'!L80</f>
        <v>0</v>
      </c>
      <c r="P76" s="626">
        <f>'Rates in Detail'!P80</f>
        <v>0</v>
      </c>
      <c r="Q76" s="626">
        <f>'Rates in Detail'!Q80</f>
        <v>0</v>
      </c>
      <c r="R76" s="914">
        <f t="shared" si="23"/>
        <v>0</v>
      </c>
      <c r="S76" s="625">
        <f>'Rates in Detail'!S80</f>
        <v>0</v>
      </c>
      <c r="T76" s="626">
        <f>'Rates in Detail'!T80</f>
        <v>0</v>
      </c>
      <c r="U76" s="626">
        <f>'Rates in Detail'!U80</f>
        <v>0</v>
      </c>
      <c r="V76" s="915">
        <f t="shared" si="21"/>
        <v>0</v>
      </c>
      <c r="W76" s="620"/>
      <c r="X76" s="119"/>
      <c r="Y76" s="119"/>
      <c r="Z76" s="119"/>
      <c r="AA76" s="119"/>
      <c r="AB76" s="119"/>
      <c r="AC76" s="350">
        <f t="shared" si="24"/>
        <v>0</v>
      </c>
      <c r="AE76" s="114">
        <f t="shared" si="25"/>
        <v>4.9099999999999994E-3</v>
      </c>
      <c r="AF76" s="114"/>
      <c r="AG76" s="114">
        <f t="shared" si="19"/>
        <v>0</v>
      </c>
      <c r="AH76" s="114">
        <f t="shared" si="20"/>
        <v>0</v>
      </c>
      <c r="AI76" s="114">
        <f t="shared" si="26"/>
        <v>1.0000000000000001E-5</v>
      </c>
      <c r="AJ76" s="343">
        <f t="shared" si="27"/>
        <v>4.919999999999999E-3</v>
      </c>
      <c r="AK76" s="131"/>
      <c r="AL76" s="119">
        <f>'Rates in Detail'!Y80</f>
        <v>0</v>
      </c>
      <c r="AM76" s="119">
        <f>'Rates in Detail'!Z80</f>
        <v>0</v>
      </c>
      <c r="AN76" s="988">
        <f t="shared" si="28"/>
        <v>0</v>
      </c>
      <c r="AO76" s="131"/>
      <c r="AP76" s="119"/>
      <c r="AQ76" s="119"/>
      <c r="AR76" s="119"/>
      <c r="AS76" s="119"/>
      <c r="AT76" s="119"/>
      <c r="AU76" s="350">
        <f t="shared" si="29"/>
        <v>0</v>
      </c>
      <c r="AW76" s="119">
        <f t="shared" si="30"/>
        <v>4.9099999999999994E-3</v>
      </c>
      <c r="AX76" s="119">
        <f t="shared" si="31"/>
        <v>0</v>
      </c>
      <c r="AY76" s="119">
        <f t="shared" si="32"/>
        <v>0</v>
      </c>
      <c r="AZ76" s="119">
        <f t="shared" si="33"/>
        <v>0</v>
      </c>
      <c r="BA76" s="119">
        <f t="shared" si="34"/>
        <v>1.0000000000000001E-5</v>
      </c>
      <c r="BB76" s="345">
        <f t="shared" si="35"/>
        <v>4.919999999999999E-3</v>
      </c>
    </row>
    <row r="77" spans="2:54" ht="13.5" thickBot="1" x14ac:dyDescent="0.25">
      <c r="B77" s="110">
        <f t="shared" si="36"/>
        <v>69</v>
      </c>
      <c r="C77" s="905" t="str">
        <f>'WA Volumes &amp; Revenues'!B83</f>
        <v>Special Contract</v>
      </c>
      <c r="D77" s="904" t="s">
        <v>283</v>
      </c>
      <c r="E77" s="111" t="s">
        <v>283</v>
      </c>
      <c r="F77" s="113">
        <f>'WA Volumes &amp; Revenues'!E83</f>
        <v>2895114</v>
      </c>
      <c r="G77" s="113">
        <f>'WA Volumes &amp; Revenues'!H83</f>
        <v>1</v>
      </c>
      <c r="H77" s="907">
        <f>'WA Volumes &amp; Revenues'!O83</f>
        <v>0</v>
      </c>
      <c r="I77" s="909">
        <f>'WA Volumes &amp; Revenues'!N83</f>
        <v>0</v>
      </c>
      <c r="J77" s="625">
        <f>'Rates in Detail'!E81</f>
        <v>0</v>
      </c>
      <c r="K77" s="626">
        <f>'Rates in Detail'!H81</f>
        <v>0</v>
      </c>
      <c r="L77" s="626">
        <f>'Rates in Detail'!F81</f>
        <v>0</v>
      </c>
      <c r="M77" s="626">
        <f>'Rates in Detail'!I81</f>
        <v>0</v>
      </c>
      <c r="N77" s="135">
        <f t="shared" si="22"/>
        <v>0</v>
      </c>
      <c r="O77" s="118">
        <f>'Rates in Detail'!L81</f>
        <v>0</v>
      </c>
      <c r="P77" s="626">
        <f>'Rates in Detail'!P81</f>
        <v>0</v>
      </c>
      <c r="Q77" s="626">
        <f>'Rates in Detail'!Q81</f>
        <v>0</v>
      </c>
      <c r="R77" s="256">
        <f t="shared" si="23"/>
        <v>0</v>
      </c>
      <c r="S77" s="118">
        <f>'Rates in Detail'!S81</f>
        <v>0</v>
      </c>
      <c r="T77" s="626">
        <f>'Rates in Detail'!T81</f>
        <v>0</v>
      </c>
      <c r="U77" s="626">
        <f>'Rates in Detail'!U81</f>
        <v>0</v>
      </c>
      <c r="V77" s="262">
        <f t="shared" si="21"/>
        <v>0</v>
      </c>
      <c r="W77" s="620"/>
      <c r="X77" s="119"/>
      <c r="Y77" s="119"/>
      <c r="Z77" s="119"/>
      <c r="AA77" s="119"/>
      <c r="AB77" s="119"/>
      <c r="AC77" s="350">
        <f t="shared" si="24"/>
        <v>0</v>
      </c>
      <c r="AE77" s="114">
        <f t="shared" si="25"/>
        <v>0</v>
      </c>
      <c r="AF77" s="114"/>
      <c r="AG77" s="114">
        <f t="shared" si="19"/>
        <v>0</v>
      </c>
      <c r="AH77" s="114">
        <f t="shared" si="20"/>
        <v>0</v>
      </c>
      <c r="AI77" s="114">
        <f t="shared" si="26"/>
        <v>0</v>
      </c>
      <c r="AJ77" s="343">
        <f t="shared" si="27"/>
        <v>0</v>
      </c>
      <c r="AK77" s="131"/>
      <c r="AL77" s="119">
        <f>'Rates in Detail'!Y81</f>
        <v>0</v>
      </c>
      <c r="AM77" s="119">
        <f>'Rates in Detail'!Z81</f>
        <v>0</v>
      </c>
      <c r="AN77" s="988">
        <f t="shared" si="28"/>
        <v>0</v>
      </c>
      <c r="AO77" s="131"/>
      <c r="AP77" s="119"/>
      <c r="AQ77" s="119"/>
      <c r="AR77" s="119"/>
      <c r="AS77" s="119"/>
      <c r="AT77" s="119"/>
      <c r="AU77" s="350">
        <f t="shared" si="29"/>
        <v>0</v>
      </c>
      <c r="AW77" s="119">
        <f t="shared" si="30"/>
        <v>0</v>
      </c>
      <c r="AX77" s="119">
        <f t="shared" si="31"/>
        <v>0</v>
      </c>
      <c r="AY77" s="119">
        <f t="shared" si="32"/>
        <v>0</v>
      </c>
      <c r="AZ77" s="119">
        <f t="shared" si="33"/>
        <v>0</v>
      </c>
      <c r="BA77" s="119">
        <f t="shared" si="34"/>
        <v>0</v>
      </c>
      <c r="BB77" s="345">
        <f t="shared" si="35"/>
        <v>0</v>
      </c>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P6:AU6"/>
    <mergeCell ref="AW6:BB6"/>
  </mergeCells>
  <printOptions verticalCentered="1"/>
  <pageMargins left="0.5" right="0.5" top="0.5" bottom="0.5" header="0.25" footer="0.25"/>
  <pageSetup scale="25" orientation="landscape" r:id="rId3"/>
  <headerFooter alignWithMargins="0">
    <oddHeader>&amp;RExh. RJW-3 Wyman WP1</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6" activePane="bottomRight" state="frozen"/>
      <selection pane="topRight" activeCell="D1" sqref="D1"/>
      <selection pane="bottomLeft" activeCell="A14" sqref="A14"/>
      <selection pane="bottomRight" activeCell="H3" sqref="H3"/>
    </sheetView>
  </sheetViews>
  <sheetFormatPr defaultColWidth="9.33203125" defaultRowHeight="12.75" x14ac:dyDescent="0.2"/>
  <cols>
    <col min="1" max="1" width="3.1640625" style="56" customWidth="1"/>
    <col min="2" max="2" width="7.6640625" style="56" customWidth="1"/>
    <col min="3" max="3" width="11.33203125" style="56" bestFit="1" customWidth="1"/>
    <col min="4" max="5" width="18.1640625" style="56" customWidth="1"/>
    <col min="6" max="6" width="21.6640625" style="56" customWidth="1"/>
    <col min="7" max="7" width="21.1640625" style="56" customWidth="1"/>
    <col min="8" max="9" width="18.1640625" style="56" customWidth="1"/>
    <col min="10" max="12" width="11.1640625" style="56" customWidth="1"/>
    <col min="13" max="14" width="3.1640625" style="56" customWidth="1"/>
    <col min="15" max="15" width="7.6640625" style="56" customWidth="1"/>
    <col min="16" max="16" width="11.33203125" style="56" bestFit="1" customWidth="1"/>
    <col min="17" max="17" width="18" style="56" customWidth="1"/>
    <col min="18" max="18" width="15.83203125" style="56" customWidth="1"/>
    <col min="19" max="19" width="22.33203125" style="56" bestFit="1" customWidth="1"/>
    <col min="20" max="20" width="17.6640625" style="56" customWidth="1"/>
    <col min="21" max="21" width="17" style="56" customWidth="1"/>
    <col min="22" max="24" width="11.5" style="56" customWidth="1"/>
    <col min="25" max="25" width="3.1640625" style="56" customWidth="1"/>
    <col min="26" max="16384" width="9.33203125" style="56"/>
  </cols>
  <sheetData>
    <row r="1" spans="2:24" x14ac:dyDescent="0.2">
      <c r="B1" s="895" t="s">
        <v>0</v>
      </c>
      <c r="C1" s="896"/>
      <c r="D1" s="896"/>
      <c r="E1" s="896"/>
      <c r="F1" s="896"/>
      <c r="G1" s="896"/>
      <c r="H1" s="896"/>
      <c r="I1" s="896"/>
      <c r="O1" s="895" t="s">
        <v>0</v>
      </c>
      <c r="P1" s="896"/>
    </row>
    <row r="2" spans="2:24" x14ac:dyDescent="0.2">
      <c r="B2" s="895" t="s">
        <v>276</v>
      </c>
      <c r="C2" s="896"/>
      <c r="D2" s="896"/>
      <c r="E2" s="896"/>
      <c r="F2" s="896"/>
      <c r="G2" s="896"/>
      <c r="H2" s="896"/>
      <c r="I2" s="896"/>
      <c r="O2" s="895" t="s">
        <v>276</v>
      </c>
      <c r="P2" s="896"/>
    </row>
    <row r="3" spans="2:24" x14ac:dyDescent="0.2">
      <c r="B3" s="895" t="s">
        <v>277</v>
      </c>
      <c r="C3" s="896"/>
      <c r="D3" s="896"/>
      <c r="E3" s="896"/>
      <c r="F3" s="896"/>
      <c r="G3" s="896"/>
      <c r="H3" s="896"/>
      <c r="I3" s="896"/>
      <c r="O3" s="895" t="s">
        <v>277</v>
      </c>
      <c r="P3" s="896"/>
    </row>
    <row r="4" spans="2:24" x14ac:dyDescent="0.2">
      <c r="B4" s="895" t="s">
        <v>562</v>
      </c>
      <c r="C4" s="896"/>
      <c r="D4" s="896"/>
      <c r="E4" s="896"/>
      <c r="F4" s="896"/>
      <c r="G4" s="896"/>
      <c r="H4" s="896"/>
      <c r="I4" s="896"/>
      <c r="O4" s="895" t="s">
        <v>562</v>
      </c>
      <c r="P4" s="896"/>
    </row>
    <row r="5" spans="2:24" x14ac:dyDescent="0.2">
      <c r="B5" s="895" t="s">
        <v>621</v>
      </c>
      <c r="C5" s="896"/>
      <c r="D5" s="896"/>
      <c r="E5" s="896"/>
      <c r="F5" s="896"/>
      <c r="G5" s="896"/>
      <c r="H5" s="896"/>
      <c r="I5" s="896"/>
      <c r="O5" s="895" t="s">
        <v>621</v>
      </c>
      <c r="P5" s="896"/>
    </row>
    <row r="6" spans="2:24" x14ac:dyDescent="0.2">
      <c r="C6" s="896"/>
      <c r="D6" s="896"/>
      <c r="E6" s="896"/>
      <c r="F6" s="896"/>
      <c r="G6" s="896"/>
      <c r="H6" s="896"/>
      <c r="I6" s="896"/>
      <c r="P6" s="896"/>
    </row>
    <row r="7" spans="2:24" x14ac:dyDescent="0.2">
      <c r="B7" s="168" t="s">
        <v>563</v>
      </c>
      <c r="C7" s="896"/>
      <c r="D7" s="896"/>
      <c r="E7" s="896"/>
      <c r="F7" s="896"/>
      <c r="G7" s="896"/>
      <c r="H7" s="896"/>
      <c r="I7" s="896"/>
      <c r="O7" s="168" t="s">
        <v>564</v>
      </c>
      <c r="P7" s="896"/>
    </row>
    <row r="8" spans="2:24" x14ac:dyDescent="0.2">
      <c r="B8" s="601" t="s">
        <v>617</v>
      </c>
      <c r="C8" s="896"/>
      <c r="D8" s="896"/>
      <c r="E8" s="896"/>
      <c r="F8" s="896"/>
      <c r="G8" s="896"/>
      <c r="H8" s="896"/>
      <c r="I8" s="896"/>
      <c r="O8" s="601" t="s">
        <v>618</v>
      </c>
      <c r="P8" s="896"/>
    </row>
    <row r="9" spans="2:24" x14ac:dyDescent="0.2">
      <c r="B9" s="601" t="s">
        <v>561</v>
      </c>
      <c r="C9" s="896"/>
      <c r="D9" s="896"/>
      <c r="E9" s="896"/>
      <c r="F9" s="896"/>
      <c r="G9" s="896"/>
      <c r="H9" s="896"/>
      <c r="I9" s="896"/>
      <c r="P9" s="896"/>
    </row>
    <row r="10" spans="2:24" ht="13.5" thickBot="1" x14ac:dyDescent="0.25">
      <c r="C10" s="896"/>
      <c r="D10" s="896"/>
      <c r="E10" s="896"/>
      <c r="F10" s="896"/>
      <c r="G10" s="896"/>
      <c r="H10" s="896"/>
      <c r="I10" s="896"/>
      <c r="P10" s="896"/>
    </row>
    <row r="11" spans="2:24" ht="13.5" thickBot="1" x14ac:dyDescent="0.25">
      <c r="B11" s="897"/>
      <c r="C11" s="896"/>
      <c r="D11" s="1633" t="s">
        <v>565</v>
      </c>
      <c r="E11" s="1634"/>
      <c r="F11" s="1634"/>
      <c r="G11" s="1634"/>
      <c r="H11" s="1634"/>
      <c r="I11" s="1634"/>
      <c r="J11" s="1634"/>
      <c r="K11" s="1634"/>
      <c r="L11" s="1635"/>
      <c r="M11" s="1305"/>
      <c r="N11" s="1305"/>
      <c r="O11" s="897"/>
      <c r="P11" s="896"/>
      <c r="Q11" s="1630" t="s">
        <v>566</v>
      </c>
      <c r="R11" s="1631"/>
      <c r="S11" s="1631"/>
      <c r="T11" s="1631"/>
      <c r="U11" s="1631"/>
      <c r="V11" s="1631"/>
      <c r="W11" s="1631"/>
      <c r="X11" s="1632"/>
    </row>
    <row r="12" spans="2:24" ht="13.5" customHeight="1" thickBot="1" x14ac:dyDescent="0.25">
      <c r="B12" s="1011"/>
      <c r="C12" s="1454"/>
      <c r="D12" s="1012"/>
      <c r="E12" s="1012"/>
      <c r="F12" s="964" t="s">
        <v>178</v>
      </c>
      <c r="G12" s="964" t="s">
        <v>487</v>
      </c>
      <c r="H12" s="1012"/>
      <c r="I12" s="1012"/>
      <c r="J12" s="1580" t="s">
        <v>213</v>
      </c>
      <c r="K12" s="1581"/>
      <c r="L12" s="1582"/>
      <c r="M12" s="58"/>
      <c r="N12" s="58"/>
      <c r="O12" s="1011"/>
      <c r="P12" s="1012"/>
      <c r="Q12" s="1011"/>
      <c r="R12" s="1012"/>
      <c r="S12" s="964" t="s">
        <v>178</v>
      </c>
      <c r="T12" s="1012"/>
      <c r="U12" s="1012"/>
      <c r="V12" s="1580" t="s">
        <v>213</v>
      </c>
      <c r="W12" s="1581"/>
      <c r="X12" s="1582"/>
    </row>
    <row r="13" spans="2:24" ht="51" x14ac:dyDescent="0.2">
      <c r="B13" s="1404" t="s">
        <v>173</v>
      </c>
      <c r="C13" s="70" t="s">
        <v>158</v>
      </c>
      <c r="D13" s="69" t="s">
        <v>207</v>
      </c>
      <c r="E13" s="69" t="s">
        <v>208</v>
      </c>
      <c r="F13" s="67" t="s">
        <v>201</v>
      </c>
      <c r="G13" s="1187" t="s">
        <v>505</v>
      </c>
      <c r="H13" s="69" t="s">
        <v>202</v>
      </c>
      <c r="I13" s="69" t="s">
        <v>203</v>
      </c>
      <c r="J13" s="1310" t="s">
        <v>204</v>
      </c>
      <c r="K13" s="1311" t="s">
        <v>205</v>
      </c>
      <c r="L13" s="1312" t="s">
        <v>206</v>
      </c>
      <c r="M13" s="69"/>
      <c r="N13" s="69"/>
      <c r="O13" s="1404" t="s">
        <v>173</v>
      </c>
      <c r="P13" s="69" t="s">
        <v>158</v>
      </c>
      <c r="Q13" s="1025" t="s">
        <v>207</v>
      </c>
      <c r="R13" s="69" t="s">
        <v>208</v>
      </c>
      <c r="S13" s="67" t="s">
        <v>201</v>
      </c>
      <c r="T13" s="69" t="s">
        <v>202</v>
      </c>
      <c r="U13" s="69" t="s">
        <v>203</v>
      </c>
      <c r="V13" s="68" t="s">
        <v>204</v>
      </c>
      <c r="W13" s="69" t="s">
        <v>205</v>
      </c>
      <c r="X13" s="70" t="s">
        <v>206</v>
      </c>
    </row>
    <row r="14" spans="2:24" x14ac:dyDescent="0.2">
      <c r="B14" s="1318"/>
      <c r="C14" s="74"/>
      <c r="D14" s="72"/>
      <c r="E14" s="72"/>
      <c r="F14" s="1308" t="s">
        <v>197</v>
      </c>
      <c r="G14" s="1308" t="s">
        <v>198</v>
      </c>
      <c r="H14" s="72"/>
      <c r="I14" s="72"/>
      <c r="J14" s="73"/>
      <c r="K14" s="72"/>
      <c r="L14" s="74"/>
      <c r="M14" s="69"/>
      <c r="N14" s="69"/>
      <c r="O14" s="1318"/>
      <c r="P14" s="72"/>
      <c r="Q14" s="1023"/>
      <c r="R14" s="72"/>
      <c r="S14" s="1308" t="s">
        <v>197</v>
      </c>
      <c r="T14" s="72"/>
      <c r="U14" s="72"/>
      <c r="V14" s="73"/>
      <c r="W14" s="72"/>
      <c r="X14" s="74"/>
    </row>
    <row r="15" spans="2:24" ht="13.5" thickBot="1" x14ac:dyDescent="0.25">
      <c r="B15" s="1320"/>
      <c r="C15" s="1450"/>
      <c r="D15" s="109" t="s">
        <v>35</v>
      </c>
      <c r="E15" s="109" t="s">
        <v>36</v>
      </c>
      <c r="F15" s="129" t="s">
        <v>13</v>
      </c>
      <c r="G15" s="129" t="s">
        <v>37</v>
      </c>
      <c r="H15" s="109" t="s">
        <v>513</v>
      </c>
      <c r="I15" s="109" t="s">
        <v>489</v>
      </c>
      <c r="J15" s="125" t="s">
        <v>40</v>
      </c>
      <c r="K15" s="109" t="s">
        <v>41</v>
      </c>
      <c r="L15" s="126" t="s">
        <v>42</v>
      </c>
      <c r="M15" s="619"/>
      <c r="N15" s="619"/>
      <c r="O15" s="1320"/>
      <c r="P15" s="76"/>
      <c r="Q15" s="1024" t="s">
        <v>35</v>
      </c>
      <c r="R15" s="109" t="s">
        <v>36</v>
      </c>
      <c r="S15" s="129" t="s">
        <v>13</v>
      </c>
      <c r="T15" s="109" t="s">
        <v>215</v>
      </c>
      <c r="U15" s="109" t="s">
        <v>216</v>
      </c>
      <c r="V15" s="125" t="s">
        <v>39</v>
      </c>
      <c r="W15" s="109" t="s">
        <v>40</v>
      </c>
      <c r="X15" s="126" t="s">
        <v>41</v>
      </c>
    </row>
    <row r="16" spans="2:24" ht="12" customHeight="1" thickTop="1" x14ac:dyDescent="0.2">
      <c r="B16" s="284"/>
      <c r="C16" s="70"/>
      <c r="D16" s="69"/>
      <c r="E16" s="69"/>
      <c r="F16" s="67"/>
      <c r="G16" s="67"/>
      <c r="H16" s="69"/>
      <c r="I16" s="69"/>
      <c r="J16" s="68"/>
      <c r="K16" s="69"/>
      <c r="L16" s="70"/>
      <c r="M16" s="69"/>
      <c r="N16" s="69"/>
      <c r="O16" s="284"/>
      <c r="P16" s="69"/>
      <c r="Q16" s="1025"/>
      <c r="R16" s="69"/>
      <c r="S16" s="67"/>
      <c r="T16" s="69"/>
      <c r="U16" s="69"/>
      <c r="V16" s="68"/>
      <c r="W16" s="69"/>
      <c r="X16" s="70"/>
    </row>
    <row r="17" spans="2:24" x14ac:dyDescent="0.2">
      <c r="B17" s="284">
        <v>1</v>
      </c>
      <c r="C17" s="1451" t="s">
        <v>281</v>
      </c>
      <c r="D17" s="80">
        <f>'Rate Spread Proposal'!E$15</f>
        <v>208635.1321174161</v>
      </c>
      <c r="E17" s="81">
        <f>'Rate Spread Proposal'!E$14</f>
        <v>283691.13211741613</v>
      </c>
      <c r="F17" s="82">
        <f>SUM('Rev Req Proof Yr1'!AF14:AH14)</f>
        <v>28394.63053745855</v>
      </c>
      <c r="G17" s="82">
        <f>SUM('Rev Req Proof Yr1'!AM14:AO14)</f>
        <v>-1953.8082260179419</v>
      </c>
      <c r="H17" s="81">
        <f>D17+F17+G17</f>
        <v>235075.9544288567</v>
      </c>
      <c r="I17" s="81">
        <f>E17+F17+G17</f>
        <v>310131.95442885678</v>
      </c>
      <c r="J17" s="83">
        <f>IFERROR((F17+G17)/D17,0)</f>
        <v>0.12673235827109017</v>
      </c>
      <c r="K17" s="84">
        <f>IFERROR((F17+G17)/E17,0)</f>
        <v>9.3202850981246352E-2</v>
      </c>
      <c r="L17" s="1302">
        <f>'Avg Bill by RS'!S14</f>
        <v>8.5999999999999993E-2</v>
      </c>
      <c r="M17" s="1303"/>
      <c r="N17" s="1303"/>
      <c r="O17" s="284">
        <v>1</v>
      </c>
      <c r="P17" s="79" t="s">
        <v>281</v>
      </c>
      <c r="Q17" s="1190">
        <f t="shared" ref="Q17:Q39" si="0">H17</f>
        <v>235075.9544288567</v>
      </c>
      <c r="R17" s="81">
        <f t="shared" ref="R17:R39" si="1">I17</f>
        <v>310131.95442885678</v>
      </c>
      <c r="S17" s="82">
        <f>SUM('Rev Req Proof Yr2'!AF14:AH14)</f>
        <v>13313.807483007986</v>
      </c>
      <c r="T17" s="81">
        <f>Q17+S17</f>
        <v>248389.76191186468</v>
      </c>
      <c r="U17" s="81">
        <f>R17+S17</f>
        <v>323445.76191186474</v>
      </c>
      <c r="V17" s="83">
        <f>IFERROR((S17)/Q17,0)</f>
        <v>5.6636194524256507E-2</v>
      </c>
      <c r="W17" s="84">
        <f>IFERROR((S17)/R17,0)</f>
        <v>4.2929492730044136E-2</v>
      </c>
      <c r="X17" s="589">
        <f>'Avg Bill by RS'!AL14</f>
        <v>4.1000000000000002E-2</v>
      </c>
    </row>
    <row r="18" spans="2:24" x14ac:dyDescent="0.2">
      <c r="B18" s="284">
        <v>2</v>
      </c>
      <c r="C18" s="783" t="s">
        <v>282</v>
      </c>
      <c r="D18" s="80">
        <f>'Rate Spread Proposal'!F$15</f>
        <v>37604.380821902283</v>
      </c>
      <c r="E18" s="81">
        <f>'Rate Spread Proposal'!F$14</f>
        <v>53871.380821902283</v>
      </c>
      <c r="F18" s="82">
        <f>SUM('Rev Req Proof Yr1'!AF15:AH15)</f>
        <v>5117.9001141686094</v>
      </c>
      <c r="G18" s="82">
        <f>SUM('Rev Req Proof Yr1'!AM15:AO15)</f>
        <v>-351.83527201159131</v>
      </c>
      <c r="H18" s="81">
        <f t="shared" ref="H18:H39" si="2">D18+F18+G18</f>
        <v>42370.445664059298</v>
      </c>
      <c r="I18" s="81">
        <f t="shared" ref="I18:I39" si="3">E18+F18+G18</f>
        <v>58637.445664059298</v>
      </c>
      <c r="J18" s="83">
        <f t="shared" ref="J18:J39" si="4">IFERROR((F18+G18)/D18,0)</f>
        <v>0.12674227677699385</v>
      </c>
      <c r="K18" s="84">
        <f t="shared" ref="K18:K39" si="5">IFERROR((F18+G18)/E18,0)</f>
        <v>8.8471183946695828E-2</v>
      </c>
      <c r="L18" s="1302">
        <f>'Avg Bill by RS'!S15</f>
        <v>8.2000000000000003E-2</v>
      </c>
      <c r="M18" s="1303"/>
      <c r="N18" s="1303"/>
      <c r="O18" s="284">
        <v>2</v>
      </c>
      <c r="P18" s="86" t="s">
        <v>282</v>
      </c>
      <c r="Q18" s="1190">
        <f t="shared" si="0"/>
        <v>42370.445664059298</v>
      </c>
      <c r="R18" s="81">
        <f t="shared" si="1"/>
        <v>58637.445664059298</v>
      </c>
      <c r="S18" s="82">
        <f>SUM('Rev Req Proof Yr2'!AF15:AH15)</f>
        <v>2400.0191769362136</v>
      </c>
      <c r="T18" s="81">
        <f t="shared" ref="T18:T39" si="6">Q18+S18</f>
        <v>44770.464840995512</v>
      </c>
      <c r="U18" s="81">
        <f t="shared" ref="U18:U39" si="7">R18+S18</f>
        <v>61037.464840995512</v>
      </c>
      <c r="V18" s="83">
        <f t="shared" ref="V18:V38" si="8">IFERROR((S18)/Q18,0)</f>
        <v>5.6643708587942189E-2</v>
      </c>
      <c r="W18" s="84">
        <f>IFERROR((S18)/R18,0)</f>
        <v>4.0929804321392184E-2</v>
      </c>
      <c r="X18" s="589">
        <f>'Avg Bill by RS'!AL15</f>
        <v>3.9E-2</v>
      </c>
    </row>
    <row r="19" spans="2:24" x14ac:dyDescent="0.2">
      <c r="B19" s="284">
        <v>3</v>
      </c>
      <c r="C19" s="783" t="s">
        <v>12</v>
      </c>
      <c r="D19" s="80">
        <f>'Rate Spread Proposal'!G$15</f>
        <v>33798099.589697547</v>
      </c>
      <c r="E19" s="81">
        <f>'Rate Spread Proposal'!G$14</f>
        <v>53008197.589697547</v>
      </c>
      <c r="F19" s="82">
        <f>SUM('Rev Req Proof Yr1'!AF16:AH16)</f>
        <v>4599609.2712115422</v>
      </c>
      <c r="G19" s="82">
        <f>SUM('Rev Req Proof Yr1'!AM16:AO16)</f>
        <v>-316532.25092208461</v>
      </c>
      <c r="H19" s="81">
        <f t="shared" si="2"/>
        <v>38081176.609987006</v>
      </c>
      <c r="I19" s="81">
        <f t="shared" si="3"/>
        <v>57291274.609987006</v>
      </c>
      <c r="J19" s="83">
        <f t="shared" si="4"/>
        <v>0.1267253801925313</v>
      </c>
      <c r="K19" s="84">
        <f t="shared" si="5"/>
        <v>8.0800276467462809E-2</v>
      </c>
      <c r="L19" s="1302">
        <f>'Avg Bill by RS'!S16</f>
        <v>7.5999999999999998E-2</v>
      </c>
      <c r="M19" s="1303"/>
      <c r="N19" s="1303"/>
      <c r="O19" s="284">
        <v>3</v>
      </c>
      <c r="P19" s="86" t="s">
        <v>12</v>
      </c>
      <c r="Q19" s="1190">
        <f t="shared" si="0"/>
        <v>38081176.609987006</v>
      </c>
      <c r="R19" s="81">
        <f t="shared" si="1"/>
        <v>57291274.609987006</v>
      </c>
      <c r="S19" s="82">
        <f>SUM('Rev Req Proof Yr2'!AF16:AH16)</f>
        <v>2156925.4945645519</v>
      </c>
      <c r="T19" s="81">
        <f t="shared" si="6"/>
        <v>40238102.104551554</v>
      </c>
      <c r="U19" s="81">
        <f t="shared" si="7"/>
        <v>59448200.104551554</v>
      </c>
      <c r="V19" s="83">
        <f t="shared" si="8"/>
        <v>5.6640200922754208E-2</v>
      </c>
      <c r="W19" s="84">
        <f t="shared" ref="W19:W38" si="9">IFERROR((S19)/R19,0)</f>
        <v>3.7648411721469308E-2</v>
      </c>
      <c r="X19" s="589">
        <f>'Avg Bill by RS'!AL16</f>
        <v>3.5999999999999997E-2</v>
      </c>
    </row>
    <row r="20" spans="2:24" x14ac:dyDescent="0.2">
      <c r="B20" s="284">
        <v>4</v>
      </c>
      <c r="C20" s="783" t="s">
        <v>10</v>
      </c>
      <c r="D20" s="80">
        <f>'Rate Spread Proposal'!H$15</f>
        <v>9866168.0688334089</v>
      </c>
      <c r="E20" s="81">
        <f>'Rate Spread Proposal'!H$14</f>
        <v>16112007.068833409</v>
      </c>
      <c r="F20" s="82">
        <f>SUM('Rev Req Proof Yr1'!AF17:AH17)</f>
        <v>1342720.8770816317</v>
      </c>
      <c r="G20" s="82">
        <f>SUM('Rev Req Proof Yr1'!AM17:AO17)</f>
        <v>-92373.478835822199</v>
      </c>
      <c r="H20" s="81">
        <f t="shared" si="2"/>
        <v>11116515.467079217</v>
      </c>
      <c r="I20" s="81">
        <f t="shared" si="3"/>
        <v>17362354.467079218</v>
      </c>
      <c r="J20" s="83">
        <f t="shared" si="4"/>
        <v>0.12673080263000755</v>
      </c>
      <c r="K20" s="84">
        <f t="shared" si="5"/>
        <v>7.7603453927502591E-2</v>
      </c>
      <c r="L20" s="1302">
        <f>'Avg Bill by RS'!S17</f>
        <v>7.2999999999999995E-2</v>
      </c>
      <c r="M20" s="1303"/>
      <c r="N20" s="1303"/>
      <c r="O20" s="284">
        <v>4</v>
      </c>
      <c r="P20" s="86" t="s">
        <v>10</v>
      </c>
      <c r="Q20" s="1190">
        <f t="shared" si="0"/>
        <v>11116515.467079217</v>
      </c>
      <c r="R20" s="81">
        <f t="shared" si="1"/>
        <v>17362354.467079218</v>
      </c>
      <c r="S20" s="82">
        <f>SUM('Rev Req Proof Yr2'!AF17:AH17)</f>
        <v>629640.50177454017</v>
      </c>
      <c r="T20" s="81">
        <f t="shared" si="6"/>
        <v>11746155.968853757</v>
      </c>
      <c r="U20" s="81">
        <f t="shared" si="7"/>
        <v>17991994.968853757</v>
      </c>
      <c r="V20" s="83">
        <f t="shared" si="8"/>
        <v>5.6640095868096124E-2</v>
      </c>
      <c r="W20" s="84">
        <f t="shared" si="9"/>
        <v>3.6264695722484086E-2</v>
      </c>
      <c r="X20" s="589">
        <f>'Avg Bill by RS'!AL17</f>
        <v>3.5000000000000003E-2</v>
      </c>
    </row>
    <row r="21" spans="2:24" x14ac:dyDescent="0.2">
      <c r="B21" s="284">
        <v>5</v>
      </c>
      <c r="C21" s="783" t="s">
        <v>11</v>
      </c>
      <c r="D21" s="80">
        <f>'Rate Spread Proposal'!I$15</f>
        <v>141888.72505190157</v>
      </c>
      <c r="E21" s="81">
        <f>'Rate Spread Proposal'!I$14</f>
        <v>241043.72505190157</v>
      </c>
      <c r="F21" s="82">
        <f>SUM('Rev Req Proof Yr1'!AF18:AH18)</f>
        <v>19311.028159999987</v>
      </c>
      <c r="G21" s="82">
        <f>SUM('Rev Req Proof Yr1'!AM18:AO18)</f>
        <v>-1330.3278799999996</v>
      </c>
      <c r="H21" s="81">
        <f t="shared" si="2"/>
        <v>159869.42533190156</v>
      </c>
      <c r="I21" s="81">
        <f t="shared" si="3"/>
        <v>259024.42533190156</v>
      </c>
      <c r="J21" s="83">
        <f t="shared" si="4"/>
        <v>0.12672395409446954</v>
      </c>
      <c r="K21" s="84">
        <f t="shared" si="5"/>
        <v>7.4595180920508847E-2</v>
      </c>
      <c r="L21" s="1302">
        <f>'Avg Bill by RS'!S18</f>
        <v>7.4999999999999997E-2</v>
      </c>
      <c r="M21" s="1303"/>
      <c r="N21" s="1303"/>
      <c r="O21" s="284">
        <v>5</v>
      </c>
      <c r="P21" s="86" t="s">
        <v>11</v>
      </c>
      <c r="Q21" s="1190">
        <f t="shared" si="0"/>
        <v>159869.42533190156</v>
      </c>
      <c r="R21" s="81">
        <f t="shared" si="1"/>
        <v>259024.42533190156</v>
      </c>
      <c r="S21" s="82">
        <f>SUM('Rev Req Proof Yr2'!AF18:AH18)</f>
        <v>9054.1718399999954</v>
      </c>
      <c r="T21" s="81">
        <f t="shared" si="6"/>
        <v>168923.59717190155</v>
      </c>
      <c r="U21" s="81">
        <f t="shared" si="7"/>
        <v>268078.59717190155</v>
      </c>
      <c r="V21" s="83">
        <f t="shared" si="8"/>
        <v>5.6634793183267029E-2</v>
      </c>
      <c r="W21" s="84">
        <f t="shared" si="9"/>
        <v>3.4954895965499819E-2</v>
      </c>
      <c r="X21" s="589">
        <f>'Avg Bill by RS'!AL18</f>
        <v>3.5000000000000003E-2</v>
      </c>
    </row>
    <row r="22" spans="2:24" x14ac:dyDescent="0.2">
      <c r="B22" s="284">
        <v>6</v>
      </c>
      <c r="C22" s="783" t="s">
        <v>470</v>
      </c>
      <c r="D22" s="80">
        <f>'Rate Spread Proposal'!J$15</f>
        <v>201938.20437801833</v>
      </c>
      <c r="E22" s="81">
        <f>'Rate Spread Proposal'!J$14</f>
        <v>363218.20437801839</v>
      </c>
      <c r="F22" s="82">
        <f>SUM('Rev Req Proof Yr1'!AF19:AH19)</f>
        <v>27483.916299070072</v>
      </c>
      <c r="G22" s="82">
        <f>SUM('Rev Req Proof Yr1'!AM19:AO19)</f>
        <v>-1891.6242542586419</v>
      </c>
      <c r="H22" s="81">
        <f t="shared" si="2"/>
        <v>227530.49642282975</v>
      </c>
      <c r="I22" s="81">
        <f t="shared" si="3"/>
        <v>388810.4964228298</v>
      </c>
      <c r="J22" s="83">
        <f t="shared" si="4"/>
        <v>0.12673328518314408</v>
      </c>
      <c r="K22" s="84">
        <f t="shared" si="5"/>
        <v>7.0459827553622068E-2</v>
      </c>
      <c r="L22" s="1302">
        <f>'Avg Bill by RS'!S19</f>
        <v>6.7000000000000004E-2</v>
      </c>
      <c r="M22" s="1303"/>
      <c r="N22" s="1303"/>
      <c r="O22" s="284">
        <v>6</v>
      </c>
      <c r="P22" s="86" t="s">
        <v>470</v>
      </c>
      <c r="Q22" s="1190">
        <f t="shared" si="0"/>
        <v>227530.49642282975</v>
      </c>
      <c r="R22" s="81">
        <f t="shared" si="1"/>
        <v>388810.4964228298</v>
      </c>
      <c r="S22" s="82">
        <f>SUM('Rev Req Proof Yr2'!AF19:AH19)</f>
        <v>12886.113517425343</v>
      </c>
      <c r="T22" s="81">
        <f t="shared" si="6"/>
        <v>240416.60994025509</v>
      </c>
      <c r="U22" s="81">
        <f t="shared" si="7"/>
        <v>401696.60994025518</v>
      </c>
      <c r="V22" s="83">
        <f t="shared" si="8"/>
        <v>5.6634665330657571E-2</v>
      </c>
      <c r="W22" s="84">
        <f t="shared" si="9"/>
        <v>3.3142401339422041E-2</v>
      </c>
      <c r="X22" s="589">
        <f>'Avg Bill by RS'!AL19</f>
        <v>3.2000000000000001E-2</v>
      </c>
    </row>
    <row r="23" spans="2:24" x14ac:dyDescent="0.2">
      <c r="B23" s="284">
        <v>7</v>
      </c>
      <c r="C23" s="783" t="s">
        <v>352</v>
      </c>
      <c r="D23" s="80">
        <f>'Rate Spread Proposal'!K$15</f>
        <v>1542348.175315036</v>
      </c>
      <c r="E23" s="81">
        <f>'Rate Spread Proposal'!K$14</f>
        <v>2853836.1753150364</v>
      </c>
      <c r="F23" s="82">
        <f>SUM('Rev Req Proof Yr1'!AF22:AH22)</f>
        <v>209902.4317501164</v>
      </c>
      <c r="G23" s="82">
        <f>SUM('Rev Req Proof Yr1'!AM22:AO22)</f>
        <v>-14451.994176944718</v>
      </c>
      <c r="H23" s="81">
        <f t="shared" si="2"/>
        <v>1737798.6128882077</v>
      </c>
      <c r="I23" s="81">
        <f t="shared" si="3"/>
        <v>3049286.6128882081</v>
      </c>
      <c r="J23" s="83">
        <f t="shared" si="4"/>
        <v>0.12672264324055721</v>
      </c>
      <c r="K23" s="84">
        <f t="shared" si="5"/>
        <v>6.8486915704471296E-2</v>
      </c>
      <c r="L23" s="1302">
        <f>'Avg Bill by RS'!S22</f>
        <v>7.4999999999999997E-2</v>
      </c>
      <c r="M23" s="1303"/>
      <c r="N23" s="1303"/>
      <c r="O23" s="284">
        <v>7</v>
      </c>
      <c r="P23" s="86" t="s">
        <v>352</v>
      </c>
      <c r="Q23" s="1190">
        <f t="shared" si="0"/>
        <v>1737798.6128882077</v>
      </c>
      <c r="R23" s="81">
        <f t="shared" si="1"/>
        <v>3049286.6128882081</v>
      </c>
      <c r="S23" s="82">
        <f>SUM('Rev Req Proof Yr2'!AF22:AH22)</f>
        <v>98435.082024062751</v>
      </c>
      <c r="T23" s="81">
        <f t="shared" si="6"/>
        <v>1836233.6949122704</v>
      </c>
      <c r="U23" s="81">
        <f t="shared" si="7"/>
        <v>3147721.6949122706</v>
      </c>
      <c r="V23" s="83">
        <f t="shared" si="8"/>
        <v>5.6643549657612174E-2</v>
      </c>
      <c r="W23" s="84">
        <f t="shared" si="9"/>
        <v>3.2281347908725277E-2</v>
      </c>
      <c r="X23" s="589">
        <f>'Avg Bill by RS'!AL22</f>
        <v>3.5999999999999997E-2</v>
      </c>
    </row>
    <row r="24" spans="2:24" x14ac:dyDescent="0.2">
      <c r="B24" s="284">
        <v>8</v>
      </c>
      <c r="C24" s="783" t="s">
        <v>353</v>
      </c>
      <c r="D24" s="80">
        <f>'Rate Spread Proposal'!L$15</f>
        <v>392614.2804678994</v>
      </c>
      <c r="E24" s="81">
        <f>'Rate Spread Proposal'!L$14</f>
        <v>747266.28046789952</v>
      </c>
      <c r="F24" s="82">
        <f>SUM('Rev Req Proof Yr1'!AF25:AH25)</f>
        <v>53433.67476200001</v>
      </c>
      <c r="G24" s="82">
        <f>SUM('Rev Req Proof Yr1'!AM25:AO25)</f>
        <v>-3674.6766820000012</v>
      </c>
      <c r="H24" s="81">
        <f t="shared" si="2"/>
        <v>442373.27854789939</v>
      </c>
      <c r="I24" s="81">
        <f t="shared" si="3"/>
        <v>797025.27854789945</v>
      </c>
      <c r="J24" s="83">
        <f t="shared" si="4"/>
        <v>0.12673761642266182</v>
      </c>
      <c r="K24" s="84">
        <f t="shared" si="5"/>
        <v>6.6588041479462304E-2</v>
      </c>
      <c r="L24" s="1302">
        <f>'Avg Bill by RS'!S25</f>
        <v>7.8E-2</v>
      </c>
      <c r="M24" s="1303"/>
      <c r="N24" s="1303"/>
      <c r="O24" s="284">
        <v>8</v>
      </c>
      <c r="P24" s="86" t="s">
        <v>353</v>
      </c>
      <c r="Q24" s="1190">
        <f t="shared" si="0"/>
        <v>442373.27854789939</v>
      </c>
      <c r="R24" s="81">
        <f t="shared" si="1"/>
        <v>797025.27854789945</v>
      </c>
      <c r="S24" s="82">
        <f>SUM('Rev Req Proof Yr2'!AF25:AH25)</f>
        <v>25056.720428000001</v>
      </c>
      <c r="T24" s="81">
        <f t="shared" si="6"/>
        <v>467429.99897589942</v>
      </c>
      <c r="U24" s="81">
        <f t="shared" si="7"/>
        <v>822081.99897589942</v>
      </c>
      <c r="V24" s="83">
        <f t="shared" si="8"/>
        <v>5.6641577697118757E-2</v>
      </c>
      <c r="W24" s="84">
        <f t="shared" si="9"/>
        <v>3.1437798903506356E-2</v>
      </c>
      <c r="X24" s="589">
        <f>'Avg Bill by RS'!AL25</f>
        <v>3.6999999999999998E-2</v>
      </c>
    </row>
    <row r="25" spans="2:24" x14ac:dyDescent="0.2">
      <c r="B25" s="284">
        <v>9</v>
      </c>
      <c r="C25" s="783" t="s">
        <v>355</v>
      </c>
      <c r="D25" s="80">
        <f>'Rate Spread Proposal'!M$15</f>
        <v>0</v>
      </c>
      <c r="E25" s="81">
        <f>'Rate Spread Proposal'!M$14</f>
        <v>0</v>
      </c>
      <c r="F25" s="82">
        <f>SUM('Rev Req Proof Yr1'!AF28:AH28)</f>
        <v>0</v>
      </c>
      <c r="G25" s="82">
        <f>SUM('Rev Req Proof Yr1'!AM28:AO28)</f>
        <v>0</v>
      </c>
      <c r="H25" s="81">
        <f t="shared" si="2"/>
        <v>0</v>
      </c>
      <c r="I25" s="81">
        <f t="shared" si="3"/>
        <v>0</v>
      </c>
      <c r="J25" s="83">
        <f t="shared" si="4"/>
        <v>0</v>
      </c>
      <c r="K25" s="84">
        <f t="shared" si="5"/>
        <v>0</v>
      </c>
      <c r="L25" s="1302">
        <f>'Avg Bill by RS'!S28</f>
        <v>0</v>
      </c>
      <c r="M25" s="1303"/>
      <c r="N25" s="1303"/>
      <c r="O25" s="284">
        <v>9</v>
      </c>
      <c r="P25" s="86" t="s">
        <v>355</v>
      </c>
      <c r="Q25" s="1190">
        <f t="shared" si="0"/>
        <v>0</v>
      </c>
      <c r="R25" s="81">
        <f t="shared" si="1"/>
        <v>0</v>
      </c>
      <c r="S25" s="82">
        <f>SUM('Rev Req Proof Yr2'!AF28:AH28)</f>
        <v>0</v>
      </c>
      <c r="T25" s="81">
        <f t="shared" si="6"/>
        <v>0</v>
      </c>
      <c r="U25" s="81">
        <f t="shared" si="7"/>
        <v>0</v>
      </c>
      <c r="V25" s="83">
        <f t="shared" si="8"/>
        <v>0</v>
      </c>
      <c r="W25" s="84">
        <f t="shared" si="9"/>
        <v>0</v>
      </c>
      <c r="X25" s="589">
        <f>'Avg Bill by RS'!AL28</f>
        <v>0</v>
      </c>
    </row>
    <row r="26" spans="2:24" x14ac:dyDescent="0.2">
      <c r="B26" s="284">
        <v>10</v>
      </c>
      <c r="C26" s="783" t="s">
        <v>356</v>
      </c>
      <c r="D26" s="80">
        <f>'Rate Spread Proposal'!N$15</f>
        <v>0</v>
      </c>
      <c r="E26" s="81">
        <f>'Rate Spread Proposal'!N$14</f>
        <v>0</v>
      </c>
      <c r="F26" s="82">
        <f>SUM('Rev Req Proof Yr1'!AF31:AH31)</f>
        <v>0</v>
      </c>
      <c r="G26" s="82">
        <f>SUM('Rev Req Proof Yr1'!AM31:AO31)</f>
        <v>0</v>
      </c>
      <c r="H26" s="81">
        <f t="shared" si="2"/>
        <v>0</v>
      </c>
      <c r="I26" s="81">
        <f t="shared" si="3"/>
        <v>0</v>
      </c>
      <c r="J26" s="83">
        <f t="shared" si="4"/>
        <v>0</v>
      </c>
      <c r="K26" s="84">
        <f t="shared" si="5"/>
        <v>0</v>
      </c>
      <c r="L26" s="1302">
        <f>'Avg Bill by RS'!S31</f>
        <v>0</v>
      </c>
      <c r="M26" s="1303"/>
      <c r="N26" s="1303"/>
      <c r="O26" s="284">
        <v>10</v>
      </c>
      <c r="P26" s="86" t="s">
        <v>356</v>
      </c>
      <c r="Q26" s="1190">
        <f t="shared" si="0"/>
        <v>0</v>
      </c>
      <c r="R26" s="81">
        <f t="shared" si="1"/>
        <v>0</v>
      </c>
      <c r="S26" s="82">
        <f>SUM('Rev Req Proof Yr2'!AF31:AH31)</f>
        <v>0</v>
      </c>
      <c r="T26" s="81">
        <f t="shared" si="6"/>
        <v>0</v>
      </c>
      <c r="U26" s="81">
        <f t="shared" si="7"/>
        <v>0</v>
      </c>
      <c r="V26" s="83">
        <f t="shared" si="8"/>
        <v>0</v>
      </c>
      <c r="W26" s="84">
        <f t="shared" si="9"/>
        <v>0</v>
      </c>
      <c r="X26" s="589">
        <f>'Avg Bill by RS'!AL31</f>
        <v>0</v>
      </c>
    </row>
    <row r="27" spans="2:24" x14ac:dyDescent="0.2">
      <c r="B27" s="284">
        <v>11</v>
      </c>
      <c r="C27" s="783" t="s">
        <v>357</v>
      </c>
      <c r="D27" s="80">
        <f>'Rate Spread Proposal'!O$15</f>
        <v>189841.33809000003</v>
      </c>
      <c r="E27" s="81">
        <f>'Rate Spread Proposal'!O$14</f>
        <v>189841.33809000003</v>
      </c>
      <c r="F27" s="82">
        <f>SUM('Rev Req Proof Yr1'!AF34:AH34)</f>
        <v>25836.995390000004</v>
      </c>
      <c r="G27" s="82">
        <f>SUM('Rev Req Proof Yr1'!AM34:AO34)</f>
        <v>-1779.01313</v>
      </c>
      <c r="H27" s="81">
        <f t="shared" si="2"/>
        <v>213899.32035000002</v>
      </c>
      <c r="I27" s="81">
        <f t="shared" si="3"/>
        <v>213899.32035000002</v>
      </c>
      <c r="J27" s="83">
        <f t="shared" si="4"/>
        <v>0.1267267840716261</v>
      </c>
      <c r="K27" s="84">
        <f t="shared" si="5"/>
        <v>0.1267267840716261</v>
      </c>
      <c r="L27" s="1302">
        <f>'Avg Bill by RS'!S34</f>
        <v>0.127</v>
      </c>
      <c r="M27" s="1303"/>
      <c r="N27" s="1303"/>
      <c r="O27" s="284">
        <v>11</v>
      </c>
      <c r="P27" s="86" t="s">
        <v>357</v>
      </c>
      <c r="Q27" s="1190">
        <f t="shared" si="0"/>
        <v>213899.32035000002</v>
      </c>
      <c r="R27" s="81">
        <f t="shared" si="1"/>
        <v>213899.32035000002</v>
      </c>
      <c r="S27" s="82">
        <f>SUM('Rev Req Proof Yr2'!AF34:AH34)</f>
        <v>12114.902749999994</v>
      </c>
      <c r="T27" s="81">
        <f t="shared" si="6"/>
        <v>226014.2231</v>
      </c>
      <c r="U27" s="81">
        <f t="shared" si="7"/>
        <v>226014.2231</v>
      </c>
      <c r="V27" s="83">
        <f>IFERROR((S27)/Q27,0)</f>
        <v>5.6638341487839104E-2</v>
      </c>
      <c r="W27" s="84">
        <f t="shared" si="9"/>
        <v>5.6638341487839104E-2</v>
      </c>
      <c r="X27" s="589">
        <f>'Avg Bill by RS'!AL34</f>
        <v>5.7000000000000002E-2</v>
      </c>
    </row>
    <row r="28" spans="2:24" x14ac:dyDescent="0.2">
      <c r="B28" s="284">
        <v>12</v>
      </c>
      <c r="C28" s="783" t="s">
        <v>358</v>
      </c>
      <c r="D28" s="80">
        <f>'Rate Spread Proposal'!P$15</f>
        <v>0</v>
      </c>
      <c r="E28" s="81">
        <f>'Rate Spread Proposal'!P$14</f>
        <v>0</v>
      </c>
      <c r="F28" s="82">
        <f>SUM('Rev Req Proof Yr1'!AF37:AH37)</f>
        <v>0</v>
      </c>
      <c r="G28" s="82">
        <f>SUM('Rev Req Proof Yr1'!AM37:AO37)</f>
        <v>0</v>
      </c>
      <c r="H28" s="81">
        <f t="shared" si="2"/>
        <v>0</v>
      </c>
      <c r="I28" s="81">
        <f t="shared" si="3"/>
        <v>0</v>
      </c>
      <c r="J28" s="83">
        <f t="shared" si="4"/>
        <v>0</v>
      </c>
      <c r="K28" s="84">
        <f t="shared" si="5"/>
        <v>0</v>
      </c>
      <c r="L28" s="1302">
        <f>'Avg Bill by RS'!S37</f>
        <v>0</v>
      </c>
      <c r="M28" s="1303"/>
      <c r="N28" s="1303"/>
      <c r="O28" s="284">
        <v>12</v>
      </c>
      <c r="P28" s="86" t="s">
        <v>358</v>
      </c>
      <c r="Q28" s="1190">
        <f t="shared" si="0"/>
        <v>0</v>
      </c>
      <c r="R28" s="81">
        <f t="shared" si="1"/>
        <v>0</v>
      </c>
      <c r="S28" s="82">
        <f>SUM('Rev Req Proof Yr2'!AF37:AH37)</f>
        <v>0</v>
      </c>
      <c r="T28" s="81">
        <f t="shared" si="6"/>
        <v>0</v>
      </c>
      <c r="U28" s="81">
        <f t="shared" si="7"/>
        <v>0</v>
      </c>
      <c r="V28" s="83">
        <f t="shared" si="8"/>
        <v>0</v>
      </c>
      <c r="W28" s="84">
        <f t="shared" si="9"/>
        <v>0</v>
      </c>
      <c r="X28" s="589">
        <f>'Avg Bill by RS'!AL37</f>
        <v>0</v>
      </c>
    </row>
    <row r="29" spans="2:24" x14ac:dyDescent="0.2">
      <c r="B29" s="284">
        <v>13</v>
      </c>
      <c r="C29" s="783" t="s">
        <v>359</v>
      </c>
      <c r="D29" s="80">
        <f>'Rate Spread Proposal'!Q$15</f>
        <v>219574.60083981926</v>
      </c>
      <c r="E29" s="81">
        <f>'Rate Spread Proposal'!Q$14</f>
        <v>470188.60083981924</v>
      </c>
      <c r="F29" s="82">
        <f>SUM('Rev Req Proof Yr1'!AF44:AH44)</f>
        <v>29883.943719079431</v>
      </c>
      <c r="G29" s="82">
        <f>SUM('Rev Req Proof Yr1'!AM44:AO44)</f>
        <v>-2055.595853643305</v>
      </c>
      <c r="H29" s="81">
        <f t="shared" si="2"/>
        <v>247402.94870525537</v>
      </c>
      <c r="I29" s="81">
        <f t="shared" si="3"/>
        <v>498016.94870525534</v>
      </c>
      <c r="J29" s="83">
        <f t="shared" si="4"/>
        <v>0.12673755415699031</v>
      </c>
      <c r="K29" s="84">
        <f t="shared" si="5"/>
        <v>5.91855009154433E-2</v>
      </c>
      <c r="L29" s="1302">
        <f>'Avg Bill by RS'!S44</f>
        <v>7.5999999999999998E-2</v>
      </c>
      <c r="M29" s="1303"/>
      <c r="N29" s="1303"/>
      <c r="O29" s="284">
        <v>13</v>
      </c>
      <c r="P29" s="86" t="s">
        <v>359</v>
      </c>
      <c r="Q29" s="1190">
        <f t="shared" si="0"/>
        <v>247402.94870525537</v>
      </c>
      <c r="R29" s="81">
        <f t="shared" si="1"/>
        <v>498016.94870525534</v>
      </c>
      <c r="S29" s="82">
        <f>SUM('Rev Req Proof Yr2'!AF44:AH44)</f>
        <v>14012.424282822392</v>
      </c>
      <c r="T29" s="81">
        <f t="shared" si="6"/>
        <v>261415.37298807775</v>
      </c>
      <c r="U29" s="81">
        <f t="shared" si="7"/>
        <v>512029.37298807775</v>
      </c>
      <c r="V29" s="83">
        <f t="shared" si="8"/>
        <v>5.663806497115019E-2</v>
      </c>
      <c r="W29" s="84">
        <f t="shared" si="9"/>
        <v>2.813644057547017E-2</v>
      </c>
      <c r="X29" s="589">
        <f>'Avg Bill by RS'!AL44</f>
        <v>3.6999999999999998E-2</v>
      </c>
    </row>
    <row r="30" spans="2:24" x14ac:dyDescent="0.2">
      <c r="B30" s="284">
        <v>14</v>
      </c>
      <c r="C30" s="783" t="s">
        <v>360</v>
      </c>
      <c r="D30" s="80">
        <f>'Rate Spread Proposal'!R$15</f>
        <v>511672.37933789124</v>
      </c>
      <c r="E30" s="81">
        <f>'Rate Spread Proposal'!R$14</f>
        <v>1154958.3793378912</v>
      </c>
      <c r="F30" s="82">
        <f>SUM('Rev Req Proof Yr1'!AF51:AH51)</f>
        <v>69637.109626000005</v>
      </c>
      <c r="G30" s="82">
        <f>SUM('Rev Req Proof Yr1'!AM51:AO51)</f>
        <v>-4788.9728660000001</v>
      </c>
      <c r="H30" s="81">
        <f t="shared" si="2"/>
        <v>576520.51609789126</v>
      </c>
      <c r="I30" s="81">
        <f t="shared" si="3"/>
        <v>1219806.5160978914</v>
      </c>
      <c r="J30" s="83">
        <f t="shared" si="4"/>
        <v>0.12673761449448198</v>
      </c>
      <c r="K30" s="84">
        <f t="shared" si="5"/>
        <v>5.6147596242538039E-2</v>
      </c>
      <c r="L30" s="1302">
        <f>'Avg Bill by RS'!S51</f>
        <v>7.1999999999999995E-2</v>
      </c>
      <c r="M30" s="1303"/>
      <c r="N30" s="1303"/>
      <c r="O30" s="284">
        <v>14</v>
      </c>
      <c r="P30" s="86" t="s">
        <v>360</v>
      </c>
      <c r="Q30" s="1190">
        <f t="shared" si="0"/>
        <v>576520.51609789126</v>
      </c>
      <c r="R30" s="81">
        <f t="shared" si="1"/>
        <v>1219806.5160978914</v>
      </c>
      <c r="S30" s="82">
        <f>SUM('Rev Req Proof Yr2'!AF51:AH51)</f>
        <v>32655.57115500002</v>
      </c>
      <c r="T30" s="81">
        <f t="shared" si="6"/>
        <v>609176.08725289127</v>
      </c>
      <c r="U30" s="81">
        <f t="shared" si="7"/>
        <v>1252462.0872528914</v>
      </c>
      <c r="V30" s="83">
        <f t="shared" si="8"/>
        <v>5.6642513567470708E-2</v>
      </c>
      <c r="W30" s="84">
        <f t="shared" si="9"/>
        <v>2.6771107322384035E-2</v>
      </c>
      <c r="X30" s="589">
        <f>'Avg Bill by RS'!AL51</f>
        <v>3.4000000000000002E-2</v>
      </c>
    </row>
    <row r="31" spans="2:24" x14ac:dyDescent="0.2">
      <c r="B31" s="284">
        <v>15</v>
      </c>
      <c r="C31" s="783" t="s">
        <v>361</v>
      </c>
      <c r="D31" s="80">
        <f>'Rate Spread Proposal'!S$15</f>
        <v>360784.67333999998</v>
      </c>
      <c r="E31" s="81">
        <f>'Rate Spread Proposal'!S$14</f>
        <v>360784.67333999998</v>
      </c>
      <c r="F31" s="82">
        <f>SUM('Rev Req Proof Yr1'!AF58:AH58)</f>
        <v>49098.639150000003</v>
      </c>
      <c r="G31" s="82">
        <f>SUM('Rev Req Proof Yr1'!AM58:AO58)</f>
        <v>-3383.8287</v>
      </c>
      <c r="H31" s="81">
        <f t="shared" si="2"/>
        <v>406499.48378999997</v>
      </c>
      <c r="I31" s="81">
        <f t="shared" si="3"/>
        <v>406499.48378999997</v>
      </c>
      <c r="J31" s="83">
        <f t="shared" si="4"/>
        <v>0.12670940266611272</v>
      </c>
      <c r="K31" s="84">
        <f t="shared" si="5"/>
        <v>0.12670940266611272</v>
      </c>
      <c r="L31" s="1302">
        <f>'Avg Bill by RS'!S58</f>
        <v>0.13500000000000001</v>
      </c>
      <c r="M31" s="1303"/>
      <c r="N31" s="1303"/>
      <c r="O31" s="284">
        <v>15</v>
      </c>
      <c r="P31" s="86" t="s">
        <v>361</v>
      </c>
      <c r="Q31" s="1190">
        <f t="shared" si="0"/>
        <v>406499.48378999997</v>
      </c>
      <c r="R31" s="81">
        <f t="shared" si="1"/>
        <v>406499.48378999997</v>
      </c>
      <c r="S31" s="82">
        <f>SUM('Rev Req Proof Yr2'!AF58:AH58)</f>
        <v>23020.772400000023</v>
      </c>
      <c r="T31" s="81">
        <f t="shared" si="6"/>
        <v>429520.25618999999</v>
      </c>
      <c r="U31" s="81">
        <f t="shared" si="7"/>
        <v>429520.25618999999</v>
      </c>
      <c r="V31" s="83">
        <f t="shared" si="8"/>
        <v>5.6631738336702757E-2</v>
      </c>
      <c r="W31" s="84">
        <f t="shared" si="9"/>
        <v>5.6631738336702757E-2</v>
      </c>
      <c r="X31" s="589">
        <f>'Avg Bill by RS'!AL58</f>
        <v>6.0999999999999999E-2</v>
      </c>
    </row>
    <row r="32" spans="2:24" x14ac:dyDescent="0.2">
      <c r="B32" s="284">
        <v>16</v>
      </c>
      <c r="C32" s="783" t="s">
        <v>362</v>
      </c>
      <c r="D32" s="80">
        <f>'Rate Spread Proposal'!T$15</f>
        <v>823615.79209999996</v>
      </c>
      <c r="E32" s="81">
        <f>'Rate Spread Proposal'!T$14</f>
        <v>823615.79209999996</v>
      </c>
      <c r="F32" s="82">
        <f>SUM('Rev Req Proof Yr1'!AF65:AH65)</f>
        <v>112098.45365</v>
      </c>
      <c r="G32" s="82">
        <f>SUM('Rev Req Proof Yr1'!AM65:AO65)</f>
        <v>-7716.6626000000006</v>
      </c>
      <c r="H32" s="81">
        <f t="shared" si="2"/>
        <v>927997.58314999996</v>
      </c>
      <c r="I32" s="81">
        <f t="shared" si="3"/>
        <v>927997.58314999996</v>
      </c>
      <c r="J32" s="83">
        <f t="shared" si="4"/>
        <v>0.12673602431038186</v>
      </c>
      <c r="K32" s="84">
        <f t="shared" si="5"/>
        <v>0.12673602431038186</v>
      </c>
      <c r="L32" s="1302">
        <f>'Avg Bill by RS'!S65</f>
        <v>0.14000000000000001</v>
      </c>
      <c r="M32" s="1303"/>
      <c r="N32" s="1303"/>
      <c r="O32" s="284">
        <v>16</v>
      </c>
      <c r="P32" s="86" t="s">
        <v>362</v>
      </c>
      <c r="Q32" s="1190">
        <f t="shared" si="0"/>
        <v>927997.58314999996</v>
      </c>
      <c r="R32" s="81">
        <f t="shared" si="1"/>
        <v>927997.58314999996</v>
      </c>
      <c r="S32" s="82">
        <f>SUM('Rev Req Proof Yr2'!AF65:AH65)</f>
        <v>52558.568929999994</v>
      </c>
      <c r="T32" s="81">
        <f t="shared" si="6"/>
        <v>980556.15207999991</v>
      </c>
      <c r="U32" s="81">
        <f t="shared" si="7"/>
        <v>980556.15207999991</v>
      </c>
      <c r="V32" s="83">
        <f t="shared" si="8"/>
        <v>5.6636536435358924E-2</v>
      </c>
      <c r="W32" s="84">
        <f t="shared" si="9"/>
        <v>5.6636536435358924E-2</v>
      </c>
      <c r="X32" s="589">
        <f>'Avg Bill by RS'!AL65</f>
        <v>6.3E-2</v>
      </c>
    </row>
    <row r="33" spans="2:24" x14ac:dyDescent="0.2">
      <c r="B33" s="284">
        <v>17</v>
      </c>
      <c r="C33" s="783" t="s">
        <v>363</v>
      </c>
      <c r="D33" s="80">
        <f>'Rate Spread Proposal'!U$15</f>
        <v>160512.61187958997</v>
      </c>
      <c r="E33" s="81">
        <f>'Rate Spread Proposal'!U$14</f>
        <v>430728.61187958985</v>
      </c>
      <c r="F33" s="82">
        <f>SUM('Rev Req Proof Yr1'!AF72:AH72)</f>
        <v>21844.4555</v>
      </c>
      <c r="G33" s="82">
        <f>SUM('Rev Req Proof Yr1'!AM72:AO72)</f>
        <v>-1501.3931600000001</v>
      </c>
      <c r="H33" s="81">
        <f t="shared" si="2"/>
        <v>180855.67421958997</v>
      </c>
      <c r="I33" s="81">
        <f t="shared" si="3"/>
        <v>451071.67421958986</v>
      </c>
      <c r="J33" s="83">
        <f t="shared" si="4"/>
        <v>0.12673809304941433</v>
      </c>
      <c r="K33" s="84">
        <f t="shared" si="5"/>
        <v>4.7229419590279972E-2</v>
      </c>
      <c r="L33" s="1302">
        <f>'Avg Bill by RS'!S72</f>
        <v>0.05</v>
      </c>
      <c r="M33" s="1303"/>
      <c r="N33" s="1303"/>
      <c r="O33" s="284">
        <v>17</v>
      </c>
      <c r="P33" s="86" t="s">
        <v>363</v>
      </c>
      <c r="Q33" s="1190">
        <f t="shared" si="0"/>
        <v>180855.67421958997</v>
      </c>
      <c r="R33" s="81">
        <f t="shared" si="1"/>
        <v>451071.67421958986</v>
      </c>
      <c r="S33" s="82">
        <f>SUM('Rev Req Proof Yr2'!AF72:AH72)</f>
        <v>10243.523710000001</v>
      </c>
      <c r="T33" s="81">
        <f t="shared" si="6"/>
        <v>191099.19792958998</v>
      </c>
      <c r="U33" s="81">
        <f t="shared" si="7"/>
        <v>461315.19792958983</v>
      </c>
      <c r="V33" s="83">
        <f t="shared" si="8"/>
        <v>5.6639216625089667E-2</v>
      </c>
      <c r="W33" s="84">
        <f t="shared" si="9"/>
        <v>2.2709303854476282E-2</v>
      </c>
      <c r="X33" s="589">
        <f>'Avg Bill by RS'!AL72</f>
        <v>2.4E-2</v>
      </c>
    </row>
    <row r="34" spans="2:24" x14ac:dyDescent="0.2">
      <c r="B34" s="284">
        <v>18</v>
      </c>
      <c r="C34" s="783" t="s">
        <v>364</v>
      </c>
      <c r="D34" s="80">
        <f>'Rate Spread Proposal'!V$15</f>
        <v>81130.03459599179</v>
      </c>
      <c r="E34" s="81">
        <f>'Rate Spread Proposal'!V$14</f>
        <v>171731.03459599178</v>
      </c>
      <c r="F34" s="82">
        <f>SUM('Rev Req Proof Yr1'!AF79:AH79)</f>
        <v>11040.877800000002</v>
      </c>
      <c r="G34" s="82">
        <f>SUM('Rev Req Proof Yr1'!AM79:AO79)</f>
        <v>-760.61590000000001</v>
      </c>
      <c r="H34" s="81">
        <f t="shared" si="2"/>
        <v>91410.296495991788</v>
      </c>
      <c r="I34" s="81">
        <f t="shared" si="3"/>
        <v>182011.29649599179</v>
      </c>
      <c r="J34" s="83">
        <f t="shared" si="4"/>
        <v>0.1267133922867561</v>
      </c>
      <c r="K34" s="84">
        <f t="shared" si="5"/>
        <v>5.9862574776801257E-2</v>
      </c>
      <c r="L34" s="1302">
        <f>'Avg Bill by RS'!S79</f>
        <v>6.6000000000000003E-2</v>
      </c>
      <c r="M34" s="1303"/>
      <c r="N34" s="1303"/>
      <c r="O34" s="284">
        <v>18</v>
      </c>
      <c r="P34" s="86" t="s">
        <v>364</v>
      </c>
      <c r="Q34" s="1190">
        <f t="shared" si="0"/>
        <v>91410.296495991788</v>
      </c>
      <c r="R34" s="81">
        <f t="shared" si="1"/>
        <v>182011.29649599179</v>
      </c>
      <c r="S34" s="82">
        <f>SUM('Rev Req Proof Yr2'!AF79:AH79)</f>
        <v>5177.2746000000006</v>
      </c>
      <c r="T34" s="81">
        <f t="shared" si="6"/>
        <v>96587.571095991792</v>
      </c>
      <c r="U34" s="81">
        <f t="shared" si="7"/>
        <v>187188.57109599179</v>
      </c>
      <c r="V34" s="83">
        <f t="shared" si="8"/>
        <v>5.6637761810859201E-2</v>
      </c>
      <c r="W34" s="84">
        <f t="shared" si="9"/>
        <v>2.8444798205775175E-2</v>
      </c>
      <c r="X34" s="589">
        <f>'Avg Bill by RS'!AL79</f>
        <v>3.1E-2</v>
      </c>
    </row>
    <row r="35" spans="2:24" x14ac:dyDescent="0.2">
      <c r="B35" s="284">
        <v>19</v>
      </c>
      <c r="C35" s="783" t="s">
        <v>366</v>
      </c>
      <c r="D35" s="80">
        <f>'Rate Spread Proposal'!W$15</f>
        <v>0</v>
      </c>
      <c r="E35" s="81">
        <f>'Rate Spread Proposal'!W$14</f>
        <v>0</v>
      </c>
      <c r="F35" s="82">
        <f>SUM('Rev Req Proof Yr1'!AF86:AH86)</f>
        <v>0</v>
      </c>
      <c r="G35" s="82">
        <f>SUM('Rev Req Proof Yr1'!AM86:AO86)</f>
        <v>0</v>
      </c>
      <c r="H35" s="81">
        <f t="shared" si="2"/>
        <v>0</v>
      </c>
      <c r="I35" s="81">
        <f t="shared" si="3"/>
        <v>0</v>
      </c>
      <c r="J35" s="83">
        <f t="shared" si="4"/>
        <v>0</v>
      </c>
      <c r="K35" s="84">
        <f t="shared" si="5"/>
        <v>0</v>
      </c>
      <c r="L35" s="1302">
        <f>'Avg Bill by RS'!S86</f>
        <v>0</v>
      </c>
      <c r="M35" s="1303"/>
      <c r="N35" s="1303"/>
      <c r="O35" s="284">
        <v>19</v>
      </c>
      <c r="P35" s="86" t="s">
        <v>366</v>
      </c>
      <c r="Q35" s="1190">
        <f t="shared" si="0"/>
        <v>0</v>
      </c>
      <c r="R35" s="81">
        <f t="shared" si="1"/>
        <v>0</v>
      </c>
      <c r="S35" s="82">
        <f>SUM('Rev Req Proof Yr2'!AF86:AH86)</f>
        <v>0</v>
      </c>
      <c r="T35" s="81">
        <f t="shared" si="6"/>
        <v>0</v>
      </c>
      <c r="U35" s="81">
        <f t="shared" si="7"/>
        <v>0</v>
      </c>
      <c r="V35" s="83">
        <f t="shared" si="8"/>
        <v>0</v>
      </c>
      <c r="W35" s="84">
        <f t="shared" si="9"/>
        <v>0</v>
      </c>
      <c r="X35" s="589">
        <f>'Avg Bill by RS'!AL86</f>
        <v>0</v>
      </c>
    </row>
    <row r="36" spans="2:24" x14ac:dyDescent="0.2">
      <c r="B36" s="284">
        <v>20</v>
      </c>
      <c r="C36" s="783" t="s">
        <v>367</v>
      </c>
      <c r="D36" s="80">
        <f>'Rate Spread Proposal'!X$15</f>
        <v>825480.07319999998</v>
      </c>
      <c r="E36" s="81">
        <f>'Rate Spread Proposal'!X$14</f>
        <v>825480.07319999998</v>
      </c>
      <c r="F36" s="82">
        <f>SUM('Rev Req Proof Yr1'!AF93:AH93)</f>
        <v>112342.71842999995</v>
      </c>
      <c r="G36" s="82">
        <f>SUM('Rev Req Proof Yr1'!AM93:AO93)</f>
        <v>-7732.5836500000005</v>
      </c>
      <c r="H36" s="81">
        <f t="shared" si="2"/>
        <v>930090.20797999983</v>
      </c>
      <c r="I36" s="81">
        <f t="shared" si="3"/>
        <v>930090.20797999983</v>
      </c>
      <c r="J36" s="83">
        <f t="shared" si="4"/>
        <v>0.12672642039010754</v>
      </c>
      <c r="K36" s="84">
        <f t="shared" si="5"/>
        <v>0.12672642039010754</v>
      </c>
      <c r="L36" s="1302">
        <f>'Avg Bill by RS'!S93</f>
        <v>0.128</v>
      </c>
      <c r="M36" s="1303"/>
      <c r="N36" s="1303"/>
      <c r="O36" s="284">
        <v>20</v>
      </c>
      <c r="P36" s="86" t="s">
        <v>367</v>
      </c>
      <c r="Q36" s="1190">
        <f t="shared" si="0"/>
        <v>930090.20797999983</v>
      </c>
      <c r="R36" s="81">
        <f t="shared" si="1"/>
        <v>930090.20797999983</v>
      </c>
      <c r="S36" s="82">
        <f>SUM('Rev Req Proof Yr2'!AF93:AH93)</f>
        <v>52693.327570000052</v>
      </c>
      <c r="T36" s="81">
        <f t="shared" si="6"/>
        <v>982783.53554999991</v>
      </c>
      <c r="U36" s="81">
        <f t="shared" si="7"/>
        <v>982783.53554999991</v>
      </c>
      <c r="V36" s="83">
        <f t="shared" si="8"/>
        <v>5.6653996696128146E-2</v>
      </c>
      <c r="W36" s="84">
        <f t="shared" si="9"/>
        <v>5.6653996696128146E-2</v>
      </c>
      <c r="X36" s="589">
        <f>'Avg Bill by RS'!AL93</f>
        <v>5.8000000000000003E-2</v>
      </c>
    </row>
    <row r="37" spans="2:24" x14ac:dyDescent="0.2">
      <c r="B37" s="284">
        <v>21</v>
      </c>
      <c r="C37" s="783" t="s">
        <v>56</v>
      </c>
      <c r="D37" s="80">
        <f>'Rate Spread Proposal'!Y$15</f>
        <v>0</v>
      </c>
      <c r="E37" s="81">
        <f>'Rate Spread Proposal'!Y$14</f>
        <v>0</v>
      </c>
      <c r="F37" s="82">
        <f>SUM('Rev Req Proof Yr1'!AF94:AH94)</f>
        <v>0</v>
      </c>
      <c r="G37" s="82">
        <f>SUM('Rev Req Proof Yr1'!AM94:AO94)</f>
        <v>0</v>
      </c>
      <c r="H37" s="81">
        <f t="shared" si="2"/>
        <v>0</v>
      </c>
      <c r="I37" s="81">
        <f t="shared" si="3"/>
        <v>0</v>
      </c>
      <c r="J37" s="83">
        <f t="shared" si="4"/>
        <v>0</v>
      </c>
      <c r="K37" s="84">
        <f t="shared" si="5"/>
        <v>0</v>
      </c>
      <c r="L37" s="1302">
        <f>'Avg Bill by RS'!S94</f>
        <v>0</v>
      </c>
      <c r="M37" s="1303"/>
      <c r="N37" s="1303"/>
      <c r="O37" s="284">
        <v>21</v>
      </c>
      <c r="P37" s="86" t="s">
        <v>56</v>
      </c>
      <c r="Q37" s="1190">
        <f t="shared" si="0"/>
        <v>0</v>
      </c>
      <c r="R37" s="81">
        <f t="shared" si="1"/>
        <v>0</v>
      </c>
      <c r="S37" s="82">
        <f>SUM('Rev Req Proof Yr2'!AF94:AH94)</f>
        <v>0</v>
      </c>
      <c r="T37" s="81">
        <f t="shared" si="6"/>
        <v>0</v>
      </c>
      <c r="U37" s="81">
        <f t="shared" si="7"/>
        <v>0</v>
      </c>
      <c r="V37" s="83">
        <f t="shared" si="8"/>
        <v>0</v>
      </c>
      <c r="W37" s="84">
        <f t="shared" si="9"/>
        <v>0</v>
      </c>
      <c r="X37" s="589">
        <f>'Avg Bill by RS'!AL94</f>
        <v>0</v>
      </c>
    </row>
    <row r="38" spans="2:24" x14ac:dyDescent="0.2">
      <c r="B38" s="284">
        <v>22</v>
      </c>
      <c r="C38" s="783" t="s">
        <v>348</v>
      </c>
      <c r="D38" s="80">
        <f>'Rate Spread Proposal'!Z$15</f>
        <v>0</v>
      </c>
      <c r="E38" s="81">
        <f>'Rate Spread Proposal'!Z$14</f>
        <v>0</v>
      </c>
      <c r="F38" s="82">
        <f>SUM('Rev Req Proof Yr1'!AF95:AH95)</f>
        <v>0</v>
      </c>
      <c r="G38" s="82">
        <f>SUM('Rev Req Proof Yr1'!AM95:AO95)</f>
        <v>0</v>
      </c>
      <c r="H38" s="81">
        <f t="shared" si="2"/>
        <v>0</v>
      </c>
      <c r="I38" s="81">
        <f t="shared" si="3"/>
        <v>0</v>
      </c>
      <c r="J38" s="83">
        <f t="shared" si="4"/>
        <v>0</v>
      </c>
      <c r="K38" s="84">
        <f t="shared" si="5"/>
        <v>0</v>
      </c>
      <c r="L38" s="1302">
        <f>'Avg Bill by RS'!S95</f>
        <v>0</v>
      </c>
      <c r="M38" s="1303"/>
      <c r="N38" s="1303"/>
      <c r="O38" s="284">
        <v>22</v>
      </c>
      <c r="P38" s="86" t="s">
        <v>348</v>
      </c>
      <c r="Q38" s="1190">
        <f t="shared" si="0"/>
        <v>0</v>
      </c>
      <c r="R38" s="81">
        <f t="shared" si="1"/>
        <v>0</v>
      </c>
      <c r="S38" s="82">
        <f>SUM('Rev Req Proof Yr2'!AF95:AH95)</f>
        <v>0</v>
      </c>
      <c r="T38" s="81">
        <f t="shared" si="6"/>
        <v>0</v>
      </c>
      <c r="U38" s="81">
        <f t="shared" si="7"/>
        <v>0</v>
      </c>
      <c r="V38" s="83">
        <f t="shared" si="8"/>
        <v>0</v>
      </c>
      <c r="W38" s="84">
        <f t="shared" si="9"/>
        <v>0</v>
      </c>
      <c r="X38" s="589">
        <f>'Avg Bill by RS'!AL95</f>
        <v>0</v>
      </c>
    </row>
    <row r="39" spans="2:24" x14ac:dyDescent="0.2">
      <c r="B39" s="284">
        <v>23</v>
      </c>
      <c r="C39" s="783" t="s">
        <v>391</v>
      </c>
      <c r="D39" s="80">
        <f>'Rate Spread Proposal'!AA$15</f>
        <v>242994.60207180592</v>
      </c>
      <c r="E39" s="81">
        <f>'Rate Spread Proposal'!AA$14</f>
        <v>242994.60207180592</v>
      </c>
      <c r="F39" s="82">
        <f>SUM('Rev Req Proof Yr1'!AF96:AH96)</f>
        <v>0</v>
      </c>
      <c r="G39" s="82">
        <f>SUM('Rev Req Proof Yr1'!AM96:AO96)</f>
        <v>0</v>
      </c>
      <c r="H39" s="81">
        <f t="shared" si="2"/>
        <v>242994.60207180592</v>
      </c>
      <c r="I39" s="81">
        <f t="shared" si="3"/>
        <v>242994.60207180592</v>
      </c>
      <c r="J39" s="83">
        <f t="shared" si="4"/>
        <v>0</v>
      </c>
      <c r="K39" s="84">
        <f t="shared" si="5"/>
        <v>0</v>
      </c>
      <c r="L39" s="1302">
        <f>'Avg Bill by RS'!S96</f>
        <v>0</v>
      </c>
      <c r="M39" s="1303"/>
      <c r="N39" s="1303"/>
      <c r="O39" s="284">
        <v>23</v>
      </c>
      <c r="P39" s="86" t="s">
        <v>391</v>
      </c>
      <c r="Q39" s="1190">
        <f t="shared" si="0"/>
        <v>242994.60207180592</v>
      </c>
      <c r="R39" s="81">
        <f t="shared" si="1"/>
        <v>242994.60207180592</v>
      </c>
      <c r="S39" s="82">
        <f>SUM('Rev Req Proof Yr2'!AF96:AH96)</f>
        <v>0</v>
      </c>
      <c r="T39" s="81">
        <f t="shared" si="6"/>
        <v>242994.60207180592</v>
      </c>
      <c r="U39" s="81">
        <f t="shared" si="7"/>
        <v>242994.60207180592</v>
      </c>
      <c r="V39" s="83">
        <f>IFERROR((S39)/Q39,0)</f>
        <v>0</v>
      </c>
      <c r="W39" s="84">
        <f>IFERROR((S39)/R39,0)</f>
        <v>0</v>
      </c>
      <c r="X39" s="589">
        <f>'Avg Bill by RS'!AL96</f>
        <v>0</v>
      </c>
    </row>
    <row r="40" spans="2:24" ht="13.5" thickBot="1" x14ac:dyDescent="0.25">
      <c r="B40" s="273"/>
      <c r="C40" s="574"/>
      <c r="D40" s="55"/>
      <c r="E40" s="55"/>
      <c r="F40" s="859"/>
      <c r="G40" s="1188"/>
      <c r="H40" s="55"/>
      <c r="I40" s="55"/>
      <c r="J40" s="423"/>
      <c r="K40" s="86"/>
      <c r="L40" s="783"/>
      <c r="M40" s="86"/>
      <c r="N40" s="86"/>
      <c r="O40" s="273"/>
      <c r="P40" s="55"/>
      <c r="Q40" s="410"/>
      <c r="R40" s="55"/>
      <c r="S40" s="859"/>
      <c r="T40" s="55"/>
      <c r="U40" s="55"/>
      <c r="V40" s="423"/>
      <c r="W40" s="86"/>
      <c r="X40" s="783"/>
    </row>
    <row r="41" spans="2:24" s="60" customFormat="1" x14ac:dyDescent="0.2">
      <c r="B41" s="1033"/>
      <c r="C41" s="1452" t="s">
        <v>32</v>
      </c>
      <c r="D41" s="1026">
        <f t="shared" ref="D41:I41" si="10">SUM(D17:D39)</f>
        <v>49604902.662138224</v>
      </c>
      <c r="E41" s="1027">
        <f t="shared" si="10"/>
        <v>78333454.662138224</v>
      </c>
      <c r="F41" s="1028">
        <f>SUM(F17:F39)</f>
        <v>6717756.9231810682</v>
      </c>
      <c r="G41" s="1028">
        <f t="shared" si="10"/>
        <v>-462278.66210878297</v>
      </c>
      <c r="H41" s="1026">
        <f t="shared" si="10"/>
        <v>55860380.923210502</v>
      </c>
      <c r="I41" s="1027">
        <f t="shared" si="10"/>
        <v>84588932.923210517</v>
      </c>
      <c r="J41" s="1029">
        <f>(F41+G41)/(D41-D39)</f>
        <v>0.12672683263094811</v>
      </c>
      <c r="K41" s="1030">
        <f>(F41+G41)/(E41-E39)</f>
        <v>8.0105537299442628E-2</v>
      </c>
      <c r="L41" s="1031"/>
      <c r="M41" s="1304"/>
      <c r="N41" s="1304"/>
      <c r="O41" s="1033"/>
      <c r="P41" s="1272" t="s">
        <v>32</v>
      </c>
      <c r="Q41" s="1032">
        <f>SUM(Q17:Q39)</f>
        <v>55860380.923210502</v>
      </c>
      <c r="R41" s="1027">
        <f>SUM(R17:R39)</f>
        <v>84588932.923210517</v>
      </c>
      <c r="S41" s="1028">
        <f>SUM(S17:S39)</f>
        <v>3150188.2762063476</v>
      </c>
      <c r="T41" s="1026">
        <f>SUM(T17:T39)</f>
        <v>59010569.199416853</v>
      </c>
      <c r="U41" s="1027">
        <f>SUM(U17:U39)</f>
        <v>87739121.199416861</v>
      </c>
      <c r="V41" s="1029">
        <f>IFERROR((S41)/(Q41-Q39),0)</f>
        <v>5.6640350879074743E-2</v>
      </c>
      <c r="W41" s="1030">
        <f>IFERROR((S41)/(R41-R39),0)</f>
        <v>3.7348428850388991E-2</v>
      </c>
      <c r="X41" s="1031"/>
    </row>
    <row r="42" spans="2:24" ht="13.5" thickBot="1" x14ac:dyDescent="0.25">
      <c r="B42" s="1405"/>
      <c r="C42" s="1455"/>
      <c r="D42" s="276"/>
      <c r="E42" s="276"/>
      <c r="F42" s="1309" t="s">
        <v>488</v>
      </c>
      <c r="G42" s="1309" t="s">
        <v>488</v>
      </c>
      <c r="H42" s="276"/>
      <c r="I42" s="276"/>
      <c r="J42" s="275"/>
      <c r="K42" s="276"/>
      <c r="L42" s="1313" t="s">
        <v>500</v>
      </c>
      <c r="M42" s="1403"/>
      <c r="N42" s="55"/>
      <c r="O42" s="1405"/>
      <c r="P42" s="276"/>
      <c r="Q42" s="275"/>
      <c r="R42" s="276"/>
      <c r="S42" s="1309" t="s">
        <v>198</v>
      </c>
      <c r="T42" s="276"/>
      <c r="U42" s="276"/>
      <c r="V42" s="275"/>
      <c r="W42" s="276"/>
      <c r="X42" s="1313" t="s">
        <v>488</v>
      </c>
    </row>
    <row r="43" spans="2:24" ht="6.95" customHeight="1" x14ac:dyDescent="0.2">
      <c r="D43" s="474"/>
      <c r="E43" s="474"/>
      <c r="F43" s="474"/>
      <c r="G43" s="474"/>
      <c r="H43" s="474"/>
    </row>
    <row r="44" spans="2:24" ht="12" customHeight="1" x14ac:dyDescent="0.2">
      <c r="B44" s="902" t="s">
        <v>579</v>
      </c>
      <c r="C44" s="898"/>
      <c r="D44" s="1307"/>
      <c r="E44" s="895"/>
      <c r="O44" s="902" t="s">
        <v>579</v>
      </c>
      <c r="P44" s="898"/>
    </row>
    <row r="45" spans="2:24" ht="12" customHeight="1" x14ac:dyDescent="0.2">
      <c r="B45" s="902" t="s">
        <v>578</v>
      </c>
      <c r="C45" s="903"/>
      <c r="D45" s="1307"/>
      <c r="E45" s="895"/>
      <c r="F45" s="434"/>
      <c r="G45" s="434"/>
      <c r="O45" s="902" t="s">
        <v>571</v>
      </c>
      <c r="P45" s="898"/>
    </row>
    <row r="46" spans="2:24" ht="12" customHeight="1" x14ac:dyDescent="0.2">
      <c r="B46" s="902" t="s">
        <v>567</v>
      </c>
      <c r="C46" s="898"/>
      <c r="D46" s="1307"/>
      <c r="E46" s="895"/>
      <c r="O46" s="902" t="s">
        <v>569</v>
      </c>
      <c r="P46" s="903"/>
    </row>
    <row r="47" spans="2:24" ht="12" customHeight="1" x14ac:dyDescent="0.2">
      <c r="B47" s="902" t="s">
        <v>569</v>
      </c>
      <c r="C47" s="903"/>
      <c r="D47" s="1307"/>
      <c r="E47" s="895"/>
      <c r="O47" s="902" t="s">
        <v>572</v>
      </c>
      <c r="P47" s="903"/>
    </row>
    <row r="48" spans="2:24" x14ac:dyDescent="0.2">
      <c r="B48" s="902" t="s">
        <v>568</v>
      </c>
      <c r="C48" s="903"/>
      <c r="D48" s="1306"/>
      <c r="O48" s="902" t="s">
        <v>573</v>
      </c>
    </row>
    <row r="49" spans="2:16" ht="12.95" customHeight="1" x14ac:dyDescent="0.2">
      <c r="B49" s="902" t="s">
        <v>570</v>
      </c>
      <c r="D49" s="898"/>
    </row>
    <row r="50" spans="2:16" ht="12" customHeight="1" x14ac:dyDescent="0.2">
      <c r="D50" s="898"/>
      <c r="F50" s="899"/>
      <c r="G50" s="899"/>
    </row>
    <row r="51" spans="2:16" ht="12" customHeight="1" x14ac:dyDescent="0.2">
      <c r="B51" s="902"/>
      <c r="C51" s="903"/>
      <c r="F51" s="899"/>
      <c r="G51" s="899"/>
      <c r="O51" s="902"/>
      <c r="P51" s="903"/>
    </row>
    <row r="52" spans="2:16" x14ac:dyDescent="0.2">
      <c r="F52" s="899"/>
      <c r="G52" s="899"/>
    </row>
    <row r="53" spans="2:16" x14ac:dyDescent="0.2">
      <c r="F53" s="900"/>
      <c r="G53" s="900"/>
    </row>
    <row r="54" spans="2:16" x14ac:dyDescent="0.2">
      <c r="F54" s="901"/>
      <c r="G54" s="901"/>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&amp;RExh. RJW-3 Wyman WP1</oddHeader>
    <oddFooter xml:space="preserve">&amp;C&amp;F &amp;D &amp;T
&amp;A </oddFooter>
  </headerFooter>
  <ignoredErrors>
    <ignoredError sqref="F14:L42 S14:X4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AM73"/>
  <sheetViews>
    <sheetView zoomScale="80" zoomScaleNormal="80" workbookViewId="0">
      <pane xSplit="3" ySplit="15" topLeftCell="Q16" activePane="bottomRight" state="frozen"/>
      <selection activeCell="K47" sqref="K47"/>
      <selection pane="topRight" activeCell="K47" sqref="K47"/>
      <selection pane="bottomLeft" activeCell="K47" sqref="K47"/>
      <selection pane="bottomRight" activeCell="T6" sqref="T6"/>
    </sheetView>
  </sheetViews>
  <sheetFormatPr defaultColWidth="9.33203125" defaultRowHeight="12.75" x14ac:dyDescent="0.2"/>
  <cols>
    <col min="1" max="1" width="3.1640625" style="56" customWidth="1"/>
    <col min="2" max="2" width="7.6640625" style="52" customWidth="1"/>
    <col min="3" max="3" width="11.33203125" style="52" bestFit="1" customWidth="1"/>
    <col min="4" max="4" width="17.5" style="52" customWidth="1"/>
    <col min="5" max="6" width="16.33203125" style="52" customWidth="1"/>
    <col min="7" max="7" width="12.1640625" style="52" customWidth="1"/>
    <col min="8" max="8" width="16.33203125" style="52" customWidth="1"/>
    <col min="9" max="9" width="12.1640625" style="52" customWidth="1"/>
    <col min="10" max="10" width="14.83203125" style="52" customWidth="1"/>
    <col min="11" max="11" width="12.1640625" style="52" customWidth="1"/>
    <col min="12" max="12" width="15.33203125" style="52" customWidth="1"/>
    <col min="13" max="13" width="12.1640625" style="52" customWidth="1"/>
    <col min="14" max="14" width="17.33203125" style="52" customWidth="1"/>
    <col min="15" max="15" width="12.1640625" style="52" customWidth="1"/>
    <col min="16" max="16" width="15.83203125" style="52" customWidth="1"/>
    <col min="17" max="17" width="12.1640625" style="52" customWidth="1"/>
    <col min="18" max="18" width="17.5" style="52" customWidth="1"/>
    <col min="19" max="19" width="20.5" style="52" customWidth="1"/>
    <col min="20" max="20" width="17.5" style="52" bestFit="1" customWidth="1"/>
    <col min="21" max="21" width="12.6640625" style="52" customWidth="1"/>
    <col min="22" max="22" width="11.1640625" style="52" customWidth="1"/>
    <col min="23" max="24" width="3.1640625" style="52" customWidth="1"/>
    <col min="25" max="25" width="7.6640625" style="52" customWidth="1"/>
    <col min="26" max="26" width="11.33203125" style="52" bestFit="1" customWidth="1"/>
    <col min="27" max="27" width="17.1640625" style="52" customWidth="1"/>
    <col min="28" max="28" width="16.33203125" style="52" customWidth="1"/>
    <col min="29" max="29" width="17.33203125" style="52" customWidth="1"/>
    <col min="30" max="30" width="18.5" style="52" customWidth="1"/>
    <col min="31" max="31" width="14.1640625" style="52" customWidth="1"/>
    <col min="32" max="32" width="16.33203125" style="52" bestFit="1" customWidth="1"/>
    <col min="33" max="33" width="14.6640625" style="52" customWidth="1"/>
    <col min="34" max="34" width="13.1640625" style="52" customWidth="1"/>
    <col min="35" max="36" width="17.1640625" style="52" customWidth="1"/>
    <col min="37" max="37" width="12.6640625" style="52" customWidth="1"/>
    <col min="38" max="39" width="11" style="52" customWidth="1"/>
    <col min="40" max="40" width="3.1640625" style="52" customWidth="1"/>
    <col min="41" max="41" width="4.6640625" style="52" customWidth="1"/>
    <col min="42" max="16384" width="9.33203125" style="52"/>
  </cols>
  <sheetData>
    <row r="1" spans="2:39" x14ac:dyDescent="0.2">
      <c r="B1" s="895" t="s">
        <v>0</v>
      </c>
      <c r="C1" s="63"/>
      <c r="D1" s="63"/>
      <c r="E1" s="63"/>
      <c r="F1" s="63"/>
      <c r="G1" s="63"/>
      <c r="H1" s="63"/>
      <c r="I1" s="63"/>
      <c r="J1" s="63"/>
      <c r="K1" s="63"/>
      <c r="L1" s="63"/>
      <c r="M1" s="63"/>
      <c r="N1" s="63"/>
      <c r="O1" s="63"/>
      <c r="P1" s="63"/>
      <c r="Q1" s="63"/>
      <c r="R1" s="1314"/>
      <c r="S1" s="1664"/>
      <c r="T1" s="1664"/>
      <c r="U1" s="1664"/>
      <c r="Y1" s="895" t="s">
        <v>0</v>
      </c>
      <c r="Z1" s="63"/>
      <c r="AI1" s="1314"/>
      <c r="AJ1" s="1664"/>
      <c r="AK1" s="1664"/>
      <c r="AL1" s="1664"/>
      <c r="AM1" s="54"/>
    </row>
    <row r="2" spans="2:39" x14ac:dyDescent="0.2">
      <c r="B2" s="895" t="s">
        <v>276</v>
      </c>
      <c r="C2" s="63"/>
      <c r="D2" s="63"/>
      <c r="E2" s="63"/>
      <c r="F2" s="63"/>
      <c r="G2" s="63"/>
      <c r="H2" s="63"/>
      <c r="I2" s="63"/>
      <c r="J2" s="63"/>
      <c r="K2" s="63"/>
      <c r="L2" s="63"/>
      <c r="M2" s="63"/>
      <c r="N2" s="63"/>
      <c r="O2" s="63"/>
      <c r="P2" s="63"/>
      <c r="Q2" s="63"/>
      <c r="R2" s="338"/>
      <c r="S2" s="1665"/>
      <c r="T2" s="1665"/>
      <c r="U2" s="1665"/>
      <c r="V2" s="56"/>
      <c r="W2" s="56"/>
      <c r="X2" s="56"/>
      <c r="Y2" s="895" t="s">
        <v>276</v>
      </c>
      <c r="Z2" s="63"/>
      <c r="AA2" s="895"/>
      <c r="AI2" s="338"/>
      <c r="AJ2" s="1665"/>
      <c r="AK2" s="1665"/>
      <c r="AL2" s="1665"/>
      <c r="AM2" s="54"/>
    </row>
    <row r="3" spans="2:39" x14ac:dyDescent="0.2">
      <c r="B3" s="895" t="s">
        <v>277</v>
      </c>
      <c r="C3" s="63"/>
      <c r="D3" s="63"/>
      <c r="E3" s="63"/>
      <c r="F3" s="63"/>
      <c r="G3" s="63"/>
      <c r="H3" s="63"/>
      <c r="I3" s="63"/>
      <c r="J3" s="63"/>
      <c r="K3" s="63"/>
      <c r="L3" s="63"/>
      <c r="M3" s="63"/>
      <c r="N3" s="63"/>
      <c r="O3" s="63"/>
      <c r="P3" s="63"/>
      <c r="Q3" s="63"/>
      <c r="R3" s="55"/>
      <c r="S3" s="1665"/>
      <c r="T3" s="1665"/>
      <c r="U3" s="1665"/>
      <c r="V3" s="56"/>
      <c r="W3" s="56"/>
      <c r="X3" s="56"/>
      <c r="Y3" s="895" t="s">
        <v>277</v>
      </c>
      <c r="Z3" s="63"/>
      <c r="AA3" s="895"/>
      <c r="AI3" s="55"/>
      <c r="AJ3" s="1665"/>
      <c r="AK3" s="1665"/>
      <c r="AL3" s="1665"/>
      <c r="AM3" s="54"/>
    </row>
    <row r="4" spans="2:39" x14ac:dyDescent="0.2">
      <c r="B4" s="895" t="s">
        <v>562</v>
      </c>
      <c r="C4" s="63"/>
      <c r="D4" s="63"/>
      <c r="E4" s="63"/>
      <c r="F4" s="63"/>
      <c r="G4" s="63"/>
      <c r="H4" s="63"/>
      <c r="I4" s="63"/>
      <c r="J4" s="63"/>
      <c r="K4" s="63"/>
      <c r="L4" s="63"/>
      <c r="M4" s="63"/>
      <c r="N4" s="63"/>
      <c r="O4" s="63"/>
      <c r="P4" s="63"/>
      <c r="Q4" s="63"/>
      <c r="R4" s="55"/>
      <c r="S4" s="1315"/>
      <c r="T4" s="1273"/>
      <c r="U4" s="1315"/>
      <c r="V4" s="56"/>
      <c r="W4" s="56"/>
      <c r="X4" s="56"/>
      <c r="Y4" s="895" t="s">
        <v>562</v>
      </c>
      <c r="Z4" s="63"/>
      <c r="AA4" s="895"/>
      <c r="AI4" s="55"/>
      <c r="AJ4" s="1340"/>
      <c r="AK4" s="1273"/>
      <c r="AL4" s="1340"/>
      <c r="AM4" s="54"/>
    </row>
    <row r="5" spans="2:39" x14ac:dyDescent="0.2">
      <c r="B5" s="895" t="s">
        <v>574</v>
      </c>
      <c r="C5" s="63"/>
      <c r="D5" s="63"/>
      <c r="E5" s="63"/>
      <c r="F5" s="63"/>
      <c r="G5" s="63"/>
      <c r="H5" s="63"/>
      <c r="I5" s="63"/>
      <c r="J5" s="63"/>
      <c r="K5" s="63"/>
      <c r="L5" s="63"/>
      <c r="M5" s="63"/>
      <c r="N5" s="63"/>
      <c r="O5" s="63"/>
      <c r="P5" s="63"/>
      <c r="Q5" s="63"/>
      <c r="R5" s="55"/>
      <c r="S5" s="1315"/>
      <c r="T5" s="1273"/>
      <c r="U5" s="1315"/>
      <c r="V5" s="56"/>
      <c r="W5" s="56"/>
      <c r="X5" s="56"/>
      <c r="Y5" s="895" t="s">
        <v>574</v>
      </c>
      <c r="Z5" s="63"/>
      <c r="AA5" s="895"/>
      <c r="AI5" s="55"/>
      <c r="AJ5" s="1340"/>
      <c r="AK5" s="1273"/>
      <c r="AL5" s="1340"/>
      <c r="AM5" s="54"/>
    </row>
    <row r="6" spans="2:39" x14ac:dyDescent="0.2">
      <c r="C6" s="63"/>
      <c r="D6" s="63"/>
      <c r="E6" s="63"/>
      <c r="F6" s="63"/>
      <c r="G6" s="63"/>
      <c r="H6" s="63"/>
      <c r="I6" s="63"/>
      <c r="J6" s="63"/>
      <c r="K6" s="63"/>
      <c r="L6" s="63"/>
      <c r="M6" s="63"/>
      <c r="N6" s="63"/>
      <c r="O6" s="63"/>
      <c r="P6" s="63"/>
      <c r="Q6" s="63"/>
      <c r="R6" s="55"/>
      <c r="S6" s="1315"/>
      <c r="T6" s="1273"/>
      <c r="U6" s="1315"/>
      <c r="V6" s="56"/>
      <c r="W6" s="56"/>
      <c r="X6" s="56"/>
      <c r="Z6" s="63"/>
      <c r="AA6" s="895"/>
      <c r="AI6" s="55"/>
      <c r="AJ6" s="1340"/>
      <c r="AK6" s="1273"/>
      <c r="AL6" s="1340"/>
      <c r="AM6" s="54"/>
    </row>
    <row r="7" spans="2:39" x14ac:dyDescent="0.2">
      <c r="B7" s="168" t="s">
        <v>563</v>
      </c>
      <c r="C7" s="63"/>
      <c r="D7" s="63"/>
      <c r="E7" s="63"/>
      <c r="F7" s="63"/>
      <c r="G7" s="63"/>
      <c r="H7" s="63"/>
      <c r="I7" s="63"/>
      <c r="J7" s="63"/>
      <c r="K7" s="63"/>
      <c r="L7" s="63"/>
      <c r="M7" s="63"/>
      <c r="N7" s="63"/>
      <c r="O7" s="63"/>
      <c r="P7" s="63"/>
      <c r="Q7" s="63"/>
      <c r="R7" s="55"/>
      <c r="S7" s="1315"/>
      <c r="T7" s="1273"/>
      <c r="U7" s="1315"/>
      <c r="V7" s="56"/>
      <c r="W7" s="56"/>
      <c r="X7" s="56"/>
      <c r="Y7" s="168" t="s">
        <v>564</v>
      </c>
      <c r="Z7" s="63"/>
      <c r="AI7" s="55"/>
      <c r="AJ7" s="1341"/>
      <c r="AK7" s="1273"/>
      <c r="AL7" s="1340"/>
      <c r="AM7" s="54"/>
    </row>
    <row r="8" spans="2:39" x14ac:dyDescent="0.2">
      <c r="B8" s="601" t="s">
        <v>619</v>
      </c>
      <c r="C8" s="63"/>
      <c r="D8" s="63"/>
      <c r="E8" s="63"/>
      <c r="F8" s="63"/>
      <c r="G8" s="63"/>
      <c r="H8" s="63"/>
      <c r="I8" s="63"/>
      <c r="J8" s="63"/>
      <c r="K8" s="63"/>
      <c r="L8" s="63"/>
      <c r="M8" s="63"/>
      <c r="N8" s="63"/>
      <c r="O8" s="63"/>
      <c r="P8" s="63"/>
      <c r="Q8" s="63"/>
      <c r="R8" s="55"/>
      <c r="S8" s="1315"/>
      <c r="T8" s="1273"/>
      <c r="U8" s="1315"/>
      <c r="V8" s="56"/>
      <c r="W8" s="56"/>
      <c r="X8" s="56"/>
      <c r="Y8" s="601" t="s">
        <v>620</v>
      </c>
      <c r="Z8" s="63"/>
      <c r="AI8" s="55"/>
      <c r="AJ8" s="1341"/>
      <c r="AK8" s="1273"/>
      <c r="AL8" s="1340"/>
      <c r="AM8" s="54"/>
    </row>
    <row r="9" spans="2:39" x14ac:dyDescent="0.2">
      <c r="B9" s="601" t="s">
        <v>561</v>
      </c>
      <c r="C9" s="63"/>
      <c r="D9" s="63"/>
      <c r="E9" s="63"/>
      <c r="F9" s="63"/>
      <c r="G9" s="63"/>
      <c r="H9" s="63"/>
      <c r="I9" s="63"/>
      <c r="J9" s="63"/>
      <c r="K9" s="63"/>
      <c r="L9" s="63"/>
      <c r="M9" s="63"/>
      <c r="N9" s="63"/>
      <c r="O9" s="63"/>
      <c r="P9" s="63"/>
      <c r="Q9" s="63"/>
      <c r="R9" s="63"/>
      <c r="S9" s="63"/>
      <c r="T9" s="65"/>
      <c r="Y9" s="64"/>
      <c r="Z9" s="63"/>
    </row>
    <row r="10" spans="2:39" ht="13.5" thickBot="1" x14ac:dyDescent="0.25">
      <c r="B10" s="601"/>
      <c r="C10" s="63"/>
      <c r="D10" s="63"/>
      <c r="E10" s="63"/>
      <c r="F10" s="63"/>
      <c r="G10" s="63"/>
      <c r="H10" s="63"/>
      <c r="I10" s="63"/>
      <c r="J10" s="63"/>
      <c r="K10" s="63"/>
      <c r="L10" s="63"/>
      <c r="M10" s="63"/>
      <c r="N10" s="63"/>
      <c r="O10" s="63"/>
      <c r="P10" s="63"/>
      <c r="Q10" s="63"/>
      <c r="R10" s="63"/>
      <c r="S10" s="63"/>
      <c r="T10" s="65"/>
      <c r="Y10" s="64"/>
      <c r="Z10" s="63"/>
    </row>
    <row r="11" spans="2:39" ht="13.5" thickBot="1" x14ac:dyDescent="0.25">
      <c r="B11" s="64"/>
      <c r="C11" s="63"/>
      <c r="D11" s="1644" t="s">
        <v>565</v>
      </c>
      <c r="E11" s="1645"/>
      <c r="F11" s="1645"/>
      <c r="G11" s="1645"/>
      <c r="H11" s="1645"/>
      <c r="I11" s="1645"/>
      <c r="J11" s="1645"/>
      <c r="K11" s="1645"/>
      <c r="L11" s="1645"/>
      <c r="M11" s="1645"/>
      <c r="N11" s="1646"/>
      <c r="O11" s="1646"/>
      <c r="P11" s="1646"/>
      <c r="Q11" s="1646"/>
      <c r="R11" s="1645"/>
      <c r="S11" s="1645"/>
      <c r="T11" s="1645"/>
      <c r="U11" s="1645"/>
      <c r="V11" s="1647"/>
      <c r="W11" s="1346"/>
      <c r="X11" s="1347"/>
      <c r="Y11" s="64"/>
      <c r="Z11" s="63"/>
      <c r="AA11" s="1676" t="s">
        <v>566</v>
      </c>
      <c r="AB11" s="1677"/>
      <c r="AC11" s="1677"/>
      <c r="AD11" s="1677"/>
      <c r="AE11" s="1677"/>
      <c r="AF11" s="1677"/>
      <c r="AG11" s="1677"/>
      <c r="AH11" s="1677"/>
      <c r="AI11" s="1677"/>
      <c r="AJ11" s="1677"/>
      <c r="AK11" s="1677"/>
      <c r="AL11" s="1677"/>
      <c r="AM11" s="1678"/>
    </row>
    <row r="12" spans="2:39" ht="13.5" customHeight="1" thickBot="1" x14ac:dyDescent="0.25">
      <c r="D12" s="1079"/>
      <c r="E12" s="1080"/>
      <c r="F12" s="1655" t="s">
        <v>178</v>
      </c>
      <c r="G12" s="1656"/>
      <c r="H12" s="1679" t="s">
        <v>405</v>
      </c>
      <c r="I12" s="1683"/>
      <c r="J12" s="1679" t="s">
        <v>401</v>
      </c>
      <c r="K12" s="1683"/>
      <c r="L12" s="1679" t="s">
        <v>577</v>
      </c>
      <c r="M12" s="1683"/>
      <c r="N12" s="1684" t="s">
        <v>575</v>
      </c>
      <c r="O12" s="1685"/>
      <c r="P12" s="1685"/>
      <c r="Q12" s="1686"/>
      <c r="R12" s="1081"/>
      <c r="S12" s="1081"/>
      <c r="T12" s="1659" t="s">
        <v>199</v>
      </c>
      <c r="U12" s="1655"/>
      <c r="V12" s="1656"/>
      <c r="W12" s="1342"/>
      <c r="X12" s="1342"/>
      <c r="AA12" s="53"/>
      <c r="AB12" s="54"/>
      <c r="AC12" s="1660" t="s">
        <v>178</v>
      </c>
      <c r="AD12" s="1661"/>
      <c r="AE12" s="1679" t="s">
        <v>482</v>
      </c>
      <c r="AF12" s="1680"/>
      <c r="AG12" s="1681" t="s">
        <v>576</v>
      </c>
      <c r="AH12" s="1682"/>
      <c r="AI12" s="54"/>
      <c r="AJ12" s="54"/>
      <c r="AK12" s="1659" t="s">
        <v>199</v>
      </c>
      <c r="AL12" s="1655"/>
      <c r="AM12" s="1656"/>
    </row>
    <row r="13" spans="2:39" ht="51" x14ac:dyDescent="0.2">
      <c r="B13" s="1316" t="s">
        <v>173</v>
      </c>
      <c r="C13" s="1312" t="s">
        <v>158</v>
      </c>
      <c r="D13" s="69" t="s">
        <v>207</v>
      </c>
      <c r="E13" s="69" t="s">
        <v>208</v>
      </c>
      <c r="F13" s="68" t="s">
        <v>201</v>
      </c>
      <c r="G13" s="70" t="s">
        <v>200</v>
      </c>
      <c r="H13" s="68" t="s">
        <v>428</v>
      </c>
      <c r="I13" s="69" t="s">
        <v>429</v>
      </c>
      <c r="J13" s="68" t="s">
        <v>506</v>
      </c>
      <c r="K13" s="70" t="s">
        <v>507</v>
      </c>
      <c r="L13" s="68" t="s">
        <v>506</v>
      </c>
      <c r="M13" s="69" t="s">
        <v>507</v>
      </c>
      <c r="N13" s="1406" t="s">
        <v>431</v>
      </c>
      <c r="O13" s="1407" t="s">
        <v>431</v>
      </c>
      <c r="P13" s="1407" t="s">
        <v>514</v>
      </c>
      <c r="Q13" s="1408" t="s">
        <v>514</v>
      </c>
      <c r="R13" s="69" t="s">
        <v>202</v>
      </c>
      <c r="S13" s="69" t="s">
        <v>203</v>
      </c>
      <c r="T13" s="68" t="s">
        <v>204</v>
      </c>
      <c r="U13" s="69" t="s">
        <v>205</v>
      </c>
      <c r="V13" s="70" t="s">
        <v>206</v>
      </c>
      <c r="W13" s="69"/>
      <c r="X13" s="69"/>
      <c r="Y13" s="1316" t="s">
        <v>173</v>
      </c>
      <c r="Z13" s="1317" t="s">
        <v>158</v>
      </c>
      <c r="AA13" s="1092" t="s">
        <v>207</v>
      </c>
      <c r="AB13" s="66" t="s">
        <v>208</v>
      </c>
      <c r="AC13" s="68" t="s">
        <v>201</v>
      </c>
      <c r="AD13" s="70" t="s">
        <v>200</v>
      </c>
      <c r="AE13" s="68" t="s">
        <v>508</v>
      </c>
      <c r="AF13" s="70" t="s">
        <v>507</v>
      </c>
      <c r="AG13" s="1432" t="s">
        <v>514</v>
      </c>
      <c r="AH13" s="1433" t="s">
        <v>538</v>
      </c>
      <c r="AI13" s="66" t="s">
        <v>202</v>
      </c>
      <c r="AJ13" s="66" t="s">
        <v>203</v>
      </c>
      <c r="AK13" s="68" t="s">
        <v>204</v>
      </c>
      <c r="AL13" s="69" t="s">
        <v>205</v>
      </c>
      <c r="AM13" s="70" t="s">
        <v>206</v>
      </c>
    </row>
    <row r="14" spans="2:39" x14ac:dyDescent="0.2">
      <c r="B14" s="1318"/>
      <c r="C14" s="74"/>
      <c r="D14" s="72"/>
      <c r="E14" s="72"/>
      <c r="F14" s="1349" t="s">
        <v>197</v>
      </c>
      <c r="G14" s="74"/>
      <c r="H14" s="1349" t="s">
        <v>198</v>
      </c>
      <c r="I14" s="72"/>
      <c r="J14" s="1349" t="s">
        <v>488</v>
      </c>
      <c r="K14" s="93"/>
      <c r="L14" s="1349" t="s">
        <v>500</v>
      </c>
      <c r="M14" s="1203"/>
      <c r="N14" s="1409" t="s">
        <v>515</v>
      </c>
      <c r="O14" s="1410"/>
      <c r="P14" s="1410" t="s">
        <v>516</v>
      </c>
      <c r="Q14" s="1411"/>
      <c r="R14" s="594" t="s">
        <v>517</v>
      </c>
      <c r="S14" s="594" t="s">
        <v>518</v>
      </c>
      <c r="T14" s="595"/>
      <c r="U14" s="594"/>
      <c r="V14" s="74"/>
      <c r="W14" s="69"/>
      <c r="X14" s="69"/>
      <c r="Y14" s="1318"/>
      <c r="Z14" s="1319"/>
      <c r="AA14" s="73"/>
      <c r="AB14" s="72"/>
      <c r="AC14" s="1349" t="s">
        <v>197</v>
      </c>
      <c r="AD14" s="74"/>
      <c r="AE14" s="1349" t="s">
        <v>198</v>
      </c>
      <c r="AF14" s="74"/>
      <c r="AG14" s="1434" t="s">
        <v>501</v>
      </c>
      <c r="AH14" s="1435"/>
      <c r="AI14" s="594" t="s">
        <v>502</v>
      </c>
      <c r="AJ14" s="594" t="s">
        <v>503</v>
      </c>
      <c r="AK14" s="595"/>
      <c r="AL14" s="594"/>
      <c r="AM14" s="74"/>
    </row>
    <row r="15" spans="2:39" ht="13.5" thickBot="1" x14ac:dyDescent="0.25">
      <c r="B15" s="1320"/>
      <c r="C15" s="1450"/>
      <c r="D15" s="109" t="s">
        <v>35</v>
      </c>
      <c r="E15" s="109" t="s">
        <v>36</v>
      </c>
      <c r="F15" s="125" t="s">
        <v>13</v>
      </c>
      <c r="G15" s="126" t="s">
        <v>37</v>
      </c>
      <c r="H15" s="125" t="s">
        <v>38</v>
      </c>
      <c r="I15" s="109" t="s">
        <v>39</v>
      </c>
      <c r="J15" s="127" t="s">
        <v>40</v>
      </c>
      <c r="K15" s="128" t="s">
        <v>41</v>
      </c>
      <c r="L15" s="127" t="s">
        <v>42</v>
      </c>
      <c r="M15" s="1204" t="s">
        <v>129</v>
      </c>
      <c r="N15" s="1412" t="s">
        <v>130</v>
      </c>
      <c r="O15" s="1413" t="s">
        <v>43</v>
      </c>
      <c r="P15" s="1413" t="s">
        <v>131</v>
      </c>
      <c r="Q15" s="1414" t="s">
        <v>132</v>
      </c>
      <c r="R15" s="109" t="s">
        <v>135</v>
      </c>
      <c r="S15" s="109" t="s">
        <v>89</v>
      </c>
      <c r="T15" s="125" t="s">
        <v>92</v>
      </c>
      <c r="U15" s="109" t="s">
        <v>93</v>
      </c>
      <c r="V15" s="126" t="s">
        <v>94</v>
      </c>
      <c r="W15" s="619"/>
      <c r="X15" s="619"/>
      <c r="Y15" s="1320"/>
      <c r="Z15" s="1321"/>
      <c r="AA15" s="125" t="s">
        <v>35</v>
      </c>
      <c r="AB15" s="109" t="s">
        <v>36</v>
      </c>
      <c r="AC15" s="125" t="s">
        <v>13</v>
      </c>
      <c r="AD15" s="126" t="s">
        <v>37</v>
      </c>
      <c r="AE15" s="125" t="s">
        <v>38</v>
      </c>
      <c r="AF15" s="126" t="s">
        <v>39</v>
      </c>
      <c r="AG15" s="1436" t="s">
        <v>42</v>
      </c>
      <c r="AH15" s="1437" t="s">
        <v>129</v>
      </c>
      <c r="AI15" s="109" t="s">
        <v>131</v>
      </c>
      <c r="AJ15" s="109" t="s">
        <v>132</v>
      </c>
      <c r="AK15" s="125" t="s">
        <v>133</v>
      </c>
      <c r="AL15" s="109" t="s">
        <v>134</v>
      </c>
      <c r="AM15" s="126" t="s">
        <v>135</v>
      </c>
    </row>
    <row r="16" spans="2:39" ht="18" customHeight="1" thickTop="1" x14ac:dyDescent="0.2">
      <c r="B16" s="284"/>
      <c r="C16" s="70"/>
      <c r="D16" s="78"/>
      <c r="E16" s="78"/>
      <c r="F16" s="94"/>
      <c r="G16" s="70"/>
      <c r="H16" s="53"/>
      <c r="I16" s="69"/>
      <c r="J16" s="53"/>
      <c r="K16" s="87"/>
      <c r="L16" s="53"/>
      <c r="M16" s="54"/>
      <c r="N16" s="1415"/>
      <c r="O16" s="1416"/>
      <c r="P16" s="1416"/>
      <c r="Q16" s="1417"/>
      <c r="R16" s="78"/>
      <c r="S16" s="78"/>
      <c r="T16" s="68"/>
      <c r="U16" s="69"/>
      <c r="V16" s="70"/>
      <c r="W16" s="69"/>
      <c r="X16" s="69"/>
      <c r="Y16" s="284"/>
      <c r="Z16" s="1322"/>
      <c r="AA16" s="94"/>
      <c r="AB16" s="78"/>
      <c r="AC16" s="94"/>
      <c r="AD16" s="70"/>
      <c r="AE16" s="53"/>
      <c r="AF16" s="70"/>
      <c r="AG16" s="1438"/>
      <c r="AH16" s="1439"/>
      <c r="AI16" s="78"/>
      <c r="AJ16" s="78"/>
      <c r="AK16" s="68"/>
      <c r="AL16" s="69"/>
      <c r="AM16" s="70"/>
    </row>
    <row r="17" spans="2:39" x14ac:dyDescent="0.2">
      <c r="B17" s="284">
        <v>1</v>
      </c>
      <c r="C17" s="1451" t="s">
        <v>281</v>
      </c>
      <c r="D17" s="80">
        <f>'Rate Impacts - Rev Req ONLY'!D17</f>
        <v>208635.1321174161</v>
      </c>
      <c r="E17" s="81">
        <f>'Rate Impacts - Rev Req ONLY'!E17</f>
        <v>283691.13211741613</v>
      </c>
      <c r="F17" s="95">
        <f>SUM('Rev Req Proof Yr1'!AF14:AH14)</f>
        <v>28394.63053745855</v>
      </c>
      <c r="G17" s="85">
        <f>IFERROR((F17/D17),0)</f>
        <v>0.13609707171215327</v>
      </c>
      <c r="H17" s="95">
        <f>SUM('Rev Req Proof Yr1'!AM14:AO14)</f>
        <v>-1953.8082260179419</v>
      </c>
      <c r="I17" s="84">
        <f>IFERROR((H17/D17),0)</f>
        <v>-9.3647134410630994E-3</v>
      </c>
      <c r="J17" s="96">
        <f>SUM('Temps Proof'!T14:V14)</f>
        <v>-6696.6240186263303</v>
      </c>
      <c r="K17" s="85">
        <f>IFERROR((J17/E17),0)</f>
        <v>-2.3605334324848348E-2</v>
      </c>
      <c r="L17" s="96">
        <f>SUM('Temps Proof'!X14:Z14)</f>
        <v>-3701.5004194010235</v>
      </c>
      <c r="M17" s="84">
        <f>IFERROR((L17/E17),0)</f>
        <v>-1.3047642313574397E-2</v>
      </c>
      <c r="N17" s="1418">
        <f>SUM(F17,H17)</f>
        <v>26440.822311440606</v>
      </c>
      <c r="O17" s="1419">
        <f>IFERROR((N17/D17),0)</f>
        <v>0.12673235827109017</v>
      </c>
      <c r="P17" s="1420">
        <f>SUM(F17,H17,J17,L17)</f>
        <v>16042.697873413252</v>
      </c>
      <c r="Q17" s="1421">
        <f>IFERROR((P17/E17),0)</f>
        <v>5.6549874342823603E-2</v>
      </c>
      <c r="R17" s="81">
        <f>D17+N17</f>
        <v>235075.9544288567</v>
      </c>
      <c r="S17" s="81">
        <f>E17+P17</f>
        <v>299733.8299908294</v>
      </c>
      <c r="T17" s="83">
        <f t="shared" ref="T17:T39" si="0">IFERROR((R17-D17)/D17,0)</f>
        <v>0.12673235827109011</v>
      </c>
      <c r="U17" s="84">
        <f t="shared" ref="U17:U39" si="1">IFERROR((S17-E17)/E17,0)</f>
        <v>5.6549874342823672E-2</v>
      </c>
      <c r="V17" s="85">
        <f>'Avg Bill by RS'!AH14</f>
        <v>5.1999999999999998E-2</v>
      </c>
      <c r="W17" s="84"/>
      <c r="X17" s="84"/>
      <c r="Y17" s="284">
        <v>1</v>
      </c>
      <c r="Z17" s="1323" t="s">
        <v>281</v>
      </c>
      <c r="AA17" s="1093">
        <f>'Rate Impacts - Rev Req ONLY'!N17</f>
        <v>235075.9544288567</v>
      </c>
      <c r="AB17" s="81">
        <f>'Rate Impacts - Rev Req ONLY'!O17</f>
        <v>310131.95442885678</v>
      </c>
      <c r="AC17" s="95">
        <f>SUM('Rev Req Proof Yr2'!AF14:AH14)</f>
        <v>13313.807483007986</v>
      </c>
      <c r="AD17" s="85">
        <f>IFERROR((AC17/AA17),0)</f>
        <v>5.6636194524256507E-2</v>
      </c>
      <c r="AE17" s="95">
        <f>SUM('Temps Proof'!AB14:AD14)</f>
        <v>-188.93969658195482</v>
      </c>
      <c r="AF17" s="85">
        <f>IFERROR((AE17/AB17),0)</f>
        <v>-6.0922357043120151E-4</v>
      </c>
      <c r="AG17" s="1440">
        <f>AC17+AE17-(J17+L17)</f>
        <v>23522.992224453385</v>
      </c>
      <c r="AH17" s="1441">
        <f>IFERROR((AG17/AB17),0)</f>
        <v>7.5848334518684626E-2</v>
      </c>
      <c r="AI17" s="81">
        <f>AA17+AC17</f>
        <v>248389.76191186468</v>
      </c>
      <c r="AJ17" s="81">
        <f t="shared" ref="AJ17:AJ39" si="2">AB17+AG17</f>
        <v>333654.94665331015</v>
      </c>
      <c r="AK17" s="83">
        <f t="shared" ref="AK17:AK39" si="3">IFERROR((AI17-AA17)/AA17,0)</f>
        <v>5.6636194524256507E-2</v>
      </c>
      <c r="AL17" s="84">
        <f t="shared" ref="AL17:AL39" si="4">IFERROR((AJ17-AB17)/AB17,0)</f>
        <v>7.5848334518684571E-2</v>
      </c>
      <c r="AM17" s="85">
        <f>'Avg Bill by RS'!BM14</f>
        <v>7.2999999999999995E-2</v>
      </c>
    </row>
    <row r="18" spans="2:39" x14ac:dyDescent="0.2">
      <c r="B18" s="284">
        <v>2</v>
      </c>
      <c r="C18" s="783" t="s">
        <v>282</v>
      </c>
      <c r="D18" s="80">
        <f>'Rate Impacts - Rev Req ONLY'!D18</f>
        <v>37604.380821902283</v>
      </c>
      <c r="E18" s="81">
        <f>'Rate Impacts - Rev Req ONLY'!E18</f>
        <v>53871.380821902283</v>
      </c>
      <c r="F18" s="95">
        <f>SUM('Rev Req Proof Yr1'!AF15:AH15)</f>
        <v>5117.9001141686094</v>
      </c>
      <c r="G18" s="85">
        <f>IFERROR((F18/D18),0)</f>
        <v>0.13609850773524082</v>
      </c>
      <c r="H18" s="95">
        <f>SUM('Rev Req Proof Yr1'!AM15:AO15)</f>
        <v>-351.83527201159131</v>
      </c>
      <c r="I18" s="84">
        <f t="shared" ref="I18:I39" si="5">IFERROR((H18/D18),0)</f>
        <v>-9.3562309582469836E-3</v>
      </c>
      <c r="J18" s="96">
        <f>SUM('Temps Proof'!T15:V15)</f>
        <v>-1207.2231423254866</v>
      </c>
      <c r="K18" s="85">
        <f t="shared" ref="K18:K39" si="6">IFERROR((J18/E18),0)</f>
        <v>-2.2409359550603358E-2</v>
      </c>
      <c r="L18" s="96">
        <f>SUM('Temps Proof'!X15:Z15)</f>
        <v>-666.90468887911425</v>
      </c>
      <c r="M18" s="84">
        <f t="shared" ref="M18:M39" si="7">IFERROR((L18/E18),0)</f>
        <v>-1.2379572951432003E-2</v>
      </c>
      <c r="N18" s="1418">
        <f t="shared" ref="N18:N38" si="8">SUM(F18,H18)</f>
        <v>4766.0648421570186</v>
      </c>
      <c r="O18" s="1419">
        <f t="shared" ref="O18:O39" si="9">IFERROR((N18/D18),0)</f>
        <v>0.12674227677699385</v>
      </c>
      <c r="P18" s="1420">
        <f t="shared" ref="P18:P39" si="10">SUM(F18,H18,J18,L18)</f>
        <v>2891.9370109524179</v>
      </c>
      <c r="Q18" s="1421">
        <f t="shared" ref="Q18:Q39" si="11">IFERROR((P18/E18),0)</f>
        <v>5.3682251444660468E-2</v>
      </c>
      <c r="R18" s="81">
        <f t="shared" ref="R18:R39" si="12">D18+N18</f>
        <v>42370.445664059298</v>
      </c>
      <c r="S18" s="81">
        <f t="shared" ref="S18:S39" si="13">E18+P18</f>
        <v>56763.3178328547</v>
      </c>
      <c r="T18" s="83">
        <f t="shared" si="0"/>
        <v>0.12674227677699376</v>
      </c>
      <c r="U18" s="84">
        <f t="shared" si="1"/>
        <v>5.3682251444660448E-2</v>
      </c>
      <c r="V18" s="85">
        <f>'Avg Bill by RS'!AH15</f>
        <v>0.05</v>
      </c>
      <c r="W18" s="84"/>
      <c r="X18" s="84"/>
      <c r="Y18" s="284">
        <v>2</v>
      </c>
      <c r="Z18" s="1324" t="s">
        <v>282</v>
      </c>
      <c r="AA18" s="1093">
        <f>'Rate Impacts - Rev Req ONLY'!N18</f>
        <v>42370.445664059298</v>
      </c>
      <c r="AB18" s="81">
        <f>'Rate Impacts - Rev Req ONLY'!O18</f>
        <v>58637.445664059298</v>
      </c>
      <c r="AC18" s="95">
        <f>SUM('Rev Req Proof Yr2'!AF15:AH15)</f>
        <v>2400.0191769362136</v>
      </c>
      <c r="AD18" s="85">
        <f>IFERROR((AC18/AA18),0)</f>
        <v>5.6643708587942189E-2</v>
      </c>
      <c r="AE18" s="95">
        <f>SUM('Temps Proof'!AB15:AD15)</f>
        <v>-33.973511715404975</v>
      </c>
      <c r="AF18" s="85">
        <f t="shared" ref="AF18:AF39" si="14">IFERROR((AE18/AB18),0)</f>
        <v>-5.7938253160008278E-4</v>
      </c>
      <c r="AG18" s="1440">
        <f t="shared" ref="AG18:AG39" si="15">AC18+AE18-(J18+L18)</f>
        <v>4240.1734964254092</v>
      </c>
      <c r="AH18" s="1441">
        <f t="shared" ref="AH18:AH39" si="16">IFERROR((AG18/AB18),0)</f>
        <v>7.2311701991895294E-2</v>
      </c>
      <c r="AI18" s="81">
        <f t="shared" ref="AI18:AI39" si="17">AA18+AC18</f>
        <v>44770.464840995512</v>
      </c>
      <c r="AJ18" s="81">
        <f t="shared" si="2"/>
        <v>62877.619160484704</v>
      </c>
      <c r="AK18" s="83">
        <f t="shared" si="3"/>
        <v>5.6643708587942189E-2</v>
      </c>
      <c r="AL18" s="84">
        <f t="shared" si="4"/>
        <v>7.2311701991895252E-2</v>
      </c>
      <c r="AM18" s="85">
        <f>'Avg Bill by RS'!BM15</f>
        <v>6.9000000000000006E-2</v>
      </c>
    </row>
    <row r="19" spans="2:39" x14ac:dyDescent="0.2">
      <c r="B19" s="284">
        <v>3</v>
      </c>
      <c r="C19" s="783" t="s">
        <v>12</v>
      </c>
      <c r="D19" s="80">
        <f>'Rate Impacts - Rev Req ONLY'!D19</f>
        <v>33798099.589697547</v>
      </c>
      <c r="E19" s="81">
        <f>'Rate Impacts - Rev Req ONLY'!E19</f>
        <v>53008197.589697547</v>
      </c>
      <c r="F19" s="95">
        <f>SUM('Rev Req Proof Yr1'!AF16:AH16)</f>
        <v>4599609.2712115422</v>
      </c>
      <c r="G19" s="85">
        <f t="shared" ref="G19:G34" si="18">IFERROR((F19/D19),0)</f>
        <v>0.13609076625756825</v>
      </c>
      <c r="H19" s="95">
        <f>SUM('Rev Req Proof Yr1'!AM16:AO16)</f>
        <v>-316532.25092208461</v>
      </c>
      <c r="I19" s="84">
        <f t="shared" si="5"/>
        <v>-9.3653860650369548E-3</v>
      </c>
      <c r="J19" s="96">
        <f>SUM('Temps Proof'!T16:V16)</f>
        <v>-1084782.4015975606</v>
      </c>
      <c r="K19" s="85">
        <f t="shared" si="6"/>
        <v>-2.0464427219241924E-2</v>
      </c>
      <c r="L19" s="96">
        <f>SUM('Temps Proof'!X16:Z16)</f>
        <v>-599542.85721526784</v>
      </c>
      <c r="M19" s="84">
        <f t="shared" si="7"/>
        <v>-1.1310379987939686E-2</v>
      </c>
      <c r="N19" s="1418">
        <f>SUM(F19,H19)</f>
        <v>4283077.0202894574</v>
      </c>
      <c r="O19" s="1419">
        <f t="shared" si="9"/>
        <v>0.1267253801925313</v>
      </c>
      <c r="P19" s="1420">
        <f t="shared" si="10"/>
        <v>2598751.7614766294</v>
      </c>
      <c r="Q19" s="1421">
        <f t="shared" si="11"/>
        <v>4.9025469260281208E-2</v>
      </c>
      <c r="R19" s="81">
        <f t="shared" si="12"/>
        <v>38081176.609987006</v>
      </c>
      <c r="S19" s="81">
        <f t="shared" si="13"/>
        <v>55606949.351174176</v>
      </c>
      <c r="T19" s="83">
        <f t="shared" si="0"/>
        <v>0.12672538019253132</v>
      </c>
      <c r="U19" s="84">
        <f t="shared" si="1"/>
        <v>4.9025469260281188E-2</v>
      </c>
      <c r="V19" s="85">
        <f>'Avg Bill by RS'!AH16</f>
        <v>4.5999999999999999E-2</v>
      </c>
      <c r="W19" s="84"/>
      <c r="X19" s="84"/>
      <c r="Y19" s="284">
        <v>3</v>
      </c>
      <c r="Z19" s="1324" t="s">
        <v>12</v>
      </c>
      <c r="AA19" s="1093">
        <f>'Rate Impacts - Rev Req ONLY'!N19</f>
        <v>38081176.609987006</v>
      </c>
      <c r="AB19" s="81">
        <f>'Rate Impacts - Rev Req ONLY'!O19</f>
        <v>57291274.609987006</v>
      </c>
      <c r="AC19" s="95">
        <f>SUM('Rev Req Proof Yr2'!AF16:AH16)</f>
        <v>2156925.4945645519</v>
      </c>
      <c r="AD19" s="85">
        <f t="shared" ref="AD19:AD24" si="19">IFERROR((AC19/AA19),0)</f>
        <v>5.6640200922754208E-2</v>
      </c>
      <c r="AE19" s="95">
        <f>SUM('Temps Proof'!AB16:AD16)</f>
        <v>-30224.433681796272</v>
      </c>
      <c r="AF19" s="85">
        <f t="shared" si="14"/>
        <v>-5.2755736170211781E-4</v>
      </c>
      <c r="AG19" s="1440">
        <f t="shared" si="15"/>
        <v>3811026.319695584</v>
      </c>
      <c r="AH19" s="1441">
        <f t="shared" si="16"/>
        <v>6.6520187334621575E-2</v>
      </c>
      <c r="AI19" s="81">
        <f t="shared" si="17"/>
        <v>40238102.104551554</v>
      </c>
      <c r="AJ19" s="81">
        <f t="shared" si="2"/>
        <v>61102300.92968259</v>
      </c>
      <c r="AK19" s="83">
        <f t="shared" si="3"/>
        <v>5.6640200922754111E-2</v>
      </c>
      <c r="AL19" s="84">
        <f t="shared" si="4"/>
        <v>6.6520187334621575E-2</v>
      </c>
      <c r="AM19" s="85">
        <f>'Avg Bill by RS'!BM16</f>
        <v>6.4000000000000001E-2</v>
      </c>
    </row>
    <row r="20" spans="2:39" x14ac:dyDescent="0.2">
      <c r="B20" s="284">
        <v>4</v>
      </c>
      <c r="C20" s="783" t="s">
        <v>10</v>
      </c>
      <c r="D20" s="80">
        <f>'Rate Impacts - Rev Req ONLY'!D20</f>
        <v>9866168.0688334089</v>
      </c>
      <c r="E20" s="81">
        <f>'Rate Impacts - Rev Req ONLY'!E20</f>
        <v>16112007.068833409</v>
      </c>
      <c r="F20" s="95">
        <f>SUM('Rev Req Proof Yr1'!AF17:AH17)</f>
        <v>1342720.8770816317</v>
      </c>
      <c r="G20" s="85">
        <f t="shared" si="18"/>
        <v>0.13609345266712014</v>
      </c>
      <c r="H20" s="95">
        <f>SUM('Rev Req Proof Yr1'!AM17:AO17)</f>
        <v>-92373.478835822199</v>
      </c>
      <c r="I20" s="84">
        <f t="shared" si="5"/>
        <v>-9.3626500371125927E-3</v>
      </c>
      <c r="J20" s="96">
        <f>SUM('Temps Proof'!T17:V17)</f>
        <v>-316785.64405398985</v>
      </c>
      <c r="K20" s="85">
        <f t="shared" si="6"/>
        <v>-1.9661463820157495E-2</v>
      </c>
      <c r="L20" s="96">
        <f>SUM('Temps Proof'!X17:Z17)</f>
        <v>-175098.6639441117</v>
      </c>
      <c r="M20" s="84">
        <f t="shared" si="7"/>
        <v>-1.0867588575157554E-2</v>
      </c>
      <c r="N20" s="1418">
        <f t="shared" si="8"/>
        <v>1250347.3982458096</v>
      </c>
      <c r="O20" s="1419">
        <f t="shared" si="9"/>
        <v>0.12673080263000755</v>
      </c>
      <c r="P20" s="1420">
        <f t="shared" si="10"/>
        <v>758463.09024770814</v>
      </c>
      <c r="Q20" s="1421">
        <f t="shared" si="11"/>
        <v>4.7074401532187553E-2</v>
      </c>
      <c r="R20" s="81">
        <f t="shared" si="12"/>
        <v>11116515.467079218</v>
      </c>
      <c r="S20" s="81">
        <f t="shared" si="13"/>
        <v>16870470.159081116</v>
      </c>
      <c r="T20" s="83">
        <f t="shared" si="0"/>
        <v>0.12673080263000755</v>
      </c>
      <c r="U20" s="84">
        <f t="shared" si="1"/>
        <v>4.7074401532187511E-2</v>
      </c>
      <c r="V20" s="85">
        <f>'Avg Bill by RS'!AH17</f>
        <v>4.3999999999999997E-2</v>
      </c>
      <c r="W20" s="84"/>
      <c r="X20" s="84"/>
      <c r="Y20" s="284">
        <v>4</v>
      </c>
      <c r="Z20" s="1324" t="s">
        <v>10</v>
      </c>
      <c r="AA20" s="1093">
        <f>'Rate Impacts - Rev Req ONLY'!N20</f>
        <v>11116515.467079217</v>
      </c>
      <c r="AB20" s="81">
        <f>'Rate Impacts - Rev Req ONLY'!O20</f>
        <v>17362354.467079218</v>
      </c>
      <c r="AC20" s="95">
        <f>SUM('Rev Req Proof Yr2'!AF17:AH17)</f>
        <v>629640.50177454017</v>
      </c>
      <c r="AD20" s="85">
        <f t="shared" si="19"/>
        <v>5.6640095868096124E-2</v>
      </c>
      <c r="AE20" s="95">
        <f>SUM('Temps Proof'!AB17:AD17)</f>
        <v>-8933.6053032710042</v>
      </c>
      <c r="AF20" s="85">
        <f t="shared" si="14"/>
        <v>-5.145388155857562E-4</v>
      </c>
      <c r="AG20" s="1440">
        <f t="shared" si="15"/>
        <v>1112591.2044693707</v>
      </c>
      <c r="AH20" s="1441">
        <f t="shared" si="16"/>
        <v>6.4080664093050063E-2</v>
      </c>
      <c r="AI20" s="81">
        <f t="shared" si="17"/>
        <v>11746155.968853757</v>
      </c>
      <c r="AJ20" s="81">
        <f t="shared" si="2"/>
        <v>18474945.67154859</v>
      </c>
      <c r="AK20" s="83">
        <f t="shared" si="3"/>
        <v>5.6640095868096124E-2</v>
      </c>
      <c r="AL20" s="84">
        <f t="shared" si="4"/>
        <v>6.4080664093050119E-2</v>
      </c>
      <c r="AM20" s="85">
        <f>'Avg Bill by RS'!BM17</f>
        <v>6.2E-2</v>
      </c>
    </row>
    <row r="21" spans="2:39" x14ac:dyDescent="0.2">
      <c r="B21" s="284">
        <v>5</v>
      </c>
      <c r="C21" s="783" t="s">
        <v>11</v>
      </c>
      <c r="D21" s="80">
        <f>'Rate Impacts - Rev Req ONLY'!D21</f>
        <v>141888.72505190157</v>
      </c>
      <c r="E21" s="81">
        <f>'Rate Impacts - Rev Req ONLY'!E21</f>
        <v>241043.72505190157</v>
      </c>
      <c r="F21" s="95">
        <f>SUM('Rev Req Proof Yr1'!AF18:AH18)</f>
        <v>19311.028159999987</v>
      </c>
      <c r="G21" s="85">
        <f t="shared" si="18"/>
        <v>0.13609980745782438</v>
      </c>
      <c r="H21" s="95">
        <f>SUM('Rev Req Proof Yr1'!AM18:AO18)</f>
        <v>-1330.3278799999996</v>
      </c>
      <c r="I21" s="84">
        <f t="shared" si="5"/>
        <v>-9.3758533633548271E-3</v>
      </c>
      <c r="J21" s="96">
        <f>SUM('Temps Proof'!T18:V18)</f>
        <v>0</v>
      </c>
      <c r="K21" s="85">
        <f t="shared" si="6"/>
        <v>0</v>
      </c>
      <c r="L21" s="96">
        <f>SUM('Temps Proof'!X18:Z18)</f>
        <v>-2515.9932399999993</v>
      </c>
      <c r="M21" s="84">
        <f t="shared" si="7"/>
        <v>-1.043791220641921E-2</v>
      </c>
      <c r="N21" s="1418">
        <f t="shared" si="8"/>
        <v>17980.700279999986</v>
      </c>
      <c r="O21" s="1419">
        <f t="shared" si="9"/>
        <v>0.12672395409446954</v>
      </c>
      <c r="P21" s="1420">
        <f t="shared" si="10"/>
        <v>15464.707039999987</v>
      </c>
      <c r="Q21" s="1421">
        <f t="shared" si="11"/>
        <v>6.4157268714089624E-2</v>
      </c>
      <c r="R21" s="81">
        <f t="shared" si="12"/>
        <v>159869.42533190156</v>
      </c>
      <c r="S21" s="81">
        <f t="shared" si="13"/>
        <v>256508.43209190154</v>
      </c>
      <c r="T21" s="83">
        <f t="shared" si="0"/>
        <v>0.12672395409446957</v>
      </c>
      <c r="U21" s="84">
        <f t="shared" si="1"/>
        <v>6.4157268714089596E-2</v>
      </c>
      <c r="V21" s="85">
        <f>'Avg Bill by RS'!AH18</f>
        <v>6.4000000000000001E-2</v>
      </c>
      <c r="W21" s="84"/>
      <c r="X21" s="84"/>
      <c r="Y21" s="284">
        <v>5</v>
      </c>
      <c r="Z21" s="1324" t="s">
        <v>11</v>
      </c>
      <c r="AA21" s="1093">
        <f>'Rate Impacts - Rev Req ONLY'!N21</f>
        <v>159869.42533190156</v>
      </c>
      <c r="AB21" s="81">
        <f>'Rate Impacts - Rev Req ONLY'!O21</f>
        <v>259024.42533190156</v>
      </c>
      <c r="AC21" s="95">
        <f>SUM('Rev Req Proof Yr2'!AF18:AH18)</f>
        <v>9054.1718399999954</v>
      </c>
      <c r="AD21" s="85">
        <f t="shared" si="19"/>
        <v>5.6634793183267029E-2</v>
      </c>
      <c r="AE21" s="95">
        <f>SUM('Temps Proof'!AB18:AD18)</f>
        <v>-127.64339999999997</v>
      </c>
      <c r="AF21" s="85">
        <f t="shared" si="14"/>
        <v>-4.927851874835502E-4</v>
      </c>
      <c r="AG21" s="1440">
        <f t="shared" si="15"/>
        <v>11442.521679999994</v>
      </c>
      <c r="AH21" s="1441">
        <f t="shared" si="16"/>
        <v>4.4175454362414247E-2</v>
      </c>
      <c r="AI21" s="81">
        <f t="shared" si="17"/>
        <v>168923.59717190155</v>
      </c>
      <c r="AJ21" s="81">
        <f t="shared" si="2"/>
        <v>270466.94701190153</v>
      </c>
      <c r="AK21" s="83">
        <f t="shared" si="3"/>
        <v>5.6634793183267029E-2</v>
      </c>
      <c r="AL21" s="84">
        <f t="shared" si="4"/>
        <v>4.4175454362414178E-2</v>
      </c>
      <c r="AM21" s="85">
        <f>'Avg Bill by RS'!BM18</f>
        <v>4.4999999999999998E-2</v>
      </c>
    </row>
    <row r="22" spans="2:39" x14ac:dyDescent="0.2">
      <c r="B22" s="1325">
        <v>6</v>
      </c>
      <c r="C22" s="783">
        <v>27</v>
      </c>
      <c r="D22" s="80">
        <f>'Rate Impacts - Rev Req ONLY'!D22</f>
        <v>201938.20437801833</v>
      </c>
      <c r="E22" s="81">
        <f>'Rate Impacts - Rev Req ONLY'!E22</f>
        <v>363218.20437801839</v>
      </c>
      <c r="F22" s="95">
        <f>SUM('Rev Req Proof Yr1'!AF19:AH19)</f>
        <v>27483.916299070072</v>
      </c>
      <c r="G22" s="85">
        <f t="shared" si="18"/>
        <v>0.13610062733657638</v>
      </c>
      <c r="H22" s="95">
        <f>SUM('Rev Req Proof Yr1'!AM19:AO19)</f>
        <v>-1891.6242542586419</v>
      </c>
      <c r="I22" s="84">
        <f t="shared" si="5"/>
        <v>-9.3673421534323197E-3</v>
      </c>
      <c r="J22" s="96">
        <f>SUM('Temps Proof'!T19:V19)</f>
        <v>-6482.2733591058341</v>
      </c>
      <c r="K22" s="85">
        <f t="shared" si="6"/>
        <v>-1.7846774420919236E-2</v>
      </c>
      <c r="L22" s="96">
        <f>SUM('Temps Proof'!X19:Z19)</f>
        <v>-3584.858647704792</v>
      </c>
      <c r="M22" s="84">
        <f t="shared" si="7"/>
        <v>-9.8697108363375412E-3</v>
      </c>
      <c r="N22" s="1418">
        <f t="shared" si="8"/>
        <v>25592.292044811431</v>
      </c>
      <c r="O22" s="1419">
        <f t="shared" si="9"/>
        <v>0.12673328518314408</v>
      </c>
      <c r="P22" s="1420">
        <f t="shared" si="10"/>
        <v>15525.160038000804</v>
      </c>
      <c r="Q22" s="1421">
        <f t="shared" si="11"/>
        <v>4.2743342296365283E-2</v>
      </c>
      <c r="R22" s="81">
        <f t="shared" si="12"/>
        <v>227530.49642282975</v>
      </c>
      <c r="S22" s="81">
        <f t="shared" si="13"/>
        <v>378743.36441601918</v>
      </c>
      <c r="T22" s="83">
        <f t="shared" si="0"/>
        <v>0.126733285183144</v>
      </c>
      <c r="U22" s="84">
        <f t="shared" si="1"/>
        <v>4.2743342296365242E-2</v>
      </c>
      <c r="V22" s="85">
        <f>'Avg Bill by RS'!AH19</f>
        <v>4.1000000000000002E-2</v>
      </c>
      <c r="W22" s="84"/>
      <c r="X22" s="84"/>
      <c r="Y22" s="1325">
        <v>6</v>
      </c>
      <c r="Z22" s="1324">
        <v>27</v>
      </c>
      <c r="AA22" s="1093">
        <f>'Rate Impacts - Rev Req ONLY'!N22</f>
        <v>227530.49642282975</v>
      </c>
      <c r="AB22" s="81">
        <f>'Rate Impacts - Rev Req ONLY'!O22</f>
        <v>388810.4964228298</v>
      </c>
      <c r="AC22" s="95">
        <f>SUM('Rev Req Proof Yr2'!AF19:AH19)</f>
        <v>12886.113517425343</v>
      </c>
      <c r="AD22" s="85">
        <f t="shared" si="19"/>
        <v>5.6634665330657571E-2</v>
      </c>
      <c r="AE22" s="95">
        <f>SUM('Temps Proof'!AB19:AD19)</f>
        <v>-179.93499003923665</v>
      </c>
      <c r="AF22" s="85">
        <f t="shared" si="14"/>
        <v>-4.6278326252683797E-4</v>
      </c>
      <c r="AG22" s="1440">
        <f t="shared" si="15"/>
        <v>22773.310534196731</v>
      </c>
      <c r="AH22" s="1441">
        <f t="shared" si="16"/>
        <v>5.8571748303396752E-2</v>
      </c>
      <c r="AI22" s="81">
        <f t="shared" si="17"/>
        <v>240416.60994025509</v>
      </c>
      <c r="AJ22" s="81">
        <f t="shared" si="2"/>
        <v>411583.80695702654</v>
      </c>
      <c r="AK22" s="83">
        <f t="shared" si="3"/>
        <v>5.6634665330657571E-2</v>
      </c>
      <c r="AL22" s="84">
        <f t="shared" si="4"/>
        <v>5.8571748303396752E-2</v>
      </c>
      <c r="AM22" s="85">
        <f>'Avg Bill by RS'!BM19</f>
        <v>5.8000000000000003E-2</v>
      </c>
    </row>
    <row r="23" spans="2:39" x14ac:dyDescent="0.2">
      <c r="B23" s="284">
        <v>7</v>
      </c>
      <c r="C23" s="783" t="s">
        <v>352</v>
      </c>
      <c r="D23" s="80">
        <f>'Rate Impacts - Rev Req ONLY'!D23</f>
        <v>1542348.175315036</v>
      </c>
      <c r="E23" s="81">
        <f>'Rate Impacts - Rev Req ONLY'!E23</f>
        <v>2853836.1753150364</v>
      </c>
      <c r="F23" s="95">
        <f>SUM('Rev Req Proof Yr1'!AF22:AH22)</f>
        <v>209902.4317501164</v>
      </c>
      <c r="G23" s="85">
        <f t="shared" si="18"/>
        <v>0.13609276757969535</v>
      </c>
      <c r="H23" s="95">
        <f>SUM('Rev Req Proof Yr1'!AM22:AO22)</f>
        <v>-14451.994176944718</v>
      </c>
      <c r="I23" s="84">
        <f t="shared" si="5"/>
        <v>-9.37012433913814E-3</v>
      </c>
      <c r="J23" s="96">
        <f>SUM('Temps Proof'!T22:V22)</f>
        <v>-49506.817502475213</v>
      </c>
      <c r="K23" s="85">
        <f t="shared" si="6"/>
        <v>-1.7347463015115128E-2</v>
      </c>
      <c r="L23" s="96">
        <f>SUM('Temps Proof'!X22:Z22)</f>
        <v>-27371.710230430603</v>
      </c>
      <c r="M23" s="84">
        <f t="shared" si="7"/>
        <v>-9.5911988456762153E-3</v>
      </c>
      <c r="N23" s="1418">
        <f t="shared" si="8"/>
        <v>195450.43757317169</v>
      </c>
      <c r="O23" s="1419">
        <f t="shared" si="9"/>
        <v>0.12672264324055721</v>
      </c>
      <c r="P23" s="1420">
        <f t="shared" si="10"/>
        <v>118571.90984026586</v>
      </c>
      <c r="Q23" s="1421">
        <f t="shared" si="11"/>
        <v>4.1548253843679953E-2</v>
      </c>
      <c r="R23" s="81">
        <f t="shared" si="12"/>
        <v>1737798.6128882077</v>
      </c>
      <c r="S23" s="81">
        <f t="shared" si="13"/>
        <v>2972408.0851553022</v>
      </c>
      <c r="T23" s="83">
        <f t="shared" si="0"/>
        <v>0.12672264324055721</v>
      </c>
      <c r="U23" s="84">
        <f t="shared" si="1"/>
        <v>4.1548253843679918E-2</v>
      </c>
      <c r="V23" s="85">
        <f>'Avg Bill by RS'!AH22</f>
        <v>4.4999999999999998E-2</v>
      </c>
      <c r="W23" s="84"/>
      <c r="X23" s="84"/>
      <c r="Y23" s="284">
        <v>7</v>
      </c>
      <c r="Z23" s="1324" t="s">
        <v>352</v>
      </c>
      <c r="AA23" s="1093">
        <f>'Rate Impacts - Rev Req ONLY'!N23</f>
        <v>1737798.6128882077</v>
      </c>
      <c r="AB23" s="81">
        <f>'Rate Impacts - Rev Req ONLY'!O23</f>
        <v>3049286.6128882081</v>
      </c>
      <c r="AC23" s="95">
        <f>SUM('Rev Req Proof Yr2'!AF22:AH22)</f>
        <v>98435.082024062751</v>
      </c>
      <c r="AD23" s="85">
        <f t="shared" si="19"/>
        <v>5.6643549657612174E-2</v>
      </c>
      <c r="AE23" s="95">
        <f>SUM('Temps Proof'!AB22:AD22)</f>
        <v>-1401.9558234434951</v>
      </c>
      <c r="AF23" s="85">
        <f t="shared" si="14"/>
        <v>-4.5976518491831688E-4</v>
      </c>
      <c r="AG23" s="1440">
        <f t="shared" si="15"/>
        <v>173911.65393352509</v>
      </c>
      <c r="AH23" s="1441">
        <f t="shared" si="16"/>
        <v>5.7033554405304103E-2</v>
      </c>
      <c r="AI23" s="81">
        <f t="shared" si="17"/>
        <v>1836233.6949122704</v>
      </c>
      <c r="AJ23" s="81">
        <f t="shared" si="2"/>
        <v>3223198.2668217332</v>
      </c>
      <c r="AK23" s="83">
        <f t="shared" si="3"/>
        <v>5.6643549657612174E-2</v>
      </c>
      <c r="AL23" s="84">
        <f t="shared" si="4"/>
        <v>5.7033554405304103E-2</v>
      </c>
      <c r="AM23" s="85">
        <f>'Avg Bill by RS'!BM20</f>
        <v>6.4000000000000001E-2</v>
      </c>
    </row>
    <row r="24" spans="2:39" x14ac:dyDescent="0.2">
      <c r="B24" s="284">
        <v>8</v>
      </c>
      <c r="C24" s="783" t="s">
        <v>353</v>
      </c>
      <c r="D24" s="80">
        <f>'Rate Impacts - Rev Req ONLY'!D24</f>
        <v>392614.2804678994</v>
      </c>
      <c r="E24" s="81">
        <f>'Rate Impacts - Rev Req ONLY'!E24</f>
        <v>747266.28046789952</v>
      </c>
      <c r="F24" s="95">
        <f>SUM('Rev Req Proof Yr1'!AF25:AH25)</f>
        <v>53433.67476200001</v>
      </c>
      <c r="G24" s="85">
        <f t="shared" si="18"/>
        <v>0.13609712488888648</v>
      </c>
      <c r="H24" s="95">
        <f>SUM('Rev Req Proof Yr1'!AM25:AO25)</f>
        <v>-3674.6766820000012</v>
      </c>
      <c r="I24" s="84">
        <f t="shared" si="5"/>
        <v>-9.359508466224643E-3</v>
      </c>
      <c r="J24" s="96">
        <f>SUM('Temps Proof'!T25:V25)</f>
        <v>0</v>
      </c>
      <c r="K24" s="85">
        <f t="shared" si="6"/>
        <v>0</v>
      </c>
      <c r="L24" s="96">
        <f>SUM('Temps Proof'!X25:Z25)</f>
        <v>-6960.5454800000016</v>
      </c>
      <c r="M24" s="84">
        <f t="shared" si="7"/>
        <v>-9.3146789329791087E-3</v>
      </c>
      <c r="N24" s="1418">
        <f t="shared" si="8"/>
        <v>49758.998080000005</v>
      </c>
      <c r="O24" s="1419">
        <f t="shared" si="9"/>
        <v>0.12673761642266182</v>
      </c>
      <c r="P24" s="1420">
        <f t="shared" si="10"/>
        <v>42798.452600000004</v>
      </c>
      <c r="Q24" s="1421">
        <f t="shared" si="11"/>
        <v>5.72733625464832E-2</v>
      </c>
      <c r="R24" s="81">
        <f t="shared" si="12"/>
        <v>442373.27854789939</v>
      </c>
      <c r="S24" s="81">
        <f t="shared" si="13"/>
        <v>790064.73306789948</v>
      </c>
      <c r="T24" s="83">
        <f t="shared" si="0"/>
        <v>0.12673761642266179</v>
      </c>
      <c r="U24" s="84">
        <f t="shared" si="1"/>
        <v>5.7273362546483138E-2</v>
      </c>
      <c r="V24" s="85">
        <f>'Avg Bill by RS'!AH25</f>
        <v>6.7000000000000004E-2</v>
      </c>
      <c r="W24" s="84"/>
      <c r="X24" s="84"/>
      <c r="Y24" s="284">
        <v>8</v>
      </c>
      <c r="Z24" s="1324" t="s">
        <v>353</v>
      </c>
      <c r="AA24" s="1093">
        <f>'Rate Impacts - Rev Req ONLY'!N24</f>
        <v>442373.27854789939</v>
      </c>
      <c r="AB24" s="81">
        <f>'Rate Impacts - Rev Req ONLY'!O24</f>
        <v>797025.27854789945</v>
      </c>
      <c r="AC24" s="95">
        <f>SUM('Rev Req Proof Yr2'!AF25:AH25)</f>
        <v>25056.720428000001</v>
      </c>
      <c r="AD24" s="85">
        <f t="shared" si="19"/>
        <v>5.6641577697118757E-2</v>
      </c>
      <c r="AE24" s="95">
        <f>SUM('Temps Proof'!AB25:AD25)</f>
        <v>-354.44277600000009</v>
      </c>
      <c r="AF24" s="85">
        <f t="shared" si="14"/>
        <v>-4.4470706957470594E-4</v>
      </c>
      <c r="AG24" s="1440">
        <f t="shared" si="15"/>
        <v>31662.823132000001</v>
      </c>
      <c r="AH24" s="1441">
        <f t="shared" si="16"/>
        <v>3.9726247064191623E-2</v>
      </c>
      <c r="AI24" s="81">
        <f t="shared" si="17"/>
        <v>467429.99897589942</v>
      </c>
      <c r="AJ24" s="81">
        <f t="shared" si="2"/>
        <v>828688.1016798995</v>
      </c>
      <c r="AK24" s="83">
        <f t="shared" si="3"/>
        <v>5.664157769711882E-2</v>
      </c>
      <c r="AL24" s="84">
        <f t="shared" si="4"/>
        <v>3.9726247064191686E-2</v>
      </c>
      <c r="AM24" s="85">
        <f>'Avg Bill by RS'!BM21</f>
        <v>4.5999999999999999E-2</v>
      </c>
    </row>
    <row r="25" spans="2:39" x14ac:dyDescent="0.2">
      <c r="B25" s="284">
        <v>9</v>
      </c>
      <c r="C25" s="783" t="s">
        <v>355</v>
      </c>
      <c r="D25" s="80">
        <f>'Rate Impacts - Rev Req ONLY'!D25</f>
        <v>0</v>
      </c>
      <c r="E25" s="81">
        <f>'Rate Impacts - Rev Req ONLY'!E25</f>
        <v>0</v>
      </c>
      <c r="F25" s="95">
        <f>SUM('Rev Req Proof Yr1'!AF28:AH28)</f>
        <v>0</v>
      </c>
      <c r="G25" s="85">
        <f>IFERROR((F25/D25),0)</f>
        <v>0</v>
      </c>
      <c r="H25" s="95">
        <f>SUM('Rev Req Proof Yr1'!AM28:AO28)</f>
        <v>0</v>
      </c>
      <c r="I25" s="84">
        <f t="shared" si="5"/>
        <v>0</v>
      </c>
      <c r="J25" s="96">
        <f>SUM('Temps Proof'!T28:V28)</f>
        <v>0</v>
      </c>
      <c r="K25" s="85">
        <f t="shared" si="6"/>
        <v>0</v>
      </c>
      <c r="L25" s="96">
        <f>SUM('Temps Proof'!X28:Z28)</f>
        <v>0</v>
      </c>
      <c r="M25" s="84">
        <f t="shared" si="7"/>
        <v>0</v>
      </c>
      <c r="N25" s="1418">
        <f t="shared" si="8"/>
        <v>0</v>
      </c>
      <c r="O25" s="1419">
        <f t="shared" si="9"/>
        <v>0</v>
      </c>
      <c r="P25" s="1420">
        <f t="shared" si="10"/>
        <v>0</v>
      </c>
      <c r="Q25" s="1421">
        <f t="shared" si="11"/>
        <v>0</v>
      </c>
      <c r="R25" s="81">
        <f t="shared" si="12"/>
        <v>0</v>
      </c>
      <c r="S25" s="81">
        <f t="shared" si="13"/>
        <v>0</v>
      </c>
      <c r="T25" s="83">
        <f t="shared" si="0"/>
        <v>0</v>
      </c>
      <c r="U25" s="84">
        <f t="shared" si="1"/>
        <v>0</v>
      </c>
      <c r="V25" s="85">
        <f>'Avg Bill by RS'!AH28</f>
        <v>0</v>
      </c>
      <c r="W25" s="84"/>
      <c r="X25" s="84"/>
      <c r="Y25" s="284">
        <v>9</v>
      </c>
      <c r="Z25" s="1324" t="s">
        <v>355</v>
      </c>
      <c r="AA25" s="1093">
        <f>'Rate Impacts - Rev Req ONLY'!N25</f>
        <v>0</v>
      </c>
      <c r="AB25" s="81">
        <f>'Rate Impacts - Rev Req ONLY'!O25</f>
        <v>0</v>
      </c>
      <c r="AC25" s="95">
        <f>SUM('Rev Req Proof Yr2'!AF28:AH28)</f>
        <v>0</v>
      </c>
      <c r="AD25" s="85">
        <f>IFERROR((AC25/AA25),0)</f>
        <v>0</v>
      </c>
      <c r="AE25" s="95">
        <f>SUM('Temps Proof'!AB28:AD28)</f>
        <v>0</v>
      </c>
      <c r="AF25" s="85">
        <f t="shared" si="14"/>
        <v>0</v>
      </c>
      <c r="AG25" s="1440">
        <f t="shared" si="15"/>
        <v>0</v>
      </c>
      <c r="AH25" s="1441">
        <f t="shared" si="16"/>
        <v>0</v>
      </c>
      <c r="AI25" s="81">
        <f t="shared" si="17"/>
        <v>0</v>
      </c>
      <c r="AJ25" s="81">
        <f t="shared" si="2"/>
        <v>0</v>
      </c>
      <c r="AK25" s="83">
        <f t="shared" si="3"/>
        <v>0</v>
      </c>
      <c r="AL25" s="84">
        <f t="shared" si="4"/>
        <v>0</v>
      </c>
      <c r="AM25" s="85">
        <f>'Avg Bill by RS'!BM22</f>
        <v>0</v>
      </c>
    </row>
    <row r="26" spans="2:39" x14ac:dyDescent="0.2">
      <c r="B26" s="284">
        <v>10</v>
      </c>
      <c r="C26" s="783" t="s">
        <v>356</v>
      </c>
      <c r="D26" s="80">
        <f>'Rate Impacts - Rev Req ONLY'!D26</f>
        <v>0</v>
      </c>
      <c r="E26" s="81">
        <f>'Rate Impacts - Rev Req ONLY'!E26</f>
        <v>0</v>
      </c>
      <c r="F26" s="95">
        <f>SUM('Rev Req Proof Yr1'!AF31:AH31)</f>
        <v>0</v>
      </c>
      <c r="G26" s="85">
        <f t="shared" si="18"/>
        <v>0</v>
      </c>
      <c r="H26" s="95">
        <f>SUM('Rev Req Proof Yr1'!AM31:AO31)</f>
        <v>0</v>
      </c>
      <c r="I26" s="84">
        <f t="shared" si="5"/>
        <v>0</v>
      </c>
      <c r="J26" s="96">
        <f>SUM('Temps Proof'!T31:V31)</f>
        <v>0</v>
      </c>
      <c r="K26" s="85">
        <f t="shared" si="6"/>
        <v>0</v>
      </c>
      <c r="L26" s="96">
        <f>SUM('Temps Proof'!X31:Z31)</f>
        <v>0</v>
      </c>
      <c r="M26" s="84">
        <f t="shared" si="7"/>
        <v>0</v>
      </c>
      <c r="N26" s="1418">
        <f t="shared" si="8"/>
        <v>0</v>
      </c>
      <c r="O26" s="1419">
        <f t="shared" si="9"/>
        <v>0</v>
      </c>
      <c r="P26" s="1420">
        <f t="shared" si="10"/>
        <v>0</v>
      </c>
      <c r="Q26" s="1421">
        <f t="shared" si="11"/>
        <v>0</v>
      </c>
      <c r="R26" s="81">
        <f t="shared" si="12"/>
        <v>0</v>
      </c>
      <c r="S26" s="81">
        <f t="shared" si="13"/>
        <v>0</v>
      </c>
      <c r="T26" s="83">
        <f t="shared" si="0"/>
        <v>0</v>
      </c>
      <c r="U26" s="84">
        <f t="shared" si="1"/>
        <v>0</v>
      </c>
      <c r="V26" s="85">
        <f>'Avg Bill by RS'!AH31</f>
        <v>0</v>
      </c>
      <c r="W26" s="84"/>
      <c r="X26" s="84"/>
      <c r="Y26" s="284">
        <v>10</v>
      </c>
      <c r="Z26" s="1324" t="s">
        <v>356</v>
      </c>
      <c r="AA26" s="1093">
        <f>'Rate Impacts - Rev Req ONLY'!N26</f>
        <v>0</v>
      </c>
      <c r="AB26" s="81">
        <f>'Rate Impacts - Rev Req ONLY'!O26</f>
        <v>0</v>
      </c>
      <c r="AC26" s="95">
        <f>SUM('Rev Req Proof Yr2'!AF31:AH31)</f>
        <v>0</v>
      </c>
      <c r="AD26" s="85">
        <f t="shared" ref="AD26" si="20">IFERROR((AC26/AA26),0)</f>
        <v>0</v>
      </c>
      <c r="AE26" s="95">
        <f>SUM('Temps Proof'!AB31:AD31)</f>
        <v>0</v>
      </c>
      <c r="AF26" s="85">
        <f t="shared" si="14"/>
        <v>0</v>
      </c>
      <c r="AG26" s="1440">
        <f t="shared" si="15"/>
        <v>0</v>
      </c>
      <c r="AH26" s="1441">
        <f t="shared" si="16"/>
        <v>0</v>
      </c>
      <c r="AI26" s="81">
        <f t="shared" si="17"/>
        <v>0</v>
      </c>
      <c r="AJ26" s="81">
        <f t="shared" si="2"/>
        <v>0</v>
      </c>
      <c r="AK26" s="83">
        <f t="shared" si="3"/>
        <v>0</v>
      </c>
      <c r="AL26" s="84">
        <f t="shared" si="4"/>
        <v>0</v>
      </c>
      <c r="AM26" s="85">
        <f>'Avg Bill by RS'!BM23</f>
        <v>0</v>
      </c>
    </row>
    <row r="27" spans="2:39" x14ac:dyDescent="0.2">
      <c r="B27" s="284">
        <v>11</v>
      </c>
      <c r="C27" s="783" t="s">
        <v>357</v>
      </c>
      <c r="D27" s="80">
        <f>'Rate Impacts - Rev Req ONLY'!D27</f>
        <v>189841.33809000003</v>
      </c>
      <c r="E27" s="81">
        <f>'Rate Impacts - Rev Req ONLY'!E27</f>
        <v>189841.33809000003</v>
      </c>
      <c r="F27" s="95">
        <f>SUM('Rev Req Proof Yr1'!AF34:AH34)</f>
        <v>25836.995390000004</v>
      </c>
      <c r="G27" s="85">
        <f>IFERROR((F27/D27),0)</f>
        <v>0.13609783648781065</v>
      </c>
      <c r="H27" s="95">
        <f>SUM('Rev Req Proof Yr1'!AM34:AO34)</f>
        <v>-1779.01313</v>
      </c>
      <c r="I27" s="84">
        <f t="shared" si="5"/>
        <v>-9.371052416184536E-3</v>
      </c>
      <c r="J27" s="96">
        <f>SUM('Temps Proof'!T34:V34)</f>
        <v>0</v>
      </c>
      <c r="K27" s="85">
        <f t="shared" si="6"/>
        <v>0</v>
      </c>
      <c r="L27" s="96">
        <f>SUM('Temps Proof'!X34:Z34)</f>
        <v>-3366.8523299999997</v>
      </c>
      <c r="M27" s="84">
        <f t="shared" si="7"/>
        <v>-1.7735085329012173E-2</v>
      </c>
      <c r="N27" s="1418">
        <f t="shared" si="8"/>
        <v>24057.982260000004</v>
      </c>
      <c r="O27" s="1419">
        <f t="shared" si="9"/>
        <v>0.1267267840716261</v>
      </c>
      <c r="P27" s="1420">
        <f t="shared" si="10"/>
        <v>20691.129930000003</v>
      </c>
      <c r="Q27" s="1421">
        <f t="shared" si="11"/>
        <v>0.10899169874261393</v>
      </c>
      <c r="R27" s="81">
        <f t="shared" si="12"/>
        <v>213899.32035000005</v>
      </c>
      <c r="S27" s="81">
        <f t="shared" si="13"/>
        <v>210532.46802000003</v>
      </c>
      <c r="T27" s="83">
        <f t="shared" si="0"/>
        <v>0.12672678407162619</v>
      </c>
      <c r="U27" s="84">
        <f t="shared" si="1"/>
        <v>0.1089916987426139</v>
      </c>
      <c r="V27" s="85">
        <f>'Avg Bill by RS'!AH34</f>
        <v>0.109</v>
      </c>
      <c r="W27" s="84"/>
      <c r="X27" s="84"/>
      <c r="Y27" s="284">
        <v>11</v>
      </c>
      <c r="Z27" s="1324" t="s">
        <v>357</v>
      </c>
      <c r="AA27" s="1093">
        <f>'Rate Impacts - Rev Req ONLY'!N27</f>
        <v>213899.32035000002</v>
      </c>
      <c r="AB27" s="81">
        <f>'Rate Impacts - Rev Req ONLY'!O27</f>
        <v>213899.32035000002</v>
      </c>
      <c r="AC27" s="95">
        <f>SUM('Rev Req Proof Yr2'!AF34:AH34)</f>
        <v>12114.902749999994</v>
      </c>
      <c r="AD27" s="85">
        <f>IFERROR((AC27/AA27),0)</f>
        <v>5.6638341487839104E-2</v>
      </c>
      <c r="AE27" s="95">
        <f>SUM('Temps Proof'!AB34:AD34)</f>
        <v>-171.82324</v>
      </c>
      <c r="AF27" s="85">
        <f t="shared" si="14"/>
        <v>-8.0329025692483917E-4</v>
      </c>
      <c r="AG27" s="1440">
        <f t="shared" si="15"/>
        <v>15309.931839999994</v>
      </c>
      <c r="AH27" s="1441">
        <f t="shared" si="16"/>
        <v>7.1575411342815851E-2</v>
      </c>
      <c r="AI27" s="81">
        <f t="shared" si="17"/>
        <v>226014.2231</v>
      </c>
      <c r="AJ27" s="81">
        <f t="shared" si="2"/>
        <v>229209.25219000003</v>
      </c>
      <c r="AK27" s="83">
        <f t="shared" si="3"/>
        <v>5.6638341487839035E-2</v>
      </c>
      <c r="AL27" s="84">
        <f t="shared" si="4"/>
        <v>7.1575411342815906E-2</v>
      </c>
      <c r="AM27" s="85">
        <f>'Avg Bill by RS'!BM24</f>
        <v>7.2999999999999995E-2</v>
      </c>
    </row>
    <row r="28" spans="2:39" x14ac:dyDescent="0.2">
      <c r="B28" s="284">
        <v>12</v>
      </c>
      <c r="C28" s="783" t="s">
        <v>358</v>
      </c>
      <c r="D28" s="80">
        <f>'Rate Impacts - Rev Req ONLY'!D28</f>
        <v>0</v>
      </c>
      <c r="E28" s="81">
        <f>'Rate Impacts - Rev Req ONLY'!E28</f>
        <v>0</v>
      </c>
      <c r="F28" s="95">
        <f>SUM('Rev Req Proof Yr1'!AF37:AH37)</f>
        <v>0</v>
      </c>
      <c r="G28" s="85">
        <f>IFERROR((F28/D28),0)</f>
        <v>0</v>
      </c>
      <c r="H28" s="95">
        <f>SUM('Rev Req Proof Yr1'!AM37:AO37)</f>
        <v>0</v>
      </c>
      <c r="I28" s="84">
        <f t="shared" si="5"/>
        <v>0</v>
      </c>
      <c r="J28" s="96">
        <f>SUM('Temps Proof'!T37:V37)</f>
        <v>0</v>
      </c>
      <c r="K28" s="85">
        <f t="shared" si="6"/>
        <v>0</v>
      </c>
      <c r="L28" s="96">
        <f>SUM('Temps Proof'!X37:Z37)</f>
        <v>0</v>
      </c>
      <c r="M28" s="84">
        <f t="shared" si="7"/>
        <v>0</v>
      </c>
      <c r="N28" s="1418">
        <f t="shared" si="8"/>
        <v>0</v>
      </c>
      <c r="O28" s="1419">
        <f t="shared" si="9"/>
        <v>0</v>
      </c>
      <c r="P28" s="1420">
        <f t="shared" si="10"/>
        <v>0</v>
      </c>
      <c r="Q28" s="1421">
        <f t="shared" si="11"/>
        <v>0</v>
      </c>
      <c r="R28" s="81">
        <f t="shared" si="12"/>
        <v>0</v>
      </c>
      <c r="S28" s="81">
        <f t="shared" si="13"/>
        <v>0</v>
      </c>
      <c r="T28" s="83">
        <f t="shared" si="0"/>
        <v>0</v>
      </c>
      <c r="U28" s="84">
        <f t="shared" si="1"/>
        <v>0</v>
      </c>
      <c r="V28" s="85">
        <f>'Avg Bill by RS'!AH37</f>
        <v>0</v>
      </c>
      <c r="W28" s="84"/>
      <c r="X28" s="84"/>
      <c r="Y28" s="284">
        <v>12</v>
      </c>
      <c r="Z28" s="1324" t="s">
        <v>358</v>
      </c>
      <c r="AA28" s="1093">
        <f>'Rate Impacts - Rev Req ONLY'!N28</f>
        <v>0</v>
      </c>
      <c r="AB28" s="81">
        <f>'Rate Impacts - Rev Req ONLY'!O28</f>
        <v>0</v>
      </c>
      <c r="AC28" s="95">
        <f>SUM('Rev Req Proof Yr2'!AF37:AH37)</f>
        <v>0</v>
      </c>
      <c r="AD28" s="85">
        <f>IFERROR((AC28/AA28),0)</f>
        <v>0</v>
      </c>
      <c r="AE28" s="95">
        <f>SUM('Temps Proof'!AB37:AD37)</f>
        <v>0</v>
      </c>
      <c r="AF28" s="85">
        <f t="shared" si="14"/>
        <v>0</v>
      </c>
      <c r="AG28" s="1440">
        <f t="shared" si="15"/>
        <v>0</v>
      </c>
      <c r="AH28" s="1441">
        <f t="shared" si="16"/>
        <v>0</v>
      </c>
      <c r="AI28" s="81">
        <f t="shared" si="17"/>
        <v>0</v>
      </c>
      <c r="AJ28" s="81">
        <f t="shared" si="2"/>
        <v>0</v>
      </c>
      <c r="AK28" s="83">
        <f t="shared" si="3"/>
        <v>0</v>
      </c>
      <c r="AL28" s="84">
        <f t="shared" si="4"/>
        <v>0</v>
      </c>
      <c r="AM28" s="85">
        <f>'Avg Bill by RS'!BM25</f>
        <v>0</v>
      </c>
    </row>
    <row r="29" spans="2:39" x14ac:dyDescent="0.2">
      <c r="B29" s="284">
        <v>13</v>
      </c>
      <c r="C29" s="783" t="s">
        <v>359</v>
      </c>
      <c r="D29" s="80">
        <f>'Rate Impacts - Rev Req ONLY'!D29</f>
        <v>219574.60083981926</v>
      </c>
      <c r="E29" s="81">
        <f>'Rate Impacts - Rev Req ONLY'!E29</f>
        <v>470188.60083981924</v>
      </c>
      <c r="F29" s="95">
        <f>SUM('Rev Req Proof Yr1'!AF44:AH44)</f>
        <v>29883.943719079431</v>
      </c>
      <c r="G29" s="85">
        <f t="shared" si="18"/>
        <v>0.13609927379934036</v>
      </c>
      <c r="H29" s="95">
        <f>SUM('Rev Req Proof Yr1'!AM44:AO44)</f>
        <v>-2055.595853643305</v>
      </c>
      <c r="I29" s="84">
        <f t="shared" si="5"/>
        <v>-9.361719642350037E-3</v>
      </c>
      <c r="J29" s="96">
        <f>SUM('Temps Proof'!T44:V44)</f>
        <v>-7048.2450450192709</v>
      </c>
      <c r="K29" s="85">
        <f t="shared" si="6"/>
        <v>-1.4990250789640945E-2</v>
      </c>
      <c r="L29" s="96">
        <f>SUM('Temps Proof'!X44:Z44)</f>
        <v>-3897.3218202287053</v>
      </c>
      <c r="M29" s="84">
        <f t="shared" si="7"/>
        <v>-8.2888479500940072E-3</v>
      </c>
      <c r="N29" s="1418">
        <f t="shared" si="8"/>
        <v>27828.347865436124</v>
      </c>
      <c r="O29" s="1419">
        <f t="shared" si="9"/>
        <v>0.12673755415699031</v>
      </c>
      <c r="P29" s="1420">
        <f t="shared" si="10"/>
        <v>16882.781000188148</v>
      </c>
      <c r="Q29" s="1421">
        <f t="shared" si="11"/>
        <v>3.5906402175708348E-2</v>
      </c>
      <c r="R29" s="81">
        <f t="shared" si="12"/>
        <v>247402.9487052554</v>
      </c>
      <c r="S29" s="81">
        <f t="shared" si="13"/>
        <v>487071.38184000738</v>
      </c>
      <c r="T29" s="83">
        <f t="shared" si="0"/>
        <v>0.12673755415699037</v>
      </c>
      <c r="U29" s="84">
        <f t="shared" si="1"/>
        <v>3.5906402175708341E-2</v>
      </c>
      <c r="V29" s="85">
        <f>'Avg Bill by RS'!AH44</f>
        <v>4.5999999999999999E-2</v>
      </c>
      <c r="W29" s="84"/>
      <c r="X29" s="84"/>
      <c r="Y29" s="284">
        <v>13</v>
      </c>
      <c r="Z29" s="1324" t="s">
        <v>359</v>
      </c>
      <c r="AA29" s="1093">
        <f>'Rate Impacts - Rev Req ONLY'!N29</f>
        <v>247402.94870525537</v>
      </c>
      <c r="AB29" s="81">
        <f>'Rate Impacts - Rev Req ONLY'!O29</f>
        <v>498016.94870525534</v>
      </c>
      <c r="AC29" s="95">
        <f>SUM('Rev Req Proof Yr2'!AF44:AH44)</f>
        <v>14012.424282822392</v>
      </c>
      <c r="AD29" s="85">
        <f t="shared" ref="AD29:AD34" si="21">IFERROR((AC29/AA29),0)</f>
        <v>5.663806497115019E-2</v>
      </c>
      <c r="AE29" s="95">
        <f>SUM('Temps Proof'!AB44:AD44)</f>
        <v>-199.53158775131345</v>
      </c>
      <c r="AF29" s="85">
        <f t="shared" si="14"/>
        <v>-4.0065220324339513E-4</v>
      </c>
      <c r="AG29" s="1440">
        <f t="shared" si="15"/>
        <v>24758.459560319054</v>
      </c>
      <c r="AH29" s="1441">
        <f t="shared" si="16"/>
        <v>4.9714090302922634E-2</v>
      </c>
      <c r="AI29" s="81">
        <f t="shared" si="17"/>
        <v>261415.37298807775</v>
      </c>
      <c r="AJ29" s="81">
        <f t="shared" si="2"/>
        <v>522775.40826557437</v>
      </c>
      <c r="AK29" s="83">
        <f t="shared" si="3"/>
        <v>5.6638064971150141E-2</v>
      </c>
      <c r="AL29" s="84">
        <f t="shared" si="4"/>
        <v>4.9714090302922578E-2</v>
      </c>
      <c r="AM29" s="85">
        <f>'Avg Bill by RS'!BM26</f>
        <v>6.5000000000000002E-2</v>
      </c>
    </row>
    <row r="30" spans="2:39" x14ac:dyDescent="0.2">
      <c r="B30" s="284">
        <v>14</v>
      </c>
      <c r="C30" s="783" t="s">
        <v>360</v>
      </c>
      <c r="D30" s="80">
        <f>'Rate Impacts - Rev Req ONLY'!D30</f>
        <v>511672.37933789124</v>
      </c>
      <c r="E30" s="81">
        <f>'Rate Impacts - Rev Req ONLY'!E30</f>
        <v>1154958.3793378912</v>
      </c>
      <c r="F30" s="95">
        <f>SUM('Rev Req Proof Yr1'!AF51:AH51)</f>
        <v>69637.109626000005</v>
      </c>
      <c r="G30" s="85">
        <f t="shared" si="18"/>
        <v>0.13609706608770061</v>
      </c>
      <c r="H30" s="95">
        <f>SUM('Rev Req Proof Yr1'!AM51:AO51)</f>
        <v>-4788.9728660000001</v>
      </c>
      <c r="I30" s="84">
        <f t="shared" si="5"/>
        <v>-9.3594515932186439E-3</v>
      </c>
      <c r="J30" s="96">
        <f>SUM('Temps Proof'!T51:V51)</f>
        <v>0</v>
      </c>
      <c r="K30" s="85">
        <f t="shared" si="6"/>
        <v>0</v>
      </c>
      <c r="L30" s="96">
        <f>SUM('Temps Proof'!X51:Z51)</f>
        <v>-9079.0412880000022</v>
      </c>
      <c r="M30" s="84">
        <f t="shared" si="7"/>
        <v>-7.8609250778411514E-3</v>
      </c>
      <c r="N30" s="1418">
        <f t="shared" si="8"/>
        <v>64848.136760000009</v>
      </c>
      <c r="O30" s="1419">
        <f t="shared" si="9"/>
        <v>0.12673761449448198</v>
      </c>
      <c r="P30" s="1420">
        <f t="shared" si="10"/>
        <v>55769.095472000008</v>
      </c>
      <c r="Q30" s="1421">
        <f t="shared" si="11"/>
        <v>4.8286671164696891E-2</v>
      </c>
      <c r="R30" s="81">
        <f t="shared" si="12"/>
        <v>576520.51609789126</v>
      </c>
      <c r="S30" s="81">
        <f t="shared" si="13"/>
        <v>1210727.4748098913</v>
      </c>
      <c r="T30" s="83">
        <f t="shared" si="0"/>
        <v>0.12673761449448201</v>
      </c>
      <c r="U30" s="84">
        <f t="shared" si="1"/>
        <v>4.8286671164696947E-2</v>
      </c>
      <c r="V30" s="85">
        <f>'Avg Bill by RS'!AH51</f>
        <v>6.2E-2</v>
      </c>
      <c r="W30" s="84"/>
      <c r="X30" s="84"/>
      <c r="Y30" s="284">
        <v>14</v>
      </c>
      <c r="Z30" s="1324" t="s">
        <v>360</v>
      </c>
      <c r="AA30" s="1093">
        <f>'Rate Impacts - Rev Req ONLY'!N30</f>
        <v>576520.51609789126</v>
      </c>
      <c r="AB30" s="81">
        <f>'Rate Impacts - Rev Req ONLY'!O30</f>
        <v>1219806.5160978914</v>
      </c>
      <c r="AC30" s="95">
        <f>SUM('Rev Req Proof Yr2'!AF51:AH51)</f>
        <v>32655.57115500002</v>
      </c>
      <c r="AD30" s="85">
        <f t="shared" si="21"/>
        <v>5.6642513567470708E-2</v>
      </c>
      <c r="AE30" s="95">
        <f>SUM('Temps Proof'!AB51:AD51)</f>
        <v>-468.75253500000008</v>
      </c>
      <c r="AF30" s="85">
        <f t="shared" si="14"/>
        <v>-3.8428433428894877E-4</v>
      </c>
      <c r="AG30" s="1440">
        <f t="shared" si="15"/>
        <v>41265.85990800002</v>
      </c>
      <c r="AH30" s="1441">
        <f t="shared" si="16"/>
        <v>3.3829840522583643E-2</v>
      </c>
      <c r="AI30" s="81">
        <f t="shared" si="17"/>
        <v>609176.08725289127</v>
      </c>
      <c r="AJ30" s="81">
        <f t="shared" si="2"/>
        <v>1261072.3760058915</v>
      </c>
      <c r="AK30" s="83">
        <f t="shared" si="3"/>
        <v>5.6642513567470694E-2</v>
      </c>
      <c r="AL30" s="84">
        <f t="shared" si="4"/>
        <v>3.3829840522583705E-2</v>
      </c>
      <c r="AM30" s="85">
        <f>'Avg Bill by RS'!BM27</f>
        <v>4.2999999999999997E-2</v>
      </c>
    </row>
    <row r="31" spans="2:39" x14ac:dyDescent="0.2">
      <c r="B31" s="284">
        <v>15</v>
      </c>
      <c r="C31" s="783" t="s">
        <v>361</v>
      </c>
      <c r="D31" s="80">
        <f>'Rate Impacts - Rev Req ONLY'!D31</f>
        <v>360784.67333999998</v>
      </c>
      <c r="E31" s="81">
        <f>'Rate Impacts - Rev Req ONLY'!E31</f>
        <v>360784.67333999998</v>
      </c>
      <c r="F31" s="95">
        <f>SUM('Rev Req Proof Yr1'!AF58:AH58)</f>
        <v>49098.639150000003</v>
      </c>
      <c r="G31" s="85">
        <f t="shared" si="18"/>
        <v>0.13608848373592056</v>
      </c>
      <c r="H31" s="95">
        <f>SUM('Rev Req Proof Yr1'!AM58:AO58)</f>
        <v>-3383.8287</v>
      </c>
      <c r="I31" s="84">
        <f t="shared" si="5"/>
        <v>-9.3790810698078427E-3</v>
      </c>
      <c r="J31" s="96">
        <f>SUM('Temps Proof'!T58:V58)</f>
        <v>0</v>
      </c>
      <c r="K31" s="85">
        <f t="shared" si="6"/>
        <v>0</v>
      </c>
      <c r="L31" s="558">
        <f>SUM('Temps Proof'!X58:Z58)</f>
        <v>-6395.26055</v>
      </c>
      <c r="M31" s="84">
        <f t="shared" si="7"/>
        <v>-1.7725976247259176E-2</v>
      </c>
      <c r="N31" s="1418">
        <f t="shared" si="8"/>
        <v>45714.810450000004</v>
      </c>
      <c r="O31" s="1419">
        <f t="shared" si="9"/>
        <v>0.12670940266611272</v>
      </c>
      <c r="P31" s="1420">
        <f t="shared" si="10"/>
        <v>39319.549900000005</v>
      </c>
      <c r="Q31" s="1421">
        <f t="shared" si="11"/>
        <v>0.10898342641885356</v>
      </c>
      <c r="R31" s="81">
        <f t="shared" si="12"/>
        <v>406499.48378999997</v>
      </c>
      <c r="S31" s="81">
        <f t="shared" si="13"/>
        <v>400104.22323999996</v>
      </c>
      <c r="T31" s="83">
        <f t="shared" si="0"/>
        <v>0.12670940266611269</v>
      </c>
      <c r="U31" s="84">
        <f t="shared" si="1"/>
        <v>0.1089834264188535</v>
      </c>
      <c r="V31" s="85">
        <f>'Avg Bill by RS'!AH58</f>
        <v>0.11600000000000001</v>
      </c>
      <c r="W31" s="84"/>
      <c r="X31" s="84"/>
      <c r="Y31" s="284">
        <v>15</v>
      </c>
      <c r="Z31" s="1324" t="s">
        <v>361</v>
      </c>
      <c r="AA31" s="1093">
        <f>'Rate Impacts - Rev Req ONLY'!N31</f>
        <v>406499.48378999997</v>
      </c>
      <c r="AB31" s="81">
        <f>'Rate Impacts - Rev Req ONLY'!O31</f>
        <v>406499.48378999997</v>
      </c>
      <c r="AC31" s="95">
        <f>SUM('Rev Req Proof Yr2'!AF58:AH58)</f>
        <v>23020.772400000023</v>
      </c>
      <c r="AD31" s="85">
        <f t="shared" si="21"/>
        <v>5.6631738336702757E-2</v>
      </c>
      <c r="AE31" s="95">
        <f>SUM('Temps Proof'!AB58:AD58)</f>
        <v>-326.73435000000001</v>
      </c>
      <c r="AF31" s="85">
        <f t="shared" si="14"/>
        <v>-8.0377555945136919E-4</v>
      </c>
      <c r="AG31" s="1440">
        <f t="shared" si="15"/>
        <v>29089.298600000024</v>
      </c>
      <c r="AH31" s="1441">
        <f t="shared" si="16"/>
        <v>7.1560481033790757E-2</v>
      </c>
      <c r="AI31" s="81">
        <f t="shared" si="17"/>
        <v>429520.25618999999</v>
      </c>
      <c r="AJ31" s="81">
        <f t="shared" si="2"/>
        <v>435588.78239000001</v>
      </c>
      <c r="AK31" s="83">
        <f t="shared" si="3"/>
        <v>5.6631738336702743E-2</v>
      </c>
      <c r="AL31" s="84">
        <f t="shared" si="4"/>
        <v>7.1560481033790785E-2</v>
      </c>
      <c r="AM31" s="85">
        <f>'Avg Bill by RS'!BM28</f>
        <v>7.6999999999999999E-2</v>
      </c>
    </row>
    <row r="32" spans="2:39" x14ac:dyDescent="0.2">
      <c r="B32" s="284">
        <v>16</v>
      </c>
      <c r="C32" s="783" t="s">
        <v>362</v>
      </c>
      <c r="D32" s="80">
        <f>'Rate Impacts - Rev Req ONLY'!D32</f>
        <v>823615.79209999996</v>
      </c>
      <c r="E32" s="81">
        <f>'Rate Impacts - Rev Req ONLY'!E32</f>
        <v>823615.79209999996</v>
      </c>
      <c r="F32" s="95">
        <f>SUM('Rev Req Proof Yr1'!AF65:AH65)</f>
        <v>112098.45365</v>
      </c>
      <c r="G32" s="85">
        <f t="shared" si="18"/>
        <v>0.1361052747230343</v>
      </c>
      <c r="H32" s="95">
        <f>SUM('Rev Req Proof Yr1'!AM65:AO65)</f>
        <v>-7716.6626000000006</v>
      </c>
      <c r="I32" s="84">
        <f t="shared" si="5"/>
        <v>-9.3692504126524512E-3</v>
      </c>
      <c r="J32" s="96">
        <f>SUM('Temps Proof'!T65:V65)</f>
        <v>0</v>
      </c>
      <c r="K32" s="85">
        <f t="shared" si="6"/>
        <v>0</v>
      </c>
      <c r="L32" s="96">
        <f>SUM('Temps Proof'!X65:Z65)</f>
        <v>-14605.610930000001</v>
      </c>
      <c r="M32" s="84">
        <f t="shared" si="7"/>
        <v>-1.773352462409639E-2</v>
      </c>
      <c r="N32" s="1418">
        <f t="shared" si="8"/>
        <v>104381.79105</v>
      </c>
      <c r="O32" s="1419">
        <f t="shared" si="9"/>
        <v>0.12673602431038186</v>
      </c>
      <c r="P32" s="1420">
        <f t="shared" si="10"/>
        <v>89776.180120000005</v>
      </c>
      <c r="Q32" s="1421">
        <f t="shared" si="11"/>
        <v>0.10900249968628548</v>
      </c>
      <c r="R32" s="81">
        <f t="shared" si="12"/>
        <v>927997.58314999996</v>
      </c>
      <c r="S32" s="81">
        <f t="shared" si="13"/>
        <v>913391.97222</v>
      </c>
      <c r="T32" s="83">
        <f t="shared" si="0"/>
        <v>0.12673602431038186</v>
      </c>
      <c r="U32" s="84">
        <f t="shared" si="1"/>
        <v>0.1090024996862855</v>
      </c>
      <c r="V32" s="85">
        <f>'Avg Bill by RS'!AH65</f>
        <v>0.12</v>
      </c>
      <c r="W32" s="84"/>
      <c r="X32" s="84"/>
      <c r="Y32" s="284">
        <v>16</v>
      </c>
      <c r="Z32" s="1324" t="s">
        <v>362</v>
      </c>
      <c r="AA32" s="1093">
        <f>'Rate Impacts - Rev Req ONLY'!N32</f>
        <v>927997.58314999996</v>
      </c>
      <c r="AB32" s="81">
        <f>'Rate Impacts - Rev Req ONLY'!O32</f>
        <v>927997.58314999996</v>
      </c>
      <c r="AC32" s="95">
        <f>SUM('Rev Req Proof Yr2'!AF65:AH65)</f>
        <v>52558.568929999994</v>
      </c>
      <c r="AD32" s="85">
        <f t="shared" si="21"/>
        <v>5.6636536435358924E-2</v>
      </c>
      <c r="AE32" s="95">
        <f>SUM('Temps Proof'!AB65:AD65)</f>
        <v>-729.79639000000009</v>
      </c>
      <c r="AF32" s="85">
        <f t="shared" si="14"/>
        <v>-7.8642057183249913E-4</v>
      </c>
      <c r="AG32" s="1440">
        <f t="shared" si="15"/>
        <v>66434.383469999986</v>
      </c>
      <c r="AH32" s="1441">
        <f t="shared" si="16"/>
        <v>7.1588961734679046E-2</v>
      </c>
      <c r="AI32" s="81">
        <f t="shared" si="17"/>
        <v>980556.15207999991</v>
      </c>
      <c r="AJ32" s="81">
        <f t="shared" si="2"/>
        <v>994431.96661999996</v>
      </c>
      <c r="AK32" s="83">
        <f t="shared" si="3"/>
        <v>5.6636536435358875E-2</v>
      </c>
      <c r="AL32" s="84">
        <f t="shared" si="4"/>
        <v>7.158896173467906E-2</v>
      </c>
      <c r="AM32" s="85">
        <f>'Avg Bill by RS'!BM29</f>
        <v>7.9000000000000001E-2</v>
      </c>
    </row>
    <row r="33" spans="1:39" x14ac:dyDescent="0.2">
      <c r="B33" s="284">
        <v>17</v>
      </c>
      <c r="C33" s="783" t="s">
        <v>363</v>
      </c>
      <c r="D33" s="80">
        <f>'Rate Impacts - Rev Req ONLY'!D33</f>
        <v>160512.61187958997</v>
      </c>
      <c r="E33" s="81">
        <f>'Rate Impacts - Rev Req ONLY'!E33</f>
        <v>430728.61187958985</v>
      </c>
      <c r="F33" s="95">
        <f>SUM('Rev Req Proof Yr1'!AF72:AH72)</f>
        <v>21844.4555</v>
      </c>
      <c r="G33" s="85">
        <f t="shared" si="18"/>
        <v>0.13609183256195981</v>
      </c>
      <c r="H33" s="95">
        <f>SUM('Rev Req Proof Yr1'!AM72:AO72)</f>
        <v>-1501.3931600000001</v>
      </c>
      <c r="I33" s="84">
        <f t="shared" si="5"/>
        <v>-9.3537395125454954E-3</v>
      </c>
      <c r="J33" s="96">
        <f>SUM('Temps Proof'!T72:V72)</f>
        <v>-5153.5389999999998</v>
      </c>
      <c r="K33" s="85">
        <f t="shared" si="6"/>
        <v>-1.1964700876292544E-2</v>
      </c>
      <c r="L33" s="96">
        <f>SUM('Temps Proof'!X72:Z72)</f>
        <v>-2849.6411599999997</v>
      </c>
      <c r="M33" s="84">
        <f t="shared" si="7"/>
        <v>-6.6158622422710488E-3</v>
      </c>
      <c r="N33" s="1418">
        <f t="shared" si="8"/>
        <v>20343.06234</v>
      </c>
      <c r="O33" s="1419">
        <f t="shared" si="9"/>
        <v>0.12673809304941433</v>
      </c>
      <c r="P33" s="1420">
        <f t="shared" si="10"/>
        <v>12339.882180000001</v>
      </c>
      <c r="Q33" s="1421">
        <f t="shared" si="11"/>
        <v>2.8648856471716382E-2</v>
      </c>
      <c r="R33" s="81">
        <f t="shared" si="12"/>
        <v>180855.67421958997</v>
      </c>
      <c r="S33" s="81">
        <f t="shared" si="13"/>
        <v>443068.49405958987</v>
      </c>
      <c r="T33" s="83">
        <f t="shared" si="0"/>
        <v>0.12673809304941436</v>
      </c>
      <c r="U33" s="84">
        <f t="shared" si="1"/>
        <v>2.8648856471716413E-2</v>
      </c>
      <c r="V33" s="85">
        <f>'Avg Bill by RS'!AH72</f>
        <v>0.03</v>
      </c>
      <c r="W33" s="84"/>
      <c r="X33" s="84"/>
      <c r="Y33" s="284">
        <v>17</v>
      </c>
      <c r="Z33" s="1324" t="s">
        <v>363</v>
      </c>
      <c r="AA33" s="1093">
        <f>'Rate Impacts - Rev Req ONLY'!N33</f>
        <v>180855.67421958997</v>
      </c>
      <c r="AB33" s="81">
        <f>'Rate Impacts - Rev Req ONLY'!O33</f>
        <v>451071.67421958986</v>
      </c>
      <c r="AC33" s="95">
        <f>SUM('Rev Req Proof Yr2'!AF72:AH72)</f>
        <v>10243.523710000001</v>
      </c>
      <c r="AD33" s="85">
        <f t="shared" si="21"/>
        <v>5.6639216625089667E-2</v>
      </c>
      <c r="AE33" s="95">
        <f>SUM('Temps Proof'!AB72:AD72)</f>
        <v>-145.98303999999999</v>
      </c>
      <c r="AF33" s="85">
        <f t="shared" si="14"/>
        <v>-3.2363601694247111E-4</v>
      </c>
      <c r="AG33" s="1440">
        <f t="shared" si="15"/>
        <v>18100.720830000002</v>
      </c>
      <c r="AH33" s="1441">
        <f t="shared" si="16"/>
        <v>4.0128258688192961E-2</v>
      </c>
      <c r="AI33" s="81">
        <f t="shared" si="17"/>
        <v>191099.19792958998</v>
      </c>
      <c r="AJ33" s="81">
        <f t="shared" si="2"/>
        <v>469172.39504958986</v>
      </c>
      <c r="AK33" s="83">
        <f t="shared" si="3"/>
        <v>5.6639216625089708E-2</v>
      </c>
      <c r="AL33" s="84">
        <f t="shared" si="4"/>
        <v>4.0128258688192968E-2</v>
      </c>
      <c r="AM33" s="85">
        <f>'Avg Bill by RS'!BM30</f>
        <v>4.2999999999999997E-2</v>
      </c>
    </row>
    <row r="34" spans="1:39" x14ac:dyDescent="0.2">
      <c r="B34" s="284">
        <v>18</v>
      </c>
      <c r="C34" s="783" t="s">
        <v>364</v>
      </c>
      <c r="D34" s="80">
        <f>'Rate Impacts - Rev Req ONLY'!D34</f>
        <v>81130.03459599179</v>
      </c>
      <c r="E34" s="81">
        <f>'Rate Impacts - Rev Req ONLY'!E34</f>
        <v>171731.03459599178</v>
      </c>
      <c r="F34" s="95">
        <f>SUM('Rev Req Proof Yr1'!AF79:AH79)</f>
        <v>11040.877800000002</v>
      </c>
      <c r="G34" s="85">
        <f t="shared" si="18"/>
        <v>0.13608866130750391</v>
      </c>
      <c r="H34" s="95">
        <f>SUM('Rev Req Proof Yr1'!AM79:AO79)</f>
        <v>-760.61590000000001</v>
      </c>
      <c r="I34" s="84">
        <f t="shared" si="5"/>
        <v>-9.3752690207478118E-3</v>
      </c>
      <c r="J34" s="96">
        <f>SUM('Temps Proof'!T79:V79)</f>
        <v>0</v>
      </c>
      <c r="K34" s="85">
        <f t="shared" si="6"/>
        <v>0</v>
      </c>
      <c r="L34" s="96">
        <f>SUM('Temps Proof'!X79:Z79)</f>
        <v>-1439.019</v>
      </c>
      <c r="M34" s="84">
        <f t="shared" si="7"/>
        <v>-8.3794929867241769E-3</v>
      </c>
      <c r="N34" s="1418">
        <f t="shared" si="8"/>
        <v>10280.261900000001</v>
      </c>
      <c r="O34" s="1419">
        <f t="shared" si="9"/>
        <v>0.1267133922867561</v>
      </c>
      <c r="P34" s="1420">
        <f t="shared" si="10"/>
        <v>8841.2429000000011</v>
      </c>
      <c r="Q34" s="1421">
        <f t="shared" si="11"/>
        <v>5.148308179007708E-2</v>
      </c>
      <c r="R34" s="81">
        <f t="shared" si="12"/>
        <v>91410.296495991788</v>
      </c>
      <c r="S34" s="81">
        <f t="shared" si="13"/>
        <v>180572.27749599179</v>
      </c>
      <c r="T34" s="83">
        <f t="shared" si="0"/>
        <v>0.12671339228675604</v>
      </c>
      <c r="U34" s="84">
        <f t="shared" si="1"/>
        <v>5.1483081790077143E-2</v>
      </c>
      <c r="V34" s="85">
        <f>'Avg Bill by RS'!AH79</f>
        <v>5.7000000000000002E-2</v>
      </c>
      <c r="W34" s="84"/>
      <c r="X34" s="84"/>
      <c r="Y34" s="284">
        <v>18</v>
      </c>
      <c r="Z34" s="1324" t="s">
        <v>364</v>
      </c>
      <c r="AA34" s="1093">
        <f>'Rate Impacts - Rev Req ONLY'!N34</f>
        <v>91410.296495991788</v>
      </c>
      <c r="AB34" s="81">
        <f>'Rate Impacts - Rev Req ONLY'!O34</f>
        <v>182011.29649599179</v>
      </c>
      <c r="AC34" s="95">
        <f>SUM('Rev Req Proof Yr2'!AF79:AH79)</f>
        <v>5177.2746000000006</v>
      </c>
      <c r="AD34" s="85">
        <f t="shared" si="21"/>
        <v>5.6637761810859201E-2</v>
      </c>
      <c r="AE34" s="95">
        <f>SUM('Temps Proof'!AB79:AD79)</f>
        <v>-72.749400000000009</v>
      </c>
      <c r="AF34" s="85">
        <f t="shared" si="14"/>
        <v>-3.9969716935455199E-4</v>
      </c>
      <c r="AG34" s="1440">
        <f t="shared" si="15"/>
        <v>6543.5442000000012</v>
      </c>
      <c r="AH34" s="1441">
        <f t="shared" si="16"/>
        <v>3.5951308110945199E-2</v>
      </c>
      <c r="AI34" s="81">
        <f t="shared" si="17"/>
        <v>96587.571095991792</v>
      </c>
      <c r="AJ34" s="81">
        <f t="shared" si="2"/>
        <v>188554.84069599179</v>
      </c>
      <c r="AK34" s="83">
        <f t="shared" si="3"/>
        <v>5.6637761810859243E-2</v>
      </c>
      <c r="AL34" s="84">
        <f t="shared" si="4"/>
        <v>3.5951308110945213E-2</v>
      </c>
      <c r="AM34" s="85">
        <f>'Avg Bill by RS'!BM31</f>
        <v>0.04</v>
      </c>
    </row>
    <row r="35" spans="1:39" x14ac:dyDescent="0.2">
      <c r="B35" s="284">
        <v>19</v>
      </c>
      <c r="C35" s="783" t="s">
        <v>366</v>
      </c>
      <c r="D35" s="80">
        <f>'Rate Impacts - Rev Req ONLY'!D35</f>
        <v>0</v>
      </c>
      <c r="E35" s="81">
        <f>'Rate Impacts - Rev Req ONLY'!E35</f>
        <v>0</v>
      </c>
      <c r="F35" s="95">
        <f>SUM('Rev Req Proof Yr1'!AF86:AH86)</f>
        <v>0</v>
      </c>
      <c r="G35" s="85">
        <f>IFERROR((F35/D35),0)</f>
        <v>0</v>
      </c>
      <c r="H35" s="95">
        <f>SUM('Rev Req Proof Yr1'!AM86:AO86)</f>
        <v>0</v>
      </c>
      <c r="I35" s="84">
        <f t="shared" si="5"/>
        <v>0</v>
      </c>
      <c r="J35" s="96">
        <f>SUM('Temps Proof'!T86:V86)</f>
        <v>0</v>
      </c>
      <c r="K35" s="85">
        <f t="shared" si="6"/>
        <v>0</v>
      </c>
      <c r="L35" s="96">
        <f>SUM('Temps Proof'!X86:Z86)</f>
        <v>0</v>
      </c>
      <c r="M35" s="84">
        <f t="shared" si="7"/>
        <v>0</v>
      </c>
      <c r="N35" s="1418">
        <f t="shared" si="8"/>
        <v>0</v>
      </c>
      <c r="O35" s="1419">
        <f t="shared" si="9"/>
        <v>0</v>
      </c>
      <c r="P35" s="1420">
        <f t="shared" si="10"/>
        <v>0</v>
      </c>
      <c r="Q35" s="1421">
        <f t="shared" si="11"/>
        <v>0</v>
      </c>
      <c r="R35" s="81">
        <f t="shared" si="12"/>
        <v>0</v>
      </c>
      <c r="S35" s="81">
        <f t="shared" si="13"/>
        <v>0</v>
      </c>
      <c r="T35" s="83">
        <f t="shared" si="0"/>
        <v>0</v>
      </c>
      <c r="U35" s="84">
        <f t="shared" si="1"/>
        <v>0</v>
      </c>
      <c r="V35" s="85">
        <f>'Avg Bill by RS'!AH86</f>
        <v>0</v>
      </c>
      <c r="W35" s="84"/>
      <c r="X35" s="84"/>
      <c r="Y35" s="284">
        <v>19</v>
      </c>
      <c r="Z35" s="1324" t="s">
        <v>366</v>
      </c>
      <c r="AA35" s="1093">
        <f>'Rate Impacts - Rev Req ONLY'!N35</f>
        <v>0</v>
      </c>
      <c r="AB35" s="81">
        <f>'Rate Impacts - Rev Req ONLY'!O35</f>
        <v>0</v>
      </c>
      <c r="AC35" s="95">
        <f>SUM('Rev Req Proof Yr2'!AF86:AH86)</f>
        <v>0</v>
      </c>
      <c r="AD35" s="85">
        <f>IFERROR((AC35/AA35),0)</f>
        <v>0</v>
      </c>
      <c r="AE35" s="95">
        <f>SUM('Temps Proof'!AB86:AD86)</f>
        <v>0</v>
      </c>
      <c r="AF35" s="85">
        <f t="shared" si="14"/>
        <v>0</v>
      </c>
      <c r="AG35" s="1440">
        <f t="shared" si="15"/>
        <v>0</v>
      </c>
      <c r="AH35" s="1441">
        <f t="shared" si="16"/>
        <v>0</v>
      </c>
      <c r="AI35" s="81">
        <f t="shared" si="17"/>
        <v>0</v>
      </c>
      <c r="AJ35" s="81">
        <f t="shared" si="2"/>
        <v>0</v>
      </c>
      <c r="AK35" s="83">
        <f t="shared" si="3"/>
        <v>0</v>
      </c>
      <c r="AL35" s="84">
        <f t="shared" si="4"/>
        <v>0</v>
      </c>
      <c r="AM35" s="85">
        <f>'Avg Bill by RS'!BM32</f>
        <v>0</v>
      </c>
    </row>
    <row r="36" spans="1:39" x14ac:dyDescent="0.2">
      <c r="B36" s="284">
        <v>20</v>
      </c>
      <c r="C36" s="783" t="s">
        <v>367</v>
      </c>
      <c r="D36" s="80">
        <f>'Rate Impacts - Rev Req ONLY'!D36</f>
        <v>825480.07319999998</v>
      </c>
      <c r="E36" s="81">
        <f>'Rate Impacts - Rev Req ONLY'!E36</f>
        <v>825480.07319999998</v>
      </c>
      <c r="F36" s="95">
        <f>SUM('Rev Req Proof Yr1'!AF93:AH93)</f>
        <v>112342.71842999995</v>
      </c>
      <c r="G36" s="85">
        <f>IFERROR((F36/D36),0)</f>
        <v>0.13609379811495606</v>
      </c>
      <c r="H36" s="95">
        <f>SUM('Rev Req Proof Yr1'!AM93:AO93)</f>
        <v>-7732.5836500000005</v>
      </c>
      <c r="I36" s="84">
        <f t="shared" si="5"/>
        <v>-9.3673777248485142E-3</v>
      </c>
      <c r="J36" s="96">
        <f>SUM('Temps Proof'!T93:V93)</f>
        <v>0</v>
      </c>
      <c r="K36" s="85">
        <f t="shared" si="6"/>
        <v>0</v>
      </c>
      <c r="L36" s="96">
        <f>SUM('Temps Proof'!X93:Z93)</f>
        <v>-14641.913430000001</v>
      </c>
      <c r="M36" s="84">
        <f t="shared" si="7"/>
        <v>-1.7737452308497471E-2</v>
      </c>
      <c r="N36" s="1418">
        <f>SUM(F36,H36)</f>
        <v>104610.13477999995</v>
      </c>
      <c r="O36" s="1419">
        <f t="shared" si="9"/>
        <v>0.12672642039010754</v>
      </c>
      <c r="P36" s="1420">
        <f t="shared" si="10"/>
        <v>89968.221349999949</v>
      </c>
      <c r="Q36" s="1421">
        <f t="shared" si="11"/>
        <v>0.10898896808161007</v>
      </c>
      <c r="R36" s="81">
        <f t="shared" si="12"/>
        <v>930090.20797999995</v>
      </c>
      <c r="S36" s="81">
        <f>E36+P36</f>
        <v>915448.29454999999</v>
      </c>
      <c r="T36" s="83">
        <f t="shared" si="0"/>
        <v>0.12672642039010756</v>
      </c>
      <c r="U36" s="84">
        <f t="shared" si="1"/>
        <v>0.10898896808161015</v>
      </c>
      <c r="V36" s="85">
        <f>'Avg Bill by RS'!AH93</f>
        <v>0.11</v>
      </c>
      <c r="W36" s="84"/>
      <c r="X36" s="84"/>
      <c r="Y36" s="284">
        <v>20</v>
      </c>
      <c r="Z36" s="1324" t="s">
        <v>367</v>
      </c>
      <c r="AA36" s="1093">
        <f>'Rate Impacts - Rev Req ONLY'!N36</f>
        <v>930090.20797999983</v>
      </c>
      <c r="AB36" s="81">
        <f>'Rate Impacts - Rev Req ONLY'!O36</f>
        <v>930090.20797999983</v>
      </c>
      <c r="AC36" s="95">
        <f>SUM('Rev Req Proof Yr2'!AF93:AH93)</f>
        <v>52693.327570000052</v>
      </c>
      <c r="AD36" s="85">
        <f>IFERROR((AC36/AA36),0)</f>
        <v>5.6653996696128146E-2</v>
      </c>
      <c r="AE36" s="95">
        <f>SUM('Temps Proof'!AB93:AD93)</f>
        <v>-745.79075</v>
      </c>
      <c r="AF36" s="85">
        <f t="shared" si="14"/>
        <v>-8.018477601433227E-4</v>
      </c>
      <c r="AG36" s="1440">
        <f t="shared" si="15"/>
        <v>66589.450250000053</v>
      </c>
      <c r="AH36" s="1441">
        <f t="shared" si="16"/>
        <v>7.1594614886464819E-2</v>
      </c>
      <c r="AI36" s="81">
        <f t="shared" si="17"/>
        <v>982783.53554999991</v>
      </c>
      <c r="AJ36" s="81">
        <f t="shared" si="2"/>
        <v>996679.65822999994</v>
      </c>
      <c r="AK36" s="83">
        <f t="shared" si="3"/>
        <v>5.6653996696128181E-2</v>
      </c>
      <c r="AL36" s="84">
        <f t="shared" si="4"/>
        <v>7.1594614886464875E-2</v>
      </c>
      <c r="AM36" s="85">
        <f>'Avg Bill by RS'!BM33</f>
        <v>7.2999999999999995E-2</v>
      </c>
    </row>
    <row r="37" spans="1:39" x14ac:dyDescent="0.2">
      <c r="B37" s="284">
        <v>21</v>
      </c>
      <c r="C37" s="783" t="s">
        <v>56</v>
      </c>
      <c r="D37" s="80">
        <f>'Rate Impacts - Rev Req ONLY'!D37</f>
        <v>0</v>
      </c>
      <c r="E37" s="81">
        <f>'Rate Impacts - Rev Req ONLY'!E37</f>
        <v>0</v>
      </c>
      <c r="F37" s="95">
        <f>SUM('Rev Req Proof Yr1'!AF94:AH94)</f>
        <v>0</v>
      </c>
      <c r="G37" s="85">
        <f>IFERROR((F37/D37),0)</f>
        <v>0</v>
      </c>
      <c r="H37" s="95">
        <f>SUM('Rev Req Proof Yr1'!AM94:AO94)</f>
        <v>0</v>
      </c>
      <c r="I37" s="84">
        <f t="shared" si="5"/>
        <v>0</v>
      </c>
      <c r="J37" s="96">
        <f>SUM('Temps Proof'!T94:V94)</f>
        <v>0</v>
      </c>
      <c r="K37" s="85">
        <f t="shared" si="6"/>
        <v>0</v>
      </c>
      <c r="L37" s="96">
        <f>SUM('Temps Proof'!X94:Z94)</f>
        <v>0</v>
      </c>
      <c r="M37" s="84">
        <f t="shared" si="7"/>
        <v>0</v>
      </c>
      <c r="N37" s="1418">
        <f t="shared" si="8"/>
        <v>0</v>
      </c>
      <c r="O37" s="1419">
        <f t="shared" si="9"/>
        <v>0</v>
      </c>
      <c r="P37" s="1420">
        <f t="shared" si="10"/>
        <v>0</v>
      </c>
      <c r="Q37" s="1421">
        <f t="shared" si="11"/>
        <v>0</v>
      </c>
      <c r="R37" s="81">
        <f t="shared" si="12"/>
        <v>0</v>
      </c>
      <c r="S37" s="81">
        <f t="shared" si="13"/>
        <v>0</v>
      </c>
      <c r="T37" s="83">
        <f t="shared" si="0"/>
        <v>0</v>
      </c>
      <c r="U37" s="84">
        <f t="shared" si="1"/>
        <v>0</v>
      </c>
      <c r="V37" s="85">
        <f>'Avg Bill by RS'!AH94</f>
        <v>0</v>
      </c>
      <c r="W37" s="84"/>
      <c r="X37" s="84"/>
      <c r="Y37" s="284">
        <v>21</v>
      </c>
      <c r="Z37" s="1324" t="s">
        <v>56</v>
      </c>
      <c r="AA37" s="1093">
        <f>'Rate Impacts - Rev Req ONLY'!N37</f>
        <v>0</v>
      </c>
      <c r="AB37" s="81">
        <f>'Rate Impacts - Rev Req ONLY'!O37</f>
        <v>0</v>
      </c>
      <c r="AC37" s="95">
        <f>SUM('Rev Req Proof Yr2'!AF94:AH94)</f>
        <v>0</v>
      </c>
      <c r="AD37" s="85">
        <f>IFERROR((AC37/AA37),0)</f>
        <v>0</v>
      </c>
      <c r="AE37" s="95">
        <f>SUM('Temps Proof'!AB94:AD94)</f>
        <v>0</v>
      </c>
      <c r="AF37" s="85">
        <f t="shared" si="14"/>
        <v>0</v>
      </c>
      <c r="AG37" s="1440">
        <f t="shared" si="15"/>
        <v>0</v>
      </c>
      <c r="AH37" s="1441">
        <f t="shared" si="16"/>
        <v>0</v>
      </c>
      <c r="AI37" s="81">
        <f t="shared" si="17"/>
        <v>0</v>
      </c>
      <c r="AJ37" s="81">
        <f t="shared" si="2"/>
        <v>0</v>
      </c>
      <c r="AK37" s="83">
        <f t="shared" si="3"/>
        <v>0</v>
      </c>
      <c r="AL37" s="84">
        <f t="shared" si="4"/>
        <v>0</v>
      </c>
      <c r="AM37" s="85">
        <f>'Avg Bill by RS'!BM34</f>
        <v>0</v>
      </c>
    </row>
    <row r="38" spans="1:39" x14ac:dyDescent="0.2">
      <c r="B38" s="284">
        <v>22</v>
      </c>
      <c r="C38" s="783" t="s">
        <v>348</v>
      </c>
      <c r="D38" s="80">
        <f>'Rate Impacts - Rev Req ONLY'!D38</f>
        <v>0</v>
      </c>
      <c r="E38" s="81">
        <f>'Rate Impacts - Rev Req ONLY'!E38</f>
        <v>0</v>
      </c>
      <c r="F38" s="95">
        <f>SUM('Rev Req Proof Yr1'!AF95:AH95)</f>
        <v>0</v>
      </c>
      <c r="G38" s="85">
        <f>IFERROR((F38/D38),0)</f>
        <v>0</v>
      </c>
      <c r="H38" s="95">
        <f>SUM('Rev Req Proof Yr1'!AM95:AO95)</f>
        <v>0</v>
      </c>
      <c r="I38" s="84">
        <f t="shared" si="5"/>
        <v>0</v>
      </c>
      <c r="J38" s="96">
        <f>SUM('Temps Proof'!T95:V95)</f>
        <v>0</v>
      </c>
      <c r="K38" s="85">
        <f t="shared" si="6"/>
        <v>0</v>
      </c>
      <c r="L38" s="96">
        <f>SUM('Temps Proof'!X95:Z95)</f>
        <v>0</v>
      </c>
      <c r="M38" s="84">
        <f t="shared" si="7"/>
        <v>0</v>
      </c>
      <c r="N38" s="1418">
        <f t="shared" si="8"/>
        <v>0</v>
      </c>
      <c r="O38" s="1419">
        <f t="shared" si="9"/>
        <v>0</v>
      </c>
      <c r="P38" s="1420">
        <f t="shared" si="10"/>
        <v>0</v>
      </c>
      <c r="Q38" s="1421">
        <f t="shared" si="11"/>
        <v>0</v>
      </c>
      <c r="R38" s="81">
        <f t="shared" si="12"/>
        <v>0</v>
      </c>
      <c r="S38" s="81">
        <f t="shared" si="13"/>
        <v>0</v>
      </c>
      <c r="T38" s="83">
        <f t="shared" si="0"/>
        <v>0</v>
      </c>
      <c r="U38" s="84">
        <f t="shared" si="1"/>
        <v>0</v>
      </c>
      <c r="V38" s="85">
        <f>'Avg Bill by RS'!AH95</f>
        <v>0</v>
      </c>
      <c r="W38" s="84"/>
      <c r="X38" s="84"/>
      <c r="Y38" s="284">
        <v>22</v>
      </c>
      <c r="Z38" s="1324" t="s">
        <v>348</v>
      </c>
      <c r="AA38" s="1093">
        <f>'Rate Impacts - Rev Req ONLY'!N38</f>
        <v>0</v>
      </c>
      <c r="AB38" s="81">
        <f>'Rate Impacts - Rev Req ONLY'!O38</f>
        <v>0</v>
      </c>
      <c r="AC38" s="95">
        <f>SUM('Rev Req Proof Yr2'!AF95:AH95)</f>
        <v>0</v>
      </c>
      <c r="AD38" s="85">
        <f>IFERROR((AC38/AA38),0)</f>
        <v>0</v>
      </c>
      <c r="AE38" s="95">
        <f>SUM('Temps Proof'!AB95:AD95)</f>
        <v>0</v>
      </c>
      <c r="AF38" s="85">
        <f t="shared" si="14"/>
        <v>0</v>
      </c>
      <c r="AG38" s="1440">
        <f t="shared" si="15"/>
        <v>0</v>
      </c>
      <c r="AH38" s="1441">
        <f t="shared" si="16"/>
        <v>0</v>
      </c>
      <c r="AI38" s="81">
        <f t="shared" si="17"/>
        <v>0</v>
      </c>
      <c r="AJ38" s="81">
        <f t="shared" si="2"/>
        <v>0</v>
      </c>
      <c r="AK38" s="83">
        <f t="shared" si="3"/>
        <v>0</v>
      </c>
      <c r="AL38" s="84">
        <f t="shared" si="4"/>
        <v>0</v>
      </c>
      <c r="AM38" s="85">
        <f>'Avg Bill by RS'!BM35</f>
        <v>0</v>
      </c>
    </row>
    <row r="39" spans="1:39" x14ac:dyDescent="0.2">
      <c r="B39" s="284">
        <v>23</v>
      </c>
      <c r="C39" s="783" t="s">
        <v>391</v>
      </c>
      <c r="D39" s="80">
        <f>'Rate Impacts - Rev Req ONLY'!D39</f>
        <v>242994.60207180592</v>
      </c>
      <c r="E39" s="81">
        <f>'Rate Impacts - Rev Req ONLY'!E39</f>
        <v>242994.60207180592</v>
      </c>
      <c r="F39" s="95">
        <f>SUM('Rev Req Proof Yr1'!AF96:AH96)</f>
        <v>0</v>
      </c>
      <c r="G39" s="85">
        <f>IFERROR((F39/D39),0)</f>
        <v>0</v>
      </c>
      <c r="H39" s="95">
        <f>SUM('Rev Req Proof Yr1'!AM96:AO96)</f>
        <v>0</v>
      </c>
      <c r="I39" s="84">
        <f t="shared" si="5"/>
        <v>0</v>
      </c>
      <c r="J39" s="96">
        <f>SUM('Temps Proof'!T96:V96)</f>
        <v>0</v>
      </c>
      <c r="K39" s="85">
        <f t="shared" si="6"/>
        <v>0</v>
      </c>
      <c r="L39" s="96">
        <f>SUM('Temps Proof'!X96:Z96)</f>
        <v>0</v>
      </c>
      <c r="M39" s="84">
        <f t="shared" si="7"/>
        <v>0</v>
      </c>
      <c r="N39" s="1418">
        <f>SUM(F39,H39)</f>
        <v>0</v>
      </c>
      <c r="O39" s="1419">
        <f t="shared" si="9"/>
        <v>0</v>
      </c>
      <c r="P39" s="1420">
        <f t="shared" si="10"/>
        <v>0</v>
      </c>
      <c r="Q39" s="1421">
        <f t="shared" si="11"/>
        <v>0</v>
      </c>
      <c r="R39" s="81">
        <f t="shared" si="12"/>
        <v>242994.60207180592</v>
      </c>
      <c r="S39" s="81">
        <f t="shared" si="13"/>
        <v>242994.60207180592</v>
      </c>
      <c r="T39" s="83">
        <f t="shared" si="0"/>
        <v>0</v>
      </c>
      <c r="U39" s="84">
        <f t="shared" si="1"/>
        <v>0</v>
      </c>
      <c r="V39" s="85">
        <f>'Avg Bill by RS'!AH96</f>
        <v>0</v>
      </c>
      <c r="W39" s="84"/>
      <c r="X39" s="84"/>
      <c r="Y39" s="284">
        <v>23</v>
      </c>
      <c r="Z39" s="1324" t="s">
        <v>391</v>
      </c>
      <c r="AA39" s="1093">
        <f>'Rate Impacts - Rev Req ONLY'!N39</f>
        <v>242994.60207180592</v>
      </c>
      <c r="AB39" s="81">
        <f>'Rate Impacts - Rev Req ONLY'!O39</f>
        <v>242994.60207180592</v>
      </c>
      <c r="AC39" s="95">
        <f>SUM('Rev Req Proof Yr2'!AF96:AH96)</f>
        <v>0</v>
      </c>
      <c r="AD39" s="85">
        <f>IFERROR((AC39/AA39),0)</f>
        <v>0</v>
      </c>
      <c r="AE39" s="95">
        <f>SUM('Temps Proof'!AB96:AD96)</f>
        <v>0</v>
      </c>
      <c r="AF39" s="85">
        <f t="shared" si="14"/>
        <v>0</v>
      </c>
      <c r="AG39" s="1440">
        <f t="shared" si="15"/>
        <v>0</v>
      </c>
      <c r="AH39" s="1441">
        <f t="shared" si="16"/>
        <v>0</v>
      </c>
      <c r="AI39" s="81">
        <f t="shared" si="17"/>
        <v>242994.60207180592</v>
      </c>
      <c r="AJ39" s="81">
        <f t="shared" si="2"/>
        <v>242994.60207180592</v>
      </c>
      <c r="AK39" s="83">
        <f t="shared" si="3"/>
        <v>0</v>
      </c>
      <c r="AL39" s="84">
        <f t="shared" si="4"/>
        <v>0</v>
      </c>
      <c r="AM39" s="85">
        <f>'Avg Bill by RS'!BM36</f>
        <v>0</v>
      </c>
    </row>
    <row r="40" spans="1:39" ht="13.5" thickBot="1" x14ac:dyDescent="0.25">
      <c r="B40" s="53"/>
      <c r="C40" s="87"/>
      <c r="D40" s="54"/>
      <c r="E40" s="54"/>
      <c r="F40" s="53"/>
      <c r="G40" s="1038"/>
      <c r="H40" s="53"/>
      <c r="I40" s="1039"/>
      <c r="J40" s="1040"/>
      <c r="K40" s="1041"/>
      <c r="L40" s="1040"/>
      <c r="M40" s="1229"/>
      <c r="N40" s="1422"/>
      <c r="O40" s="1423"/>
      <c r="P40" s="1423"/>
      <c r="Q40" s="1424"/>
      <c r="R40" s="54"/>
      <c r="S40" s="54"/>
      <c r="T40" s="1052"/>
      <c r="U40" s="1053"/>
      <c r="V40" s="1054"/>
      <c r="W40" s="1343"/>
      <c r="X40" s="1343"/>
      <c r="Y40" s="53"/>
      <c r="Z40" s="1326"/>
      <c r="AA40" s="53"/>
      <c r="AB40" s="54"/>
      <c r="AC40" s="53"/>
      <c r="AD40" s="1038"/>
      <c r="AE40" s="53"/>
      <c r="AF40" s="1038"/>
      <c r="AG40" s="1442"/>
      <c r="AH40" s="1443"/>
      <c r="AI40" s="54"/>
      <c r="AJ40" s="54"/>
      <c r="AK40" s="1052"/>
      <c r="AL40" s="1053"/>
      <c r="AM40" s="1054"/>
    </row>
    <row r="41" spans="1:39" s="92" customFormat="1" x14ac:dyDescent="0.2">
      <c r="A41" s="56"/>
      <c r="B41" s="1033"/>
      <c r="C41" s="1452" t="s">
        <v>32</v>
      </c>
      <c r="D41" s="1026">
        <f>SUM(D17:D39)</f>
        <v>49604902.662138224</v>
      </c>
      <c r="E41" s="1027">
        <f>SUM(E17:E39)</f>
        <v>78333454.662138224</v>
      </c>
      <c r="F41" s="1191">
        <f>SUM(F17:F39)</f>
        <v>6717756.9231810682</v>
      </c>
      <c r="G41" s="1031">
        <f>IFERROR((F41/(D41-D39)),0)</f>
        <v>0.13609192162925537</v>
      </c>
      <c r="H41" s="1027">
        <f>SUM(H17:H39)</f>
        <v>-462278.66210878297</v>
      </c>
      <c r="I41" s="1481">
        <f>IFERROR((H41/(D41-D39)),0)</f>
        <v>-9.3650889983072708E-3</v>
      </c>
      <c r="J41" s="1045">
        <f>SUM(J17:J39)</f>
        <v>-1477662.7677191028</v>
      </c>
      <c r="K41" s="1031">
        <f>IFERROR((J41/(E41-E39)),0)</f>
        <v>-1.8922449254140633E-2</v>
      </c>
      <c r="L41" s="1045">
        <f>SUM(L17:L39)</f>
        <v>-875717.69437402359</v>
      </c>
      <c r="M41" s="1031">
        <f>IFERROR((L41/(E41-E39)),0)</f>
        <v>-1.1214144387168806E-2</v>
      </c>
      <c r="N41" s="1425">
        <f>SUM(N17:N39)</f>
        <v>6255478.2610722845</v>
      </c>
      <c r="O41" s="1426">
        <f>IFERROR((N41)/(D41-D39),0)</f>
        <v>0.12672683263094808</v>
      </c>
      <c r="P41" s="1427">
        <f>SUM(P17:P39)</f>
        <v>3902097.798979158</v>
      </c>
      <c r="Q41" s="1428">
        <f>IFERROR((P41)/(E41-E39),0)</f>
        <v>4.9968943658133182E-2</v>
      </c>
      <c r="R41" s="1032">
        <f>SUM(R17:R39)</f>
        <v>55860380.923210509</v>
      </c>
      <c r="S41" s="1090">
        <f>SUM(S17:S39)</f>
        <v>82235552.461117402</v>
      </c>
      <c r="T41" s="1029">
        <f>IFERROR(SUM((R41-R39)-SUM(D41-D39))/SUM(D41-D39),0)</f>
        <v>0.12672683263094811</v>
      </c>
      <c r="U41" s="1030">
        <f>IFERROR(SUM((S41-S39)-SUM(E41-E39))/SUM(E41-E39),0)</f>
        <v>4.9968943658133431E-2</v>
      </c>
      <c r="V41" s="1031"/>
      <c r="W41" s="1304"/>
      <c r="X41" s="1304"/>
      <c r="Y41" s="1033"/>
      <c r="Z41" s="1272" t="s">
        <v>32</v>
      </c>
      <c r="AA41" s="1094">
        <f>SUM(AA17:AA39)</f>
        <v>55860380.923210502</v>
      </c>
      <c r="AB41" s="1056">
        <f>SUM(AB17:AB39)</f>
        <v>84588932.923210517</v>
      </c>
      <c r="AC41" s="1193">
        <f>SUM(AC17:AC39)</f>
        <v>3150188.2762063476</v>
      </c>
      <c r="AD41" s="1057">
        <f>IFERROR((AC41/(AA41-AA39)),0)</f>
        <v>5.6640350879074743E-2</v>
      </c>
      <c r="AE41" s="1193">
        <f>SUM(AE17:AE39)</f>
        <v>-44306.090475598678</v>
      </c>
      <c r="AF41" s="1057">
        <f>IFERROR((AE41/(AB41-AB39)),0)</f>
        <v>-5.2529014861281973E-4</v>
      </c>
      <c r="AG41" s="1444">
        <f>SUM(AG17:AG39)</f>
        <v>5459262.6478238739</v>
      </c>
      <c r="AH41" s="1445">
        <f>IFERROR((AG41/(AB41-AB39)),0)</f>
        <v>6.4724665543920784E-2</v>
      </c>
      <c r="AI41" s="1055">
        <f>SUM(AI17:AI39)</f>
        <v>59010569.199416853</v>
      </c>
      <c r="AJ41" s="1056">
        <f>SUM(AJ17:AJ39)</f>
        <v>90048195.571034372</v>
      </c>
      <c r="AK41" s="1063">
        <f>IFERROR(SUM((AI41-AI39)-SUM(AA41-AA39))/SUM(AA41-AA39),0)</f>
        <v>5.6640350879074819E-2</v>
      </c>
      <c r="AL41" s="1058">
        <f>IFERROR(SUM((AJ41-AJ39)-SUM(AB41-AB39))/SUM(AB41-AB39),0)</f>
        <v>6.4724665543920562E-2</v>
      </c>
      <c r="AM41" s="1057"/>
    </row>
    <row r="42" spans="1:39" ht="15.75" thickBot="1" x14ac:dyDescent="0.3">
      <c r="A42" s="60"/>
      <c r="B42" s="1453"/>
      <c r="C42" s="1210"/>
      <c r="D42" s="1280"/>
      <c r="E42" s="1350"/>
      <c r="F42" s="1351" t="s">
        <v>582</v>
      </c>
      <c r="G42" s="1210"/>
      <c r="H42" s="1351" t="s">
        <v>582</v>
      </c>
      <c r="I42" s="1350"/>
      <c r="J42" s="1351" t="s">
        <v>582</v>
      </c>
      <c r="K42" s="1352"/>
      <c r="L42" s="1351" t="s">
        <v>582</v>
      </c>
      <c r="M42" s="1352"/>
      <c r="N42" s="1429" t="s">
        <v>582</v>
      </c>
      <c r="O42" s="1430"/>
      <c r="P42" s="1430" t="s">
        <v>582</v>
      </c>
      <c r="Q42" s="1431"/>
      <c r="R42" s="1279"/>
      <c r="S42" s="1091"/>
      <c r="T42" s="1353"/>
      <c r="U42" s="1209"/>
      <c r="V42" s="1313" t="s">
        <v>583</v>
      </c>
      <c r="W42" s="1403"/>
      <c r="X42" s="1344"/>
      <c r="Y42" s="1327"/>
      <c r="Z42" s="1328"/>
      <c r="AA42" s="1047"/>
      <c r="AB42" s="1046"/>
      <c r="AC42" s="1351" t="s">
        <v>488</v>
      </c>
      <c r="AD42" s="1048"/>
      <c r="AE42" s="1351" t="s">
        <v>488</v>
      </c>
      <c r="AF42" s="1210"/>
      <c r="AG42" s="1446" t="s">
        <v>488</v>
      </c>
      <c r="AH42" s="1447"/>
      <c r="AI42" s="1046"/>
      <c r="AJ42" s="1089"/>
      <c r="AK42" s="1281"/>
      <c r="AL42" s="89"/>
      <c r="AM42" s="1313" t="s">
        <v>500</v>
      </c>
    </row>
    <row r="43" spans="1:39" ht="6.95" customHeight="1" x14ac:dyDescent="0.2">
      <c r="D43" s="88"/>
      <c r="E43" s="88"/>
      <c r="F43" s="88"/>
      <c r="G43" s="88"/>
      <c r="H43" s="88"/>
      <c r="I43" s="88"/>
      <c r="J43" s="88"/>
      <c r="K43" s="88"/>
      <c r="L43" s="88"/>
      <c r="M43" s="88"/>
      <c r="N43" s="88"/>
      <c r="O43" s="1282" t="s">
        <v>555</v>
      </c>
      <c r="P43" s="88"/>
      <c r="Q43" s="88"/>
      <c r="R43" s="88"/>
    </row>
    <row r="44" spans="1:39" ht="12" customHeight="1" x14ac:dyDescent="0.2">
      <c r="B44" s="902" t="s">
        <v>579</v>
      </c>
      <c r="C44" s="898"/>
      <c r="D44" s="98"/>
      <c r="E44" s="99"/>
      <c r="F44" s="62"/>
      <c r="G44" s="62"/>
      <c r="H44" s="99"/>
      <c r="I44" s="62"/>
      <c r="J44" s="99"/>
      <c r="K44" s="99"/>
      <c r="L44" s="99"/>
      <c r="M44" s="99"/>
      <c r="N44" s="99"/>
      <c r="O44" s="99"/>
      <c r="P44" s="99"/>
      <c r="Q44" s="99"/>
      <c r="R44" s="62"/>
      <c r="S44" s="100"/>
      <c r="T44" s="580"/>
      <c r="U44" s="62"/>
      <c r="V44" s="62"/>
      <c r="W44" s="62"/>
      <c r="X44" s="62"/>
      <c r="Y44" s="902" t="s">
        <v>579</v>
      </c>
      <c r="Z44" s="898"/>
      <c r="AB44" s="967"/>
    </row>
    <row r="45" spans="1:39" ht="12" customHeight="1" x14ac:dyDescent="0.2">
      <c r="B45" s="902" t="s">
        <v>578</v>
      </c>
      <c r="C45" s="903"/>
      <c r="D45" s="98"/>
      <c r="E45" s="99"/>
      <c r="F45" s="100"/>
      <c r="G45" s="100"/>
      <c r="H45" s="99"/>
      <c r="I45" s="100"/>
      <c r="J45" s="99"/>
      <c r="K45" s="99"/>
      <c r="L45" s="99"/>
      <c r="M45" s="99"/>
      <c r="N45" s="99"/>
      <c r="O45" s="99"/>
      <c r="P45" s="99"/>
      <c r="Q45" s="99"/>
      <c r="R45" s="62"/>
      <c r="S45" s="1278"/>
      <c r="T45" s="580"/>
      <c r="U45" s="62"/>
      <c r="V45" s="62"/>
      <c r="W45" s="62"/>
      <c r="X45" s="62"/>
      <c r="Y45" s="902" t="s">
        <v>586</v>
      </c>
    </row>
    <row r="46" spans="1:39" ht="12" customHeight="1" x14ac:dyDescent="0.2">
      <c r="B46" s="902" t="s">
        <v>580</v>
      </c>
      <c r="D46" s="98"/>
      <c r="E46" s="99"/>
      <c r="F46" s="100"/>
      <c r="G46" s="100"/>
      <c r="H46" s="99"/>
      <c r="I46" s="100"/>
      <c r="J46" s="99"/>
      <c r="K46" s="99"/>
      <c r="L46" s="99"/>
      <c r="M46" s="99"/>
      <c r="N46" s="99"/>
      <c r="O46" s="99"/>
      <c r="P46" s="99"/>
      <c r="Q46" s="99"/>
      <c r="R46" s="62"/>
      <c r="S46" s="62"/>
      <c r="T46" s="62"/>
      <c r="U46" s="62"/>
      <c r="V46" s="62"/>
      <c r="W46" s="62"/>
      <c r="X46" s="62"/>
      <c r="Y46" s="902" t="s">
        <v>588</v>
      </c>
      <c r="Z46" s="898"/>
    </row>
    <row r="47" spans="1:39" ht="12" customHeight="1" x14ac:dyDescent="0.2">
      <c r="B47" s="902" t="s">
        <v>581</v>
      </c>
      <c r="D47" s="98"/>
      <c r="E47" s="99"/>
      <c r="F47" s="62"/>
      <c r="G47" s="62"/>
      <c r="H47" s="99"/>
      <c r="I47" s="62"/>
      <c r="J47" s="99"/>
      <c r="K47" s="99"/>
      <c r="L47" s="99"/>
      <c r="M47" s="99"/>
      <c r="N47" s="99"/>
      <c r="O47" s="99"/>
      <c r="P47" s="99"/>
      <c r="Q47" s="99"/>
      <c r="R47" s="62"/>
      <c r="S47" s="62"/>
      <c r="T47" s="62"/>
      <c r="U47" s="62"/>
      <c r="V47" s="62"/>
      <c r="W47" s="62"/>
      <c r="X47" s="62"/>
      <c r="Y47" s="902" t="s">
        <v>589</v>
      </c>
      <c r="Z47" s="903"/>
    </row>
    <row r="48" spans="1:39" ht="12" customHeight="1" x14ac:dyDescent="0.2">
      <c r="B48" s="902" t="s">
        <v>584</v>
      </c>
      <c r="C48" s="898"/>
      <c r="D48" s="98"/>
      <c r="E48" s="99"/>
      <c r="F48" s="62"/>
      <c r="G48" s="62"/>
      <c r="H48" s="99"/>
      <c r="I48" s="62"/>
      <c r="J48" s="99"/>
      <c r="K48" s="99"/>
      <c r="L48" s="99"/>
      <c r="M48" s="99"/>
      <c r="N48" s="99"/>
      <c r="O48" s="99"/>
      <c r="P48" s="99"/>
      <c r="Q48" s="99"/>
      <c r="R48" s="62"/>
      <c r="S48" s="62"/>
      <c r="T48" s="62"/>
      <c r="U48" s="62"/>
      <c r="V48" s="62"/>
      <c r="W48" s="62"/>
      <c r="X48" s="62"/>
      <c r="Y48" s="902" t="s">
        <v>587</v>
      </c>
    </row>
    <row r="49" spans="2:36" x14ac:dyDescent="0.2">
      <c r="B49" s="902" t="s">
        <v>585</v>
      </c>
      <c r="C49" s="903"/>
      <c r="D49" s="97"/>
      <c r="E49" s="62"/>
      <c r="F49" s="62"/>
      <c r="G49" s="62"/>
      <c r="H49" s="62"/>
      <c r="I49" s="62"/>
      <c r="J49" s="62"/>
      <c r="K49" s="62"/>
      <c r="L49" s="62"/>
      <c r="M49" s="62"/>
      <c r="N49" s="62"/>
      <c r="O49" s="62"/>
      <c r="P49" s="62"/>
      <c r="Q49" s="62"/>
      <c r="R49" s="62"/>
      <c r="S49" s="62"/>
      <c r="T49" s="62"/>
      <c r="U49" s="62"/>
      <c r="V49" s="62"/>
      <c r="W49" s="62"/>
      <c r="X49" s="62"/>
    </row>
    <row r="50" spans="2:36" ht="12.95" customHeight="1" x14ac:dyDescent="0.2">
      <c r="B50" s="902"/>
      <c r="C50" s="56"/>
      <c r="D50" s="97"/>
      <c r="E50" s="62"/>
      <c r="F50" s="62"/>
      <c r="G50" s="62"/>
      <c r="H50" s="62"/>
      <c r="I50" s="62"/>
      <c r="J50" s="62"/>
      <c r="K50" s="62"/>
      <c r="L50" s="62"/>
      <c r="M50" s="62"/>
      <c r="N50" s="62"/>
      <c r="O50" s="62"/>
      <c r="P50" s="62"/>
      <c r="Q50" s="62"/>
      <c r="R50" s="1329"/>
      <c r="S50" s="1329"/>
      <c r="T50" s="1329"/>
      <c r="U50" s="1329"/>
      <c r="V50" s="1329"/>
      <c r="W50" s="1329"/>
      <c r="X50" s="1329"/>
      <c r="Y50" s="1348"/>
      <c r="Z50" s="97"/>
      <c r="AA50" s="54"/>
      <c r="AB50" s="54"/>
      <c r="AC50" s="54"/>
      <c r="AD50" s="54"/>
      <c r="AE50" s="54"/>
      <c r="AF50" s="54"/>
      <c r="AG50" s="54"/>
      <c r="AH50" s="54"/>
      <c r="AI50" s="54"/>
      <c r="AJ50" s="54"/>
    </row>
    <row r="51" spans="2:36" ht="12" customHeight="1" x14ac:dyDescent="0.2">
      <c r="D51" s="97"/>
      <c r="E51" s="62"/>
      <c r="F51" s="62"/>
      <c r="G51" s="62"/>
      <c r="H51" s="62"/>
      <c r="I51" s="62"/>
      <c r="J51" s="62"/>
      <c r="K51" s="62"/>
      <c r="L51" s="62"/>
      <c r="M51" s="62"/>
      <c r="N51" s="62"/>
      <c r="O51" s="62"/>
      <c r="P51" s="62"/>
      <c r="Q51" s="62"/>
      <c r="R51" s="1329"/>
      <c r="S51" s="1329"/>
      <c r="T51" s="1329"/>
      <c r="U51" s="1329"/>
      <c r="V51" s="1329"/>
      <c r="W51" s="1329"/>
      <c r="X51" s="1329"/>
      <c r="Y51" s="1348"/>
      <c r="Z51" s="98"/>
      <c r="AA51" s="54"/>
      <c r="AB51" s="54"/>
      <c r="AC51" s="54"/>
      <c r="AD51" s="54"/>
      <c r="AE51" s="54"/>
      <c r="AF51" s="54"/>
      <c r="AG51" s="54"/>
      <c r="AH51" s="54"/>
      <c r="AI51" s="54"/>
      <c r="AJ51" s="54"/>
    </row>
    <row r="52" spans="2:36" ht="12" customHeight="1" x14ac:dyDescent="0.2">
      <c r="B52" s="1348"/>
      <c r="C52" s="98"/>
      <c r="D52" s="62"/>
      <c r="E52" s="62"/>
      <c r="F52" s="62"/>
      <c r="G52" s="62"/>
      <c r="H52" s="62"/>
      <c r="I52" s="62"/>
      <c r="J52" s="62"/>
      <c r="K52" s="62"/>
      <c r="L52" s="62"/>
      <c r="M52" s="62"/>
      <c r="N52" s="62"/>
      <c r="O52" s="62"/>
      <c r="P52" s="62"/>
      <c r="Q52" s="62"/>
      <c r="R52" s="1330"/>
      <c r="S52" s="1675"/>
      <c r="T52" s="1675"/>
      <c r="U52" s="1675"/>
      <c r="V52" s="1675"/>
      <c r="W52" s="1345"/>
      <c r="X52" s="1345"/>
      <c r="Y52" s="1348"/>
      <c r="Z52" s="98"/>
      <c r="AA52" s="1675"/>
      <c r="AB52" s="1675"/>
      <c r="AC52" s="1675"/>
      <c r="AD52" s="1675"/>
      <c r="AE52" s="54"/>
      <c r="AF52" s="1675"/>
      <c r="AG52" s="1675"/>
      <c r="AH52" s="54"/>
      <c r="AI52" s="1295"/>
      <c r="AJ52" s="1295"/>
    </row>
    <row r="53" spans="2:36" x14ac:dyDescent="0.2">
      <c r="R53" s="54"/>
      <c r="S53" s="1295"/>
      <c r="T53" s="1295"/>
      <c r="U53" s="1295"/>
      <c r="V53" s="1295"/>
      <c r="W53" s="1295"/>
      <c r="X53" s="1295"/>
      <c r="AA53" s="1295"/>
      <c r="AB53" s="1295"/>
      <c r="AC53" s="1295"/>
      <c r="AD53" s="1295"/>
      <c r="AE53" s="54"/>
      <c r="AF53" s="1295"/>
      <c r="AG53" s="1295"/>
      <c r="AH53" s="54"/>
      <c r="AI53" s="1295"/>
      <c r="AJ53" s="1295"/>
    </row>
    <row r="54" spans="2:36" x14ac:dyDescent="0.2">
      <c r="R54" s="54"/>
      <c r="S54" s="1331"/>
      <c r="T54" s="1331"/>
      <c r="U54" s="1331"/>
      <c r="V54" s="1332"/>
      <c r="W54" s="1332"/>
      <c r="X54" s="1332"/>
      <c r="AA54" s="1331"/>
      <c r="AB54" s="1331"/>
      <c r="AC54" s="1331"/>
      <c r="AD54" s="1332"/>
      <c r="AE54" s="54"/>
      <c r="AF54" s="1331"/>
      <c r="AG54" s="1332"/>
      <c r="AH54" s="54"/>
      <c r="AI54" s="1333"/>
      <c r="AJ54" s="1334"/>
    </row>
    <row r="55" spans="2:36" x14ac:dyDescent="0.2">
      <c r="F55" s="967"/>
      <c r="R55" s="54"/>
      <c r="S55" s="1331"/>
      <c r="T55" s="1331"/>
      <c r="U55" s="1331"/>
      <c r="V55" s="1332"/>
      <c r="W55" s="1332"/>
      <c r="X55" s="1332"/>
      <c r="AA55" s="1331"/>
      <c r="AB55" s="1331"/>
      <c r="AC55" s="1331"/>
      <c r="AD55" s="1332"/>
      <c r="AE55" s="54"/>
      <c r="AF55" s="1331"/>
      <c r="AG55" s="1332"/>
      <c r="AH55" s="54"/>
      <c r="AI55" s="1333"/>
      <c r="AJ55" s="1334"/>
    </row>
    <row r="56" spans="2:36" x14ac:dyDescent="0.2">
      <c r="R56" s="54"/>
      <c r="S56" s="1331"/>
      <c r="T56" s="1331"/>
      <c r="U56" s="1331"/>
      <c r="V56" s="1332"/>
      <c r="W56" s="1332"/>
      <c r="X56" s="1332"/>
      <c r="AA56" s="1331"/>
      <c r="AB56" s="1331"/>
      <c r="AC56" s="1331"/>
      <c r="AD56" s="1332"/>
      <c r="AE56" s="54"/>
      <c r="AF56" s="1331"/>
      <c r="AG56" s="1332"/>
      <c r="AH56" s="54"/>
      <c r="AI56" s="1333"/>
      <c r="AJ56" s="1334"/>
    </row>
    <row r="57" spans="2:36" x14ac:dyDescent="0.2">
      <c r="R57" s="54"/>
      <c r="S57" s="1331"/>
      <c r="T57" s="1331"/>
      <c r="U57" s="1331"/>
      <c r="V57" s="1332"/>
      <c r="W57" s="1332"/>
      <c r="X57" s="1332"/>
      <c r="AA57" s="1331"/>
      <c r="AB57" s="1331"/>
      <c r="AC57" s="1331"/>
      <c r="AD57" s="1332"/>
      <c r="AE57" s="54"/>
      <c r="AF57" s="1331"/>
      <c r="AG57" s="1332"/>
      <c r="AH57" s="54"/>
      <c r="AI57" s="1333"/>
      <c r="AJ57" s="1334"/>
    </row>
    <row r="58" spans="2:36" x14ac:dyDescent="0.2">
      <c r="R58" s="1335"/>
      <c r="S58" s="1331"/>
      <c r="T58" s="1331"/>
      <c r="U58" s="1331"/>
      <c r="V58" s="1332"/>
      <c r="W58" s="1332"/>
      <c r="X58" s="1332"/>
      <c r="AA58" s="1331"/>
      <c r="AB58" s="1331"/>
      <c r="AC58" s="1331"/>
      <c r="AD58" s="1332"/>
      <c r="AE58" s="54"/>
      <c r="AF58" s="1331"/>
      <c r="AG58" s="1332"/>
      <c r="AH58" s="54"/>
      <c r="AI58" s="1333"/>
      <c r="AJ58" s="1334"/>
    </row>
    <row r="59" spans="2:36" x14ac:dyDescent="0.2">
      <c r="R59" s="54"/>
      <c r="S59" s="1331"/>
      <c r="T59" s="1331"/>
      <c r="U59" s="1331"/>
      <c r="V59" s="1332"/>
      <c r="W59" s="1332"/>
      <c r="X59" s="1332"/>
      <c r="AA59" s="1331"/>
      <c r="AB59" s="1331"/>
      <c r="AC59" s="1331"/>
      <c r="AD59" s="1332"/>
      <c r="AE59" s="54"/>
      <c r="AF59" s="1331"/>
      <c r="AG59" s="1332"/>
      <c r="AH59" s="54"/>
      <c r="AI59" s="1336"/>
      <c r="AJ59" s="1337"/>
    </row>
    <row r="60" spans="2:36" x14ac:dyDescent="0.2">
      <c r="R60" s="54"/>
      <c r="S60" s="54"/>
      <c r="T60" s="54"/>
      <c r="U60" s="54"/>
      <c r="V60" s="54"/>
      <c r="W60" s="54"/>
      <c r="X60" s="54"/>
      <c r="AA60" s="54"/>
      <c r="AB60" s="54"/>
      <c r="AC60" s="54"/>
      <c r="AD60" s="54"/>
      <c r="AE60" s="54"/>
      <c r="AF60" s="54"/>
      <c r="AG60" s="54"/>
      <c r="AH60" s="54"/>
      <c r="AI60" s="54"/>
      <c r="AJ60" s="54"/>
    </row>
    <row r="61" spans="2:36" x14ac:dyDescent="0.2">
      <c r="R61" s="1335"/>
      <c r="S61" s="54"/>
      <c r="T61" s="54"/>
      <c r="U61" s="1338"/>
      <c r="V61" s="54"/>
      <c r="W61" s="54"/>
      <c r="X61" s="54"/>
      <c r="AA61" s="54"/>
      <c r="AB61" s="54"/>
      <c r="AC61" s="54"/>
      <c r="AD61" s="54"/>
      <c r="AE61" s="54"/>
      <c r="AF61" s="54"/>
      <c r="AG61" s="54"/>
      <c r="AH61" s="54"/>
      <c r="AI61" s="54"/>
      <c r="AJ61" s="54"/>
    </row>
    <row r="62" spans="2:36" x14ac:dyDescent="0.2">
      <c r="R62" s="54"/>
      <c r="S62" s="54"/>
      <c r="T62" s="54"/>
      <c r="U62" s="1338"/>
      <c r="V62" s="54"/>
      <c r="W62" s="54"/>
      <c r="X62" s="54"/>
      <c r="AA62" s="54"/>
      <c r="AB62" s="54"/>
      <c r="AC62" s="54"/>
      <c r="AD62" s="54"/>
      <c r="AE62" s="54"/>
      <c r="AF62" s="54"/>
      <c r="AG62" s="54"/>
      <c r="AH62" s="54"/>
      <c r="AI62" s="54"/>
      <c r="AJ62" s="54"/>
    </row>
    <row r="63" spans="2:36" x14ac:dyDescent="0.2">
      <c r="R63" s="1330"/>
      <c r="S63" s="1675"/>
      <c r="T63" s="1675"/>
      <c r="U63" s="1675"/>
      <c r="V63" s="1675"/>
      <c r="W63" s="1345"/>
      <c r="X63" s="1345"/>
      <c r="AA63" s="1675"/>
      <c r="AB63" s="1675"/>
      <c r="AC63" s="1675"/>
      <c r="AD63" s="1675"/>
      <c r="AE63" s="54"/>
      <c r="AF63" s="1675"/>
      <c r="AG63" s="1675"/>
      <c r="AH63" s="54"/>
      <c r="AI63" s="1295"/>
      <c r="AJ63" s="1295"/>
    </row>
    <row r="64" spans="2:36" x14ac:dyDescent="0.2">
      <c r="R64" s="54"/>
      <c r="S64" s="1295"/>
      <c r="T64" s="1295"/>
      <c r="U64" s="1295"/>
      <c r="V64" s="1295"/>
      <c r="W64" s="1295"/>
      <c r="X64" s="1295"/>
      <c r="AA64" s="1295"/>
      <c r="AB64" s="1295"/>
      <c r="AC64" s="1295"/>
      <c r="AD64" s="1295"/>
      <c r="AE64" s="54"/>
      <c r="AF64" s="1295"/>
      <c r="AG64" s="1295"/>
      <c r="AH64" s="54"/>
      <c r="AI64" s="1295"/>
      <c r="AJ64" s="1295"/>
    </row>
    <row r="65" spans="18:36" x14ac:dyDescent="0.2">
      <c r="R65" s="54"/>
      <c r="S65" s="1331"/>
      <c r="T65" s="1331"/>
      <c r="U65" s="1331"/>
      <c r="V65" s="1332"/>
      <c r="W65" s="1332"/>
      <c r="X65" s="1332"/>
      <c r="AA65" s="1331"/>
      <c r="AB65" s="1331"/>
      <c r="AC65" s="1331"/>
      <c r="AD65" s="1332"/>
      <c r="AE65" s="54"/>
      <c r="AF65" s="1331"/>
      <c r="AG65" s="1332"/>
      <c r="AH65" s="54"/>
      <c r="AI65" s="1339"/>
      <c r="AJ65" s="1334"/>
    </row>
    <row r="66" spans="18:36" x14ac:dyDescent="0.2">
      <c r="R66" s="54"/>
      <c r="S66" s="1331"/>
      <c r="T66" s="1331"/>
      <c r="U66" s="1331"/>
      <c r="V66" s="1332"/>
      <c r="W66" s="1332"/>
      <c r="X66" s="1332"/>
      <c r="AA66" s="1331"/>
      <c r="AB66" s="1331"/>
      <c r="AC66" s="1331"/>
      <c r="AD66" s="1332"/>
      <c r="AE66" s="54"/>
      <c r="AF66" s="1331"/>
      <c r="AG66" s="1332"/>
      <c r="AH66" s="54"/>
      <c r="AI66" s="1339"/>
      <c r="AJ66" s="1334"/>
    </row>
    <row r="67" spans="18:36" x14ac:dyDescent="0.2">
      <c r="R67" s="54"/>
      <c r="S67" s="1331"/>
      <c r="T67" s="1331"/>
      <c r="U67" s="1331"/>
      <c r="V67" s="1332"/>
      <c r="W67" s="1332"/>
      <c r="X67" s="1332"/>
      <c r="AA67" s="1331"/>
      <c r="AB67" s="1331"/>
      <c r="AC67" s="1331"/>
      <c r="AD67" s="1332"/>
      <c r="AE67" s="54"/>
      <c r="AF67" s="1331"/>
      <c r="AG67" s="1332"/>
      <c r="AH67" s="54"/>
      <c r="AI67" s="1339"/>
      <c r="AJ67" s="1334"/>
    </row>
    <row r="68" spans="18:36" x14ac:dyDescent="0.2">
      <c r="R68" s="54"/>
      <c r="S68" s="1331"/>
      <c r="T68" s="1331"/>
      <c r="U68" s="1331"/>
      <c r="V68" s="1332"/>
      <c r="W68" s="1332"/>
      <c r="X68" s="1332"/>
      <c r="AA68" s="1331"/>
      <c r="AB68" s="1331"/>
      <c r="AC68" s="1331"/>
      <c r="AD68" s="1332"/>
      <c r="AE68" s="54"/>
      <c r="AF68" s="1331"/>
      <c r="AG68" s="1332"/>
      <c r="AH68" s="54"/>
      <c r="AI68" s="1339"/>
      <c r="AJ68" s="1334"/>
    </row>
    <row r="69" spans="18:36" x14ac:dyDescent="0.2">
      <c r="R69" s="1335"/>
      <c r="S69" s="1331"/>
      <c r="T69" s="1331"/>
      <c r="U69" s="1331"/>
      <c r="V69" s="1332"/>
      <c r="W69" s="1332"/>
      <c r="X69" s="1332"/>
      <c r="AA69" s="1331"/>
      <c r="AB69" s="1331"/>
      <c r="AC69" s="1331"/>
      <c r="AD69" s="1332"/>
      <c r="AE69" s="54"/>
      <c r="AF69" s="1331"/>
      <c r="AG69" s="1332"/>
      <c r="AH69" s="54"/>
      <c r="AI69" s="1339"/>
      <c r="AJ69" s="1334"/>
    </row>
    <row r="70" spans="18:36" x14ac:dyDescent="0.2">
      <c r="R70" s="54"/>
      <c r="S70" s="1331"/>
      <c r="T70" s="1331"/>
      <c r="U70" s="1331"/>
      <c r="V70" s="1332"/>
      <c r="W70" s="1332"/>
      <c r="X70" s="1332"/>
      <c r="AA70" s="1331"/>
      <c r="AB70" s="1331"/>
      <c r="AC70" s="1331"/>
      <c r="AD70" s="1332"/>
      <c r="AE70" s="54"/>
      <c r="AF70" s="1331"/>
      <c r="AG70" s="1332"/>
      <c r="AH70" s="54"/>
      <c r="AI70" s="1339"/>
      <c r="AJ70" s="1337"/>
    </row>
    <row r="71" spans="18:36" x14ac:dyDescent="0.2">
      <c r="R71" s="54"/>
      <c r="S71" s="54"/>
      <c r="T71" s="54"/>
      <c r="U71" s="1338"/>
      <c r="V71" s="54"/>
      <c r="W71" s="54"/>
      <c r="X71" s="54"/>
      <c r="AA71" s="54"/>
      <c r="AB71" s="1338"/>
      <c r="AC71" s="1338"/>
      <c r="AD71" s="54"/>
      <c r="AE71" s="54"/>
      <c r="AF71" s="54"/>
      <c r="AG71" s="54"/>
      <c r="AH71" s="54"/>
      <c r="AI71" s="54"/>
      <c r="AJ71" s="54"/>
    </row>
    <row r="72" spans="18:36" x14ac:dyDescent="0.2">
      <c r="R72" s="1335"/>
      <c r="S72" s="54"/>
      <c r="T72" s="54"/>
      <c r="U72" s="1338"/>
      <c r="V72" s="54"/>
      <c r="W72" s="54"/>
      <c r="X72" s="54"/>
      <c r="AA72" s="54"/>
      <c r="AB72" s="54"/>
      <c r="AC72" s="1338"/>
      <c r="AD72" s="54"/>
      <c r="AE72" s="54"/>
      <c r="AF72" s="54"/>
      <c r="AG72" s="54"/>
      <c r="AH72" s="54"/>
      <c r="AI72" s="54"/>
      <c r="AJ72" s="54"/>
    </row>
    <row r="73" spans="18:36" x14ac:dyDescent="0.2">
      <c r="R73" s="54"/>
      <c r="S73" s="54"/>
      <c r="T73" s="54"/>
      <c r="U73" s="54"/>
      <c r="V73" s="54"/>
      <c r="W73" s="54"/>
      <c r="X73" s="54"/>
      <c r="AA73" s="54"/>
      <c r="AB73" s="54"/>
      <c r="AC73" s="54"/>
      <c r="AD73" s="54"/>
      <c r="AE73" s="54"/>
      <c r="AF73" s="54"/>
      <c r="AG73" s="54"/>
      <c r="AH73" s="54"/>
      <c r="AI73" s="54"/>
      <c r="AJ73" s="54"/>
    </row>
  </sheetData>
  <mergeCells count="26">
    <mergeCell ref="S63:V63"/>
    <mergeCell ref="AA63:AD63"/>
    <mergeCell ref="AF63:AG63"/>
    <mergeCell ref="AA11:AM11"/>
    <mergeCell ref="AE12:AF12"/>
    <mergeCell ref="AG12:AH12"/>
    <mergeCell ref="AK12:AM12"/>
    <mergeCell ref="S52:V52"/>
    <mergeCell ref="AA52:AD52"/>
    <mergeCell ref="AF52:AG52"/>
    <mergeCell ref="D11:V11"/>
    <mergeCell ref="F12:G12"/>
    <mergeCell ref="H12:I12"/>
    <mergeCell ref="J12:K12"/>
    <mergeCell ref="L12:M12"/>
    <mergeCell ref="N12:Q12"/>
    <mergeCell ref="T12:V12"/>
    <mergeCell ref="AC12:AD12"/>
    <mergeCell ref="S1:U1"/>
    <mergeCell ref="AJ1:AL1"/>
    <mergeCell ref="S2:S3"/>
    <mergeCell ref="T2:T3"/>
    <mergeCell ref="U2:U3"/>
    <mergeCell ref="AJ2:AJ3"/>
    <mergeCell ref="AK2:AK3"/>
    <mergeCell ref="AL2:AL3"/>
  </mergeCells>
  <printOptions verticalCentered="1"/>
  <pageMargins left="0.25" right="0.25" top="0.5" bottom="0.5" header="0.25" footer="0.25"/>
  <pageSetup scale="49" orientation="landscape" r:id="rId1"/>
  <headerFooter alignWithMargins="0">
    <oddHeader>&amp;RExh. RJW-3 Wyman WP1</oddHeader>
    <oddFooter xml:space="preserve">&amp;C&amp;F &amp;D &amp;T
&amp;A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workbookViewId="0">
      <pane xSplit="4" ySplit="14" topLeftCell="E15" activePane="bottomRight" state="frozen"/>
      <selection pane="topRight" activeCell="E1" sqref="E1"/>
      <selection pane="bottomLeft" activeCell="A16" sqref="A16"/>
      <selection pane="bottomRight" activeCell="Q21" sqref="Q21"/>
    </sheetView>
  </sheetViews>
  <sheetFormatPr defaultColWidth="9.33203125" defaultRowHeight="12.75" x14ac:dyDescent="0.2"/>
  <cols>
    <col min="1" max="1" width="5.83203125" style="56" customWidth="1"/>
    <col min="2" max="2" width="17.83203125" style="86" customWidth="1"/>
    <col min="3" max="3" width="11.83203125" style="86" customWidth="1"/>
    <col min="4" max="4" width="14.5" style="86" bestFit="1" customWidth="1"/>
    <col min="5" max="5" width="19.83203125" style="56" customWidth="1"/>
    <col min="6" max="6" width="19.83203125" style="56" hidden="1" customWidth="1"/>
    <col min="7" max="7" width="3.6640625" style="55" customWidth="1"/>
    <col min="8" max="8" width="14.6640625" style="56" customWidth="1"/>
    <col min="9" max="9" width="15.83203125" style="56" customWidth="1"/>
    <col min="10" max="10" width="3.6640625" style="55" customWidth="1"/>
    <col min="11" max="11" width="14.6640625" style="56" hidden="1" customWidth="1"/>
    <col min="12" max="12" width="15.83203125" style="56" hidden="1" customWidth="1"/>
    <col min="13" max="13" width="3.6640625" style="55" customWidth="1"/>
    <col min="14" max="14" width="14.6640625" style="56" customWidth="1"/>
    <col min="15" max="15" width="14.6640625" style="56" hidden="1" customWidth="1"/>
    <col min="16" max="16" width="3.6640625" style="55" customWidth="1"/>
    <col min="17" max="18" width="19.6640625" style="56" customWidth="1"/>
    <col min="19" max="19" width="3.6640625" style="55" customWidth="1"/>
    <col min="20" max="20" width="12.1640625" style="56" bestFit="1" customWidth="1"/>
    <col min="21" max="24" width="9.33203125" style="56"/>
    <col min="25" max="25" width="11.6640625" style="56" bestFit="1" customWidth="1"/>
    <col min="26" max="26" width="9.33203125" style="56"/>
    <col min="27" max="27" width="11" style="56" customWidth="1"/>
    <col min="28" max="28" width="14.1640625" style="56" bestFit="1" customWidth="1"/>
    <col min="29" max="29" width="15.33203125" style="56" customWidth="1"/>
    <col min="30" max="16384" width="9.33203125" style="56"/>
  </cols>
  <sheetData>
    <row r="1" spans="1:25" ht="15" x14ac:dyDescent="0.2">
      <c r="A1" s="1483" t="s">
        <v>0</v>
      </c>
    </row>
    <row r="2" spans="1:25" ht="15" x14ac:dyDescent="0.2">
      <c r="A2" s="1483" t="s">
        <v>1</v>
      </c>
    </row>
    <row r="3" spans="1:25" ht="15" x14ac:dyDescent="0.2">
      <c r="A3" s="1484" t="s">
        <v>273</v>
      </c>
    </row>
    <row r="4" spans="1:25" ht="15" x14ac:dyDescent="0.2">
      <c r="A4" s="1484" t="s">
        <v>622</v>
      </c>
    </row>
    <row r="5" spans="1:25" ht="15" x14ac:dyDescent="0.2">
      <c r="A5" s="1484" t="s">
        <v>623</v>
      </c>
    </row>
    <row r="6" spans="1:25" ht="15" x14ac:dyDescent="0.25">
      <c r="A6" s="415" t="s">
        <v>275</v>
      </c>
    </row>
    <row r="7" spans="1:25" ht="15" x14ac:dyDescent="0.25">
      <c r="A7" s="665"/>
    </row>
    <row r="8" spans="1:25" x14ac:dyDescent="0.2">
      <c r="A8" s="681"/>
      <c r="O8" s="59" t="str">
        <f>K9</f>
        <v>2020-21</v>
      </c>
    </row>
    <row r="9" spans="1:25" x14ac:dyDescent="0.2">
      <c r="A9" s="86">
        <v>1</v>
      </c>
      <c r="B9" s="610"/>
      <c r="F9" s="59" t="s">
        <v>243</v>
      </c>
      <c r="H9" s="59" t="str">
        <f>E10</f>
        <v>Test</v>
      </c>
      <c r="I9" s="442" t="s">
        <v>557</v>
      </c>
      <c r="K9" s="59" t="str">
        <f>F9</f>
        <v>2020-21</v>
      </c>
      <c r="L9" s="59" t="s">
        <v>236</v>
      </c>
      <c r="N9" s="442" t="str">
        <f>I9</f>
        <v>UG-20XXXX</v>
      </c>
      <c r="O9" s="59" t="s">
        <v>236</v>
      </c>
      <c r="Q9" s="61"/>
      <c r="R9" s="61"/>
      <c r="S9" s="86"/>
    </row>
    <row r="10" spans="1:25" x14ac:dyDescent="0.2">
      <c r="A10" s="86">
        <f>+A9+1</f>
        <v>2</v>
      </c>
      <c r="B10" s="610"/>
      <c r="E10" s="59" t="s">
        <v>97</v>
      </c>
      <c r="F10" s="59" t="s">
        <v>236</v>
      </c>
      <c r="H10" s="59" t="str">
        <f>E11</f>
        <v>Year Ended</v>
      </c>
      <c r="I10" s="59" t="s">
        <v>81</v>
      </c>
      <c r="K10" s="59" t="s">
        <v>236</v>
      </c>
      <c r="L10" s="59" t="s">
        <v>81</v>
      </c>
      <c r="M10" s="58"/>
      <c r="N10" s="59" t="s">
        <v>69</v>
      </c>
      <c r="O10" s="59" t="s">
        <v>69</v>
      </c>
      <c r="P10" s="58"/>
      <c r="Q10" s="518" t="s">
        <v>18</v>
      </c>
      <c r="R10" s="518" t="str">
        <f>Q10</f>
        <v>Current</v>
      </c>
      <c r="S10" s="497"/>
    </row>
    <row r="11" spans="1:25" x14ac:dyDescent="0.2">
      <c r="A11" s="86">
        <f t="shared" ref="A11:A74" si="0">+A10+1</f>
        <v>3</v>
      </c>
      <c r="B11" s="682"/>
      <c r="E11" s="59" t="s">
        <v>88</v>
      </c>
      <c r="F11" s="59" t="s">
        <v>248</v>
      </c>
      <c r="H11" s="59" t="str">
        <f>E12</f>
        <v>Sep. 30, 2020</v>
      </c>
      <c r="I11" s="59" t="s">
        <v>70</v>
      </c>
      <c r="K11" s="701">
        <f>F12</f>
        <v>44002</v>
      </c>
      <c r="L11" s="59" t="s">
        <v>70</v>
      </c>
      <c r="M11" s="58"/>
      <c r="N11" s="701" t="s">
        <v>70</v>
      </c>
      <c r="O11" s="701" t="s">
        <v>70</v>
      </c>
      <c r="P11" s="58"/>
      <c r="Q11" s="58" t="s">
        <v>86</v>
      </c>
      <c r="R11" s="59" t="s">
        <v>32</v>
      </c>
      <c r="S11" s="58"/>
    </row>
    <row r="12" spans="1:25" ht="13.5" thickBot="1" x14ac:dyDescent="0.25">
      <c r="A12" s="86">
        <f t="shared" si="0"/>
        <v>4</v>
      </c>
      <c r="E12" s="683" t="s">
        <v>274</v>
      </c>
      <c r="F12" s="703">
        <v>44002</v>
      </c>
      <c r="G12" s="58"/>
      <c r="H12" s="172" t="s">
        <v>510</v>
      </c>
      <c r="I12" s="172" t="s">
        <v>76</v>
      </c>
      <c r="J12" s="58"/>
      <c r="K12" s="172" t="s">
        <v>75</v>
      </c>
      <c r="L12" s="172" t="s">
        <v>76</v>
      </c>
      <c r="M12" s="58"/>
      <c r="N12" s="172" t="s">
        <v>71</v>
      </c>
      <c r="O12" s="172" t="s">
        <v>71</v>
      </c>
      <c r="P12" s="58"/>
      <c r="Q12" s="172" t="s">
        <v>31</v>
      </c>
      <c r="R12" s="172" t="s">
        <v>31</v>
      </c>
      <c r="S12" s="58"/>
      <c r="T12" s="172" t="s">
        <v>284</v>
      </c>
    </row>
    <row r="13" spans="1:25" x14ac:dyDescent="0.2">
      <c r="A13" s="86">
        <f t="shared" si="0"/>
        <v>5</v>
      </c>
      <c r="G13" s="58"/>
      <c r="I13" s="670" t="s">
        <v>351</v>
      </c>
      <c r="J13" s="58"/>
      <c r="L13" s="670" t="s">
        <v>350</v>
      </c>
      <c r="M13" s="700"/>
      <c r="P13" s="700"/>
      <c r="Q13" s="670"/>
    </row>
    <row r="14" spans="1:25" x14ac:dyDescent="0.2">
      <c r="A14" s="86">
        <f t="shared" si="0"/>
        <v>6</v>
      </c>
      <c r="B14" s="501" t="s">
        <v>2</v>
      </c>
      <c r="C14" s="501" t="s">
        <v>3</v>
      </c>
      <c r="D14" s="501" t="s">
        <v>57</v>
      </c>
      <c r="E14" s="501" t="s">
        <v>35</v>
      </c>
      <c r="F14" s="501" t="s">
        <v>36</v>
      </c>
      <c r="G14" s="58"/>
      <c r="H14" s="501" t="s">
        <v>13</v>
      </c>
      <c r="I14" s="501" t="s">
        <v>37</v>
      </c>
      <c r="J14" s="58"/>
      <c r="K14" s="501" t="s">
        <v>38</v>
      </c>
      <c r="L14" s="501" t="s">
        <v>39</v>
      </c>
      <c r="M14" s="58"/>
      <c r="N14" s="501" t="s">
        <v>38</v>
      </c>
      <c r="O14" s="501" t="s">
        <v>38</v>
      </c>
      <c r="P14" s="58"/>
      <c r="Q14" s="501" t="s">
        <v>40</v>
      </c>
      <c r="R14" s="501" t="s">
        <v>41</v>
      </c>
      <c r="S14" s="58"/>
      <c r="T14" s="501" t="s">
        <v>42</v>
      </c>
      <c r="W14" s="168" t="s">
        <v>521</v>
      </c>
    </row>
    <row r="15" spans="1:25" x14ac:dyDescent="0.2">
      <c r="A15" s="86">
        <f t="shared" si="0"/>
        <v>7</v>
      </c>
      <c r="B15" s="161" t="s">
        <v>281</v>
      </c>
      <c r="C15" s="161" t="s">
        <v>283</v>
      </c>
      <c r="D15" s="161" t="s">
        <v>281</v>
      </c>
      <c r="E15" s="1110">
        <v>214704.20066131229</v>
      </c>
      <c r="F15" s="691">
        <v>218577.4</v>
      </c>
      <c r="G15" s="385"/>
      <c r="H15" s="692">
        <v>911</v>
      </c>
      <c r="I15" s="391">
        <f t="shared" ref="I15:I20" si="1">IF(H15&lt;&gt;0,ROUND(+E15/H15/12,5),0)</f>
        <v>19.639970000000002</v>
      </c>
      <c r="J15" s="385"/>
      <c r="K15" s="692">
        <v>909</v>
      </c>
      <c r="L15" s="391">
        <f t="shared" ref="L15:L20" si="2">IF(K15&lt;&gt;0,ROUND(+F15/K15/12,0),0)</f>
        <v>20</v>
      </c>
      <c r="M15" s="385"/>
      <c r="N15" s="746">
        <v>5.5</v>
      </c>
      <c r="O15" s="748">
        <v>5.5</v>
      </c>
      <c r="P15" s="385"/>
      <c r="Q15" s="272">
        <f>ROUND(E15*'Rates in Detail'!E13,0)</f>
        <v>145254</v>
      </c>
      <c r="R15" s="272">
        <f>'Rate Spread Proposal'!E$15</f>
        <v>208635.1321174161</v>
      </c>
      <c r="T15" s="56" t="s">
        <v>264</v>
      </c>
      <c r="W15" s="56" t="s">
        <v>264</v>
      </c>
      <c r="Y15" s="1244">
        <f>SUMIF($T$15:$T$83,W15,$H$15:$H$83)</f>
        <v>82030</v>
      </c>
    </row>
    <row r="16" spans="1:25" x14ac:dyDescent="0.2">
      <c r="A16" s="86">
        <f t="shared" si="0"/>
        <v>8</v>
      </c>
      <c r="B16" s="161" t="s">
        <v>282</v>
      </c>
      <c r="C16" s="161" t="s">
        <v>283</v>
      </c>
      <c r="D16" s="161" t="s">
        <v>282</v>
      </c>
      <c r="E16" s="1110">
        <v>46539.057144390383</v>
      </c>
      <c r="F16" s="691">
        <v>38726</v>
      </c>
      <c r="G16" s="385"/>
      <c r="H16" s="692">
        <v>34</v>
      </c>
      <c r="I16" s="391">
        <f t="shared" si="1"/>
        <v>114.06632</v>
      </c>
      <c r="J16" s="385"/>
      <c r="K16" s="692">
        <v>35</v>
      </c>
      <c r="L16" s="391">
        <f t="shared" si="2"/>
        <v>92</v>
      </c>
      <c r="M16" s="385"/>
      <c r="N16" s="746">
        <v>7</v>
      </c>
      <c r="O16" s="748">
        <v>7</v>
      </c>
      <c r="P16" s="385"/>
      <c r="Q16" s="695">
        <f>ROUND(E16*'Rates in Detail'!E14,0)</f>
        <v>34043</v>
      </c>
      <c r="R16" s="695">
        <f>'Rate Spread Proposal'!F$15</f>
        <v>37604.380821902283</v>
      </c>
      <c r="T16" s="56" t="s">
        <v>26</v>
      </c>
      <c r="W16" s="56" t="s">
        <v>26</v>
      </c>
      <c r="Y16" s="1244">
        <f t="shared" ref="Y16:Y17" si="3">SUMIF($T$15:$T$83,W16,$H$15:$H$83)</f>
        <v>7237.916666666667</v>
      </c>
    </row>
    <row r="17" spans="1:28" x14ac:dyDescent="0.2">
      <c r="A17" s="86">
        <f t="shared" si="0"/>
        <v>9</v>
      </c>
      <c r="B17" s="1001" t="s">
        <v>12</v>
      </c>
      <c r="C17" s="1001" t="s">
        <v>283</v>
      </c>
      <c r="D17" s="1001" t="s">
        <v>12</v>
      </c>
      <c r="E17" s="1111">
        <v>54953515.785084128</v>
      </c>
      <c r="F17" s="693">
        <v>55009539.100000001</v>
      </c>
      <c r="G17" s="385"/>
      <c r="H17" s="694">
        <v>81119</v>
      </c>
      <c r="I17" s="391">
        <f t="shared" si="1"/>
        <v>56.453600000000002</v>
      </c>
      <c r="J17" s="385"/>
      <c r="K17" s="694">
        <v>80451</v>
      </c>
      <c r="L17" s="391">
        <f t="shared" si="2"/>
        <v>57</v>
      </c>
      <c r="M17" s="385"/>
      <c r="N17" s="747">
        <v>8</v>
      </c>
      <c r="O17" s="749">
        <v>8</v>
      </c>
      <c r="P17" s="385"/>
      <c r="Q17" s="695">
        <f>ROUND(E17*'Rates in Detail'!E15,0)</f>
        <v>25177503</v>
      </c>
      <c r="R17" s="695">
        <f>'Rate Spread Proposal'!G$15</f>
        <v>33798099.589697547</v>
      </c>
      <c r="S17" s="702"/>
      <c r="T17" s="56" t="s">
        <v>264</v>
      </c>
      <c r="W17" s="56" t="s">
        <v>145</v>
      </c>
      <c r="Y17" s="466">
        <f t="shared" si="3"/>
        <v>72.833333333333329</v>
      </c>
    </row>
    <row r="18" spans="1:28" x14ac:dyDescent="0.2">
      <c r="A18" s="86">
        <f t="shared" si="0"/>
        <v>10</v>
      </c>
      <c r="B18" s="1001" t="s">
        <v>10</v>
      </c>
      <c r="C18" s="1001" t="s">
        <v>283</v>
      </c>
      <c r="D18" s="1001" t="s">
        <v>10</v>
      </c>
      <c r="E18" s="1111">
        <v>17867210.60654201</v>
      </c>
      <c r="F18" s="693">
        <v>18385904.899999999</v>
      </c>
      <c r="G18" s="385"/>
      <c r="H18" s="694">
        <v>6318</v>
      </c>
      <c r="I18" s="391">
        <f t="shared" si="1"/>
        <v>235.66542999999999</v>
      </c>
      <c r="J18" s="385"/>
      <c r="K18" s="694">
        <v>6333</v>
      </c>
      <c r="L18" s="391">
        <f t="shared" si="2"/>
        <v>242</v>
      </c>
      <c r="M18" s="385"/>
      <c r="N18" s="747">
        <v>22</v>
      </c>
      <c r="O18" s="749">
        <v>22</v>
      </c>
      <c r="P18" s="385"/>
      <c r="Q18" s="695">
        <f>ROUND(E18*'Rates in Detail'!E16,0)</f>
        <v>7927324</v>
      </c>
      <c r="R18" s="695">
        <f>'Rate Spread Proposal'!H$15</f>
        <v>9866168.0688334089</v>
      </c>
      <c r="S18" s="702"/>
      <c r="T18" s="56" t="s">
        <v>26</v>
      </c>
      <c r="Y18" s="1245">
        <f>SUM(Y15:Y17)</f>
        <v>89340.75</v>
      </c>
    </row>
    <row r="19" spans="1:28" x14ac:dyDescent="0.2">
      <c r="A19" s="86">
        <f t="shared" si="0"/>
        <v>11</v>
      </c>
      <c r="B19" s="1001" t="s">
        <v>11</v>
      </c>
      <c r="C19" s="1001" t="s">
        <v>283</v>
      </c>
      <c r="D19" s="1001" t="s">
        <v>11</v>
      </c>
      <c r="E19" s="1111">
        <v>283651.99999999994</v>
      </c>
      <c r="F19" s="693">
        <v>263842</v>
      </c>
      <c r="G19" s="385"/>
      <c r="H19" s="694">
        <f>I90</f>
        <v>24.25</v>
      </c>
      <c r="I19" s="391">
        <f t="shared" si="1"/>
        <v>974.74914000000001</v>
      </c>
      <c r="J19" s="385"/>
      <c r="K19" s="694">
        <v>24</v>
      </c>
      <c r="L19" s="391">
        <f t="shared" si="2"/>
        <v>916</v>
      </c>
      <c r="M19" s="385"/>
      <c r="N19" s="747">
        <v>22</v>
      </c>
      <c r="O19" s="749">
        <v>22</v>
      </c>
      <c r="P19" s="385"/>
      <c r="Q19" s="695">
        <f>ROUND(E19*'Rates in Detail'!E17,0)</f>
        <v>131186</v>
      </c>
      <c r="R19" s="695">
        <f>'Rate Spread Proposal'!I$15</f>
        <v>141888.72505190157</v>
      </c>
      <c r="S19" s="702"/>
      <c r="T19" s="56" t="s">
        <v>145</v>
      </c>
    </row>
    <row r="20" spans="1:28" x14ac:dyDescent="0.2">
      <c r="A20" s="86">
        <f t="shared" si="0"/>
        <v>12</v>
      </c>
      <c r="B20" s="161" t="s">
        <v>470</v>
      </c>
      <c r="C20" s="161" t="s">
        <v>283</v>
      </c>
      <c r="D20" s="161" t="s">
        <v>470</v>
      </c>
      <c r="E20" s="1111">
        <v>461371.76933137607</v>
      </c>
      <c r="F20" s="693">
        <v>591910</v>
      </c>
      <c r="G20" s="385"/>
      <c r="H20" s="692">
        <v>776</v>
      </c>
      <c r="I20" s="391">
        <f t="shared" si="1"/>
        <v>49.545940000000002</v>
      </c>
      <c r="J20" s="385"/>
      <c r="K20" s="692">
        <v>755</v>
      </c>
      <c r="L20" s="391">
        <f t="shared" si="2"/>
        <v>65</v>
      </c>
      <c r="M20" s="385"/>
      <c r="N20" s="746">
        <v>9</v>
      </c>
      <c r="O20" s="749">
        <v>9</v>
      </c>
      <c r="P20" s="385"/>
      <c r="Q20" s="695">
        <f>ROUND(E20*'Rates in Detail'!E18,0)</f>
        <v>111135</v>
      </c>
      <c r="R20" s="695">
        <f>'Rate Spread Proposal'!J$15</f>
        <v>201938.20437801833</v>
      </c>
      <c r="S20" s="702"/>
      <c r="T20" s="56" t="s">
        <v>26</v>
      </c>
    </row>
    <row r="21" spans="1:28" x14ac:dyDescent="0.2">
      <c r="A21" s="86">
        <f t="shared" si="0"/>
        <v>13</v>
      </c>
      <c r="B21" s="86" t="s">
        <v>285</v>
      </c>
      <c r="C21" s="1490" t="s">
        <v>4</v>
      </c>
      <c r="D21" s="86" t="s">
        <v>289</v>
      </c>
      <c r="E21" s="696">
        <v>1777065.1510316674</v>
      </c>
      <c r="F21" s="696">
        <v>1992236.2</v>
      </c>
      <c r="G21" s="385"/>
      <c r="H21" s="690">
        <v>91</v>
      </c>
      <c r="I21" s="697">
        <f>IF(H21&lt;&gt;0,ROUND(SUM(E21:E22)/H21/12,0))</f>
        <v>3436</v>
      </c>
      <c r="J21" s="385"/>
      <c r="K21" s="690">
        <v>92</v>
      </c>
      <c r="L21" s="697">
        <f>IF(K21&lt;&gt;0,ROUND(SUM(F21:F22)/K21/12,0))</f>
        <v>3745</v>
      </c>
      <c r="M21" s="385"/>
      <c r="N21" s="751">
        <v>250</v>
      </c>
      <c r="O21" s="750">
        <v>250</v>
      </c>
      <c r="P21" s="385"/>
      <c r="Q21" s="698">
        <f>ROUND((E21*'Rates in Detail'!E19)+(E22*'Rates in Detail'!E20),0)</f>
        <v>1212467</v>
      </c>
      <c r="R21" s="698">
        <f>'Rate Spread Proposal'!K15</f>
        <v>1542348.175315036</v>
      </c>
      <c r="S21" s="702"/>
      <c r="T21" s="56" t="s">
        <v>26</v>
      </c>
    </row>
    <row r="22" spans="1:28" x14ac:dyDescent="0.2">
      <c r="A22" s="86">
        <f t="shared" si="0"/>
        <v>14</v>
      </c>
      <c r="B22" s="161"/>
      <c r="C22" s="1491" t="s">
        <v>5</v>
      </c>
      <c r="D22" s="161" t="s">
        <v>290</v>
      </c>
      <c r="E22" s="691">
        <v>1974656.4658023661</v>
      </c>
      <c r="F22" s="691">
        <v>2142067.7000000002</v>
      </c>
      <c r="G22" s="385"/>
      <c r="H22" s="692"/>
      <c r="I22" s="397"/>
      <c r="J22" s="385"/>
      <c r="K22" s="692"/>
      <c r="L22" s="397"/>
      <c r="M22" s="385"/>
      <c r="N22" s="746"/>
      <c r="O22" s="692"/>
      <c r="P22" s="385"/>
      <c r="Q22" s="658"/>
      <c r="R22" s="699"/>
      <c r="S22" s="659"/>
      <c r="W22" s="56" t="s">
        <v>264</v>
      </c>
      <c r="Y22" s="493">
        <f>H15+H17</f>
        <v>82030</v>
      </c>
    </row>
    <row r="23" spans="1:28" x14ac:dyDescent="0.2">
      <c r="A23" s="86">
        <f t="shared" si="0"/>
        <v>15</v>
      </c>
      <c r="B23" s="86" t="s">
        <v>293</v>
      </c>
      <c r="C23" s="1490" t="s">
        <v>4</v>
      </c>
      <c r="D23" s="86" t="s">
        <v>295</v>
      </c>
      <c r="E23" s="696">
        <v>392890.20000000007</v>
      </c>
      <c r="F23" s="696">
        <v>399967</v>
      </c>
      <c r="G23" s="385"/>
      <c r="H23" s="690">
        <f>I91</f>
        <v>17.833333333333332</v>
      </c>
      <c r="I23" s="697">
        <f>IF(H23&lt;&gt;0,ROUND(SUM(E23:E24)/H23/12,0))</f>
        <v>4741</v>
      </c>
      <c r="J23" s="385"/>
      <c r="K23" s="690">
        <v>18</v>
      </c>
      <c r="L23" s="697">
        <f>IF(K23&lt;&gt;0,ROUND(SUM(F23:F24)/K23/12,0),0)</f>
        <v>4770</v>
      </c>
      <c r="M23" s="385"/>
      <c r="N23" s="751">
        <v>250</v>
      </c>
      <c r="O23" s="751">
        <v>250</v>
      </c>
      <c r="P23" s="385"/>
      <c r="Q23" s="698">
        <f>ROUND((E23*'Rates in Detail'!E21)+(E24*'Rates in Detail'!E22),0)</f>
        <v>323732</v>
      </c>
      <c r="R23" s="698">
        <f>'Rate Spread Proposal'!L15</f>
        <v>392614.2804678994</v>
      </c>
      <c r="S23" s="702"/>
      <c r="T23" s="56" t="s">
        <v>145</v>
      </c>
      <c r="W23" s="56" t="s">
        <v>26</v>
      </c>
      <c r="X23" s="1213"/>
      <c r="Y23" s="493">
        <f>H16+H18+H21+H20+H33</f>
        <v>7224</v>
      </c>
    </row>
    <row r="24" spans="1:28" x14ac:dyDescent="0.2">
      <c r="A24" s="86">
        <f t="shared" si="0"/>
        <v>16</v>
      </c>
      <c r="B24" s="161"/>
      <c r="C24" s="1491" t="s">
        <v>5</v>
      </c>
      <c r="D24" s="161" t="s">
        <v>294</v>
      </c>
      <c r="E24" s="691">
        <v>621650.00000000012</v>
      </c>
      <c r="F24" s="691">
        <v>630361</v>
      </c>
      <c r="G24" s="385"/>
      <c r="H24" s="692"/>
      <c r="I24" s="397"/>
      <c r="J24" s="385"/>
      <c r="K24" s="692"/>
      <c r="L24" s="397"/>
      <c r="M24" s="385"/>
      <c r="N24" s="746"/>
      <c r="O24" s="692"/>
      <c r="P24" s="385"/>
      <c r="Q24" s="658"/>
      <c r="R24" s="699"/>
      <c r="S24" s="659"/>
      <c r="W24" s="56" t="s">
        <v>540</v>
      </c>
      <c r="Y24" s="493">
        <f>H19+H23+H39</f>
        <v>53.999999999999993</v>
      </c>
    </row>
    <row r="25" spans="1:28" x14ac:dyDescent="0.2">
      <c r="A25" s="86">
        <f t="shared" si="0"/>
        <v>17</v>
      </c>
      <c r="B25" s="86" t="s">
        <v>287</v>
      </c>
      <c r="C25" s="1490" t="s">
        <v>4</v>
      </c>
      <c r="D25" s="86" t="s">
        <v>291</v>
      </c>
      <c r="E25" s="696">
        <v>0</v>
      </c>
      <c r="F25" s="696">
        <v>0</v>
      </c>
      <c r="G25" s="385"/>
      <c r="H25" s="690">
        <v>0</v>
      </c>
      <c r="I25" s="697">
        <f>IF(H25&lt;&gt;0,ROUND(SUM(E25:E26)/H25/12,0),0)</f>
        <v>0</v>
      </c>
      <c r="J25" s="385"/>
      <c r="K25" s="690">
        <v>0</v>
      </c>
      <c r="L25" s="697">
        <f>IF(K25&lt;&gt;0,ROUND(SUM(F25:F26)/K25/12,0),0)</f>
        <v>0</v>
      </c>
      <c r="M25" s="385"/>
      <c r="N25" s="751">
        <v>250</v>
      </c>
      <c r="O25" s="751">
        <v>250</v>
      </c>
      <c r="P25" s="385"/>
      <c r="Q25" s="698">
        <f>ROUND((E25*'Rates in Detail'!E23)+(E26*'Rates in Detail'!E24),0)</f>
        <v>0</v>
      </c>
      <c r="R25" s="698">
        <f>'Rate Spread Proposal'!M15</f>
        <v>0</v>
      </c>
      <c r="S25" s="702"/>
      <c r="T25" s="56" t="s">
        <v>26</v>
      </c>
      <c r="W25" s="56" t="s">
        <v>541</v>
      </c>
      <c r="Y25" s="493">
        <f>H25+H27+H57+H63+H83</f>
        <v>4.9166666666666696</v>
      </c>
    </row>
    <row r="26" spans="1:28" x14ac:dyDescent="0.2">
      <c r="A26" s="86">
        <f t="shared" si="0"/>
        <v>18</v>
      </c>
      <c r="B26" s="161"/>
      <c r="C26" s="1491" t="s">
        <v>5</v>
      </c>
      <c r="D26" s="161" t="s">
        <v>292</v>
      </c>
      <c r="E26" s="691">
        <v>0</v>
      </c>
      <c r="F26" s="691">
        <v>0</v>
      </c>
      <c r="G26" s="385"/>
      <c r="H26" s="692"/>
      <c r="I26" s="397"/>
      <c r="J26" s="385"/>
      <c r="K26" s="692"/>
      <c r="L26" s="397"/>
      <c r="M26" s="385"/>
      <c r="N26" s="746"/>
      <c r="O26" s="692"/>
      <c r="P26" s="385"/>
      <c r="Q26" s="658"/>
      <c r="R26" s="699"/>
      <c r="S26" s="659"/>
      <c r="W26" s="56" t="s">
        <v>137</v>
      </c>
      <c r="Y26" s="366">
        <f>H29+H31+H45+H51+H69+H75+H81+H82</f>
        <v>27.833333333333336</v>
      </c>
    </row>
    <row r="27" spans="1:28" x14ac:dyDescent="0.2">
      <c r="A27" s="86">
        <f t="shared" si="0"/>
        <v>19</v>
      </c>
      <c r="B27" s="86" t="s">
        <v>299</v>
      </c>
      <c r="C27" s="1490" t="s">
        <v>4</v>
      </c>
      <c r="D27" s="86" t="s">
        <v>301</v>
      </c>
      <c r="E27" s="696">
        <v>0</v>
      </c>
      <c r="F27" s="696">
        <v>0</v>
      </c>
      <c r="G27" s="385"/>
      <c r="H27" s="690">
        <v>0</v>
      </c>
      <c r="I27" s="697">
        <f>IF(H27&lt;&gt;0,ROUND(SUM(E27:E28)/H27/12,0),0)</f>
        <v>0</v>
      </c>
      <c r="J27" s="385"/>
      <c r="K27" s="690">
        <v>0</v>
      </c>
      <c r="L27" s="697">
        <f>IF(K27&lt;&gt;0,ROUND(SUM(F27:F28)/K27/12,0),0)</f>
        <v>0</v>
      </c>
      <c r="M27" s="385"/>
      <c r="N27" s="751">
        <v>250</v>
      </c>
      <c r="O27" s="751">
        <v>250</v>
      </c>
      <c r="P27" s="385"/>
      <c r="Q27" s="698">
        <f>ROUND((E27*'Rates in Detail'!E25)+(E28*'Rates in Detail'!E26),0)</f>
        <v>0</v>
      </c>
      <c r="R27" s="698">
        <f>'Rate Spread Proposal'!N15</f>
        <v>0</v>
      </c>
      <c r="S27" s="702"/>
      <c r="T27" s="56" t="s">
        <v>145</v>
      </c>
      <c r="Y27" s="493">
        <f>SUM(Y22:Y26)</f>
        <v>89340.75</v>
      </c>
    </row>
    <row r="28" spans="1:28" x14ac:dyDescent="0.2">
      <c r="A28" s="86">
        <f t="shared" si="0"/>
        <v>20</v>
      </c>
      <c r="B28" s="161"/>
      <c r="C28" s="1491" t="s">
        <v>5</v>
      </c>
      <c r="D28" s="161" t="s">
        <v>302</v>
      </c>
      <c r="E28" s="691">
        <v>0</v>
      </c>
      <c r="F28" s="691">
        <v>0</v>
      </c>
      <c r="G28" s="385"/>
      <c r="H28" s="692"/>
      <c r="I28" s="397"/>
      <c r="J28" s="385"/>
      <c r="K28" s="692"/>
      <c r="L28" s="397"/>
      <c r="M28" s="385"/>
      <c r="N28" s="746"/>
      <c r="O28" s="692"/>
      <c r="P28" s="385"/>
      <c r="Q28" s="658"/>
      <c r="R28" s="699"/>
      <c r="S28" s="659"/>
      <c r="Y28" s="56" t="b">
        <f>Y18=Y27</f>
        <v>1</v>
      </c>
    </row>
    <row r="29" spans="1:28" x14ac:dyDescent="0.2">
      <c r="A29" s="86">
        <f t="shared" si="0"/>
        <v>21</v>
      </c>
      <c r="B29" s="86" t="s">
        <v>306</v>
      </c>
      <c r="C29" s="1490" t="s">
        <v>4</v>
      </c>
      <c r="D29" s="86" t="s">
        <v>307</v>
      </c>
      <c r="E29" s="696">
        <v>168721</v>
      </c>
      <c r="F29" s="696">
        <v>169264</v>
      </c>
      <c r="G29" s="385"/>
      <c r="H29" s="690">
        <f>I94</f>
        <v>7.916666666666667</v>
      </c>
      <c r="I29" s="697">
        <f>IF(H29&lt;&gt;0,ROUND(SUM(E29:E30)/H29/12,0),0)</f>
        <v>4648</v>
      </c>
      <c r="J29" s="385"/>
      <c r="K29" s="690">
        <v>8</v>
      </c>
      <c r="L29" s="697">
        <f>IF(K29&lt;&gt;0,ROUND(SUM(F29:F30)/K29/12,0),0)</f>
        <v>4482</v>
      </c>
      <c r="M29" s="385"/>
      <c r="N29" s="751">
        <v>500</v>
      </c>
      <c r="O29" s="751">
        <v>500</v>
      </c>
      <c r="P29" s="385"/>
      <c r="Q29" s="698">
        <f>ROUND((E29*'Rates in Detail'!E27)+(E30*'Rates in Detail'!E28),0)</f>
        <v>142341</v>
      </c>
      <c r="R29" s="698">
        <f>'Rate Spread Proposal'!O15</f>
        <v>189841.33809000003</v>
      </c>
      <c r="S29" s="702"/>
      <c r="T29" s="56" t="s">
        <v>26</v>
      </c>
    </row>
    <row r="30" spans="1:28" x14ac:dyDescent="0.2">
      <c r="A30" s="86">
        <f t="shared" si="0"/>
        <v>22</v>
      </c>
      <c r="B30" s="161"/>
      <c r="C30" s="1491" t="s">
        <v>5</v>
      </c>
      <c r="D30" s="161" t="s">
        <v>308</v>
      </c>
      <c r="E30" s="691">
        <v>272866</v>
      </c>
      <c r="F30" s="691">
        <v>260994</v>
      </c>
      <c r="G30" s="385"/>
      <c r="H30" s="692"/>
      <c r="I30" s="397"/>
      <c r="J30" s="385"/>
      <c r="K30" s="692"/>
      <c r="L30" s="397"/>
      <c r="M30" s="385"/>
      <c r="N30" s="746"/>
      <c r="O30" s="692"/>
      <c r="P30" s="385"/>
      <c r="Q30" s="658"/>
      <c r="R30" s="699"/>
      <c r="S30" s="659"/>
      <c r="W30" s="55"/>
      <c r="X30" s="58"/>
      <c r="Y30" s="58"/>
      <c r="Z30" s="55"/>
      <c r="AA30" s="55"/>
      <c r="AB30" s="55"/>
    </row>
    <row r="31" spans="1:28" x14ac:dyDescent="0.2">
      <c r="A31" s="86">
        <f t="shared" si="0"/>
        <v>23</v>
      </c>
      <c r="B31" s="86" t="s">
        <v>296</v>
      </c>
      <c r="C31" s="1490" t="s">
        <v>4</v>
      </c>
      <c r="D31" s="86" t="s">
        <v>303</v>
      </c>
      <c r="E31" s="696">
        <v>0</v>
      </c>
      <c r="F31" s="696">
        <v>0</v>
      </c>
      <c r="G31" s="385"/>
      <c r="H31" s="690">
        <v>0</v>
      </c>
      <c r="I31" s="697">
        <f>IF(H31&lt;&gt;0,ROUND(SUM(E31:E32)/H31/12,0),0)</f>
        <v>0</v>
      </c>
      <c r="J31" s="385"/>
      <c r="K31" s="690">
        <v>0</v>
      </c>
      <c r="L31" s="697">
        <f>IF(K31&lt;&gt;0,ROUND(SUM(F31:F32)/K31/12,0),0)</f>
        <v>0</v>
      </c>
      <c r="M31" s="385"/>
      <c r="N31" s="751">
        <v>500</v>
      </c>
      <c r="O31" s="751">
        <v>500</v>
      </c>
      <c r="P31" s="385"/>
      <c r="Q31" s="698">
        <f>ROUND((E31*'Rates in Detail'!E29)+(E32*'Rates in Detail'!E30),0)</f>
        <v>0</v>
      </c>
      <c r="R31" s="698">
        <f>'Rate Spread Proposal'!P15</f>
        <v>0</v>
      </c>
      <c r="S31" s="702"/>
      <c r="T31" s="56" t="s">
        <v>145</v>
      </c>
      <c r="W31" s="55"/>
      <c r="X31" s="1300"/>
      <c r="Y31" s="1300"/>
      <c r="Z31" s="55"/>
      <c r="AA31" s="55"/>
      <c r="AB31" s="55"/>
    </row>
    <row r="32" spans="1:28" x14ac:dyDescent="0.2">
      <c r="A32" s="86">
        <f t="shared" si="0"/>
        <v>24</v>
      </c>
      <c r="B32" s="161"/>
      <c r="C32" s="1491" t="s">
        <v>5</v>
      </c>
      <c r="D32" s="161" t="s">
        <v>304</v>
      </c>
      <c r="E32" s="691">
        <v>0</v>
      </c>
      <c r="F32" s="691">
        <v>0</v>
      </c>
      <c r="G32" s="385"/>
      <c r="H32" s="692"/>
      <c r="I32" s="397"/>
      <c r="J32" s="385"/>
      <c r="K32" s="692"/>
      <c r="L32" s="397"/>
      <c r="M32" s="385"/>
      <c r="N32" s="746"/>
      <c r="O32" s="692"/>
      <c r="P32" s="385"/>
      <c r="Q32" s="658"/>
      <c r="R32" s="699"/>
      <c r="S32" s="659"/>
      <c r="W32" s="55"/>
      <c r="X32" s="1300"/>
      <c r="Y32" s="1300"/>
      <c r="Z32" s="55"/>
      <c r="AA32" s="55"/>
      <c r="AB32" s="55"/>
    </row>
    <row r="33" spans="1:29" x14ac:dyDescent="0.2">
      <c r="A33" s="86">
        <f t="shared" si="0"/>
        <v>25</v>
      </c>
      <c r="B33" s="86" t="s">
        <v>286</v>
      </c>
      <c r="C33" s="1490" t="s">
        <v>4</v>
      </c>
      <c r="D33" s="86" t="s">
        <v>44</v>
      </c>
      <c r="E33" s="696">
        <v>350769.66174469434</v>
      </c>
      <c r="F33" s="696">
        <v>542975.5</v>
      </c>
      <c r="G33" s="385"/>
      <c r="H33" s="690">
        <v>5</v>
      </c>
      <c r="I33" s="697">
        <f>IF(H33&lt;&gt;0,ROUND(SUM(E33:E38)/H33/12,0))</f>
        <v>11949</v>
      </c>
      <c r="J33" s="385"/>
      <c r="K33" s="690">
        <v>5</v>
      </c>
      <c r="L33" s="697">
        <f>IF(K33&lt;&gt;0,ROUND(SUM(F33:F38)/K33/12,0))</f>
        <v>18685</v>
      </c>
      <c r="M33" s="385"/>
      <c r="N33" s="751">
        <v>1300</v>
      </c>
      <c r="O33" s="751">
        <v>1300</v>
      </c>
      <c r="P33" s="385"/>
      <c r="Q33" s="698">
        <f>ROUND((E33*'Rates in Detail'!E31)+(E34*'Rates in Detail'!E32)+(E35*'Rates in Detail'!E33)+(E36*'Rates in Detail'!E34)+(E37*'Rates in Detail'!E35)+(E38*'Rates in Detail'!E36),0)</f>
        <v>101365</v>
      </c>
      <c r="R33" s="698">
        <f>'Rate Spread Proposal'!Q15</f>
        <v>219574.60083981926</v>
      </c>
      <c r="S33" s="702"/>
      <c r="T33" s="56" t="s">
        <v>26</v>
      </c>
      <c r="W33" s="55"/>
      <c r="X33" s="1300"/>
      <c r="Y33" s="1300"/>
      <c r="Z33" s="55"/>
      <c r="AA33" s="86"/>
      <c r="AB33" s="86"/>
    </row>
    <row r="34" spans="1:29" x14ac:dyDescent="0.2">
      <c r="A34" s="86">
        <f t="shared" si="0"/>
        <v>26</v>
      </c>
      <c r="C34" s="1490" t="s">
        <v>5</v>
      </c>
      <c r="D34" s="86" t="s">
        <v>45</v>
      </c>
      <c r="E34" s="696">
        <v>303088.75426472601</v>
      </c>
      <c r="F34" s="696">
        <v>474167</v>
      </c>
      <c r="G34" s="385"/>
      <c r="H34" s="690"/>
      <c r="I34" s="385"/>
      <c r="J34" s="385"/>
      <c r="K34" s="690"/>
      <c r="L34" s="385"/>
      <c r="M34" s="385"/>
      <c r="N34" s="751"/>
      <c r="O34" s="690"/>
      <c r="P34" s="385"/>
      <c r="Q34" s="659"/>
      <c r="R34" s="702"/>
      <c r="S34" s="659"/>
      <c r="W34" s="55"/>
      <c r="X34" s="1300"/>
      <c r="Y34" s="1300"/>
      <c r="Z34" s="425"/>
      <c r="AA34" s="86"/>
      <c r="AB34" s="86"/>
      <c r="AC34" s="55"/>
    </row>
    <row r="35" spans="1:29" x14ac:dyDescent="0.2">
      <c r="A35" s="86">
        <f t="shared" si="0"/>
        <v>27</v>
      </c>
      <c r="C35" s="1490" t="s">
        <v>6</v>
      </c>
      <c r="D35" s="86" t="s">
        <v>46</v>
      </c>
      <c r="E35" s="696">
        <v>59441.942130257296</v>
      </c>
      <c r="F35" s="696">
        <v>97890.5</v>
      </c>
      <c r="G35" s="385"/>
      <c r="H35" s="690"/>
      <c r="I35" s="385"/>
      <c r="J35" s="385"/>
      <c r="K35" s="690"/>
      <c r="L35" s="385"/>
      <c r="M35" s="385"/>
      <c r="N35" s="751"/>
      <c r="O35" s="690"/>
      <c r="P35" s="385"/>
      <c r="Q35" s="659"/>
      <c r="R35" s="702"/>
      <c r="S35" s="659"/>
      <c r="W35" s="55"/>
      <c r="X35" s="55"/>
      <c r="Y35" s="55"/>
      <c r="Z35" s="1301"/>
      <c r="AA35" s="300"/>
      <c r="AB35" s="474"/>
      <c r="AC35" s="154"/>
    </row>
    <row r="36" spans="1:29" x14ac:dyDescent="0.2">
      <c r="A36" s="86">
        <f t="shared" si="0"/>
        <v>28</v>
      </c>
      <c r="C36" s="1490" t="s">
        <v>7</v>
      </c>
      <c r="D36" s="86" t="s">
        <v>47</v>
      </c>
      <c r="E36" s="696">
        <v>3614.6071898605187</v>
      </c>
      <c r="F36" s="696">
        <v>6094</v>
      </c>
      <c r="G36" s="385"/>
      <c r="H36" s="690"/>
      <c r="I36" s="385"/>
      <c r="J36" s="385"/>
      <c r="K36" s="690"/>
      <c r="L36" s="385"/>
      <c r="M36" s="385"/>
      <c r="N36" s="751"/>
      <c r="O36" s="690"/>
      <c r="P36" s="385"/>
      <c r="Q36" s="659"/>
      <c r="R36" s="702"/>
      <c r="S36" s="659"/>
      <c r="W36" s="55"/>
      <c r="X36" s="55"/>
      <c r="Y36" s="55"/>
      <c r="Z36" s="1301"/>
      <c r="AA36" s="300"/>
      <c r="AB36" s="474"/>
      <c r="AC36" s="154"/>
    </row>
    <row r="37" spans="1:29" x14ac:dyDescent="0.2">
      <c r="A37" s="86">
        <f t="shared" si="0"/>
        <v>29</v>
      </c>
      <c r="C37" s="1490" t="s">
        <v>8</v>
      </c>
      <c r="D37" s="86" t="s">
        <v>48</v>
      </c>
      <c r="E37" s="696">
        <v>0</v>
      </c>
      <c r="F37" s="696">
        <v>0</v>
      </c>
      <c r="G37" s="385"/>
      <c r="H37" s="690"/>
      <c r="I37" s="385"/>
      <c r="J37" s="385"/>
      <c r="K37" s="690"/>
      <c r="L37" s="385"/>
      <c r="M37" s="385"/>
      <c r="N37" s="751"/>
      <c r="O37" s="690"/>
      <c r="P37" s="385"/>
      <c r="Q37" s="659"/>
      <c r="R37" s="702"/>
      <c r="S37" s="659"/>
      <c r="W37" s="55"/>
      <c r="X37" s="55"/>
      <c r="Y37" s="55"/>
      <c r="Z37" s="1301"/>
      <c r="AA37" s="300"/>
      <c r="AB37" s="474"/>
      <c r="AC37" s="154"/>
    </row>
    <row r="38" spans="1:29" x14ac:dyDescent="0.2">
      <c r="A38" s="86">
        <f t="shared" si="0"/>
        <v>30</v>
      </c>
      <c r="B38" s="161"/>
      <c r="C38" s="1491" t="s">
        <v>9</v>
      </c>
      <c r="D38" s="161" t="s">
        <v>49</v>
      </c>
      <c r="E38" s="691">
        <v>0</v>
      </c>
      <c r="F38" s="691">
        <v>0</v>
      </c>
      <c r="G38" s="385"/>
      <c r="H38" s="692"/>
      <c r="I38" s="397"/>
      <c r="J38" s="385"/>
      <c r="K38" s="692"/>
      <c r="L38" s="397"/>
      <c r="M38" s="385"/>
      <c r="N38" s="746"/>
      <c r="O38" s="692"/>
      <c r="P38" s="385"/>
      <c r="Q38" s="658"/>
      <c r="R38" s="699"/>
      <c r="S38" s="659"/>
      <c r="W38" s="55"/>
      <c r="X38" s="55"/>
      <c r="Y38" s="55"/>
      <c r="Z38" s="1301"/>
      <c r="AA38" s="300"/>
      <c r="AB38" s="474"/>
      <c r="AC38" s="154"/>
    </row>
    <row r="39" spans="1:29" x14ac:dyDescent="0.2">
      <c r="A39" s="86">
        <f t="shared" si="0"/>
        <v>31</v>
      </c>
      <c r="B39" s="86" t="s">
        <v>305</v>
      </c>
      <c r="C39" s="1490" t="s">
        <v>4</v>
      </c>
      <c r="D39" s="86" t="s">
        <v>50</v>
      </c>
      <c r="E39" s="696">
        <v>1093724.2000000002</v>
      </c>
      <c r="F39" s="696">
        <v>1086353</v>
      </c>
      <c r="G39" s="385"/>
      <c r="H39" s="690">
        <f>I96</f>
        <v>11.916666666666666</v>
      </c>
      <c r="I39" s="697">
        <f>IF(H39&lt;&gt;0,ROUND(SUM(E39:E44)/H39/12,0))</f>
        <v>12869</v>
      </c>
      <c r="J39" s="385"/>
      <c r="K39" s="690">
        <v>11</v>
      </c>
      <c r="L39" s="697">
        <f>IF(K39&lt;&gt;0,ROUND(SUM(F39:F44)/K39/12,0))</f>
        <v>13593</v>
      </c>
      <c r="M39" s="385"/>
      <c r="N39" s="751">
        <v>1300</v>
      </c>
      <c r="O39" s="751">
        <v>1300</v>
      </c>
      <c r="P39" s="385"/>
      <c r="Q39" s="698">
        <f>ROUND((E39*'Rates in Detail'!E37)+(E40*'Rates in Detail'!E38)+(E41*'Rates in Detail'!E39)+(E42*'Rates in Detail'!E40)+(E43*'Rates in Detail'!E41)+(E44*'Rates in Detail'!E42),0)</f>
        <v>256403</v>
      </c>
      <c r="R39" s="698">
        <f>'Rate Spread Proposal'!R15</f>
        <v>511672.37933789124</v>
      </c>
      <c r="S39" s="702"/>
      <c r="T39" s="56" t="s">
        <v>145</v>
      </c>
      <c r="W39" s="55"/>
      <c r="X39" s="55"/>
      <c r="Y39" s="55"/>
      <c r="Z39" s="1301"/>
      <c r="AA39" s="300"/>
      <c r="AB39" s="474"/>
      <c r="AC39" s="154"/>
    </row>
    <row r="40" spans="1:29" x14ac:dyDescent="0.2">
      <c r="A40" s="86">
        <f t="shared" si="0"/>
        <v>32</v>
      </c>
      <c r="C40" s="1490" t="s">
        <v>5</v>
      </c>
      <c r="D40" s="86" t="s">
        <v>51</v>
      </c>
      <c r="E40" s="696">
        <v>655939.80000000005</v>
      </c>
      <c r="F40" s="696">
        <v>638955</v>
      </c>
      <c r="G40" s="385"/>
      <c r="H40" s="690"/>
      <c r="I40" s="385"/>
      <c r="J40" s="385"/>
      <c r="K40" s="690"/>
      <c r="L40" s="385"/>
      <c r="M40" s="385"/>
      <c r="N40" s="751"/>
      <c r="O40" s="690"/>
      <c r="P40" s="385"/>
      <c r="Q40" s="659"/>
      <c r="R40" s="702"/>
      <c r="S40" s="659"/>
      <c r="W40" s="293"/>
      <c r="X40" s="55"/>
      <c r="Y40" s="55"/>
      <c r="Z40" s="1301"/>
      <c r="AA40" s="300"/>
      <c r="AB40" s="474"/>
      <c r="AC40" s="154"/>
    </row>
    <row r="41" spans="1:29" x14ac:dyDescent="0.2">
      <c r="A41" s="86">
        <f t="shared" si="0"/>
        <v>33</v>
      </c>
      <c r="C41" s="1490" t="s">
        <v>6</v>
      </c>
      <c r="D41" s="86" t="s">
        <v>52</v>
      </c>
      <c r="E41" s="696">
        <v>81241.3</v>
      </c>
      <c r="F41" s="696">
        <v>68923</v>
      </c>
      <c r="G41" s="385"/>
      <c r="H41" s="690"/>
      <c r="I41" s="385"/>
      <c r="J41" s="385"/>
      <c r="K41" s="690"/>
      <c r="L41" s="385"/>
      <c r="M41" s="385"/>
      <c r="N41" s="751"/>
      <c r="O41" s="690"/>
      <c r="P41" s="385"/>
      <c r="Q41" s="659"/>
      <c r="R41" s="702"/>
      <c r="S41" s="659"/>
      <c r="W41" s="55"/>
      <c r="X41" s="55"/>
      <c r="Y41" s="55"/>
      <c r="Z41" s="55"/>
      <c r="AA41" s="55"/>
      <c r="AB41" s="474"/>
      <c r="AC41" s="55"/>
    </row>
    <row r="42" spans="1:29" x14ac:dyDescent="0.2">
      <c r="A42" s="86">
        <f t="shared" si="0"/>
        <v>34</v>
      </c>
      <c r="C42" s="1490" t="s">
        <v>7</v>
      </c>
      <c r="D42" s="86" t="s">
        <v>53</v>
      </c>
      <c r="E42" s="696">
        <v>9320.1</v>
      </c>
      <c r="F42" s="696">
        <v>0</v>
      </c>
      <c r="G42" s="385"/>
      <c r="H42" s="690"/>
      <c r="I42" s="385"/>
      <c r="J42" s="385"/>
      <c r="K42" s="690"/>
      <c r="L42" s="385"/>
      <c r="M42" s="385"/>
      <c r="N42" s="751"/>
      <c r="O42" s="690"/>
      <c r="P42" s="385"/>
      <c r="Q42" s="659"/>
      <c r="R42" s="702"/>
      <c r="S42" s="659"/>
      <c r="W42" s="55"/>
      <c r="X42" s="55"/>
      <c r="Y42" s="55"/>
      <c r="Z42" s="55"/>
      <c r="AA42" s="55"/>
      <c r="AB42" s="55"/>
    </row>
    <row r="43" spans="1:29" x14ac:dyDescent="0.2">
      <c r="A43" s="86">
        <f t="shared" si="0"/>
        <v>35</v>
      </c>
      <c r="C43" s="1490" t="s">
        <v>8</v>
      </c>
      <c r="D43" s="86" t="s">
        <v>54</v>
      </c>
      <c r="E43" s="696">
        <v>0</v>
      </c>
      <c r="F43" s="696">
        <v>0</v>
      </c>
      <c r="G43" s="385"/>
      <c r="H43" s="690"/>
      <c r="I43" s="385"/>
      <c r="J43" s="385"/>
      <c r="K43" s="690"/>
      <c r="L43" s="385"/>
      <c r="M43" s="385"/>
      <c r="N43" s="751"/>
      <c r="O43" s="690"/>
      <c r="P43" s="385"/>
      <c r="Q43" s="659"/>
      <c r="R43" s="702"/>
      <c r="S43" s="659"/>
    </row>
    <row r="44" spans="1:29" x14ac:dyDescent="0.2">
      <c r="A44" s="86">
        <f t="shared" si="0"/>
        <v>36</v>
      </c>
      <c r="B44" s="161"/>
      <c r="C44" s="1491" t="s">
        <v>9</v>
      </c>
      <c r="D44" s="161" t="s">
        <v>55</v>
      </c>
      <c r="E44" s="691">
        <v>0</v>
      </c>
      <c r="F44" s="691">
        <v>0</v>
      </c>
      <c r="G44" s="385"/>
      <c r="H44" s="692"/>
      <c r="I44" s="397"/>
      <c r="J44" s="385"/>
      <c r="K44" s="692"/>
      <c r="L44" s="397"/>
      <c r="M44" s="385"/>
      <c r="N44" s="746"/>
      <c r="O44" s="692"/>
      <c r="P44" s="385"/>
      <c r="Q44" s="658"/>
      <c r="R44" s="699"/>
      <c r="S44" s="659"/>
    </row>
    <row r="45" spans="1:29" x14ac:dyDescent="0.2">
      <c r="A45" s="86">
        <f t="shared" si="0"/>
        <v>37</v>
      </c>
      <c r="B45" s="86" t="s">
        <v>297</v>
      </c>
      <c r="C45" s="1490" t="s">
        <v>4</v>
      </c>
      <c r="D45" s="86" t="s">
        <v>309</v>
      </c>
      <c r="E45" s="696">
        <v>480000</v>
      </c>
      <c r="F45" s="696">
        <v>479847</v>
      </c>
      <c r="G45" s="385"/>
      <c r="H45" s="690">
        <f>I97</f>
        <v>4</v>
      </c>
      <c r="I45" s="697">
        <f>IF(H45&lt;&gt;0,ROUND(SUM(E45:E50)/H45/12,0))</f>
        <v>51470</v>
      </c>
      <c r="J45" s="385"/>
      <c r="K45" s="690">
        <v>4</v>
      </c>
      <c r="L45" s="697">
        <f>IF(K45&lt;&gt;0,ROUND(SUM(F45:F50)/K45/12,0))</f>
        <v>48994</v>
      </c>
      <c r="M45" s="385"/>
      <c r="N45" s="751">
        <v>1550</v>
      </c>
      <c r="O45" s="751">
        <v>1550</v>
      </c>
      <c r="P45" s="385"/>
      <c r="Q45" s="698">
        <f>ROUND((E45*'Rates in Detail'!E43)+(E46*'Rates in Detail'!E44)+(E47*'Rates in Detail'!E45)+(E48*'Rates in Detail'!E46)+(E49*'Rates in Detail'!E47)+(E50*'Rates in Detail'!E48),0)</f>
        <v>266582</v>
      </c>
      <c r="R45" s="698">
        <f>'Rate Spread Proposal'!S15</f>
        <v>360784.67333999998</v>
      </c>
      <c r="S45" s="702"/>
      <c r="T45" s="56" t="s">
        <v>26</v>
      </c>
    </row>
    <row r="46" spans="1:29" x14ac:dyDescent="0.2">
      <c r="A46" s="86">
        <f t="shared" si="0"/>
        <v>38</v>
      </c>
      <c r="C46" s="1490" t="s">
        <v>5</v>
      </c>
      <c r="D46" s="86" t="s">
        <v>310</v>
      </c>
      <c r="E46" s="696">
        <v>807846</v>
      </c>
      <c r="F46" s="696">
        <v>792463</v>
      </c>
      <c r="G46" s="385"/>
      <c r="H46" s="690"/>
      <c r="I46" s="385"/>
      <c r="J46" s="385"/>
      <c r="K46" s="690"/>
      <c r="L46" s="385"/>
      <c r="M46" s="385"/>
      <c r="N46" s="751"/>
      <c r="O46" s="690"/>
      <c r="P46" s="385"/>
      <c r="Q46" s="659"/>
      <c r="R46" s="702"/>
      <c r="S46" s="659"/>
    </row>
    <row r="47" spans="1:29" x14ac:dyDescent="0.2">
      <c r="A47" s="86">
        <f t="shared" si="0"/>
        <v>39</v>
      </c>
      <c r="C47" s="1490" t="s">
        <v>6</v>
      </c>
      <c r="D47" s="86" t="s">
        <v>311</v>
      </c>
      <c r="E47" s="696">
        <v>583779</v>
      </c>
      <c r="F47" s="696">
        <v>542281</v>
      </c>
      <c r="G47" s="385"/>
      <c r="H47" s="690"/>
      <c r="I47" s="385"/>
      <c r="J47" s="385"/>
      <c r="K47" s="690"/>
      <c r="L47" s="385"/>
      <c r="M47" s="385"/>
      <c r="N47" s="751"/>
      <c r="O47" s="690"/>
      <c r="P47" s="385"/>
      <c r="Q47" s="659"/>
      <c r="R47" s="702"/>
      <c r="S47" s="659"/>
    </row>
    <row r="48" spans="1:29" x14ac:dyDescent="0.2">
      <c r="A48" s="86">
        <f t="shared" si="0"/>
        <v>40</v>
      </c>
      <c r="C48" s="1490" t="s">
        <v>7</v>
      </c>
      <c r="D48" s="86" t="s">
        <v>312</v>
      </c>
      <c r="E48" s="696">
        <v>598933</v>
      </c>
      <c r="F48" s="696">
        <v>537117</v>
      </c>
      <c r="G48" s="385"/>
      <c r="H48" s="690"/>
      <c r="I48" s="385"/>
      <c r="J48" s="385"/>
      <c r="K48" s="690"/>
      <c r="L48" s="385"/>
      <c r="M48" s="385"/>
      <c r="N48" s="751"/>
      <c r="O48" s="690"/>
      <c r="P48" s="385"/>
      <c r="Q48" s="659"/>
      <c r="R48" s="702"/>
      <c r="S48" s="659"/>
    </row>
    <row r="49" spans="1:20" x14ac:dyDescent="0.2">
      <c r="A49" s="86">
        <f t="shared" si="0"/>
        <v>41</v>
      </c>
      <c r="C49" s="1490" t="s">
        <v>8</v>
      </c>
      <c r="D49" s="86" t="s">
        <v>313</v>
      </c>
      <c r="E49" s="696">
        <v>0</v>
      </c>
      <c r="F49" s="696">
        <v>0</v>
      </c>
      <c r="G49" s="385"/>
      <c r="H49" s="690"/>
      <c r="I49" s="385"/>
      <c r="J49" s="385"/>
      <c r="K49" s="690"/>
      <c r="L49" s="385"/>
      <c r="M49" s="385"/>
      <c r="N49" s="751"/>
      <c r="O49" s="690"/>
      <c r="P49" s="385"/>
      <c r="Q49" s="659"/>
      <c r="R49" s="702"/>
      <c r="S49" s="659"/>
    </row>
    <row r="50" spans="1:20" x14ac:dyDescent="0.2">
      <c r="A50" s="86">
        <f t="shared" si="0"/>
        <v>42</v>
      </c>
      <c r="B50" s="161"/>
      <c r="C50" s="1491" t="s">
        <v>9</v>
      </c>
      <c r="D50" s="161" t="s">
        <v>314</v>
      </c>
      <c r="E50" s="691">
        <v>0</v>
      </c>
      <c r="F50" s="691">
        <v>0</v>
      </c>
      <c r="G50" s="385"/>
      <c r="H50" s="692"/>
      <c r="I50" s="397"/>
      <c r="J50" s="385"/>
      <c r="K50" s="692"/>
      <c r="L50" s="397"/>
      <c r="M50" s="385"/>
      <c r="N50" s="746"/>
      <c r="O50" s="692"/>
      <c r="P50" s="385"/>
      <c r="Q50" s="658"/>
      <c r="R50" s="699"/>
      <c r="S50" s="659"/>
    </row>
    <row r="51" spans="1:20" x14ac:dyDescent="0.2">
      <c r="A51" s="86">
        <f t="shared" si="0"/>
        <v>43</v>
      </c>
      <c r="B51" s="86" t="s">
        <v>298</v>
      </c>
      <c r="C51" s="1490" t="s">
        <v>4</v>
      </c>
      <c r="D51" s="86" t="s">
        <v>315</v>
      </c>
      <c r="E51" s="696">
        <v>924395</v>
      </c>
      <c r="F51" s="696">
        <v>901597</v>
      </c>
      <c r="G51" s="385"/>
      <c r="H51" s="690">
        <f>I98</f>
        <v>8.9166666666666661</v>
      </c>
      <c r="I51" s="697">
        <f>IF(H51&lt;&gt;0,ROUND(SUM(E51:E56)/H51/12,0))</f>
        <v>63374</v>
      </c>
      <c r="J51" s="385"/>
      <c r="K51" s="690">
        <v>9</v>
      </c>
      <c r="L51" s="697">
        <f>IF(K51&lt;&gt;0,ROUND(SUM(F51:F56)/K51/12,0))</f>
        <v>63120</v>
      </c>
      <c r="M51" s="385"/>
      <c r="N51" s="751">
        <v>1550</v>
      </c>
      <c r="O51" s="751">
        <v>1550</v>
      </c>
      <c r="P51" s="385"/>
      <c r="Q51" s="698">
        <f>ROUND((E51*'Rates in Detail'!E49)+(E52*'Rates in Detail'!E50)+(E53*'Rates in Detail'!E51)+(E54*'Rates in Detail'!E52)+(E55*'Rates in Detail'!E53)+(E56*'Rates in Detail'!E54),0)</f>
        <v>607101</v>
      </c>
      <c r="R51" s="698">
        <f>'Rate Spread Proposal'!T15</f>
        <v>823615.79209999996</v>
      </c>
      <c r="S51" s="702"/>
      <c r="T51" s="56" t="s">
        <v>145</v>
      </c>
    </row>
    <row r="52" spans="1:20" x14ac:dyDescent="0.2">
      <c r="A52" s="86">
        <f t="shared" si="0"/>
        <v>44</v>
      </c>
      <c r="C52" s="1490" t="s">
        <v>5</v>
      </c>
      <c r="D52" s="86" t="s">
        <v>316</v>
      </c>
      <c r="E52" s="696">
        <v>1036796</v>
      </c>
      <c r="F52" s="696">
        <v>1041722</v>
      </c>
      <c r="G52" s="385"/>
      <c r="H52" s="690"/>
      <c r="I52" s="385"/>
      <c r="J52" s="385"/>
      <c r="K52" s="690"/>
      <c r="L52" s="385"/>
      <c r="M52" s="385"/>
      <c r="N52" s="751"/>
      <c r="O52" s="690"/>
      <c r="P52" s="385"/>
      <c r="Q52" s="659"/>
      <c r="R52" s="702"/>
      <c r="S52" s="659"/>
    </row>
    <row r="53" spans="1:20" x14ac:dyDescent="0.2">
      <c r="A53" s="86">
        <f t="shared" si="0"/>
        <v>45</v>
      </c>
      <c r="C53" s="1490" t="s">
        <v>6</v>
      </c>
      <c r="D53" s="86" t="s">
        <v>317</v>
      </c>
      <c r="E53" s="696">
        <v>937215</v>
      </c>
      <c r="F53" s="696">
        <v>957215</v>
      </c>
      <c r="G53" s="385"/>
      <c r="H53" s="690"/>
      <c r="I53" s="385"/>
      <c r="J53" s="385"/>
      <c r="K53" s="690"/>
      <c r="L53" s="385"/>
      <c r="M53" s="385"/>
      <c r="N53" s="751"/>
      <c r="O53" s="690"/>
      <c r="P53" s="385"/>
      <c r="Q53" s="659"/>
      <c r="R53" s="702"/>
      <c r="S53" s="659"/>
    </row>
    <row r="54" spans="1:20" x14ac:dyDescent="0.2">
      <c r="A54" s="86">
        <f t="shared" si="0"/>
        <v>46</v>
      </c>
      <c r="C54" s="1490" t="s">
        <v>7</v>
      </c>
      <c r="D54" s="86" t="s">
        <v>318</v>
      </c>
      <c r="E54" s="696">
        <v>2390318</v>
      </c>
      <c r="F54" s="696">
        <v>2490044</v>
      </c>
      <c r="G54" s="385"/>
      <c r="H54" s="690"/>
      <c r="I54" s="385"/>
      <c r="J54" s="385"/>
      <c r="K54" s="690"/>
      <c r="L54" s="385"/>
      <c r="M54" s="385"/>
      <c r="N54" s="751"/>
      <c r="O54" s="690"/>
      <c r="P54" s="385"/>
      <c r="Q54" s="659"/>
      <c r="R54" s="702"/>
      <c r="S54" s="659"/>
    </row>
    <row r="55" spans="1:20" x14ac:dyDescent="0.2">
      <c r="A55" s="86">
        <f t="shared" si="0"/>
        <v>47</v>
      </c>
      <c r="C55" s="1490" t="s">
        <v>8</v>
      </c>
      <c r="D55" s="86" t="s">
        <v>319</v>
      </c>
      <c r="E55" s="696">
        <v>1492257</v>
      </c>
      <c r="F55" s="696">
        <v>1426372</v>
      </c>
      <c r="G55" s="385"/>
      <c r="H55" s="690"/>
      <c r="I55" s="385"/>
      <c r="J55" s="385"/>
      <c r="K55" s="690"/>
      <c r="L55" s="385"/>
      <c r="M55" s="385"/>
      <c r="N55" s="751"/>
      <c r="O55" s="690"/>
      <c r="P55" s="385"/>
      <c r="Q55" s="659"/>
      <c r="R55" s="702"/>
      <c r="S55" s="659"/>
    </row>
    <row r="56" spans="1:20" x14ac:dyDescent="0.2">
      <c r="A56" s="86">
        <f t="shared" si="0"/>
        <v>48</v>
      </c>
      <c r="B56" s="161"/>
      <c r="C56" s="1491" t="s">
        <v>9</v>
      </c>
      <c r="D56" s="161" t="s">
        <v>320</v>
      </c>
      <c r="E56" s="691">
        <v>0</v>
      </c>
      <c r="F56" s="691">
        <v>0</v>
      </c>
      <c r="G56" s="385"/>
      <c r="H56" s="692"/>
      <c r="I56" s="397"/>
      <c r="J56" s="385"/>
      <c r="K56" s="692"/>
      <c r="L56" s="397"/>
      <c r="M56" s="385"/>
      <c r="N56" s="746"/>
      <c r="O56" s="692"/>
      <c r="P56" s="385"/>
      <c r="Q56" s="658"/>
      <c r="R56" s="699"/>
      <c r="S56" s="659"/>
    </row>
    <row r="57" spans="1:20" x14ac:dyDescent="0.2">
      <c r="A57" s="86">
        <f t="shared" si="0"/>
        <v>49</v>
      </c>
      <c r="B57" s="86" t="s">
        <v>288</v>
      </c>
      <c r="C57" s="1490" t="s">
        <v>4</v>
      </c>
      <c r="D57" s="86" t="s">
        <v>327</v>
      </c>
      <c r="E57" s="696">
        <v>240000</v>
      </c>
      <c r="F57" s="696">
        <v>239999</v>
      </c>
      <c r="G57" s="385"/>
      <c r="H57" s="690">
        <f>I99</f>
        <v>2</v>
      </c>
      <c r="I57" s="697">
        <f>IF(H57&lt;&gt;0,ROUND(SUM(E57:E62)/H57/12,0),0)</f>
        <v>39322</v>
      </c>
      <c r="J57" s="385"/>
      <c r="K57" s="690">
        <v>2</v>
      </c>
      <c r="L57" s="697">
        <f>IF(K57&lt;&gt;0,ROUND(SUM(F57:F62)/K57/12,0))</f>
        <v>39641</v>
      </c>
      <c r="M57" s="385"/>
      <c r="N57" s="751">
        <v>1300</v>
      </c>
      <c r="O57" s="751">
        <v>1300</v>
      </c>
      <c r="P57" s="385"/>
      <c r="Q57" s="698">
        <f>ROUND((E57*'Rates in Detail'!E55)+(E58*'Rates in Detail'!E56)+(E59*'Rates in Detail'!E57)+(E60*'Rates in Detail'!E58)+(E61*'Rates in Detail'!E59)+(E62*'Rates in Detail'!E60),0)</f>
        <v>111934</v>
      </c>
      <c r="R57" s="698">
        <f>'Rate Spread Proposal'!U15</f>
        <v>160512.61187958997</v>
      </c>
      <c r="S57" s="702"/>
      <c r="T57" s="56" t="s">
        <v>26</v>
      </c>
    </row>
    <row r="58" spans="1:20" x14ac:dyDescent="0.2">
      <c r="A58" s="86">
        <f t="shared" si="0"/>
        <v>50</v>
      </c>
      <c r="C58" s="1490" t="s">
        <v>5</v>
      </c>
      <c r="D58" s="86" t="s">
        <v>328</v>
      </c>
      <c r="E58" s="696">
        <v>467511</v>
      </c>
      <c r="F58" s="696">
        <v>454151</v>
      </c>
      <c r="G58" s="385"/>
      <c r="H58" s="690"/>
      <c r="I58" s="385"/>
      <c r="J58" s="385"/>
      <c r="K58" s="690"/>
      <c r="L58" s="385"/>
      <c r="M58" s="385"/>
      <c r="N58" s="751"/>
      <c r="O58" s="690"/>
      <c r="P58" s="385"/>
      <c r="Q58" s="659"/>
      <c r="R58" s="702"/>
      <c r="S58" s="659"/>
    </row>
    <row r="59" spans="1:20" x14ac:dyDescent="0.2">
      <c r="A59" s="86">
        <f t="shared" si="0"/>
        <v>51</v>
      </c>
      <c r="C59" s="1490" t="s">
        <v>6</v>
      </c>
      <c r="D59" s="86" t="s">
        <v>329</v>
      </c>
      <c r="E59" s="696">
        <v>218004</v>
      </c>
      <c r="F59" s="696">
        <v>230285</v>
      </c>
      <c r="G59" s="385"/>
      <c r="H59" s="690"/>
      <c r="I59" s="385"/>
      <c r="J59" s="385"/>
      <c r="K59" s="690"/>
      <c r="L59" s="385"/>
      <c r="M59" s="385"/>
      <c r="N59" s="751"/>
      <c r="O59" s="690"/>
      <c r="P59" s="385"/>
      <c r="Q59" s="659"/>
      <c r="R59" s="702"/>
      <c r="S59" s="659"/>
      <c r="T59" s="130"/>
    </row>
    <row r="60" spans="1:20" x14ac:dyDescent="0.2">
      <c r="A60" s="86">
        <f t="shared" si="0"/>
        <v>52</v>
      </c>
      <c r="C60" s="1490" t="s">
        <v>7</v>
      </c>
      <c r="D60" s="86" t="s">
        <v>330</v>
      </c>
      <c r="E60" s="696">
        <v>18208</v>
      </c>
      <c r="F60" s="696">
        <v>26942</v>
      </c>
      <c r="G60" s="385"/>
      <c r="H60" s="690"/>
      <c r="I60" s="385"/>
      <c r="J60" s="385"/>
      <c r="K60" s="690"/>
      <c r="L60" s="385"/>
      <c r="M60" s="385"/>
      <c r="N60" s="751"/>
      <c r="O60" s="690"/>
      <c r="P60" s="385"/>
      <c r="Q60" s="659"/>
      <c r="R60" s="702"/>
      <c r="S60" s="659"/>
    </row>
    <row r="61" spans="1:20" x14ac:dyDescent="0.2">
      <c r="A61" s="86">
        <f t="shared" si="0"/>
        <v>53</v>
      </c>
      <c r="C61" s="1490" t="s">
        <v>8</v>
      </c>
      <c r="D61" s="86" t="s">
        <v>331</v>
      </c>
      <c r="E61" s="696">
        <v>0</v>
      </c>
      <c r="F61" s="696">
        <v>0</v>
      </c>
      <c r="G61" s="385"/>
      <c r="H61" s="690"/>
      <c r="I61" s="385"/>
      <c r="J61" s="385"/>
      <c r="K61" s="690"/>
      <c r="L61" s="385"/>
      <c r="M61" s="385"/>
      <c r="N61" s="751"/>
      <c r="O61" s="690"/>
      <c r="P61" s="385"/>
      <c r="Q61" s="659"/>
      <c r="R61" s="702"/>
      <c r="S61" s="659"/>
    </row>
    <row r="62" spans="1:20" x14ac:dyDescent="0.2">
      <c r="A62" s="86">
        <f t="shared" si="0"/>
        <v>54</v>
      </c>
      <c r="B62" s="161"/>
      <c r="C62" s="1491" t="s">
        <v>9</v>
      </c>
      <c r="D62" s="161" t="s">
        <v>332</v>
      </c>
      <c r="E62" s="691">
        <v>0</v>
      </c>
      <c r="F62" s="691">
        <v>0</v>
      </c>
      <c r="G62" s="385"/>
      <c r="H62" s="692"/>
      <c r="I62" s="397"/>
      <c r="J62" s="385"/>
      <c r="K62" s="692"/>
      <c r="L62" s="397"/>
      <c r="M62" s="385"/>
      <c r="N62" s="746"/>
      <c r="O62" s="692"/>
      <c r="P62" s="385"/>
      <c r="Q62" s="658"/>
      <c r="R62" s="699"/>
      <c r="S62" s="659"/>
    </row>
    <row r="63" spans="1:20" x14ac:dyDescent="0.2">
      <c r="A63" s="86">
        <f t="shared" si="0"/>
        <v>55</v>
      </c>
      <c r="B63" s="86" t="s">
        <v>300</v>
      </c>
      <c r="C63" s="1490" t="s">
        <v>4</v>
      </c>
      <c r="D63" s="86" t="s">
        <v>321</v>
      </c>
      <c r="E63" s="696">
        <v>156740</v>
      </c>
      <c r="F63" s="696">
        <v>160966</v>
      </c>
      <c r="G63" s="385"/>
      <c r="H63" s="690">
        <f>I100</f>
        <v>1.9166666666666701</v>
      </c>
      <c r="I63" s="697">
        <f>IF(H63&lt;&gt;0,ROUND(SUM(E63:E68)/H63/12,0))</f>
        <v>13758</v>
      </c>
      <c r="J63" s="385"/>
      <c r="K63" s="721">
        <v>3</v>
      </c>
      <c r="L63" s="697">
        <f>IF(K63&lt;&gt;0,ROUND(SUM(F63:F68)/K63/12,0))</f>
        <v>8520</v>
      </c>
      <c r="M63" s="385"/>
      <c r="N63" s="751">
        <v>1300</v>
      </c>
      <c r="O63" s="751">
        <v>1300</v>
      </c>
      <c r="P63" s="385"/>
      <c r="Q63" s="698">
        <f>ROUND((E63*'Rates in Detail'!E61)+(E64*'Rates in Detail'!E62)+(E65*'Rates in Detail'!E63)+(E66*'Rates in Detail'!E64)+(E67*'Rates in Detail'!E65)+(E68*'Rates in Detail'!E66),0)</f>
        <v>43706</v>
      </c>
      <c r="R63" s="698">
        <f>'Rate Spread Proposal'!V15</f>
        <v>81130.03459599179</v>
      </c>
      <c r="S63" s="702"/>
      <c r="T63" s="56" t="s">
        <v>145</v>
      </c>
    </row>
    <row r="64" spans="1:20" x14ac:dyDescent="0.2">
      <c r="A64" s="86">
        <f t="shared" si="0"/>
        <v>56</v>
      </c>
      <c r="C64" s="1490" t="s">
        <v>5</v>
      </c>
      <c r="D64" s="86" t="s">
        <v>326</v>
      </c>
      <c r="E64" s="696">
        <v>159690</v>
      </c>
      <c r="F64" s="696">
        <v>145741</v>
      </c>
      <c r="G64" s="385"/>
      <c r="H64" s="690"/>
      <c r="I64" s="385"/>
      <c r="J64" s="385"/>
      <c r="K64" s="690"/>
      <c r="L64" s="385"/>
      <c r="M64" s="385"/>
      <c r="N64" s="751"/>
      <c r="O64" s="690"/>
      <c r="P64" s="385"/>
      <c r="Q64" s="659"/>
      <c r="R64" s="702"/>
      <c r="S64" s="659"/>
    </row>
    <row r="65" spans="1:21" x14ac:dyDescent="0.2">
      <c r="A65" s="86">
        <f t="shared" si="0"/>
        <v>57</v>
      </c>
      <c r="C65" s="1490" t="s">
        <v>6</v>
      </c>
      <c r="D65" s="86" t="s">
        <v>322</v>
      </c>
      <c r="E65" s="696">
        <v>0</v>
      </c>
      <c r="F65" s="696">
        <v>0</v>
      </c>
      <c r="G65" s="385"/>
      <c r="H65" s="690"/>
      <c r="I65" s="385"/>
      <c r="J65" s="385"/>
      <c r="K65" s="690"/>
      <c r="L65" s="385"/>
      <c r="M65" s="385"/>
      <c r="N65" s="751"/>
      <c r="O65" s="690"/>
      <c r="P65" s="385"/>
      <c r="Q65" s="659"/>
      <c r="R65" s="702"/>
      <c r="S65" s="659"/>
    </row>
    <row r="66" spans="1:21" x14ac:dyDescent="0.2">
      <c r="A66" s="86">
        <f t="shared" si="0"/>
        <v>58</v>
      </c>
      <c r="C66" s="1490" t="s">
        <v>7</v>
      </c>
      <c r="D66" s="86" t="s">
        <v>323</v>
      </c>
      <c r="E66" s="696">
        <v>0</v>
      </c>
      <c r="F66" s="696">
        <v>0</v>
      </c>
      <c r="G66" s="385"/>
      <c r="H66" s="690"/>
      <c r="I66" s="385"/>
      <c r="J66" s="385"/>
      <c r="K66" s="690"/>
      <c r="L66" s="385"/>
      <c r="M66" s="385"/>
      <c r="N66" s="751"/>
      <c r="O66" s="690"/>
      <c r="P66" s="385"/>
      <c r="Q66" s="659"/>
      <c r="R66" s="702"/>
      <c r="S66" s="659"/>
    </row>
    <row r="67" spans="1:21" x14ac:dyDescent="0.2">
      <c r="A67" s="86">
        <f t="shared" si="0"/>
        <v>59</v>
      </c>
      <c r="C67" s="1490" t="s">
        <v>8</v>
      </c>
      <c r="D67" s="86" t="s">
        <v>324</v>
      </c>
      <c r="E67" s="696">
        <v>0</v>
      </c>
      <c r="F67" s="696">
        <v>0</v>
      </c>
      <c r="G67" s="385"/>
      <c r="H67" s="690"/>
      <c r="I67" s="385"/>
      <c r="J67" s="385"/>
      <c r="K67" s="690"/>
      <c r="L67" s="385"/>
      <c r="M67" s="385"/>
      <c r="N67" s="751"/>
      <c r="O67" s="690"/>
      <c r="P67" s="385"/>
      <c r="Q67" s="659"/>
      <c r="R67" s="702"/>
      <c r="S67" s="659"/>
    </row>
    <row r="68" spans="1:21" x14ac:dyDescent="0.2">
      <c r="A68" s="86">
        <f t="shared" si="0"/>
        <v>60</v>
      </c>
      <c r="B68" s="161"/>
      <c r="C68" s="1491" t="s">
        <v>9</v>
      </c>
      <c r="D68" s="161" t="s">
        <v>325</v>
      </c>
      <c r="E68" s="691">
        <v>0</v>
      </c>
      <c r="F68" s="691">
        <v>0</v>
      </c>
      <c r="G68" s="385"/>
      <c r="H68" s="692"/>
      <c r="I68" s="397"/>
      <c r="J68" s="385"/>
      <c r="K68" s="692"/>
      <c r="L68" s="397"/>
      <c r="M68" s="385"/>
      <c r="N68" s="746"/>
      <c r="O68" s="692"/>
      <c r="P68" s="385"/>
      <c r="Q68" s="658"/>
      <c r="R68" s="699"/>
      <c r="S68" s="659"/>
    </row>
    <row r="69" spans="1:21" x14ac:dyDescent="0.2">
      <c r="A69" s="86">
        <f t="shared" si="0"/>
        <v>61</v>
      </c>
      <c r="B69" s="86" t="s">
        <v>333</v>
      </c>
      <c r="C69" s="1490" t="s">
        <v>4</v>
      </c>
      <c r="D69" s="86" t="s">
        <v>334</v>
      </c>
      <c r="E69" s="696">
        <v>0</v>
      </c>
      <c r="F69" s="696">
        <v>0</v>
      </c>
      <c r="G69" s="385"/>
      <c r="H69" s="690">
        <v>0</v>
      </c>
      <c r="I69" s="697">
        <f>IF(H69&lt;&gt;0,ROUND(SUM(E69:E74)/H69/12,0),0)</f>
        <v>0</v>
      </c>
      <c r="J69" s="385"/>
      <c r="K69" s="690">
        <v>0</v>
      </c>
      <c r="L69" s="697">
        <f>IF(K69&lt;&gt;0,ROUND(SUM(F69:F74)/K69/12,0),0)</f>
        <v>0</v>
      </c>
      <c r="M69" s="385"/>
      <c r="N69" s="917">
        <v>1550</v>
      </c>
      <c r="O69" s="917">
        <v>1550</v>
      </c>
      <c r="P69" s="385"/>
      <c r="Q69" s="698">
        <f>ROUND((E69*'Rates in Detail'!E67)+(E70*'Rates in Detail'!E68)+(E71*'Rates in Detail'!E69)+(E72*'Rates in Detail'!E70)+(E73*'Rates in Detail'!E71)+(E74*'Rates in Detail'!E72),0)</f>
        <v>0</v>
      </c>
      <c r="R69" s="698">
        <f>'Rate Spread Proposal'!W15</f>
        <v>0</v>
      </c>
      <c r="S69" s="702"/>
      <c r="T69" s="56" t="s">
        <v>26</v>
      </c>
    </row>
    <row r="70" spans="1:21" x14ac:dyDescent="0.2">
      <c r="A70" s="86">
        <f t="shared" si="0"/>
        <v>62</v>
      </c>
      <c r="C70" s="1490" t="s">
        <v>5</v>
      </c>
      <c r="D70" s="86" t="s">
        <v>339</v>
      </c>
      <c r="E70" s="696">
        <v>0</v>
      </c>
      <c r="F70" s="696">
        <v>0</v>
      </c>
      <c r="G70" s="385"/>
      <c r="H70" s="690"/>
      <c r="I70" s="385"/>
      <c r="J70" s="385"/>
      <c r="K70" s="690"/>
      <c r="L70" s="385"/>
      <c r="M70" s="385"/>
      <c r="N70" s="751"/>
      <c r="O70" s="690"/>
      <c r="P70" s="385"/>
      <c r="Q70" s="659"/>
      <c r="R70" s="702"/>
      <c r="S70" s="659"/>
    </row>
    <row r="71" spans="1:21" x14ac:dyDescent="0.2">
      <c r="A71" s="86">
        <f t="shared" si="0"/>
        <v>63</v>
      </c>
      <c r="C71" s="1490" t="s">
        <v>6</v>
      </c>
      <c r="D71" s="86" t="s">
        <v>335</v>
      </c>
      <c r="E71" s="696">
        <v>0</v>
      </c>
      <c r="F71" s="696">
        <v>0</v>
      </c>
      <c r="G71" s="385"/>
      <c r="H71" s="690"/>
      <c r="I71" s="385"/>
      <c r="J71" s="385"/>
      <c r="K71" s="690"/>
      <c r="L71" s="385"/>
      <c r="M71" s="385"/>
      <c r="N71" s="751"/>
      <c r="O71" s="690"/>
      <c r="P71" s="385"/>
      <c r="Q71" s="659"/>
      <c r="R71" s="702"/>
      <c r="S71" s="659"/>
      <c r="T71" s="130"/>
    </row>
    <row r="72" spans="1:21" x14ac:dyDescent="0.2">
      <c r="A72" s="86">
        <f t="shared" si="0"/>
        <v>64</v>
      </c>
      <c r="C72" s="1490" t="s">
        <v>7</v>
      </c>
      <c r="D72" s="86" t="s">
        <v>336</v>
      </c>
      <c r="E72" s="696">
        <v>0</v>
      </c>
      <c r="F72" s="696">
        <v>0</v>
      </c>
      <c r="G72" s="385"/>
      <c r="H72" s="690"/>
      <c r="I72" s="385"/>
      <c r="J72" s="385"/>
      <c r="K72" s="690"/>
      <c r="L72" s="385"/>
      <c r="M72" s="385"/>
      <c r="N72" s="751"/>
      <c r="O72" s="690"/>
      <c r="P72" s="385"/>
      <c r="Q72" s="659"/>
      <c r="R72" s="702"/>
      <c r="S72" s="659"/>
    </row>
    <row r="73" spans="1:21" x14ac:dyDescent="0.2">
      <c r="A73" s="86">
        <f t="shared" si="0"/>
        <v>65</v>
      </c>
      <c r="C73" s="1490" t="s">
        <v>8</v>
      </c>
      <c r="D73" s="86" t="s">
        <v>337</v>
      </c>
      <c r="E73" s="696">
        <v>0</v>
      </c>
      <c r="F73" s="696">
        <v>0</v>
      </c>
      <c r="G73" s="385"/>
      <c r="H73" s="690"/>
      <c r="I73" s="385"/>
      <c r="J73" s="385"/>
      <c r="K73" s="690"/>
      <c r="L73" s="385"/>
      <c r="M73" s="385"/>
      <c r="N73" s="751"/>
      <c r="O73" s="690"/>
      <c r="P73" s="385"/>
      <c r="Q73" s="659"/>
      <c r="R73" s="702"/>
      <c r="S73" s="659"/>
    </row>
    <row r="74" spans="1:21" x14ac:dyDescent="0.2">
      <c r="A74" s="86">
        <f t="shared" si="0"/>
        <v>66</v>
      </c>
      <c r="B74" s="161"/>
      <c r="C74" s="1491" t="s">
        <v>9</v>
      </c>
      <c r="D74" s="161" t="s">
        <v>338</v>
      </c>
      <c r="E74" s="691">
        <v>0</v>
      </c>
      <c r="F74" s="691">
        <v>0</v>
      </c>
      <c r="G74" s="385"/>
      <c r="H74" s="692"/>
      <c r="I74" s="397"/>
      <c r="J74" s="385"/>
      <c r="K74" s="692"/>
      <c r="L74" s="397"/>
      <c r="M74" s="385"/>
      <c r="N74" s="746"/>
      <c r="O74" s="692"/>
      <c r="P74" s="385"/>
      <c r="Q74" s="658"/>
      <c r="R74" s="699"/>
      <c r="S74" s="659"/>
    </row>
    <row r="75" spans="1:21" x14ac:dyDescent="0.2">
      <c r="A75" s="86">
        <f t="shared" ref="A75:A83" si="4">+A74+1</f>
        <v>67</v>
      </c>
      <c r="B75" s="86" t="s">
        <v>340</v>
      </c>
      <c r="C75" s="1490" t="s">
        <v>4</v>
      </c>
      <c r="D75" s="86" t="s">
        <v>341</v>
      </c>
      <c r="E75" s="696">
        <v>844078</v>
      </c>
      <c r="F75" s="696">
        <v>861932</v>
      </c>
      <c r="G75" s="385"/>
      <c r="H75" s="690">
        <f>I102</f>
        <v>7</v>
      </c>
      <c r="I75" s="697">
        <f>IF(H75&lt;&gt;0,ROUND(SUM(E75:E80)/H75/12,0),0)</f>
        <v>95634</v>
      </c>
      <c r="J75" s="385"/>
      <c r="K75" s="721">
        <v>10</v>
      </c>
      <c r="L75" s="697">
        <f>IF(K75&lt;&gt;0,ROUND(SUM(F75:F80)/K75/12,0),0)</f>
        <v>63670</v>
      </c>
      <c r="M75" s="385"/>
      <c r="N75" s="917">
        <v>1550</v>
      </c>
      <c r="O75" s="917">
        <v>1550</v>
      </c>
      <c r="P75" s="385"/>
      <c r="Q75" s="698">
        <f>ROUND((E75*'Rates in Detail'!E73)+(E76*'Rates in Detail'!E74)+(E77*'Rates in Detail'!E75)+(E78*'Rates in Detail'!E76)+(E79*'Rates in Detail'!E77)+(E80*'Rates in Detail'!E78),0)</f>
        <v>695280</v>
      </c>
      <c r="R75" s="698">
        <f>'Rate Spread Proposal'!X15</f>
        <v>825480.07319999998</v>
      </c>
      <c r="S75" s="702"/>
      <c r="T75" s="56" t="s">
        <v>145</v>
      </c>
    </row>
    <row r="76" spans="1:21" x14ac:dyDescent="0.2">
      <c r="A76" s="86">
        <f t="shared" si="4"/>
        <v>68</v>
      </c>
      <c r="C76" s="1490" t="s">
        <v>5</v>
      </c>
      <c r="D76" s="86" t="s">
        <v>342</v>
      </c>
      <c r="E76" s="696">
        <v>1445175</v>
      </c>
      <c r="F76" s="696">
        <v>1453508</v>
      </c>
      <c r="G76" s="385"/>
      <c r="H76" s="690"/>
      <c r="I76" s="385"/>
      <c r="J76" s="385"/>
      <c r="K76" s="690"/>
      <c r="L76" s="385"/>
      <c r="M76" s="385"/>
      <c r="N76" s="751"/>
      <c r="O76" s="690"/>
      <c r="P76" s="385"/>
      <c r="Q76" s="659"/>
      <c r="R76" s="702"/>
      <c r="S76" s="659"/>
    </row>
    <row r="77" spans="1:21" x14ac:dyDescent="0.2">
      <c r="A77" s="86">
        <f t="shared" si="4"/>
        <v>69</v>
      </c>
      <c r="C77" s="1490" t="s">
        <v>6</v>
      </c>
      <c r="D77" s="86" t="s">
        <v>343</v>
      </c>
      <c r="E77" s="696">
        <v>1034978</v>
      </c>
      <c r="F77" s="696">
        <v>976710</v>
      </c>
      <c r="G77" s="385"/>
      <c r="H77" s="690"/>
      <c r="I77" s="385"/>
      <c r="J77" s="385"/>
      <c r="K77" s="690"/>
      <c r="L77" s="385"/>
      <c r="M77" s="385"/>
      <c r="N77" s="751"/>
      <c r="O77" s="690"/>
      <c r="P77" s="385"/>
      <c r="Q77" s="659"/>
      <c r="R77" s="702"/>
      <c r="S77" s="659"/>
    </row>
    <row r="78" spans="1:21" x14ac:dyDescent="0.2">
      <c r="A78" s="86">
        <f t="shared" si="4"/>
        <v>70</v>
      </c>
      <c r="C78" s="1490" t="s">
        <v>7</v>
      </c>
      <c r="D78" s="86" t="s">
        <v>344</v>
      </c>
      <c r="E78" s="696">
        <v>3359916</v>
      </c>
      <c r="F78" s="696">
        <v>3078834</v>
      </c>
      <c r="G78" s="385"/>
      <c r="H78" s="690"/>
      <c r="I78" s="385"/>
      <c r="J78" s="385"/>
      <c r="K78" s="690"/>
      <c r="L78" s="385"/>
      <c r="M78" s="385"/>
      <c r="N78" s="751"/>
      <c r="O78" s="690"/>
      <c r="P78" s="385"/>
      <c r="Q78" s="659"/>
      <c r="R78" s="702"/>
      <c r="S78" s="659"/>
    </row>
    <row r="79" spans="1:21" x14ac:dyDescent="0.2">
      <c r="A79" s="86">
        <f t="shared" si="4"/>
        <v>71</v>
      </c>
      <c r="C79" s="1490" t="s">
        <v>8</v>
      </c>
      <c r="D79" s="86" t="s">
        <v>345</v>
      </c>
      <c r="E79" s="696">
        <v>1349120</v>
      </c>
      <c r="F79" s="696">
        <v>1269411</v>
      </c>
      <c r="G79" s="385"/>
      <c r="H79" s="690"/>
      <c r="I79" s="385"/>
      <c r="J79" s="385"/>
      <c r="K79" s="690"/>
      <c r="L79" s="385"/>
      <c r="M79" s="385"/>
      <c r="N79" s="751"/>
      <c r="O79" s="690"/>
      <c r="P79" s="385"/>
      <c r="Q79" s="659"/>
      <c r="R79" s="702"/>
      <c r="S79" s="659"/>
      <c r="U79" s="55"/>
    </row>
    <row r="80" spans="1:21" x14ac:dyDescent="0.2">
      <c r="A80" s="86">
        <f t="shared" si="4"/>
        <v>72</v>
      </c>
      <c r="B80" s="161"/>
      <c r="C80" s="1491" t="s">
        <v>9</v>
      </c>
      <c r="D80" s="161" t="s">
        <v>346</v>
      </c>
      <c r="E80" s="691">
        <v>0</v>
      </c>
      <c r="F80" s="691">
        <v>0</v>
      </c>
      <c r="G80" s="385"/>
      <c r="H80" s="692"/>
      <c r="I80" s="397"/>
      <c r="J80" s="385"/>
      <c r="K80" s="692"/>
      <c r="L80" s="397"/>
      <c r="M80" s="385"/>
      <c r="N80" s="746"/>
      <c r="O80" s="692"/>
      <c r="P80" s="385"/>
      <c r="Q80" s="658"/>
      <c r="R80" s="699"/>
      <c r="S80" s="659"/>
    </row>
    <row r="81" spans="1:21" x14ac:dyDescent="0.2">
      <c r="A81" s="86">
        <f t="shared" si="4"/>
        <v>73</v>
      </c>
      <c r="B81" s="161" t="s">
        <v>347</v>
      </c>
      <c r="C81" s="161" t="s">
        <v>283</v>
      </c>
      <c r="D81" s="161" t="s">
        <v>56</v>
      </c>
      <c r="E81" s="691">
        <v>0</v>
      </c>
      <c r="F81" s="691">
        <v>0</v>
      </c>
      <c r="G81" s="385"/>
      <c r="H81" s="692">
        <v>0</v>
      </c>
      <c r="I81" s="397">
        <f>IF(H81&lt;&gt;0,ROUND(+E81/H81/12,5),0)</f>
        <v>0</v>
      </c>
      <c r="J81" s="385"/>
      <c r="K81" s="692">
        <v>0</v>
      </c>
      <c r="L81" s="397">
        <f>IF(K81&lt;&gt;0,ROUND(+F81/K81/12,5),0)</f>
        <v>0</v>
      </c>
      <c r="M81" s="385"/>
      <c r="N81" s="746">
        <v>38000</v>
      </c>
      <c r="O81" s="746">
        <v>38000</v>
      </c>
      <c r="P81" s="385"/>
      <c r="Q81" s="698">
        <f>ROUND(E81*'Rates in Detail'!E79,0)</f>
        <v>0</v>
      </c>
      <c r="R81" s="699">
        <f>'Rate Spread Proposal'!Y15</f>
        <v>0</v>
      </c>
      <c r="S81" s="702"/>
      <c r="T81" s="56" t="s">
        <v>145</v>
      </c>
    </row>
    <row r="82" spans="1:21" x14ac:dyDescent="0.2">
      <c r="A82" s="86">
        <f t="shared" si="4"/>
        <v>74</v>
      </c>
      <c r="B82" s="161" t="s">
        <v>349</v>
      </c>
      <c r="C82" s="1001" t="s">
        <v>283</v>
      </c>
      <c r="D82" s="161" t="s">
        <v>348</v>
      </c>
      <c r="E82" s="693">
        <v>0</v>
      </c>
      <c r="F82" s="693">
        <v>0</v>
      </c>
      <c r="G82" s="385"/>
      <c r="H82" s="694">
        <v>0</v>
      </c>
      <c r="I82" s="397">
        <f t="shared" ref="I82" si="5">IF(H82&lt;&gt;0,ROUND(+E82/H82/12,5),0)</f>
        <v>0</v>
      </c>
      <c r="J82" s="385"/>
      <c r="K82" s="694">
        <v>0</v>
      </c>
      <c r="L82" s="397">
        <f>IF(K82&lt;&gt;0,ROUND(+F82/K82/12,5),0)</f>
        <v>0</v>
      </c>
      <c r="M82" s="385"/>
      <c r="N82" s="747">
        <v>38000</v>
      </c>
      <c r="O82" s="747">
        <v>38000</v>
      </c>
      <c r="P82" s="385"/>
      <c r="Q82" s="698">
        <f>ROUND(E82*'Rates in Detail'!E80,0)</f>
        <v>0</v>
      </c>
      <c r="R82" s="695">
        <f>'Rate Spread Proposal'!Z15</f>
        <v>0</v>
      </c>
      <c r="S82" s="385"/>
      <c r="T82" s="56" t="s">
        <v>145</v>
      </c>
    </row>
    <row r="83" spans="1:21" x14ac:dyDescent="0.2">
      <c r="A83" s="86">
        <f t="shared" si="4"/>
        <v>75</v>
      </c>
      <c r="B83" s="1001" t="s">
        <v>368</v>
      </c>
      <c r="C83" s="1001" t="s">
        <v>283</v>
      </c>
      <c r="D83" s="1001" t="s">
        <v>368</v>
      </c>
      <c r="E83" s="1111">
        <v>2895114</v>
      </c>
      <c r="F83" s="693"/>
      <c r="G83" s="397"/>
      <c r="H83" s="694">
        <f>I103</f>
        <v>1</v>
      </c>
      <c r="I83" s="397">
        <f>IF(H83&lt;&gt;0,ROUND(+E83/H83/12,5),0)</f>
        <v>241259.5</v>
      </c>
      <c r="J83" s="397"/>
      <c r="K83" s="694">
        <v>0</v>
      </c>
      <c r="L83" s="397">
        <f>IF(K83&lt;&gt;0,ROUND(+F83/K83/12,5),0)</f>
        <v>0</v>
      </c>
      <c r="M83" s="397"/>
      <c r="N83" s="747">
        <v>0</v>
      </c>
      <c r="O83" s="747">
        <v>0</v>
      </c>
      <c r="P83" s="397"/>
      <c r="Q83" s="695">
        <f>ROUND(E83*'Rates in Detail'!E81,0)</f>
        <v>0</v>
      </c>
      <c r="R83" s="695">
        <f>'Rate Spread Proposal'!AA15</f>
        <v>242994.60207180592</v>
      </c>
      <c r="S83" s="385"/>
      <c r="T83" s="56" t="s">
        <v>145</v>
      </c>
    </row>
    <row r="84" spans="1:21" x14ac:dyDescent="0.2">
      <c r="A84" s="86">
        <f t="shared" ref="A84" si="6">+A83+1</f>
        <v>76</v>
      </c>
      <c r="B84" s="58" t="s">
        <v>78</v>
      </c>
      <c r="C84" s="58"/>
      <c r="D84" s="58"/>
      <c r="E84" s="704">
        <f>SUM(E15:E83)</f>
        <v>103032055.6009268</v>
      </c>
      <c r="F84" s="704">
        <f>SUM(F15:F83)</f>
        <v>101085884.30000001</v>
      </c>
      <c r="G84" s="383"/>
      <c r="H84" s="704">
        <f>SUM(H15:H83)</f>
        <v>89340.750000000015</v>
      </c>
      <c r="I84" s="704">
        <f>SUM(I15:I83)</f>
        <v>543910.62040000001</v>
      </c>
      <c r="J84" s="383"/>
      <c r="K84" s="704">
        <f>SUM(K15:K83)</f>
        <v>88669</v>
      </c>
      <c r="L84" s="704">
        <f>SUM(L15:L83)</f>
        <v>270612</v>
      </c>
      <c r="M84" s="704"/>
      <c r="N84" s="752">
        <v>89473.5</v>
      </c>
      <c r="O84" s="752">
        <f>SUM(O15:O83)</f>
        <v>89473.5</v>
      </c>
      <c r="P84" s="704"/>
      <c r="Q84" s="671">
        <f>SUM(Q15:Q83)</f>
        <v>37287356</v>
      </c>
      <c r="R84" s="671">
        <f>SUM(R15:R83)</f>
        <v>49604902.662138224</v>
      </c>
      <c r="S84" s="474"/>
    </row>
    <row r="85" spans="1:21" x14ac:dyDescent="0.2">
      <c r="A85" s="86"/>
      <c r="E85" s="493"/>
      <c r="F85" s="493"/>
      <c r="G85" s="300"/>
      <c r="H85" s="429"/>
      <c r="J85" s="300"/>
      <c r="K85" s="716"/>
      <c r="N85" s="716"/>
      <c r="O85" s="716"/>
      <c r="U85" s="1100"/>
    </row>
    <row r="86" spans="1:21" x14ac:dyDescent="0.2">
      <c r="A86" s="86"/>
      <c r="B86" s="293" t="s">
        <v>512</v>
      </c>
      <c r="E86" s="655"/>
      <c r="F86" s="684"/>
      <c r="G86" s="685"/>
      <c r="H86" s="686"/>
      <c r="J86" s="685"/>
      <c r="K86" s="686"/>
      <c r="N86" s="686"/>
      <c r="O86" s="686"/>
      <c r="Q86" s="434"/>
    </row>
    <row r="87" spans="1:21" x14ac:dyDescent="0.2">
      <c r="A87" s="86"/>
      <c r="B87" s="705"/>
      <c r="C87" s="58"/>
      <c r="D87" s="58"/>
      <c r="E87" s="139"/>
      <c r="F87" s="139"/>
      <c r="G87" s="685"/>
      <c r="H87" s="687"/>
      <c r="J87" s="685"/>
      <c r="K87" s="687"/>
      <c r="N87" s="687"/>
      <c r="O87" s="687"/>
    </row>
    <row r="88" spans="1:21" x14ac:dyDescent="0.2">
      <c r="A88" s="86"/>
      <c r="E88" s="655"/>
      <c r="G88" s="56"/>
      <c r="H88" s="1546" t="s">
        <v>626</v>
      </c>
      <c r="I88" s="1547"/>
      <c r="K88" s="55"/>
      <c r="L88" s="1215"/>
      <c r="M88" s="56"/>
      <c r="O88" s="429"/>
    </row>
    <row r="89" spans="1:21" x14ac:dyDescent="0.2">
      <c r="A89" s="86"/>
      <c r="E89" s="493"/>
      <c r="G89" s="56"/>
      <c r="H89" s="1216" t="s">
        <v>158</v>
      </c>
      <c r="I89" s="1486" t="s">
        <v>511</v>
      </c>
      <c r="K89" s="55"/>
      <c r="L89" s="1217"/>
      <c r="M89" s="56"/>
      <c r="O89" s="429"/>
    </row>
    <row r="90" spans="1:21" x14ac:dyDescent="0.2">
      <c r="E90" s="688"/>
      <c r="G90" s="56"/>
      <c r="H90" s="1218" t="s">
        <v>11</v>
      </c>
      <c r="I90" s="1487">
        <v>24.25</v>
      </c>
      <c r="K90" s="55"/>
      <c r="L90" s="1219"/>
      <c r="M90" s="56"/>
      <c r="O90" s="55"/>
    </row>
    <row r="91" spans="1:21" x14ac:dyDescent="0.2">
      <c r="E91" s="689"/>
      <c r="G91" s="56"/>
      <c r="H91" s="1218" t="s">
        <v>353</v>
      </c>
      <c r="I91" s="1487">
        <v>17.833333333333332</v>
      </c>
      <c r="K91" s="55"/>
      <c r="L91" s="1219"/>
      <c r="M91" s="56"/>
      <c r="O91" s="55"/>
    </row>
    <row r="92" spans="1:21" x14ac:dyDescent="0.2">
      <c r="C92" s="55"/>
      <c r="D92" s="55"/>
      <c r="E92" s="685"/>
      <c r="G92" s="56"/>
      <c r="H92" s="1218" t="s">
        <v>355</v>
      </c>
      <c r="I92" s="1487" t="s">
        <v>283</v>
      </c>
      <c r="K92" s="55"/>
      <c r="L92" s="1219"/>
      <c r="M92" s="56"/>
      <c r="O92" s="55"/>
    </row>
    <row r="93" spans="1:21" x14ac:dyDescent="0.2">
      <c r="C93" s="55"/>
      <c r="D93" s="55"/>
      <c r="E93" s="685"/>
      <c r="G93" s="56"/>
      <c r="H93" s="1218" t="s">
        <v>356</v>
      </c>
      <c r="I93" s="1487" t="s">
        <v>283</v>
      </c>
      <c r="K93" s="55"/>
      <c r="L93" s="1219"/>
      <c r="M93" s="56"/>
      <c r="O93" s="55"/>
    </row>
    <row r="94" spans="1:21" x14ac:dyDescent="0.2">
      <c r="C94" s="55"/>
      <c r="D94" s="55"/>
      <c r="E94" s="685"/>
      <c r="G94" s="56"/>
      <c r="H94" s="1218" t="s">
        <v>357</v>
      </c>
      <c r="I94" s="1487">
        <v>7.916666666666667</v>
      </c>
      <c r="K94" s="55"/>
      <c r="L94" s="1219"/>
      <c r="M94" s="56"/>
      <c r="O94" s="55"/>
    </row>
    <row r="95" spans="1:21" x14ac:dyDescent="0.2">
      <c r="C95" s="55"/>
      <c r="D95" s="55"/>
      <c r="E95" s="685"/>
      <c r="G95" s="56"/>
      <c r="H95" s="1218" t="s">
        <v>358</v>
      </c>
      <c r="I95" s="1487" t="s">
        <v>283</v>
      </c>
      <c r="K95" s="55"/>
      <c r="L95" s="1219"/>
      <c r="M95" s="56"/>
      <c r="O95" s="55"/>
    </row>
    <row r="96" spans="1:21" x14ac:dyDescent="0.2">
      <c r="E96" s="685"/>
      <c r="G96" s="56"/>
      <c r="H96" s="1218" t="s">
        <v>360</v>
      </c>
      <c r="I96" s="1487">
        <v>11.916666666666666</v>
      </c>
      <c r="K96" s="55"/>
      <c r="L96" s="1219"/>
      <c r="M96" s="56"/>
      <c r="O96" s="55"/>
    </row>
    <row r="97" spans="5:15" x14ac:dyDescent="0.2">
      <c r="E97" s="688"/>
      <c r="G97" s="56"/>
      <c r="H97" s="1218" t="s">
        <v>361</v>
      </c>
      <c r="I97" s="1487">
        <v>4</v>
      </c>
      <c r="K97" s="55"/>
      <c r="L97" s="1219"/>
      <c r="M97" s="56"/>
      <c r="O97" s="55"/>
    </row>
    <row r="98" spans="5:15" x14ac:dyDescent="0.2">
      <c r="E98" s="688"/>
      <c r="G98" s="56"/>
      <c r="H98" s="1218" t="s">
        <v>362</v>
      </c>
      <c r="I98" s="1487">
        <v>8.9166666666666661</v>
      </c>
      <c r="K98" s="55"/>
      <c r="L98" s="1219"/>
      <c r="M98" s="56"/>
      <c r="O98" s="55"/>
    </row>
    <row r="99" spans="5:15" x14ac:dyDescent="0.2">
      <c r="E99" s="55"/>
      <c r="G99" s="56"/>
      <c r="H99" s="1218" t="s">
        <v>363</v>
      </c>
      <c r="I99" s="1487">
        <v>2</v>
      </c>
      <c r="K99" s="55"/>
      <c r="L99" s="1219"/>
      <c r="M99" s="56"/>
      <c r="O99" s="55"/>
    </row>
    <row r="100" spans="5:15" x14ac:dyDescent="0.2">
      <c r="E100" s="55"/>
      <c r="G100" s="56"/>
      <c r="H100" s="1218" t="s">
        <v>364</v>
      </c>
      <c r="I100" s="1487">
        <f>2.91666666666667-1</f>
        <v>1.9166666666666701</v>
      </c>
      <c r="J100" s="1485" t="s">
        <v>624</v>
      </c>
      <c r="K100" s="1485"/>
      <c r="L100" s="1219"/>
      <c r="M100" s="56"/>
      <c r="O100" s="55"/>
    </row>
    <row r="101" spans="5:15" x14ac:dyDescent="0.2">
      <c r="G101" s="56"/>
      <c r="H101" s="1218" t="s">
        <v>366</v>
      </c>
      <c r="I101" s="1487" t="s">
        <v>283</v>
      </c>
      <c r="J101" s="1485"/>
      <c r="K101" s="1485"/>
      <c r="L101" s="1219"/>
      <c r="M101" s="56"/>
    </row>
    <row r="102" spans="5:15" x14ac:dyDescent="0.2">
      <c r="G102" s="56"/>
      <c r="H102" s="1218" t="s">
        <v>367</v>
      </c>
      <c r="I102" s="1487">
        <f>10-3</f>
        <v>7</v>
      </c>
      <c r="J102" s="1485" t="s">
        <v>625</v>
      </c>
      <c r="K102" s="1485"/>
      <c r="L102" s="1219"/>
      <c r="M102" s="56"/>
    </row>
    <row r="103" spans="5:15" x14ac:dyDescent="0.2">
      <c r="G103" s="56"/>
      <c r="H103" s="1220" t="s">
        <v>391</v>
      </c>
      <c r="I103" s="1488">
        <v>1</v>
      </c>
      <c r="K103" s="55"/>
      <c r="L103" s="1221"/>
      <c r="M103" s="56"/>
    </row>
    <row r="105" spans="5:15" x14ac:dyDescent="0.2">
      <c r="H105" s="1489" t="s">
        <v>627</v>
      </c>
    </row>
    <row r="106" spans="5:15" x14ac:dyDescent="0.2">
      <c r="H106" s="1489" t="s">
        <v>628</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2" activePane="bottomRight" state="frozen"/>
      <selection activeCell="K47" sqref="K47"/>
      <selection pane="topRight" activeCell="K47" sqref="K47"/>
      <selection pane="bottomLeft" activeCell="K47" sqref="K47"/>
      <selection pane="bottomRight" activeCell="R59" sqref="R59"/>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33203125" style="52" customWidth="1"/>
    <col min="15" max="15" width="16" style="52" customWidth="1" outlineLevel="1"/>
    <col min="16" max="16" width="15.83203125" style="52" customWidth="1" outlineLevel="1"/>
    <col min="17" max="17" width="16.5" style="92" customWidth="1" outlineLevel="1"/>
    <col min="18" max="18" width="15.83203125" style="130" customWidth="1" outlineLevel="1"/>
    <col min="19" max="19" width="16.5" style="130" customWidth="1" outlineLevel="1"/>
    <col min="20" max="20" width="3.1640625" style="130" customWidth="1"/>
    <col min="21" max="16384" width="9.33203125" style="52"/>
  </cols>
  <sheetData>
    <row r="1" spans="2:20" x14ac:dyDescent="0.2">
      <c r="B1" s="91" t="s">
        <v>0</v>
      </c>
    </row>
    <row r="2" spans="2:20" x14ac:dyDescent="0.2">
      <c r="B2" s="91" t="s">
        <v>276</v>
      </c>
    </row>
    <row r="3" spans="2:20" x14ac:dyDescent="0.2">
      <c r="B3" s="91" t="s">
        <v>277</v>
      </c>
      <c r="P3" s="101"/>
      <c r="Q3" s="138"/>
    </row>
    <row r="4" spans="2:20" x14ac:dyDescent="0.2">
      <c r="B4" s="91" t="s">
        <v>599</v>
      </c>
      <c r="N4" s="656"/>
      <c r="O4" s="59"/>
      <c r="P4" s="59"/>
      <c r="Q4" s="58"/>
      <c r="R4" s="131"/>
      <c r="S4" s="131"/>
      <c r="T4" s="131"/>
    </row>
    <row r="5" spans="2:20" ht="13.5" thickBot="1" x14ac:dyDescent="0.25">
      <c r="B5" s="1358" t="s">
        <v>600</v>
      </c>
      <c r="N5" s="656"/>
      <c r="O5" s="59"/>
      <c r="P5" s="59"/>
      <c r="Q5" s="58"/>
      <c r="R5" s="131"/>
      <c r="S5" s="131"/>
      <c r="T5" s="131"/>
    </row>
    <row r="6" spans="2:20" ht="13.5" thickBot="1" x14ac:dyDescent="0.25">
      <c r="O6" s="1689" t="s">
        <v>604</v>
      </c>
      <c r="P6" s="1690"/>
      <c r="Q6" s="1691"/>
      <c r="R6" s="1687" t="s">
        <v>603</v>
      </c>
      <c r="S6" s="1688"/>
    </row>
    <row r="7" spans="2:20" ht="13.5" thickBot="1" x14ac:dyDescent="0.25">
      <c r="B7" s="103"/>
      <c r="C7" s="103"/>
      <c r="D7" s="103"/>
      <c r="E7" s="103"/>
      <c r="F7" s="103"/>
      <c r="G7" s="103"/>
      <c r="H7" s="632" t="s">
        <v>18</v>
      </c>
      <c r="I7" s="104" t="s">
        <v>595</v>
      </c>
      <c r="J7" s="1672" t="s">
        <v>596</v>
      </c>
      <c r="K7" s="1673"/>
      <c r="L7" s="1673"/>
      <c r="M7" s="1673"/>
      <c r="N7" s="1673"/>
      <c r="O7" s="1394" t="s">
        <v>179</v>
      </c>
      <c r="P7" s="1402" t="str">
        <f>'Rates in Detail'!P9</f>
        <v>EDIT Amort Cr</v>
      </c>
      <c r="Q7" s="1371" t="s">
        <v>32</v>
      </c>
      <c r="R7" s="1365" t="s">
        <v>179</v>
      </c>
      <c r="S7" s="1369" t="s">
        <v>32</v>
      </c>
    </row>
    <row r="8" spans="2:20" ht="51" x14ac:dyDescent="0.2">
      <c r="B8" s="105" t="s">
        <v>150</v>
      </c>
      <c r="C8" s="66" t="s">
        <v>2</v>
      </c>
      <c r="D8" s="66" t="s">
        <v>3</v>
      </c>
      <c r="E8" s="66" t="s">
        <v>164</v>
      </c>
      <c r="F8" s="66" t="s">
        <v>162</v>
      </c>
      <c r="G8" s="66" t="s">
        <v>163</v>
      </c>
      <c r="H8" s="106" t="s">
        <v>160</v>
      </c>
      <c r="I8" s="66" t="s">
        <v>161</v>
      </c>
      <c r="J8" s="623" t="s">
        <v>590</v>
      </c>
      <c r="K8" s="624" t="s">
        <v>591</v>
      </c>
      <c r="L8" s="624" t="s">
        <v>592</v>
      </c>
      <c r="M8" s="624" t="s">
        <v>594</v>
      </c>
      <c r="N8" s="66" t="s">
        <v>593</v>
      </c>
      <c r="O8" s="1395" t="s">
        <v>159</v>
      </c>
      <c r="P8" s="1392" t="s">
        <v>433</v>
      </c>
      <c r="Q8" s="1361" t="s">
        <v>598</v>
      </c>
      <c r="R8" s="1366" t="s">
        <v>159</v>
      </c>
      <c r="S8" s="1363" t="s">
        <v>601</v>
      </c>
      <c r="T8" s="1368"/>
    </row>
    <row r="9" spans="2:20" ht="13.5" thickBot="1" x14ac:dyDescent="0.25">
      <c r="B9" s="640"/>
      <c r="C9" s="641" t="s">
        <v>35</v>
      </c>
      <c r="D9" s="641" t="s">
        <v>36</v>
      </c>
      <c r="E9" s="641" t="s">
        <v>13</v>
      </c>
      <c r="F9" s="641" t="s">
        <v>37</v>
      </c>
      <c r="G9" s="641" t="s">
        <v>38</v>
      </c>
      <c r="H9" s="642" t="s">
        <v>39</v>
      </c>
      <c r="I9" s="643" t="s">
        <v>40</v>
      </c>
      <c r="J9" s="642" t="s">
        <v>41</v>
      </c>
      <c r="K9" s="641" t="s">
        <v>42</v>
      </c>
      <c r="L9" s="641" t="s">
        <v>129</v>
      </c>
      <c r="M9" s="641" t="s">
        <v>130</v>
      </c>
      <c r="N9" s="641" t="s">
        <v>259</v>
      </c>
      <c r="O9" s="1396" t="s">
        <v>131</v>
      </c>
      <c r="P9" s="1393" t="s">
        <v>132</v>
      </c>
      <c r="Q9" s="1360" t="s">
        <v>597</v>
      </c>
      <c r="R9" s="1364" t="s">
        <v>134</v>
      </c>
      <c r="S9" s="1370" t="s">
        <v>602</v>
      </c>
      <c r="T9" s="1356"/>
    </row>
    <row r="10" spans="2:20" x14ac:dyDescent="0.2">
      <c r="B10" s="110">
        <v>1</v>
      </c>
      <c r="C10" s="111" t="str">
        <f>'WA Volumes &amp; Revenues'!B15</f>
        <v>1R</v>
      </c>
      <c r="D10" s="111" t="s">
        <v>283</v>
      </c>
      <c r="E10" s="111" t="s">
        <v>283</v>
      </c>
      <c r="F10" s="113">
        <f>'WA Volumes &amp; Revenues'!E15</f>
        <v>214704.20066131229</v>
      </c>
      <c r="G10" s="113">
        <f>'WA Volumes &amp; Revenues'!H15</f>
        <v>911</v>
      </c>
      <c r="H10" s="907">
        <f>'WA Volumes &amp; Revenues'!O15</f>
        <v>5.5</v>
      </c>
      <c r="I10" s="908">
        <f>'WA Volumes &amp; Revenues'!N15</f>
        <v>5.5</v>
      </c>
      <c r="J10" s="627">
        <f>'Rates in Detail'!E13</f>
        <v>0.67652999999999996</v>
      </c>
      <c r="K10" s="631">
        <f>'Rates in Detail'!H13</f>
        <v>0.10141</v>
      </c>
      <c r="L10" s="631">
        <f>'Rates in Detail'!F13</f>
        <v>0.26333000000000001</v>
      </c>
      <c r="M10" s="631">
        <f>'Rates in Detail'!I13</f>
        <v>0.11125999999999998</v>
      </c>
      <c r="N10" s="135">
        <f>SUM(J10:M10)</f>
        <v>1.1525299999999998</v>
      </c>
      <c r="O10" s="1372">
        <f>'Rates in Detail'!L13</f>
        <v>0.13225000000000001</v>
      </c>
      <c r="P10" s="1367">
        <f>'Rates in Detail'!P13</f>
        <v>-9.1000000000000004E-3</v>
      </c>
      <c r="Q10" s="1382">
        <f>SUM(N10:P10)</f>
        <v>1.2756799999999997</v>
      </c>
      <c r="R10" s="1367">
        <f>'Rates in Detail'!Y13</f>
        <v>6.2010000000000003E-2</v>
      </c>
      <c r="S10" s="1386">
        <f>Q10+R10</f>
        <v>1.3376899999999996</v>
      </c>
      <c r="T10" s="131"/>
    </row>
    <row r="11" spans="2:20" x14ac:dyDescent="0.2">
      <c r="B11" s="110">
        <f>B10+1</f>
        <v>2</v>
      </c>
      <c r="C11" s="111" t="str">
        <f>'WA Volumes &amp; Revenues'!B16</f>
        <v>1C</v>
      </c>
      <c r="D11" s="111" t="s">
        <v>283</v>
      </c>
      <c r="E11" s="111" t="s">
        <v>283</v>
      </c>
      <c r="F11" s="113">
        <f>'WA Volumes &amp; Revenues'!E16</f>
        <v>46539.057144390383</v>
      </c>
      <c r="G11" s="113">
        <f>'WA Volumes &amp; Revenues'!H16</f>
        <v>34</v>
      </c>
      <c r="H11" s="907">
        <f>'WA Volumes &amp; Revenues'!O16</f>
        <v>7</v>
      </c>
      <c r="I11" s="908">
        <f>'WA Volumes &amp; Revenues'!N16</f>
        <v>7</v>
      </c>
      <c r="J11" s="627">
        <f>'Rates in Detail'!E14</f>
        <v>0.73148999999999997</v>
      </c>
      <c r="K11" s="631">
        <f>'Rates in Detail'!H14</f>
        <v>0.10141</v>
      </c>
      <c r="L11" s="631">
        <f>'Rates in Detail'!F14</f>
        <v>0.26333000000000001</v>
      </c>
      <c r="M11" s="631">
        <f>'Rates in Detail'!I14</f>
        <v>9.3060000000000004E-2</v>
      </c>
      <c r="N11" s="135">
        <f t="shared" ref="N11:N74" si="0">SUM(J11:M11)</f>
        <v>1.18929</v>
      </c>
      <c r="O11" s="1372">
        <f>'Rates in Detail'!L14</f>
        <v>0.10997</v>
      </c>
      <c r="P11" s="1367">
        <f>'Rates in Detail'!P14</f>
        <v>-7.5599999999999999E-3</v>
      </c>
      <c r="Q11" s="1382">
        <f t="shared" ref="Q11:Q74" si="1">SUM(N11:P11)</f>
        <v>1.2916999999999998</v>
      </c>
      <c r="R11" s="1367">
        <f>'Rates in Detail'!Y14</f>
        <v>5.1569999999999998E-2</v>
      </c>
      <c r="S11" s="1386">
        <f t="shared" ref="S11:S74" si="2">Q11+R11</f>
        <v>1.3432699999999997</v>
      </c>
      <c r="T11" s="131"/>
    </row>
    <row r="12" spans="2:20" x14ac:dyDescent="0.2">
      <c r="B12" s="110">
        <f t="shared" ref="B12:B75" si="3">B11+1</f>
        <v>3</v>
      </c>
      <c r="C12" s="111" t="str">
        <f>'WA Volumes &amp; Revenues'!B17</f>
        <v>2R</v>
      </c>
      <c r="D12" s="111" t="s">
        <v>283</v>
      </c>
      <c r="E12" s="111" t="s">
        <v>283</v>
      </c>
      <c r="F12" s="113">
        <f>'WA Volumes &amp; Revenues'!E17</f>
        <v>54953515.785084128</v>
      </c>
      <c r="G12" s="113">
        <f>'WA Volumes &amp; Revenues'!H17</f>
        <v>81119</v>
      </c>
      <c r="H12" s="907">
        <f>'WA Volumes &amp; Revenues'!O17</f>
        <v>8</v>
      </c>
      <c r="I12" s="908">
        <f>'WA Volumes &amp; Revenues'!N17</f>
        <v>8</v>
      </c>
      <c r="J12" s="627">
        <f>'Rates in Detail'!E15</f>
        <v>0.45815999999999979</v>
      </c>
      <c r="K12" s="631">
        <f>'Rates in Detail'!H15</f>
        <v>0.10141</v>
      </c>
      <c r="L12" s="631">
        <f>'Rates in Detail'!F15</f>
        <v>0.26333000000000001</v>
      </c>
      <c r="M12" s="631">
        <f>'Rates in Detail'!I15</f>
        <v>6.6579999999999986E-2</v>
      </c>
      <c r="N12" s="135">
        <f t="shared" si="0"/>
        <v>0.88947999999999972</v>
      </c>
      <c r="O12" s="1372">
        <f>'Rates in Detail'!L15</f>
        <v>8.3699999999999997E-2</v>
      </c>
      <c r="P12" s="1367">
        <f>'Rates in Detail'!P15</f>
        <v>-5.7600000000000004E-3</v>
      </c>
      <c r="Q12" s="1382">
        <f t="shared" si="1"/>
        <v>0.96741999999999972</v>
      </c>
      <c r="R12" s="1367">
        <f>'Rates in Detail'!Y15</f>
        <v>3.925E-2</v>
      </c>
      <c r="S12" s="1386">
        <f t="shared" si="2"/>
        <v>1.0066699999999997</v>
      </c>
      <c r="T12" s="131"/>
    </row>
    <row r="13" spans="2:20" x14ac:dyDescent="0.2">
      <c r="B13" s="110">
        <f t="shared" si="3"/>
        <v>4</v>
      </c>
      <c r="C13" s="111" t="str">
        <f>'WA Volumes &amp; Revenues'!B18</f>
        <v>3 CFS</v>
      </c>
      <c r="D13" s="111" t="s">
        <v>283</v>
      </c>
      <c r="E13" s="111" t="s">
        <v>283</v>
      </c>
      <c r="F13" s="113">
        <f>'WA Volumes &amp; Revenues'!E18</f>
        <v>17867210.60654201</v>
      </c>
      <c r="G13" s="113">
        <f>'WA Volumes &amp; Revenues'!H18</f>
        <v>6318</v>
      </c>
      <c r="H13" s="907">
        <f>'WA Volumes &amp; Revenues'!O18</f>
        <v>22</v>
      </c>
      <c r="I13" s="909">
        <f>'WA Volumes &amp; Revenues'!N18</f>
        <v>22</v>
      </c>
      <c r="J13" s="627">
        <f>'Rates in Detail'!E16</f>
        <v>0.44368000000000019</v>
      </c>
      <c r="K13" s="631">
        <f>'Rates in Detail'!H16</f>
        <v>0.10141</v>
      </c>
      <c r="L13" s="631">
        <f>'Rates in Detail'!F16</f>
        <v>0.26333000000000001</v>
      </c>
      <c r="M13" s="631">
        <f>'Rates in Detail'!I16</f>
        <v>5.8480000000000004E-2</v>
      </c>
      <c r="N13" s="136">
        <f t="shared" si="0"/>
        <v>0.86690000000000011</v>
      </c>
      <c r="O13" s="1374">
        <f>'Rates in Detail'!L16</f>
        <v>7.5149999999999995E-2</v>
      </c>
      <c r="P13" s="1367">
        <f>'Rates in Detail'!P16</f>
        <v>-5.1700000000000001E-3</v>
      </c>
      <c r="Q13" s="1382">
        <f t="shared" si="1"/>
        <v>0.93688000000000005</v>
      </c>
      <c r="R13" s="1367">
        <f>'Rates in Detail'!Y16</f>
        <v>3.524E-2</v>
      </c>
      <c r="S13" s="1386">
        <f t="shared" si="2"/>
        <v>0.9721200000000001</v>
      </c>
      <c r="T13" s="131"/>
    </row>
    <row r="14" spans="2:20" x14ac:dyDescent="0.2">
      <c r="B14" s="110">
        <f t="shared" si="3"/>
        <v>5</v>
      </c>
      <c r="C14" s="111" t="str">
        <f>'WA Volumes &amp; Revenues'!B19</f>
        <v>3 IFS</v>
      </c>
      <c r="D14" s="111" t="s">
        <v>283</v>
      </c>
      <c r="E14" s="111" t="s">
        <v>283</v>
      </c>
      <c r="F14" s="113">
        <f>'WA Volumes &amp; Revenues'!E19</f>
        <v>283651.99999999994</v>
      </c>
      <c r="G14" s="113">
        <f>'WA Volumes &amp; Revenues'!H19</f>
        <v>24.25</v>
      </c>
      <c r="H14" s="907">
        <f>'WA Volumes &amp; Revenues'!O19</f>
        <v>22</v>
      </c>
      <c r="I14" s="909">
        <f>'WA Volumes &amp; Revenues'!N19</f>
        <v>22</v>
      </c>
      <c r="J14" s="627">
        <f>'Rates in Detail'!E17</f>
        <v>0.46249000000000001</v>
      </c>
      <c r="K14" s="631">
        <f>'Rates in Detail'!H17</f>
        <v>0.10141</v>
      </c>
      <c r="L14" s="631">
        <f>'Rates in Detail'!F17</f>
        <v>0.26333000000000001</v>
      </c>
      <c r="M14" s="631">
        <f>'Rates in Detail'!I17</f>
        <v>-8.9999999999999802E-5</v>
      </c>
      <c r="N14" s="136">
        <f t="shared" si="0"/>
        <v>0.8271400000000001</v>
      </c>
      <c r="O14" s="1374">
        <f>'Rates in Detail'!L17</f>
        <v>6.8080000000000002E-2</v>
      </c>
      <c r="P14" s="1367">
        <f>'Rates in Detail'!P17</f>
        <v>-4.6899999999999997E-3</v>
      </c>
      <c r="Q14" s="1382">
        <f t="shared" si="1"/>
        <v>0.89053000000000015</v>
      </c>
      <c r="R14" s="1367">
        <f>'Rates in Detail'!Y17</f>
        <v>3.1919999999999997E-2</v>
      </c>
      <c r="S14" s="1386">
        <f t="shared" si="2"/>
        <v>0.9224500000000001</v>
      </c>
      <c r="T14" s="131"/>
    </row>
    <row r="15" spans="2:20" x14ac:dyDescent="0.2">
      <c r="B15" s="110">
        <f t="shared" si="3"/>
        <v>6</v>
      </c>
      <c r="C15" s="1354" t="str">
        <f>'WA Volumes &amp; Revenues'!B20</f>
        <v>27R</v>
      </c>
      <c r="D15" s="111" t="s">
        <v>283</v>
      </c>
      <c r="E15" s="111" t="s">
        <v>283</v>
      </c>
      <c r="F15" s="113">
        <f>'WA Volumes &amp; Revenues'!E20</f>
        <v>461371.76933137607</v>
      </c>
      <c r="G15" s="113">
        <f>'WA Volumes &amp; Revenues'!H20</f>
        <v>776</v>
      </c>
      <c r="H15" s="910">
        <f>'WA Volumes &amp; Revenues'!O20</f>
        <v>9</v>
      </c>
      <c r="I15" s="911">
        <f>'WA Volumes &amp; Revenues'!N20</f>
        <v>9</v>
      </c>
      <c r="J15" s="627">
        <f>'Rates in Detail'!E18</f>
        <v>0.24087999999999973</v>
      </c>
      <c r="K15" s="631">
        <f>'Rates in Detail'!H18</f>
        <v>0.10141</v>
      </c>
      <c r="L15" s="631">
        <f>'Rates in Detail'!F18</f>
        <v>0.26333000000000001</v>
      </c>
      <c r="M15" s="631">
        <f>'Rates in Detail'!I18</f>
        <v>3.8710000000000001E-2</v>
      </c>
      <c r="N15" s="136">
        <f t="shared" si="0"/>
        <v>0.64432999999999985</v>
      </c>
      <c r="O15" s="1374">
        <f>'Rates in Detail'!L18</f>
        <v>5.9569999999999998E-2</v>
      </c>
      <c r="P15" s="1367">
        <f>'Rates in Detail'!P18</f>
        <v>-4.1000000000000003E-3</v>
      </c>
      <c r="Q15" s="1382">
        <f t="shared" si="1"/>
        <v>0.69979999999999987</v>
      </c>
      <c r="R15" s="1367">
        <f>'Rates in Detail'!Y18</f>
        <v>2.793E-2</v>
      </c>
      <c r="S15" s="1386">
        <f t="shared" si="2"/>
        <v>0.72772999999999988</v>
      </c>
      <c r="T15" s="131"/>
    </row>
    <row r="16" spans="2:20" x14ac:dyDescent="0.2">
      <c r="B16" s="110">
        <f t="shared" si="3"/>
        <v>7</v>
      </c>
      <c r="C16" s="1355" t="str">
        <f>'WA Volumes &amp; Revenues'!B21</f>
        <v>41C Firm Sales</v>
      </c>
      <c r="D16" s="1355" t="s">
        <v>4</v>
      </c>
      <c r="E16" s="115">
        <v>2000</v>
      </c>
      <c r="F16" s="116">
        <f>'WA Volumes &amp; Revenues'!E21</f>
        <v>1777065.1510316674</v>
      </c>
      <c r="G16" s="116">
        <f>'WA Volumes &amp; Revenues'!H21</f>
        <v>91</v>
      </c>
      <c r="H16" s="912">
        <f>'WA Volumes &amp; Revenues'!O21</f>
        <v>250</v>
      </c>
      <c r="I16" s="913">
        <f>'WA Volumes &amp; Revenues'!N21</f>
        <v>250</v>
      </c>
      <c r="J16" s="628">
        <f>'Rates in Detail'!E19</f>
        <v>0.34474000000000016</v>
      </c>
      <c r="K16" s="630">
        <f>'Rates in Detail'!H19</f>
        <v>0</v>
      </c>
      <c r="L16" s="630">
        <f>'Rates in Detail'!F19</f>
        <v>0.26333000000000001</v>
      </c>
      <c r="M16" s="630">
        <f>'Rates in Detail'!I19</f>
        <v>4.3429999999999996E-2</v>
      </c>
      <c r="N16" s="137">
        <f t="shared" si="0"/>
        <v>0.65150000000000008</v>
      </c>
      <c r="O16" s="1375">
        <f>'Rates in Detail'!L19</f>
        <v>5.9679999999999997E-2</v>
      </c>
      <c r="P16" s="1376">
        <f>'Rates in Detail'!P19</f>
        <v>-4.1099999999999999E-3</v>
      </c>
      <c r="Q16" s="1383">
        <f t="shared" si="1"/>
        <v>0.70707000000000009</v>
      </c>
      <c r="R16" s="1376">
        <f>'Rates in Detail'!Y19</f>
        <v>2.7990000000000001E-2</v>
      </c>
      <c r="S16" s="1387">
        <f t="shared" si="2"/>
        <v>0.73506000000000005</v>
      </c>
      <c r="T16" s="131"/>
    </row>
    <row r="17" spans="2:20" x14ac:dyDescent="0.2">
      <c r="B17" s="110">
        <f t="shared" si="3"/>
        <v>8</v>
      </c>
      <c r="C17" s="111"/>
      <c r="D17" s="111" t="s">
        <v>5</v>
      </c>
      <c r="E17" s="112" t="s">
        <v>74</v>
      </c>
      <c r="F17" s="113">
        <f>'WA Volumes &amp; Revenues'!E22</f>
        <v>1974656.4658023661</v>
      </c>
      <c r="G17" s="113"/>
      <c r="H17" s="907"/>
      <c r="I17" s="909"/>
      <c r="J17" s="627">
        <f>'Rates in Detail'!E20</f>
        <v>0.30376999999999998</v>
      </c>
      <c r="K17" s="631">
        <f>'Rates in Detail'!H20</f>
        <v>0</v>
      </c>
      <c r="L17" s="631">
        <f>'Rates in Detail'!F20</f>
        <v>0.26333000000000001</v>
      </c>
      <c r="M17" s="631">
        <f>'Rates in Detail'!I20</f>
        <v>3.7170000000000002E-2</v>
      </c>
      <c r="N17" s="135">
        <f t="shared" si="0"/>
        <v>0.60426999999999997</v>
      </c>
      <c r="O17" s="1374">
        <f>'Rates in Detail'!L20</f>
        <v>5.2589999999999998E-2</v>
      </c>
      <c r="P17" s="1367">
        <f>'Rates in Detail'!P20</f>
        <v>-3.62E-3</v>
      </c>
      <c r="Q17" s="1382">
        <f t="shared" si="1"/>
        <v>0.65324000000000004</v>
      </c>
      <c r="R17" s="1367">
        <f>'Rates in Detail'!Y20</f>
        <v>2.4660000000000001E-2</v>
      </c>
      <c r="S17" s="1386">
        <f t="shared" si="2"/>
        <v>0.67790000000000006</v>
      </c>
      <c r="T17" s="131"/>
    </row>
    <row r="18" spans="2:20" x14ac:dyDescent="0.2">
      <c r="B18" s="110">
        <f t="shared" si="3"/>
        <v>9</v>
      </c>
      <c r="C18" s="1355" t="str">
        <f>'WA Volumes &amp; Revenues'!B23</f>
        <v>41I Firm Sales</v>
      </c>
      <c r="D18" s="1355" t="s">
        <v>4</v>
      </c>
      <c r="E18" s="115">
        <v>2000</v>
      </c>
      <c r="F18" s="116">
        <f>'WA Volumes &amp; Revenues'!E23</f>
        <v>392890.20000000007</v>
      </c>
      <c r="G18" s="116">
        <f>'WA Volumes &amp; Revenues'!H23</f>
        <v>17.833333333333332</v>
      </c>
      <c r="H18" s="912">
        <f>'WA Volumes &amp; Revenues'!O23</f>
        <v>250</v>
      </c>
      <c r="I18" s="913">
        <f>'WA Volumes &amp; Revenues'!N23</f>
        <v>250</v>
      </c>
      <c r="J18" s="628">
        <f>'Rates in Detail'!E21</f>
        <v>0.34416000000000024</v>
      </c>
      <c r="K18" s="630">
        <f>'Rates in Detail'!H21</f>
        <v>0</v>
      </c>
      <c r="L18" s="630">
        <f>'Rates in Detail'!F21</f>
        <v>0.26333000000000001</v>
      </c>
      <c r="M18" s="630">
        <f>'Rates in Detail'!I21</f>
        <v>-1.7200000000000002E-3</v>
      </c>
      <c r="N18" s="137">
        <f t="shared" si="0"/>
        <v>0.60577000000000025</v>
      </c>
      <c r="O18" s="1375">
        <f>'Rates in Detail'!L21</f>
        <v>5.6809999999999999E-2</v>
      </c>
      <c r="P18" s="1376">
        <f>'Rates in Detail'!P21</f>
        <v>-3.9100000000000003E-3</v>
      </c>
      <c r="Q18" s="1383">
        <f t="shared" si="1"/>
        <v>0.65867000000000031</v>
      </c>
      <c r="R18" s="1376">
        <f>'Rates in Detail'!Y21</f>
        <v>2.664E-2</v>
      </c>
      <c r="S18" s="1387">
        <f t="shared" si="2"/>
        <v>0.68531000000000031</v>
      </c>
      <c r="T18" s="131"/>
    </row>
    <row r="19" spans="2:20" x14ac:dyDescent="0.2">
      <c r="B19" s="110">
        <f t="shared" si="3"/>
        <v>10</v>
      </c>
      <c r="C19" s="111"/>
      <c r="D19" s="111" t="s">
        <v>5</v>
      </c>
      <c r="E19" s="112" t="s">
        <v>74</v>
      </c>
      <c r="F19" s="113">
        <f>'WA Volumes &amp; Revenues'!E24</f>
        <v>621650.00000000012</v>
      </c>
      <c r="G19" s="113"/>
      <c r="H19" s="907"/>
      <c r="I19" s="909"/>
      <c r="J19" s="627">
        <f>'Rates in Detail'!E22</f>
        <v>0.30325000000000002</v>
      </c>
      <c r="K19" s="631">
        <f>'Rates in Detail'!H22</f>
        <v>0</v>
      </c>
      <c r="L19" s="631">
        <f>'Rates in Detail'!F22</f>
        <v>0.26333000000000001</v>
      </c>
      <c r="M19" s="631">
        <f>'Rates in Detail'!I22</f>
        <v>-2.6199999999999999E-3</v>
      </c>
      <c r="N19" s="135">
        <f t="shared" si="0"/>
        <v>0.56396000000000013</v>
      </c>
      <c r="O19" s="1374">
        <f>'Rates in Detail'!L22</f>
        <v>5.0049999999999997E-2</v>
      </c>
      <c r="P19" s="1367">
        <f>'Rates in Detail'!P22</f>
        <v>-3.4399999999999999E-3</v>
      </c>
      <c r="Q19" s="1382">
        <f t="shared" si="1"/>
        <v>0.61057000000000017</v>
      </c>
      <c r="R19" s="1367">
        <f>'Rates in Detail'!Y22</f>
        <v>2.3470000000000001E-2</v>
      </c>
      <c r="S19" s="1386">
        <f t="shared" si="2"/>
        <v>0.63404000000000016</v>
      </c>
      <c r="T19" s="131"/>
    </row>
    <row r="20" spans="2:20" x14ac:dyDescent="0.2">
      <c r="B20" s="110">
        <f t="shared" si="3"/>
        <v>11</v>
      </c>
      <c r="C20" s="1355" t="str">
        <f>'WA Volumes &amp; Revenues'!B25</f>
        <v>41C Interr Sales</v>
      </c>
      <c r="D20" s="1355" t="s">
        <v>4</v>
      </c>
      <c r="E20" s="115">
        <v>2000</v>
      </c>
      <c r="F20" s="116">
        <f>'WA Volumes &amp; Revenues'!E25</f>
        <v>0</v>
      </c>
      <c r="G20" s="116">
        <f>'WA Volumes &amp; Revenues'!H25</f>
        <v>0</v>
      </c>
      <c r="H20" s="912">
        <f>'WA Volumes &amp; Revenues'!O25</f>
        <v>250</v>
      </c>
      <c r="I20" s="913">
        <f>'WA Volumes &amp; Revenues'!N25</f>
        <v>250</v>
      </c>
      <c r="J20" s="628">
        <f>'Rates in Detail'!E23</f>
        <v>0.34372999999999987</v>
      </c>
      <c r="K20" s="630">
        <f>'Rates in Detail'!H23</f>
        <v>0</v>
      </c>
      <c r="L20" s="630">
        <f>'Rates in Detail'!F23</f>
        <v>0.26333000000000001</v>
      </c>
      <c r="M20" s="630">
        <f>'Rates in Detail'!I23</f>
        <v>5.3189999999999994E-2</v>
      </c>
      <c r="N20" s="137">
        <f t="shared" si="0"/>
        <v>0.66024999999999989</v>
      </c>
      <c r="O20" s="1375">
        <f>'Rates in Detail'!L23</f>
        <v>4.3560000000000001E-2</v>
      </c>
      <c r="P20" s="1376">
        <f>'Rates in Detail'!P23</f>
        <v>-3.2200000000000002E-3</v>
      </c>
      <c r="Q20" s="1383">
        <f t="shared" si="1"/>
        <v>0.70058999999999994</v>
      </c>
      <c r="R20" s="1376">
        <f>'Rates in Detail'!Y23</f>
        <v>2.1749999999999999E-2</v>
      </c>
      <c r="S20" s="1387">
        <f t="shared" si="2"/>
        <v>0.72233999999999998</v>
      </c>
      <c r="T20" s="131"/>
    </row>
    <row r="21" spans="2:20" x14ac:dyDescent="0.2">
      <c r="B21" s="110">
        <f t="shared" si="3"/>
        <v>12</v>
      </c>
      <c r="C21" s="111"/>
      <c r="D21" s="111" t="s">
        <v>5</v>
      </c>
      <c r="E21" s="112" t="s">
        <v>74</v>
      </c>
      <c r="F21" s="113">
        <f>'WA Volumes &amp; Revenues'!E26</f>
        <v>0</v>
      </c>
      <c r="G21" s="113"/>
      <c r="H21" s="907"/>
      <c r="I21" s="909"/>
      <c r="J21" s="627">
        <f>'Rates in Detail'!E24</f>
        <v>0.30284999999999984</v>
      </c>
      <c r="K21" s="631">
        <f>'Rates in Detail'!H24</f>
        <v>0</v>
      </c>
      <c r="L21" s="631">
        <f>'Rates in Detail'!F24</f>
        <v>0.26333000000000001</v>
      </c>
      <c r="M21" s="631">
        <f>'Rates in Detail'!I24</f>
        <v>4.6990000000000004E-2</v>
      </c>
      <c r="N21" s="135">
        <f t="shared" si="0"/>
        <v>0.61316999999999988</v>
      </c>
      <c r="O21" s="1374">
        <f>'Rates in Detail'!L24</f>
        <v>3.8379999999999997E-2</v>
      </c>
      <c r="P21" s="1367">
        <f>'Rates in Detail'!P24</f>
        <v>-2.8400000000000001E-3</v>
      </c>
      <c r="Q21" s="1382">
        <f t="shared" si="1"/>
        <v>0.6487099999999999</v>
      </c>
      <c r="R21" s="1367">
        <f>'Rates in Detail'!Y24</f>
        <v>1.917E-2</v>
      </c>
      <c r="S21" s="1386">
        <f t="shared" si="2"/>
        <v>0.66787999999999992</v>
      </c>
      <c r="T21" s="131"/>
    </row>
    <row r="22" spans="2:20" x14ac:dyDescent="0.2">
      <c r="B22" s="110">
        <f t="shared" si="3"/>
        <v>13</v>
      </c>
      <c r="C22" s="1355" t="str">
        <f>'WA Volumes &amp; Revenues'!B27</f>
        <v>41I Interr Sales</v>
      </c>
      <c r="D22" s="1355" t="s">
        <v>4</v>
      </c>
      <c r="E22" s="115">
        <v>2000</v>
      </c>
      <c r="F22" s="116">
        <f>'WA Volumes &amp; Revenues'!E27</f>
        <v>0</v>
      </c>
      <c r="G22" s="116">
        <f>'WA Volumes &amp; Revenues'!H27</f>
        <v>0</v>
      </c>
      <c r="H22" s="912">
        <f>'WA Volumes &amp; Revenues'!O27</f>
        <v>250</v>
      </c>
      <c r="I22" s="913">
        <f>'WA Volumes &amp; Revenues'!N27</f>
        <v>250</v>
      </c>
      <c r="J22" s="628">
        <f>'Rates in Detail'!E25</f>
        <v>0.34372999999999987</v>
      </c>
      <c r="K22" s="630">
        <f>'Rates in Detail'!H25</f>
        <v>0</v>
      </c>
      <c r="L22" s="630">
        <f>'Rates in Detail'!F25</f>
        <v>0.26333000000000001</v>
      </c>
      <c r="M22" s="630">
        <f>'Rates in Detail'!I25</f>
        <v>8.7499999999999991E-3</v>
      </c>
      <c r="N22" s="137">
        <f t="shared" si="0"/>
        <v>0.61580999999999997</v>
      </c>
      <c r="O22" s="1375">
        <f>'Rates in Detail'!L25</f>
        <v>4.3560000000000001E-2</v>
      </c>
      <c r="P22" s="1376">
        <f>'Rates in Detail'!P25</f>
        <v>-3.2200000000000002E-3</v>
      </c>
      <c r="Q22" s="1383">
        <f t="shared" si="1"/>
        <v>0.65615000000000001</v>
      </c>
      <c r="R22" s="1376">
        <f>'Rates in Detail'!Y25</f>
        <v>2.1749999999999999E-2</v>
      </c>
      <c r="S22" s="1387">
        <f t="shared" si="2"/>
        <v>0.67790000000000006</v>
      </c>
      <c r="T22" s="131"/>
    </row>
    <row r="23" spans="2:20" x14ac:dyDescent="0.2">
      <c r="B23" s="110">
        <f t="shared" si="3"/>
        <v>14</v>
      </c>
      <c r="C23" s="111"/>
      <c r="D23" s="111" t="s">
        <v>5</v>
      </c>
      <c r="E23" s="112" t="s">
        <v>74</v>
      </c>
      <c r="F23" s="113">
        <f>'WA Volumes &amp; Revenues'!E28</f>
        <v>0</v>
      </c>
      <c r="G23" s="113"/>
      <c r="H23" s="907"/>
      <c r="I23" s="909"/>
      <c r="J23" s="627">
        <f>'Rates in Detail'!E26</f>
        <v>0.30284999999999984</v>
      </c>
      <c r="K23" s="631">
        <f>'Rates in Detail'!H26</f>
        <v>0</v>
      </c>
      <c r="L23" s="631">
        <f>'Rates in Detail'!F26</f>
        <v>0.26333000000000001</v>
      </c>
      <c r="M23" s="631">
        <f>'Rates in Detail'!I26</f>
        <v>7.8399999999999997E-3</v>
      </c>
      <c r="N23" s="135">
        <f t="shared" si="0"/>
        <v>0.57401999999999986</v>
      </c>
      <c r="O23" s="1374">
        <f>'Rates in Detail'!L26</f>
        <v>3.8379999999999997E-2</v>
      </c>
      <c r="P23" s="1367">
        <f>'Rates in Detail'!P26</f>
        <v>-2.8400000000000001E-3</v>
      </c>
      <c r="Q23" s="1382">
        <f t="shared" si="1"/>
        <v>0.60955999999999988</v>
      </c>
      <c r="R23" s="1367">
        <f>'Rates in Detail'!Y26</f>
        <v>1.917E-2</v>
      </c>
      <c r="S23" s="1386">
        <f t="shared" si="2"/>
        <v>0.6287299999999999</v>
      </c>
      <c r="T23" s="131"/>
    </row>
    <row r="24" spans="2:20" x14ac:dyDescent="0.2">
      <c r="B24" s="110">
        <f t="shared" si="3"/>
        <v>15</v>
      </c>
      <c r="C24" s="1355" t="str">
        <f>'WA Volumes &amp; Revenues'!B29</f>
        <v>41C Firm Transpt</v>
      </c>
      <c r="D24" s="1355" t="s">
        <v>4</v>
      </c>
      <c r="E24" s="115">
        <v>2000</v>
      </c>
      <c r="F24" s="116">
        <f>'WA Volumes &amp; Revenues'!E29</f>
        <v>168721</v>
      </c>
      <c r="G24" s="116">
        <f>'WA Volumes &amp; Revenues'!H29</f>
        <v>7.916666666666667</v>
      </c>
      <c r="H24" s="912">
        <f>'WA Volumes &amp; Revenues'!O29</f>
        <v>500</v>
      </c>
      <c r="I24" s="913">
        <f>'WA Volumes &amp; Revenues'!N29</f>
        <v>500</v>
      </c>
      <c r="J24" s="628">
        <f>'Rates in Detail'!E27</f>
        <v>0.34791</v>
      </c>
      <c r="K24" s="630">
        <f>'Rates in Detail'!H27</f>
        <v>0</v>
      </c>
      <c r="L24" s="630">
        <f>'Rates in Detail'!F27</f>
        <v>0</v>
      </c>
      <c r="M24" s="630">
        <f>'Rates in Detail'!I27</f>
        <v>1.5499999999999999E-3</v>
      </c>
      <c r="N24" s="137">
        <f t="shared" si="0"/>
        <v>0.34945999999999999</v>
      </c>
      <c r="O24" s="1375">
        <f>'Rates in Detail'!L27</f>
        <v>6.3149999999999998E-2</v>
      </c>
      <c r="P24" s="1376">
        <f>'Rates in Detail'!P27</f>
        <v>-4.3499999999999997E-3</v>
      </c>
      <c r="Q24" s="1383">
        <f t="shared" si="1"/>
        <v>0.40825999999999996</v>
      </c>
      <c r="R24" s="1376">
        <f>'Rates in Detail'!Y27</f>
        <v>2.9610000000000001E-2</v>
      </c>
      <c r="S24" s="1387">
        <f t="shared" si="2"/>
        <v>0.43786999999999998</v>
      </c>
      <c r="T24" s="131"/>
    </row>
    <row r="25" spans="2:20" x14ac:dyDescent="0.2">
      <c r="B25" s="110">
        <f t="shared" si="3"/>
        <v>16</v>
      </c>
      <c r="C25" s="111"/>
      <c r="D25" s="111" t="s">
        <v>5</v>
      </c>
      <c r="E25" s="112" t="s">
        <v>74</v>
      </c>
      <c r="F25" s="113">
        <f>'WA Volumes &amp; Revenues'!E30</f>
        <v>272866</v>
      </c>
      <c r="G25" s="113"/>
      <c r="H25" s="907"/>
      <c r="I25" s="909"/>
      <c r="J25" s="627">
        <f>'Rates in Detail'!E28</f>
        <v>0.30653000000000008</v>
      </c>
      <c r="K25" s="631">
        <f>'Rates in Detail'!H28</f>
        <v>0</v>
      </c>
      <c r="L25" s="631">
        <f>'Rates in Detail'!F28</f>
        <v>0</v>
      </c>
      <c r="M25" s="631">
        <f>'Rates in Detail'!I28</f>
        <v>1.3600000000000001E-3</v>
      </c>
      <c r="N25" s="135">
        <f t="shared" si="0"/>
        <v>0.30789000000000011</v>
      </c>
      <c r="O25" s="1374">
        <f>'Rates in Detail'!L28</f>
        <v>5.5640000000000002E-2</v>
      </c>
      <c r="P25" s="1367">
        <f>'Rates in Detail'!P28</f>
        <v>-3.8300000000000001E-3</v>
      </c>
      <c r="Q25" s="1382">
        <f t="shared" si="1"/>
        <v>0.35970000000000013</v>
      </c>
      <c r="R25" s="1367">
        <f>'Rates in Detail'!Y28</f>
        <v>2.6089999999999999E-2</v>
      </c>
      <c r="S25" s="1386">
        <f t="shared" si="2"/>
        <v>0.38579000000000013</v>
      </c>
      <c r="T25" s="131"/>
    </row>
    <row r="26" spans="2:20" x14ac:dyDescent="0.2">
      <c r="B26" s="110">
        <f t="shared" si="3"/>
        <v>17</v>
      </c>
      <c r="C26" s="1355" t="str">
        <f>'WA Volumes &amp; Revenues'!B31</f>
        <v>41I Firm Transpt</v>
      </c>
      <c r="D26" s="1355" t="s">
        <v>4</v>
      </c>
      <c r="E26" s="115">
        <v>2000</v>
      </c>
      <c r="F26" s="116">
        <f>'WA Volumes &amp; Revenues'!E31</f>
        <v>0</v>
      </c>
      <c r="G26" s="116">
        <f>'WA Volumes &amp; Revenues'!H31</f>
        <v>0</v>
      </c>
      <c r="H26" s="912">
        <f>'WA Volumes &amp; Revenues'!O31</f>
        <v>500</v>
      </c>
      <c r="I26" s="913">
        <f>'WA Volumes &amp; Revenues'!N31</f>
        <v>500</v>
      </c>
      <c r="J26" s="628">
        <f>'Rates in Detail'!E29</f>
        <v>0.34791</v>
      </c>
      <c r="K26" s="630">
        <f>'Rates in Detail'!H29</f>
        <v>0</v>
      </c>
      <c r="L26" s="630">
        <f>'Rates in Detail'!F29</f>
        <v>0</v>
      </c>
      <c r="M26" s="630">
        <f>'Rates in Detail'!I29</f>
        <v>1.5499999999999999E-3</v>
      </c>
      <c r="N26" s="137">
        <f t="shared" si="0"/>
        <v>0.34945999999999999</v>
      </c>
      <c r="O26" s="1375">
        <f>'Rates in Detail'!L29</f>
        <v>4.4089999999999997E-2</v>
      </c>
      <c r="P26" s="1376">
        <f>'Rates in Detail'!P29</f>
        <v>-3.2599999999999999E-3</v>
      </c>
      <c r="Q26" s="1383">
        <f t="shared" si="1"/>
        <v>0.39029000000000003</v>
      </c>
      <c r="R26" s="1376">
        <f>'Rates in Detail'!Y29</f>
        <v>2.2020000000000001E-2</v>
      </c>
      <c r="S26" s="1387">
        <f t="shared" si="2"/>
        <v>0.41231000000000001</v>
      </c>
      <c r="T26" s="131"/>
    </row>
    <row r="27" spans="2:20" x14ac:dyDescent="0.2">
      <c r="B27" s="110">
        <f t="shared" si="3"/>
        <v>18</v>
      </c>
      <c r="C27" s="111"/>
      <c r="D27" s="111" t="s">
        <v>5</v>
      </c>
      <c r="E27" s="112" t="s">
        <v>74</v>
      </c>
      <c r="F27" s="113">
        <f>'WA Volumes &amp; Revenues'!E32</f>
        <v>0</v>
      </c>
      <c r="G27" s="113"/>
      <c r="H27" s="907"/>
      <c r="I27" s="909"/>
      <c r="J27" s="627">
        <f>'Rates in Detail'!E30</f>
        <v>0.30653000000000008</v>
      </c>
      <c r="K27" s="631">
        <f>'Rates in Detail'!H30</f>
        <v>0</v>
      </c>
      <c r="L27" s="631">
        <f>'Rates in Detail'!F30</f>
        <v>0</v>
      </c>
      <c r="M27" s="631">
        <f>'Rates in Detail'!I30</f>
        <v>1.3600000000000001E-3</v>
      </c>
      <c r="N27" s="135">
        <f t="shared" si="0"/>
        <v>0.30789000000000011</v>
      </c>
      <c r="O27" s="1374">
        <f>'Rates in Detail'!L30</f>
        <v>3.8850000000000003E-2</v>
      </c>
      <c r="P27" s="1367">
        <f>'Rates in Detail'!P30</f>
        <v>-2.8700000000000002E-3</v>
      </c>
      <c r="Q27" s="1382">
        <f t="shared" si="1"/>
        <v>0.34387000000000012</v>
      </c>
      <c r="R27" s="1367">
        <f>'Rates in Detail'!Y30</f>
        <v>1.9400000000000001E-2</v>
      </c>
      <c r="S27" s="1386">
        <f t="shared" si="2"/>
        <v>0.36327000000000009</v>
      </c>
      <c r="T27" s="131"/>
    </row>
    <row r="28" spans="2:20" x14ac:dyDescent="0.2">
      <c r="B28" s="110">
        <f t="shared" si="3"/>
        <v>19</v>
      </c>
      <c r="C28" s="1355" t="str">
        <f>'WA Volumes &amp; Revenues'!B33</f>
        <v>42C Firm Sales</v>
      </c>
      <c r="D28" s="1355" t="s">
        <v>4</v>
      </c>
      <c r="E28" s="115">
        <v>10000</v>
      </c>
      <c r="F28" s="116">
        <f>'WA Volumes &amp; Revenues'!E33</f>
        <v>350769.66174469434</v>
      </c>
      <c r="G28" s="116">
        <f>'WA Volumes &amp; Revenues'!H33</f>
        <v>5</v>
      </c>
      <c r="H28" s="912">
        <f>'WA Volumes &amp; Revenues'!O33</f>
        <v>1300</v>
      </c>
      <c r="I28" s="913">
        <f>'WA Volumes &amp; Revenues'!N33</f>
        <v>1300</v>
      </c>
      <c r="J28" s="628">
        <f>'Rates in Detail'!E31</f>
        <v>0.15245999999999996</v>
      </c>
      <c r="K28" s="630">
        <f>'Rates in Detail'!H31</f>
        <v>0</v>
      </c>
      <c r="L28" s="630">
        <f>'Rates in Detail'!F31</f>
        <v>0.26333000000000001</v>
      </c>
      <c r="M28" s="630">
        <f>'Rates in Detail'!I31</f>
        <v>1.9560000000000001E-2</v>
      </c>
      <c r="N28" s="137">
        <f t="shared" si="0"/>
        <v>0.43535000000000001</v>
      </c>
      <c r="O28" s="1375">
        <f>'Rates in Detail'!L31</f>
        <v>4.4949999999999997E-2</v>
      </c>
      <c r="P28" s="1376">
        <f>'Rates in Detail'!P31</f>
        <v>-3.0899999999999999E-3</v>
      </c>
      <c r="Q28" s="1383">
        <f t="shared" si="1"/>
        <v>0.47721000000000002</v>
      </c>
      <c r="R28" s="1376">
        <f>'Rates in Detail'!Y31</f>
        <v>2.1080000000000002E-2</v>
      </c>
      <c r="S28" s="1387">
        <f t="shared" si="2"/>
        <v>0.49829000000000001</v>
      </c>
      <c r="T28" s="131"/>
    </row>
    <row r="29" spans="2:20" x14ac:dyDescent="0.2">
      <c r="B29" s="110">
        <f t="shared" si="3"/>
        <v>20</v>
      </c>
      <c r="C29" s="1355"/>
      <c r="D29" s="1355" t="s">
        <v>5</v>
      </c>
      <c r="E29" s="115">
        <v>20000</v>
      </c>
      <c r="F29" s="116">
        <f>'WA Volumes &amp; Revenues'!E34</f>
        <v>303088.75426472601</v>
      </c>
      <c r="G29" s="116"/>
      <c r="H29" s="912"/>
      <c r="I29" s="913"/>
      <c r="J29" s="628">
        <f>'Rates in Detail'!E32</f>
        <v>0.1364699999999997</v>
      </c>
      <c r="K29" s="630">
        <f>'Rates in Detail'!H32</f>
        <v>0</v>
      </c>
      <c r="L29" s="630">
        <f>'Rates in Detail'!F32</f>
        <v>0.26333000000000001</v>
      </c>
      <c r="M29" s="630">
        <f>'Rates in Detail'!I32</f>
        <v>1.6539999999999999E-2</v>
      </c>
      <c r="N29" s="137">
        <f t="shared" si="0"/>
        <v>0.41633999999999971</v>
      </c>
      <c r="O29" s="1375">
        <f>'Rates in Detail'!L32</f>
        <v>4.0230000000000002E-2</v>
      </c>
      <c r="P29" s="1376">
        <f>'Rates in Detail'!P32</f>
        <v>-2.7699999999999999E-3</v>
      </c>
      <c r="Q29" s="1383">
        <f t="shared" si="1"/>
        <v>0.4537999999999997</v>
      </c>
      <c r="R29" s="1376">
        <f>'Rates in Detail'!Y32</f>
        <v>1.8859999999999998E-2</v>
      </c>
      <c r="S29" s="1387">
        <f t="shared" si="2"/>
        <v>0.47265999999999969</v>
      </c>
      <c r="T29" s="131"/>
    </row>
    <row r="30" spans="2:20" x14ac:dyDescent="0.2">
      <c r="B30" s="110">
        <f t="shared" si="3"/>
        <v>21</v>
      </c>
      <c r="C30" s="1355"/>
      <c r="D30" s="1355" t="s">
        <v>6</v>
      </c>
      <c r="E30" s="115">
        <v>20000</v>
      </c>
      <c r="F30" s="116">
        <f>'WA Volumes &amp; Revenues'!E35</f>
        <v>59441.942130257296</v>
      </c>
      <c r="G30" s="116"/>
      <c r="H30" s="912"/>
      <c r="I30" s="913"/>
      <c r="J30" s="628">
        <f>'Rates in Detail'!E33</f>
        <v>0.1046699999999999</v>
      </c>
      <c r="K30" s="630">
        <f>'Rates in Detail'!H33</f>
        <v>0</v>
      </c>
      <c r="L30" s="630">
        <f>'Rates in Detail'!F33</f>
        <v>0.26333000000000001</v>
      </c>
      <c r="M30" s="630">
        <f>'Rates in Detail'!I33</f>
        <v>1.052E-2</v>
      </c>
      <c r="N30" s="137">
        <f t="shared" si="0"/>
        <v>0.37851999999999986</v>
      </c>
      <c r="O30" s="1375">
        <f>'Rates in Detail'!L33</f>
        <v>3.0859999999999999E-2</v>
      </c>
      <c r="P30" s="1376">
        <f>'Rates in Detail'!P33</f>
        <v>-2.1199999999999999E-3</v>
      </c>
      <c r="Q30" s="1383">
        <f t="shared" si="1"/>
        <v>0.40725999999999984</v>
      </c>
      <c r="R30" s="1376">
        <f>'Rates in Detail'!Y33</f>
        <v>1.447E-2</v>
      </c>
      <c r="S30" s="1387">
        <f t="shared" si="2"/>
        <v>0.42172999999999983</v>
      </c>
      <c r="T30" s="131"/>
    </row>
    <row r="31" spans="2:20" x14ac:dyDescent="0.2">
      <c r="B31" s="110">
        <f t="shared" si="3"/>
        <v>22</v>
      </c>
      <c r="C31" s="1355"/>
      <c r="D31" s="1355" t="s">
        <v>7</v>
      </c>
      <c r="E31" s="115">
        <v>100000</v>
      </c>
      <c r="F31" s="116">
        <f>'WA Volumes &amp; Revenues'!E36</f>
        <v>3614.6071898605187</v>
      </c>
      <c r="G31" s="116"/>
      <c r="H31" s="912"/>
      <c r="I31" s="913"/>
      <c r="J31" s="628">
        <f>'Rates in Detail'!E34</f>
        <v>8.3729999999999999E-2</v>
      </c>
      <c r="K31" s="630">
        <f>'Rates in Detail'!H34</f>
        <v>0</v>
      </c>
      <c r="L31" s="630">
        <f>'Rates in Detail'!F34</f>
        <v>0.26333000000000001</v>
      </c>
      <c r="M31" s="630">
        <f>'Rates in Detail'!I34</f>
        <v>6.550000000000002E-3</v>
      </c>
      <c r="N31" s="137">
        <f t="shared" si="0"/>
        <v>0.35361000000000004</v>
      </c>
      <c r="O31" s="1375">
        <f>'Rates in Detail'!L34</f>
        <v>2.4680000000000001E-2</v>
      </c>
      <c r="P31" s="1376">
        <f>'Rates in Detail'!P34</f>
        <v>-1.6999999999999999E-3</v>
      </c>
      <c r="Q31" s="1383">
        <f t="shared" si="1"/>
        <v>0.37659000000000004</v>
      </c>
      <c r="R31" s="1376">
        <f>'Rates in Detail'!Y34</f>
        <v>1.157E-2</v>
      </c>
      <c r="S31" s="1387">
        <f t="shared" si="2"/>
        <v>0.38816000000000006</v>
      </c>
      <c r="T31" s="131"/>
    </row>
    <row r="32" spans="2:20" x14ac:dyDescent="0.2">
      <c r="B32" s="110">
        <f t="shared" si="3"/>
        <v>23</v>
      </c>
      <c r="C32" s="1355"/>
      <c r="D32" s="1355" t="s">
        <v>8</v>
      </c>
      <c r="E32" s="115">
        <v>600000</v>
      </c>
      <c r="F32" s="116">
        <f>'WA Volumes &amp; Revenues'!E37</f>
        <v>0</v>
      </c>
      <c r="G32" s="116"/>
      <c r="H32" s="912"/>
      <c r="I32" s="913"/>
      <c r="J32" s="628">
        <f>'Rates in Detail'!E35</f>
        <v>5.5809999999999992E-2</v>
      </c>
      <c r="K32" s="630">
        <f>'Rates in Detail'!H35</f>
        <v>0</v>
      </c>
      <c r="L32" s="630">
        <f>'Rates in Detail'!F35</f>
        <v>0.26333000000000001</v>
      </c>
      <c r="M32" s="630">
        <f>'Rates in Detail'!I35</f>
        <v>1.239999999999998E-3</v>
      </c>
      <c r="N32" s="137">
        <f t="shared" si="0"/>
        <v>0.32038</v>
      </c>
      <c r="O32" s="1375">
        <f>'Rates in Detail'!L35</f>
        <v>1.6449999999999999E-2</v>
      </c>
      <c r="P32" s="1376">
        <f>'Rates in Detail'!P35</f>
        <v>-1.1299999999999999E-3</v>
      </c>
      <c r="Q32" s="1383">
        <f t="shared" si="1"/>
        <v>0.3357</v>
      </c>
      <c r="R32" s="1376">
        <f>'Rates in Detail'!Y35</f>
        <v>7.7099999999999998E-3</v>
      </c>
      <c r="S32" s="1387">
        <f t="shared" si="2"/>
        <v>0.34340999999999999</v>
      </c>
      <c r="T32" s="131"/>
    </row>
    <row r="33" spans="2:20" x14ac:dyDescent="0.2">
      <c r="B33" s="110">
        <f t="shared" si="3"/>
        <v>24</v>
      </c>
      <c r="C33" s="111"/>
      <c r="D33" s="111" t="s">
        <v>9</v>
      </c>
      <c r="E33" s="112" t="s">
        <v>74</v>
      </c>
      <c r="F33" s="113">
        <f>'WA Volumes &amp; Revenues'!E38</f>
        <v>0</v>
      </c>
      <c r="G33" s="113"/>
      <c r="H33" s="907"/>
      <c r="I33" s="909"/>
      <c r="J33" s="627">
        <f>'Rates in Detail'!E36</f>
        <v>2.0920000000000029E-2</v>
      </c>
      <c r="K33" s="631">
        <f>'Rates in Detail'!H36</f>
        <v>0</v>
      </c>
      <c r="L33" s="631">
        <f>'Rates in Detail'!F36</f>
        <v>0.26333000000000001</v>
      </c>
      <c r="M33" s="631">
        <f>'Rates in Detail'!I36</f>
        <v>-5.3500000000000006E-3</v>
      </c>
      <c r="N33" s="135">
        <f t="shared" si="0"/>
        <v>0.27890000000000004</v>
      </c>
      <c r="O33" s="1374">
        <f>'Rates in Detail'!L36</f>
        <v>6.1700000000000001E-3</v>
      </c>
      <c r="P33" s="1367">
        <f>'Rates in Detail'!P36</f>
        <v>-4.2000000000000002E-4</v>
      </c>
      <c r="Q33" s="1382">
        <f t="shared" si="1"/>
        <v>0.28465000000000007</v>
      </c>
      <c r="R33" s="1367">
        <f>'Rates in Detail'!Y36</f>
        <v>2.8900000000000002E-3</v>
      </c>
      <c r="S33" s="1386">
        <f t="shared" si="2"/>
        <v>0.28754000000000007</v>
      </c>
      <c r="T33" s="131"/>
    </row>
    <row r="34" spans="2:20" x14ac:dyDescent="0.2">
      <c r="B34" s="110">
        <f t="shared" si="3"/>
        <v>25</v>
      </c>
      <c r="C34" s="1355" t="str">
        <f>'WA Volumes &amp; Revenues'!B39</f>
        <v>42I Firm Sales</v>
      </c>
      <c r="D34" s="1355" t="s">
        <v>4</v>
      </c>
      <c r="E34" s="115">
        <v>10000</v>
      </c>
      <c r="F34" s="116">
        <f>'WA Volumes &amp; Revenues'!E39</f>
        <v>1093724.2000000002</v>
      </c>
      <c r="G34" s="116">
        <f>'WA Volumes &amp; Revenues'!H39</f>
        <v>11.916666666666666</v>
      </c>
      <c r="H34" s="912">
        <f>'WA Volumes &amp; Revenues'!O39</f>
        <v>1300</v>
      </c>
      <c r="I34" s="913">
        <f>'WA Volumes &amp; Revenues'!N39</f>
        <v>1300</v>
      </c>
      <c r="J34" s="628">
        <f>'Rates in Detail'!E37</f>
        <v>0.14721000000000001</v>
      </c>
      <c r="K34" s="630">
        <f>'Rates in Detail'!H37</f>
        <v>0</v>
      </c>
      <c r="L34" s="630">
        <f>'Rates in Detail'!F37</f>
        <v>0.26333000000000001</v>
      </c>
      <c r="M34" s="630">
        <f>'Rates in Detail'!I37</f>
        <v>-4.6100000000000012E-3</v>
      </c>
      <c r="N34" s="137">
        <f t="shared" si="0"/>
        <v>0.40593000000000001</v>
      </c>
      <c r="O34" s="1375">
        <f>'Rates in Detail'!L37</f>
        <v>3.9980000000000002E-2</v>
      </c>
      <c r="P34" s="1376">
        <f>'Rates in Detail'!P37</f>
        <v>-2.7499999999999998E-3</v>
      </c>
      <c r="Q34" s="1383">
        <f t="shared" si="1"/>
        <v>0.44316000000000005</v>
      </c>
      <c r="R34" s="1376">
        <f>'Rates in Detail'!Y37</f>
        <v>1.8749999999999999E-2</v>
      </c>
      <c r="S34" s="1387">
        <f t="shared" si="2"/>
        <v>0.46191000000000004</v>
      </c>
      <c r="T34" s="131"/>
    </row>
    <row r="35" spans="2:20" x14ac:dyDescent="0.2">
      <c r="B35" s="110">
        <f t="shared" si="3"/>
        <v>26</v>
      </c>
      <c r="C35" s="1355"/>
      <c r="D35" s="1355" t="s">
        <v>5</v>
      </c>
      <c r="E35" s="115">
        <v>20000</v>
      </c>
      <c r="F35" s="116">
        <f>'WA Volumes &amp; Revenues'!E40</f>
        <v>655939.80000000005</v>
      </c>
      <c r="G35" s="116"/>
      <c r="H35" s="912"/>
      <c r="I35" s="913"/>
      <c r="J35" s="628">
        <f>'Rates in Detail'!E38</f>
        <v>0.13177</v>
      </c>
      <c r="K35" s="630">
        <f>'Rates in Detail'!H38</f>
        <v>0</v>
      </c>
      <c r="L35" s="630">
        <f>'Rates in Detail'!F38</f>
        <v>0.26333000000000001</v>
      </c>
      <c r="M35" s="630">
        <f>'Rates in Detail'!I38</f>
        <v>-5.1100000000000008E-3</v>
      </c>
      <c r="N35" s="137">
        <f t="shared" si="0"/>
        <v>0.38999</v>
      </c>
      <c r="O35" s="1375">
        <f>'Rates in Detail'!L38</f>
        <v>3.5790000000000002E-2</v>
      </c>
      <c r="P35" s="1376">
        <f>'Rates in Detail'!P38</f>
        <v>-2.4599999999999999E-3</v>
      </c>
      <c r="Q35" s="1383">
        <f t="shared" si="1"/>
        <v>0.42331999999999997</v>
      </c>
      <c r="R35" s="1376">
        <f>'Rates in Detail'!Y38</f>
        <v>1.678E-2</v>
      </c>
      <c r="S35" s="1387">
        <f t="shared" si="2"/>
        <v>0.44009999999999999</v>
      </c>
      <c r="T35" s="131"/>
    </row>
    <row r="36" spans="2:20" x14ac:dyDescent="0.2">
      <c r="B36" s="110">
        <f t="shared" si="3"/>
        <v>27</v>
      </c>
      <c r="C36" s="1355"/>
      <c r="D36" s="1355" t="s">
        <v>6</v>
      </c>
      <c r="E36" s="115">
        <v>20000</v>
      </c>
      <c r="F36" s="116">
        <f>'WA Volumes &amp; Revenues'!E41</f>
        <v>81241.3</v>
      </c>
      <c r="G36" s="116"/>
      <c r="H36" s="912"/>
      <c r="I36" s="913"/>
      <c r="J36" s="628">
        <f>'Rates in Detail'!E39</f>
        <v>0.10104999999999985</v>
      </c>
      <c r="K36" s="630">
        <f>'Rates in Detail'!H39</f>
        <v>0</v>
      </c>
      <c r="L36" s="630">
        <f>'Rates in Detail'!F39</f>
        <v>0.26333000000000001</v>
      </c>
      <c r="M36" s="630">
        <f>'Rates in Detail'!I39</f>
        <v>-6.0700000000000007E-3</v>
      </c>
      <c r="N36" s="137">
        <f t="shared" si="0"/>
        <v>0.35830999999999985</v>
      </c>
      <c r="O36" s="1375">
        <f>'Rates in Detail'!L39</f>
        <v>2.7439999999999999E-2</v>
      </c>
      <c r="P36" s="1376">
        <f>'Rates in Detail'!P39</f>
        <v>-1.89E-3</v>
      </c>
      <c r="Q36" s="1383">
        <f t="shared" si="1"/>
        <v>0.38385999999999987</v>
      </c>
      <c r="R36" s="1376">
        <f>'Rates in Detail'!Y39</f>
        <v>1.2869999999999999E-2</v>
      </c>
      <c r="S36" s="1387">
        <f t="shared" si="2"/>
        <v>0.39672999999999986</v>
      </c>
      <c r="T36" s="131"/>
    </row>
    <row r="37" spans="2:20" x14ac:dyDescent="0.2">
      <c r="B37" s="110">
        <f t="shared" si="3"/>
        <v>28</v>
      </c>
      <c r="C37" s="1355"/>
      <c r="D37" s="1355" t="s">
        <v>7</v>
      </c>
      <c r="E37" s="115">
        <v>100000</v>
      </c>
      <c r="F37" s="116">
        <f>'WA Volumes &amp; Revenues'!E42</f>
        <v>9320.1</v>
      </c>
      <c r="G37" s="116"/>
      <c r="H37" s="912"/>
      <c r="I37" s="913"/>
      <c r="J37" s="628">
        <f>'Rates in Detail'!E40</f>
        <v>8.0839999999999995E-2</v>
      </c>
      <c r="K37" s="630">
        <f>'Rates in Detail'!H40</f>
        <v>0</v>
      </c>
      <c r="L37" s="630">
        <f>'Rates in Detail'!F40</f>
        <v>0.26333000000000001</v>
      </c>
      <c r="M37" s="630">
        <f>'Rates in Detail'!I40</f>
        <v>-6.7300000000000007E-3</v>
      </c>
      <c r="N37" s="137">
        <f t="shared" si="0"/>
        <v>0.33743999999999996</v>
      </c>
      <c r="O37" s="1375">
        <f>'Rates in Detail'!L40</f>
        <v>2.196E-2</v>
      </c>
      <c r="P37" s="1376">
        <f>'Rates in Detail'!P40</f>
        <v>-1.5100000000000001E-3</v>
      </c>
      <c r="Q37" s="1383">
        <f t="shared" si="1"/>
        <v>0.35788999999999993</v>
      </c>
      <c r="R37" s="1376">
        <f>'Rates in Detail'!Y40</f>
        <v>1.03E-2</v>
      </c>
      <c r="S37" s="1387">
        <f t="shared" si="2"/>
        <v>0.36818999999999991</v>
      </c>
      <c r="T37" s="131"/>
    </row>
    <row r="38" spans="2:20" x14ac:dyDescent="0.2">
      <c r="B38" s="110">
        <f t="shared" si="3"/>
        <v>29</v>
      </c>
      <c r="C38" s="1355"/>
      <c r="D38" s="1355" t="s">
        <v>8</v>
      </c>
      <c r="E38" s="115">
        <v>600000</v>
      </c>
      <c r="F38" s="116">
        <f>'WA Volumes &amp; Revenues'!E43</f>
        <v>0</v>
      </c>
      <c r="G38" s="116"/>
      <c r="H38" s="912"/>
      <c r="I38" s="913"/>
      <c r="J38" s="628">
        <f>'Rates in Detail'!E41</f>
        <v>5.391E-2</v>
      </c>
      <c r="K38" s="630">
        <f>'Rates in Detail'!H41</f>
        <v>0</v>
      </c>
      <c r="L38" s="630">
        <f>'Rates in Detail'!F41</f>
        <v>0.26333000000000001</v>
      </c>
      <c r="M38" s="630">
        <f>'Rates in Detail'!I41</f>
        <v>-7.5900000000000004E-3</v>
      </c>
      <c r="N38" s="137">
        <f t="shared" si="0"/>
        <v>0.30965000000000004</v>
      </c>
      <c r="O38" s="1375">
        <f>'Rates in Detail'!L41</f>
        <v>1.464E-2</v>
      </c>
      <c r="P38" s="1376">
        <f>'Rates in Detail'!P41</f>
        <v>-1.01E-3</v>
      </c>
      <c r="Q38" s="1383">
        <f t="shared" si="1"/>
        <v>0.32328000000000001</v>
      </c>
      <c r="R38" s="1376">
        <f>'Rates in Detail'!Y41</f>
        <v>6.8700000000000002E-3</v>
      </c>
      <c r="S38" s="1387">
        <f t="shared" si="2"/>
        <v>0.33015</v>
      </c>
      <c r="T38" s="131"/>
    </row>
    <row r="39" spans="2:20" x14ac:dyDescent="0.2">
      <c r="B39" s="110">
        <f t="shared" si="3"/>
        <v>30</v>
      </c>
      <c r="C39" s="111"/>
      <c r="D39" s="111" t="s">
        <v>9</v>
      </c>
      <c r="E39" s="112" t="s">
        <v>74</v>
      </c>
      <c r="F39" s="113">
        <f>'WA Volumes &amp; Revenues'!E44</f>
        <v>0</v>
      </c>
      <c r="G39" s="113"/>
      <c r="H39" s="907"/>
      <c r="I39" s="909"/>
      <c r="J39" s="627">
        <f>'Rates in Detail'!E42</f>
        <v>2.0199999999999999E-2</v>
      </c>
      <c r="K39" s="631">
        <f>'Rates in Detail'!H42</f>
        <v>0</v>
      </c>
      <c r="L39" s="631">
        <f>'Rates in Detail'!F42</f>
        <v>0.26333000000000001</v>
      </c>
      <c r="M39" s="631">
        <f>'Rates in Detail'!I42</f>
        <v>-8.6700000000000006E-3</v>
      </c>
      <c r="N39" s="135">
        <f t="shared" si="0"/>
        <v>0.27485999999999999</v>
      </c>
      <c r="O39" s="1374">
        <f>'Rates in Detail'!L42</f>
        <v>5.4900000000000001E-3</v>
      </c>
      <c r="P39" s="1367">
        <f>'Rates in Detail'!P42</f>
        <v>-3.8000000000000002E-4</v>
      </c>
      <c r="Q39" s="1382">
        <f t="shared" si="1"/>
        <v>0.27997</v>
      </c>
      <c r="R39" s="1367">
        <f>'Rates in Detail'!Y42</f>
        <v>2.5699999999999998E-3</v>
      </c>
      <c r="S39" s="1386">
        <f t="shared" si="2"/>
        <v>0.28254000000000001</v>
      </c>
      <c r="T39" s="131"/>
    </row>
    <row r="40" spans="2:20" x14ac:dyDescent="0.2">
      <c r="B40" s="110">
        <f t="shared" si="3"/>
        <v>31</v>
      </c>
      <c r="C40" s="1355" t="str">
        <f>'WA Volumes &amp; Revenues'!B45</f>
        <v>42C Firm Transpt</v>
      </c>
      <c r="D40" s="1355" t="s">
        <v>4</v>
      </c>
      <c r="E40" s="115">
        <v>10000</v>
      </c>
      <c r="F40" s="116">
        <f>'WA Volumes &amp; Revenues'!E45</f>
        <v>480000</v>
      </c>
      <c r="G40" s="116">
        <f>'WA Volumes &amp; Revenues'!H45</f>
        <v>4</v>
      </c>
      <c r="H40" s="912">
        <f>'WA Volumes &amp; Revenues'!O45</f>
        <v>1550</v>
      </c>
      <c r="I40" s="913">
        <f>'WA Volumes &amp; Revenues'!N45</f>
        <v>1550</v>
      </c>
      <c r="J40" s="628">
        <f>'Rates in Detail'!E43</f>
        <v>0.13791999999999999</v>
      </c>
      <c r="K40" s="630">
        <f>'Rates in Detail'!H43</f>
        <v>0</v>
      </c>
      <c r="L40" s="630">
        <f>'Rates in Detail'!F43</f>
        <v>0</v>
      </c>
      <c r="M40" s="630">
        <f>'Rates in Detail'!I43</f>
        <v>5.9999999999999995E-4</v>
      </c>
      <c r="N40" s="137">
        <f t="shared" si="0"/>
        <v>0.13851999999999998</v>
      </c>
      <c r="O40" s="1375">
        <f>'Rates in Detail'!L43</f>
        <v>2.5399999999999999E-2</v>
      </c>
      <c r="P40" s="1376">
        <f>'Rates in Detail'!P43</f>
        <v>-1.75E-3</v>
      </c>
      <c r="Q40" s="1383">
        <f t="shared" si="1"/>
        <v>0.16216999999999998</v>
      </c>
      <c r="R40" s="1376">
        <f>'Rates in Detail'!Y43</f>
        <v>1.191E-2</v>
      </c>
      <c r="S40" s="1387">
        <f t="shared" si="2"/>
        <v>0.17407999999999998</v>
      </c>
      <c r="T40" s="131"/>
    </row>
    <row r="41" spans="2:20" x14ac:dyDescent="0.2">
      <c r="B41" s="110">
        <f t="shared" si="3"/>
        <v>32</v>
      </c>
      <c r="C41" s="1355"/>
      <c r="D41" s="1355" t="s">
        <v>5</v>
      </c>
      <c r="E41" s="115">
        <v>20000</v>
      </c>
      <c r="F41" s="116">
        <f>'WA Volumes &amp; Revenues'!E46</f>
        <v>807846</v>
      </c>
      <c r="G41" s="116"/>
      <c r="H41" s="912"/>
      <c r="I41" s="913"/>
      <c r="J41" s="628">
        <f>'Rates in Detail'!E44</f>
        <v>0.12346999999999998</v>
      </c>
      <c r="K41" s="630">
        <f>'Rates in Detail'!H44</f>
        <v>0</v>
      </c>
      <c r="L41" s="630">
        <f>'Rates in Detail'!F44</f>
        <v>0</v>
      </c>
      <c r="M41" s="630">
        <f>'Rates in Detail'!I44</f>
        <v>5.2999999999999998E-4</v>
      </c>
      <c r="N41" s="137">
        <f t="shared" si="0"/>
        <v>0.12399999999999999</v>
      </c>
      <c r="O41" s="1375">
        <f>'Rates in Detail'!L44</f>
        <v>2.274E-2</v>
      </c>
      <c r="P41" s="1376">
        <f>'Rates in Detail'!P44</f>
        <v>-1.57E-3</v>
      </c>
      <c r="Q41" s="1383">
        <f t="shared" si="1"/>
        <v>0.14516999999999999</v>
      </c>
      <c r="R41" s="1376">
        <f>'Rates in Detail'!Y44</f>
        <v>1.0659999999999999E-2</v>
      </c>
      <c r="S41" s="1387">
        <f t="shared" si="2"/>
        <v>0.15583</v>
      </c>
      <c r="T41" s="131"/>
    </row>
    <row r="42" spans="2:20" x14ac:dyDescent="0.2">
      <c r="B42" s="110">
        <f t="shared" si="3"/>
        <v>33</v>
      </c>
      <c r="C42" s="1355"/>
      <c r="D42" s="1355" t="s">
        <v>6</v>
      </c>
      <c r="E42" s="115">
        <v>20000</v>
      </c>
      <c r="F42" s="116">
        <f>'WA Volumes &amp; Revenues'!E47</f>
        <v>583779</v>
      </c>
      <c r="G42" s="116"/>
      <c r="H42" s="912"/>
      <c r="I42" s="913"/>
      <c r="J42" s="628">
        <f>'Rates in Detail'!E45</f>
        <v>9.4670000000000004E-2</v>
      </c>
      <c r="K42" s="630">
        <f>'Rates in Detail'!H45</f>
        <v>0</v>
      </c>
      <c r="L42" s="630">
        <f>'Rates in Detail'!F45</f>
        <v>0</v>
      </c>
      <c r="M42" s="630">
        <f>'Rates in Detail'!I45</f>
        <v>4.1000000000000005E-4</v>
      </c>
      <c r="N42" s="137">
        <f t="shared" si="0"/>
        <v>9.5079999999999998E-2</v>
      </c>
      <c r="O42" s="1375">
        <f>'Rates in Detail'!L45</f>
        <v>1.7440000000000001E-2</v>
      </c>
      <c r="P42" s="1376">
        <f>'Rates in Detail'!P45</f>
        <v>-1.1999999999999999E-3</v>
      </c>
      <c r="Q42" s="1383">
        <f t="shared" si="1"/>
        <v>0.11131999999999999</v>
      </c>
      <c r="R42" s="1376">
        <f>'Rates in Detail'!Y45</f>
        <v>8.1799999999999998E-3</v>
      </c>
      <c r="S42" s="1387">
        <f t="shared" si="2"/>
        <v>0.1195</v>
      </c>
      <c r="T42" s="131"/>
    </row>
    <row r="43" spans="2:20" x14ac:dyDescent="0.2">
      <c r="B43" s="110">
        <f t="shared" si="3"/>
        <v>34</v>
      </c>
      <c r="C43" s="1355"/>
      <c r="D43" s="1355" t="s">
        <v>7</v>
      </c>
      <c r="E43" s="115">
        <v>100000</v>
      </c>
      <c r="F43" s="116">
        <f>'WA Volumes &amp; Revenues'!E48</f>
        <v>598933</v>
      </c>
      <c r="G43" s="116"/>
      <c r="H43" s="912"/>
      <c r="I43" s="913"/>
      <c r="J43" s="628">
        <f>'Rates in Detail'!E46</f>
        <v>7.5750000000000012E-2</v>
      </c>
      <c r="K43" s="630">
        <f>'Rates in Detail'!H46</f>
        <v>0</v>
      </c>
      <c r="L43" s="630">
        <f>'Rates in Detail'!F46</f>
        <v>0</v>
      </c>
      <c r="M43" s="630">
        <f>'Rates in Detail'!I46</f>
        <v>3.1999999999999997E-4</v>
      </c>
      <c r="N43" s="137">
        <f t="shared" si="0"/>
        <v>7.6070000000000013E-2</v>
      </c>
      <c r="O43" s="1375">
        <f>'Rates in Detail'!L46</f>
        <v>1.3950000000000001E-2</v>
      </c>
      <c r="P43" s="1376">
        <f>'Rates in Detail'!P46</f>
        <v>-9.6000000000000002E-4</v>
      </c>
      <c r="Q43" s="1383">
        <f t="shared" si="1"/>
        <v>8.9060000000000014E-2</v>
      </c>
      <c r="R43" s="1376">
        <f>'Rates in Detail'!Y46</f>
        <v>6.5399999999999998E-3</v>
      </c>
      <c r="S43" s="1387">
        <f t="shared" si="2"/>
        <v>9.5600000000000018E-2</v>
      </c>
      <c r="T43" s="131"/>
    </row>
    <row r="44" spans="2:20" x14ac:dyDescent="0.2">
      <c r="B44" s="110">
        <f t="shared" si="3"/>
        <v>35</v>
      </c>
      <c r="C44" s="1355"/>
      <c r="D44" s="1355" t="s">
        <v>8</v>
      </c>
      <c r="E44" s="115">
        <v>600000</v>
      </c>
      <c r="F44" s="116">
        <f>'WA Volumes &amp; Revenues'!E49</f>
        <v>0</v>
      </c>
      <c r="G44" s="116"/>
      <c r="H44" s="912"/>
      <c r="I44" s="913"/>
      <c r="J44" s="628">
        <f>'Rates in Detail'!E47</f>
        <v>5.0500000000000003E-2</v>
      </c>
      <c r="K44" s="630">
        <f>'Rates in Detail'!H47</f>
        <v>0</v>
      </c>
      <c r="L44" s="630">
        <f>'Rates in Detail'!F47</f>
        <v>0</v>
      </c>
      <c r="M44" s="630">
        <f>'Rates in Detail'!I47</f>
        <v>2.1000000000000001E-4</v>
      </c>
      <c r="N44" s="137">
        <f t="shared" si="0"/>
        <v>5.0710000000000005E-2</v>
      </c>
      <c r="O44" s="1375">
        <f>'Rates in Detail'!L47</f>
        <v>9.2999999999999992E-3</v>
      </c>
      <c r="P44" s="1376">
        <f>'Rates in Detail'!P47</f>
        <v>-6.4000000000000005E-4</v>
      </c>
      <c r="Q44" s="1383">
        <f t="shared" si="1"/>
        <v>5.9370000000000006E-2</v>
      </c>
      <c r="R44" s="1376">
        <f>'Rates in Detail'!Y47</f>
        <v>4.3600000000000002E-3</v>
      </c>
      <c r="S44" s="1387">
        <f t="shared" si="2"/>
        <v>6.3730000000000009E-2</v>
      </c>
      <c r="T44" s="131"/>
    </row>
    <row r="45" spans="2:20" x14ac:dyDescent="0.2">
      <c r="B45" s="110">
        <f t="shared" si="3"/>
        <v>36</v>
      </c>
      <c r="C45" s="111"/>
      <c r="D45" s="111" t="s">
        <v>9</v>
      </c>
      <c r="E45" s="112" t="s">
        <v>74</v>
      </c>
      <c r="F45" s="113">
        <f>'WA Volumes &amp; Revenues'!E50</f>
        <v>0</v>
      </c>
      <c r="G45" s="113"/>
      <c r="H45" s="907"/>
      <c r="I45" s="909"/>
      <c r="J45" s="627">
        <f>'Rates in Detail'!E48</f>
        <v>1.8929999999999999E-2</v>
      </c>
      <c r="K45" s="631">
        <f>'Rates in Detail'!H48</f>
        <v>0</v>
      </c>
      <c r="L45" s="631">
        <f>'Rates in Detail'!F48</f>
        <v>0</v>
      </c>
      <c r="M45" s="631">
        <f>'Rates in Detail'!I48</f>
        <v>7.9999999999999993E-5</v>
      </c>
      <c r="N45" s="135">
        <f t="shared" si="0"/>
        <v>1.9009999999999999E-2</v>
      </c>
      <c r="O45" s="1374">
        <f>'Rates in Detail'!L48</f>
        <v>3.49E-3</v>
      </c>
      <c r="P45" s="1367">
        <f>'Rates in Detail'!P48</f>
        <v>-2.4000000000000001E-4</v>
      </c>
      <c r="Q45" s="1382">
        <f t="shared" si="1"/>
        <v>2.2259999999999999E-2</v>
      </c>
      <c r="R45" s="1367">
        <f>'Rates in Detail'!Y48</f>
        <v>1.64E-3</v>
      </c>
      <c r="S45" s="1386">
        <f t="shared" si="2"/>
        <v>2.3899999999999998E-2</v>
      </c>
      <c r="T45" s="131"/>
    </row>
    <row r="46" spans="2:20" x14ac:dyDescent="0.2">
      <c r="B46" s="110">
        <f t="shared" si="3"/>
        <v>37</v>
      </c>
      <c r="C46" s="1355" t="str">
        <f>'WA Volumes &amp; Revenues'!B51</f>
        <v>42I Firm Transpt</v>
      </c>
      <c r="D46" s="1355" t="s">
        <v>4</v>
      </c>
      <c r="E46" s="115">
        <v>10000</v>
      </c>
      <c r="F46" s="116">
        <f>'WA Volumes &amp; Revenues'!E51</f>
        <v>924395</v>
      </c>
      <c r="G46" s="116">
        <f>'WA Volumes &amp; Revenues'!H51</f>
        <v>8.9166666666666661</v>
      </c>
      <c r="H46" s="912">
        <f>'WA Volumes &amp; Revenues'!O51</f>
        <v>1550</v>
      </c>
      <c r="I46" s="913">
        <f>'WA Volumes &amp; Revenues'!N51</f>
        <v>1550</v>
      </c>
      <c r="J46" s="628">
        <f>'Rates in Detail'!E49</f>
        <v>0.13941000000000001</v>
      </c>
      <c r="K46" s="630">
        <f>'Rates in Detail'!H49</f>
        <v>0</v>
      </c>
      <c r="L46" s="630">
        <f>'Rates in Detail'!F49</f>
        <v>0</v>
      </c>
      <c r="M46" s="630">
        <f>'Rates in Detail'!I49</f>
        <v>5.8999999999999992E-4</v>
      </c>
      <c r="N46" s="137">
        <f t="shared" si="0"/>
        <v>0.14000000000000001</v>
      </c>
      <c r="O46" s="1375">
        <f>'Rates in Detail'!L49</f>
        <v>2.5739999999999999E-2</v>
      </c>
      <c r="P46" s="1376">
        <f>'Rates in Detail'!P49</f>
        <v>-1.7700000000000001E-3</v>
      </c>
      <c r="Q46" s="1383">
        <f t="shared" si="1"/>
        <v>0.16397</v>
      </c>
      <c r="R46" s="1376">
        <f>'Rates in Detail'!Y49</f>
        <v>1.2070000000000001E-2</v>
      </c>
      <c r="S46" s="1387">
        <f t="shared" si="2"/>
        <v>0.17604</v>
      </c>
      <c r="T46" s="131"/>
    </row>
    <row r="47" spans="2:20" x14ac:dyDescent="0.2">
      <c r="B47" s="110">
        <f t="shared" si="3"/>
        <v>38</v>
      </c>
      <c r="C47" s="1355"/>
      <c r="D47" s="1355" t="s">
        <v>5</v>
      </c>
      <c r="E47" s="115">
        <v>20000</v>
      </c>
      <c r="F47" s="116">
        <f>'WA Volumes &amp; Revenues'!E52</f>
        <v>1036796</v>
      </c>
      <c r="G47" s="116"/>
      <c r="H47" s="912"/>
      <c r="I47" s="913"/>
      <c r="J47" s="628">
        <f>'Rates in Detail'!E50</f>
        <v>0.12478999999999997</v>
      </c>
      <c r="K47" s="630">
        <f>'Rates in Detail'!H50</f>
        <v>0</v>
      </c>
      <c r="L47" s="630">
        <f>'Rates in Detail'!F50</f>
        <v>0</v>
      </c>
      <c r="M47" s="630">
        <f>'Rates in Detail'!I50</f>
        <v>5.2000000000000006E-4</v>
      </c>
      <c r="N47" s="137">
        <f t="shared" si="0"/>
        <v>0.12530999999999998</v>
      </c>
      <c r="O47" s="1375">
        <f>'Rates in Detail'!L50</f>
        <v>2.3040000000000001E-2</v>
      </c>
      <c r="P47" s="1376">
        <f>'Rates in Detail'!P50</f>
        <v>-1.5900000000000001E-3</v>
      </c>
      <c r="Q47" s="1383">
        <f t="shared" si="1"/>
        <v>0.14675999999999997</v>
      </c>
      <c r="R47" s="1376">
        <f>'Rates in Detail'!Y50</f>
        <v>1.0800000000000001E-2</v>
      </c>
      <c r="S47" s="1387">
        <f t="shared" si="2"/>
        <v>0.15755999999999998</v>
      </c>
      <c r="T47" s="131"/>
    </row>
    <row r="48" spans="2:20" x14ac:dyDescent="0.2">
      <c r="B48" s="110">
        <f t="shared" si="3"/>
        <v>39</v>
      </c>
      <c r="C48" s="1355"/>
      <c r="D48" s="1355" t="s">
        <v>6</v>
      </c>
      <c r="E48" s="115">
        <v>20000</v>
      </c>
      <c r="F48" s="116">
        <f>'WA Volumes &amp; Revenues'!E53</f>
        <v>937215</v>
      </c>
      <c r="G48" s="116"/>
      <c r="H48" s="912"/>
      <c r="I48" s="913"/>
      <c r="J48" s="628">
        <f>'Rates in Detail'!E51</f>
        <v>9.5690000000000011E-2</v>
      </c>
      <c r="K48" s="630">
        <f>'Rates in Detail'!H51</f>
        <v>0</v>
      </c>
      <c r="L48" s="630">
        <f>'Rates in Detail'!F51</f>
        <v>0</v>
      </c>
      <c r="M48" s="630">
        <f>'Rates in Detail'!I51</f>
        <v>4.1000000000000005E-4</v>
      </c>
      <c r="N48" s="137">
        <f t="shared" si="0"/>
        <v>9.6100000000000005E-2</v>
      </c>
      <c r="O48" s="1375">
        <f>'Rates in Detail'!L51</f>
        <v>1.7670000000000002E-2</v>
      </c>
      <c r="P48" s="1376">
        <f>'Rates in Detail'!P51</f>
        <v>-1.2199999999999999E-3</v>
      </c>
      <c r="Q48" s="1383">
        <f t="shared" si="1"/>
        <v>0.11255000000000001</v>
      </c>
      <c r="R48" s="1376">
        <f>'Rates in Detail'!Y51</f>
        <v>8.2799999999999992E-3</v>
      </c>
      <c r="S48" s="1387">
        <f t="shared" si="2"/>
        <v>0.12083000000000001</v>
      </c>
      <c r="T48" s="131"/>
    </row>
    <row r="49" spans="2:20" x14ac:dyDescent="0.2">
      <c r="B49" s="110">
        <f t="shared" si="3"/>
        <v>40</v>
      </c>
      <c r="C49" s="1355"/>
      <c r="D49" s="1355" t="s">
        <v>7</v>
      </c>
      <c r="E49" s="115">
        <v>100000</v>
      </c>
      <c r="F49" s="116">
        <f>'WA Volumes &amp; Revenues'!E54</f>
        <v>2390318</v>
      </c>
      <c r="G49" s="116"/>
      <c r="H49" s="912"/>
      <c r="I49" s="913"/>
      <c r="J49" s="628">
        <f>'Rates in Detail'!E52</f>
        <v>7.6560000000000017E-2</v>
      </c>
      <c r="K49" s="630">
        <f>'Rates in Detail'!H52</f>
        <v>0</v>
      </c>
      <c r="L49" s="630">
        <f>'Rates in Detail'!F52</f>
        <v>0</v>
      </c>
      <c r="M49" s="630">
        <f>'Rates in Detail'!I52</f>
        <v>3.1999999999999997E-4</v>
      </c>
      <c r="N49" s="137">
        <f t="shared" si="0"/>
        <v>7.6880000000000018E-2</v>
      </c>
      <c r="O49" s="1375">
        <f>'Rates in Detail'!L52</f>
        <v>1.414E-2</v>
      </c>
      <c r="P49" s="1376">
        <f>'Rates in Detail'!P52</f>
        <v>-9.7000000000000005E-4</v>
      </c>
      <c r="Q49" s="1383">
        <f t="shared" si="1"/>
        <v>9.0050000000000019E-2</v>
      </c>
      <c r="R49" s="1376">
        <f>'Rates in Detail'!Y52</f>
        <v>6.6299999999999996E-3</v>
      </c>
      <c r="S49" s="1387">
        <f t="shared" si="2"/>
        <v>9.6680000000000016E-2</v>
      </c>
      <c r="T49" s="131"/>
    </row>
    <row r="50" spans="2:20" x14ac:dyDescent="0.2">
      <c r="B50" s="110">
        <f t="shared" si="3"/>
        <v>41</v>
      </c>
      <c r="C50" s="1355"/>
      <c r="D50" s="1355" t="s">
        <v>8</v>
      </c>
      <c r="E50" s="115">
        <v>600000</v>
      </c>
      <c r="F50" s="116">
        <f>'WA Volumes &amp; Revenues'!E55</f>
        <v>1492257</v>
      </c>
      <c r="G50" s="116"/>
      <c r="H50" s="912"/>
      <c r="I50" s="913"/>
      <c r="J50" s="628">
        <f>'Rates in Detail'!E53</f>
        <v>5.1040000000000002E-2</v>
      </c>
      <c r="K50" s="630">
        <f>'Rates in Detail'!H53</f>
        <v>0</v>
      </c>
      <c r="L50" s="630">
        <f>'Rates in Detail'!F53</f>
        <v>0</v>
      </c>
      <c r="M50" s="630">
        <f>'Rates in Detail'!I53</f>
        <v>2.1000000000000001E-4</v>
      </c>
      <c r="N50" s="137">
        <f t="shared" si="0"/>
        <v>5.1250000000000004E-2</v>
      </c>
      <c r="O50" s="1375">
        <f>'Rates in Detail'!L53</f>
        <v>9.4199999999999996E-3</v>
      </c>
      <c r="P50" s="1376">
        <f>'Rates in Detail'!P53</f>
        <v>-6.4999999999999997E-4</v>
      </c>
      <c r="Q50" s="1383">
        <f t="shared" si="1"/>
        <v>6.0020000000000004E-2</v>
      </c>
      <c r="R50" s="1376">
        <f>'Rates in Detail'!Y53</f>
        <v>4.4200000000000003E-3</v>
      </c>
      <c r="S50" s="1387">
        <f t="shared" si="2"/>
        <v>6.4439999999999997E-2</v>
      </c>
      <c r="T50" s="131"/>
    </row>
    <row r="51" spans="2:20" x14ac:dyDescent="0.2">
      <c r="B51" s="110">
        <f t="shared" si="3"/>
        <v>42</v>
      </c>
      <c r="C51" s="111"/>
      <c r="D51" s="111" t="s">
        <v>9</v>
      </c>
      <c r="E51" s="112" t="s">
        <v>74</v>
      </c>
      <c r="F51" s="113">
        <f>'WA Volumes &amp; Revenues'!E56</f>
        <v>0</v>
      </c>
      <c r="G51" s="113"/>
      <c r="H51" s="907"/>
      <c r="I51" s="909"/>
      <c r="J51" s="627">
        <f>'Rates in Detail'!E54</f>
        <v>1.9140000000000001E-2</v>
      </c>
      <c r="K51" s="631">
        <f>'Rates in Detail'!H54</f>
        <v>0</v>
      </c>
      <c r="L51" s="631">
        <f>'Rates in Detail'!F54</f>
        <v>0</v>
      </c>
      <c r="M51" s="631">
        <f>'Rates in Detail'!I54</f>
        <v>7.9999999999999993E-5</v>
      </c>
      <c r="N51" s="135">
        <f t="shared" si="0"/>
        <v>1.9220000000000001E-2</v>
      </c>
      <c r="O51" s="1374">
        <f>'Rates in Detail'!L54</f>
        <v>3.5300000000000002E-3</v>
      </c>
      <c r="P51" s="1367">
        <f>'Rates in Detail'!P54</f>
        <v>-2.4000000000000001E-4</v>
      </c>
      <c r="Q51" s="1382">
        <f t="shared" si="1"/>
        <v>2.2509999999999999E-2</v>
      </c>
      <c r="R51" s="1367">
        <f>'Rates in Detail'!Y54</f>
        <v>1.66E-3</v>
      </c>
      <c r="S51" s="1386">
        <f t="shared" si="2"/>
        <v>2.4169999999999997E-2</v>
      </c>
      <c r="T51" s="131"/>
    </row>
    <row r="52" spans="2:20" x14ac:dyDescent="0.2">
      <c r="B52" s="110">
        <f t="shared" si="3"/>
        <v>43</v>
      </c>
      <c r="C52" s="1355" t="str">
        <f>'WA Volumes &amp; Revenues'!B57</f>
        <v>42C Interr Sales</v>
      </c>
      <c r="D52" s="1355" t="s">
        <v>4</v>
      </c>
      <c r="E52" s="115">
        <v>10000</v>
      </c>
      <c r="F52" s="116">
        <f>'WA Volumes &amp; Revenues'!E57</f>
        <v>240000</v>
      </c>
      <c r="G52" s="116">
        <f>'WA Volumes &amp; Revenues'!H57</f>
        <v>2</v>
      </c>
      <c r="H52" s="912">
        <f>'WA Volumes &amp; Revenues'!O57</f>
        <v>1300</v>
      </c>
      <c r="I52" s="913">
        <f>'WA Volumes &amp; Revenues'!N57</f>
        <v>1300</v>
      </c>
      <c r="J52" s="628">
        <f>'Rates in Detail'!E55</f>
        <v>0.13682000000000002</v>
      </c>
      <c r="K52" s="630">
        <f>'Rates in Detail'!H55</f>
        <v>0</v>
      </c>
      <c r="L52" s="630">
        <f>'Rates in Detail'!F55</f>
        <v>0.26333000000000001</v>
      </c>
      <c r="M52" s="630">
        <f>'Rates in Detail'!I55</f>
        <v>2.334E-2</v>
      </c>
      <c r="N52" s="137">
        <f t="shared" si="0"/>
        <v>0.42349000000000003</v>
      </c>
      <c r="O52" s="1375">
        <f>'Rates in Detail'!L55</f>
        <v>2.6700000000000002E-2</v>
      </c>
      <c r="P52" s="1376">
        <f>'Rates in Detail'!P55</f>
        <v>-1.8400000000000001E-3</v>
      </c>
      <c r="Q52" s="1383">
        <f t="shared" si="1"/>
        <v>0.44835000000000003</v>
      </c>
      <c r="R52" s="1376">
        <f>'Rates in Detail'!Y55</f>
        <v>1.252E-2</v>
      </c>
      <c r="S52" s="1387">
        <f t="shared" si="2"/>
        <v>0.46087</v>
      </c>
      <c r="T52" s="131"/>
    </row>
    <row r="53" spans="2:20" x14ac:dyDescent="0.2">
      <c r="B53" s="110">
        <f t="shared" si="3"/>
        <v>44</v>
      </c>
      <c r="C53" s="1355"/>
      <c r="D53" s="1355" t="s">
        <v>5</v>
      </c>
      <c r="E53" s="115">
        <v>20000</v>
      </c>
      <c r="F53" s="116">
        <f>'WA Volumes &amp; Revenues'!E58</f>
        <v>467511</v>
      </c>
      <c r="G53" s="116"/>
      <c r="H53" s="912"/>
      <c r="I53" s="913"/>
      <c r="J53" s="628">
        <f>'Rates in Detail'!E56</f>
        <v>0.12246999999999988</v>
      </c>
      <c r="K53" s="630">
        <f>'Rates in Detail'!H56</f>
        <v>0</v>
      </c>
      <c r="L53" s="630">
        <f>'Rates in Detail'!F56</f>
        <v>0.26333000000000001</v>
      </c>
      <c r="M53" s="630">
        <f>'Rates in Detail'!I56</f>
        <v>2.0999999999999998E-2</v>
      </c>
      <c r="N53" s="137">
        <f t="shared" si="0"/>
        <v>0.40679999999999994</v>
      </c>
      <c r="O53" s="1375">
        <f>'Rates in Detail'!L56</f>
        <v>2.3900000000000001E-2</v>
      </c>
      <c r="P53" s="1376">
        <f>'Rates in Detail'!P56</f>
        <v>-1.64E-3</v>
      </c>
      <c r="Q53" s="1383">
        <f t="shared" si="1"/>
        <v>0.42905999999999994</v>
      </c>
      <c r="R53" s="1376">
        <f>'Rates in Detail'!Y56</f>
        <v>1.1209999999999999E-2</v>
      </c>
      <c r="S53" s="1387">
        <f t="shared" si="2"/>
        <v>0.44026999999999994</v>
      </c>
      <c r="T53" s="131"/>
    </row>
    <row r="54" spans="2:20" x14ac:dyDescent="0.2">
      <c r="B54" s="110">
        <f t="shared" si="3"/>
        <v>45</v>
      </c>
      <c r="C54" s="1355"/>
      <c r="D54" s="1355" t="s">
        <v>6</v>
      </c>
      <c r="E54" s="115">
        <v>20000</v>
      </c>
      <c r="F54" s="116">
        <f>'WA Volumes &amp; Revenues'!E59</f>
        <v>218004</v>
      </c>
      <c r="G54" s="116"/>
      <c r="H54" s="912"/>
      <c r="I54" s="913"/>
      <c r="J54" s="628">
        <f>'Rates in Detail'!E57</f>
        <v>9.3909999999999993E-2</v>
      </c>
      <c r="K54" s="630">
        <f>'Rates in Detail'!H57</f>
        <v>0</v>
      </c>
      <c r="L54" s="630">
        <f>'Rates in Detail'!F57</f>
        <v>0.26333000000000001</v>
      </c>
      <c r="M54" s="630">
        <f>'Rates in Detail'!I57</f>
        <v>1.6370000000000003E-2</v>
      </c>
      <c r="N54" s="137">
        <f t="shared" si="0"/>
        <v>0.37361</v>
      </c>
      <c r="O54" s="1375">
        <f>'Rates in Detail'!L57</f>
        <v>1.8329999999999999E-2</v>
      </c>
      <c r="P54" s="1376">
        <f>'Rates in Detail'!P57</f>
        <v>-1.2600000000000001E-3</v>
      </c>
      <c r="Q54" s="1383">
        <f t="shared" si="1"/>
        <v>0.39068000000000003</v>
      </c>
      <c r="R54" s="1376">
        <f>'Rates in Detail'!Y57</f>
        <v>8.5900000000000004E-3</v>
      </c>
      <c r="S54" s="1387">
        <f t="shared" si="2"/>
        <v>0.39927000000000001</v>
      </c>
      <c r="T54" s="131"/>
    </row>
    <row r="55" spans="2:20" x14ac:dyDescent="0.2">
      <c r="B55" s="110">
        <f t="shared" si="3"/>
        <v>46</v>
      </c>
      <c r="C55" s="1355"/>
      <c r="D55" s="1355" t="s">
        <v>7</v>
      </c>
      <c r="E55" s="115">
        <v>100000</v>
      </c>
      <c r="F55" s="116">
        <f>'WA Volumes &amp; Revenues'!E60</f>
        <v>18208</v>
      </c>
      <c r="G55" s="116"/>
      <c r="H55" s="912"/>
      <c r="I55" s="913"/>
      <c r="J55" s="628">
        <f>'Rates in Detail'!E58</f>
        <v>7.5130000000000044E-2</v>
      </c>
      <c r="K55" s="630">
        <f>'Rates in Detail'!H58</f>
        <v>0</v>
      </c>
      <c r="L55" s="630">
        <f>'Rates in Detail'!F58</f>
        <v>0.26333000000000001</v>
      </c>
      <c r="M55" s="630">
        <f>'Rates in Detail'!I58</f>
        <v>1.3339999999999999E-2</v>
      </c>
      <c r="N55" s="137">
        <f t="shared" si="0"/>
        <v>0.35180000000000006</v>
      </c>
      <c r="O55" s="1375">
        <f>'Rates in Detail'!L58</f>
        <v>1.4659999999999999E-2</v>
      </c>
      <c r="P55" s="1376">
        <f>'Rates in Detail'!P58</f>
        <v>-1.01E-3</v>
      </c>
      <c r="Q55" s="1383">
        <f t="shared" si="1"/>
        <v>0.36545000000000005</v>
      </c>
      <c r="R55" s="1376">
        <f>'Rates in Detail'!Y58</f>
        <v>6.8799999999999998E-3</v>
      </c>
      <c r="S55" s="1387">
        <f t="shared" si="2"/>
        <v>0.37233000000000005</v>
      </c>
      <c r="T55" s="131"/>
    </row>
    <row r="56" spans="2:20" x14ac:dyDescent="0.2">
      <c r="B56" s="110">
        <f t="shared" si="3"/>
        <v>47</v>
      </c>
      <c r="C56" s="1355"/>
      <c r="D56" s="1355" t="s">
        <v>8</v>
      </c>
      <c r="E56" s="115">
        <v>600000</v>
      </c>
      <c r="F56" s="116">
        <f>'WA Volumes &amp; Revenues'!E61</f>
        <v>0</v>
      </c>
      <c r="G56" s="116"/>
      <c r="H56" s="912"/>
      <c r="I56" s="913"/>
      <c r="J56" s="628">
        <f>'Rates in Detail'!E59</f>
        <v>5.0089999999999968E-2</v>
      </c>
      <c r="K56" s="630">
        <f>'Rates in Detail'!H59</f>
        <v>0</v>
      </c>
      <c r="L56" s="630">
        <f>'Rates in Detail'!F59</f>
        <v>0.26333000000000001</v>
      </c>
      <c r="M56" s="630">
        <f>'Rates in Detail'!I59</f>
        <v>9.2699999999999987E-3</v>
      </c>
      <c r="N56" s="137">
        <f t="shared" si="0"/>
        <v>0.32268999999999998</v>
      </c>
      <c r="O56" s="1375">
        <f>'Rates in Detail'!L59</f>
        <v>9.7800000000000005E-3</v>
      </c>
      <c r="P56" s="1376">
        <f>'Rates in Detail'!P59</f>
        <v>-6.7000000000000002E-4</v>
      </c>
      <c r="Q56" s="1383">
        <f t="shared" si="1"/>
        <v>0.33179999999999998</v>
      </c>
      <c r="R56" s="1376">
        <f>'Rates in Detail'!Y59</f>
        <v>4.5799999999999999E-3</v>
      </c>
      <c r="S56" s="1387">
        <f t="shared" si="2"/>
        <v>0.33637999999999996</v>
      </c>
      <c r="T56" s="131"/>
    </row>
    <row r="57" spans="2:20" x14ac:dyDescent="0.2">
      <c r="B57" s="110">
        <f t="shared" si="3"/>
        <v>48</v>
      </c>
      <c r="C57" s="111"/>
      <c r="D57" s="111" t="s">
        <v>9</v>
      </c>
      <c r="E57" s="112" t="s">
        <v>74</v>
      </c>
      <c r="F57" s="113">
        <f>'WA Volumes &amp; Revenues'!E62</f>
        <v>0</v>
      </c>
      <c r="G57" s="113"/>
      <c r="H57" s="907"/>
      <c r="I57" s="909"/>
      <c r="J57" s="627">
        <f>'Rates in Detail'!E60</f>
        <v>1.8790000000000001E-2</v>
      </c>
      <c r="K57" s="631">
        <f>'Rates in Detail'!H60</f>
        <v>0</v>
      </c>
      <c r="L57" s="631">
        <f>'Rates in Detail'!F60</f>
        <v>0.26333000000000001</v>
      </c>
      <c r="M57" s="631">
        <f>'Rates in Detail'!I60</f>
        <v>4.1999999999999989E-3</v>
      </c>
      <c r="N57" s="135">
        <f t="shared" si="0"/>
        <v>0.28632000000000002</v>
      </c>
      <c r="O57" s="1374">
        <f>'Rates in Detail'!L60</f>
        <v>3.6700000000000001E-3</v>
      </c>
      <c r="P57" s="1367">
        <f>'Rates in Detail'!P60</f>
        <v>-2.5000000000000001E-4</v>
      </c>
      <c r="Q57" s="1382">
        <f t="shared" si="1"/>
        <v>0.28974000000000005</v>
      </c>
      <c r="R57" s="1367">
        <f>'Rates in Detail'!Y60</f>
        <v>1.72E-3</v>
      </c>
      <c r="S57" s="1386">
        <f t="shared" si="2"/>
        <v>0.29146000000000005</v>
      </c>
      <c r="T57" s="131"/>
    </row>
    <row r="58" spans="2:20" x14ac:dyDescent="0.2">
      <c r="B58" s="110">
        <f t="shared" si="3"/>
        <v>49</v>
      </c>
      <c r="C58" s="1355" t="str">
        <f>'WA Volumes &amp; Revenues'!B63</f>
        <v>42I Interr Sales</v>
      </c>
      <c r="D58" s="1355" t="s">
        <v>4</v>
      </c>
      <c r="E58" s="115">
        <v>10000</v>
      </c>
      <c r="F58" s="116">
        <f>'WA Volumes &amp; Revenues'!E63</f>
        <v>156740</v>
      </c>
      <c r="G58" s="116">
        <f>'WA Volumes &amp; Revenues'!H63</f>
        <v>1.9166666666666701</v>
      </c>
      <c r="H58" s="912">
        <f>'WA Volumes &amp; Revenues'!O63</f>
        <v>1300</v>
      </c>
      <c r="I58" s="913">
        <f>'WA Volumes &amp; Revenues'!N63</f>
        <v>1300</v>
      </c>
      <c r="J58" s="628">
        <f>'Rates in Detail'!E61</f>
        <v>0.14583999999999989</v>
      </c>
      <c r="K58" s="630">
        <f>'Rates in Detail'!H61</f>
        <v>0</v>
      </c>
      <c r="L58" s="630">
        <f>'Rates in Detail'!F61</f>
        <v>0.26333000000000001</v>
      </c>
      <c r="M58" s="630">
        <f>'Rates in Detail'!I61</f>
        <v>6.9699999999999996E-3</v>
      </c>
      <c r="N58" s="137">
        <f t="shared" si="0"/>
        <v>0.4161399999999999</v>
      </c>
      <c r="O58" s="1375">
        <f>'Rates in Detail'!L61</f>
        <v>3.6839999999999998E-2</v>
      </c>
      <c r="P58" s="1376">
        <f>'Rates in Detail'!P61</f>
        <v>-2.5400000000000002E-3</v>
      </c>
      <c r="Q58" s="1383">
        <f t="shared" si="1"/>
        <v>0.4504399999999999</v>
      </c>
      <c r="R58" s="1376">
        <f>'Rates in Detail'!Y61</f>
        <v>1.728E-2</v>
      </c>
      <c r="S58" s="1387">
        <f t="shared" si="2"/>
        <v>0.46771999999999991</v>
      </c>
      <c r="T58" s="131"/>
    </row>
    <row r="59" spans="2:20" x14ac:dyDescent="0.2">
      <c r="B59" s="110">
        <f t="shared" si="3"/>
        <v>50</v>
      </c>
      <c r="C59" s="1355"/>
      <c r="D59" s="1355" t="s">
        <v>5</v>
      </c>
      <c r="E59" s="115">
        <v>20000</v>
      </c>
      <c r="F59" s="116">
        <f>'WA Volumes &amp; Revenues'!E64</f>
        <v>159690</v>
      </c>
      <c r="G59" s="116"/>
      <c r="H59" s="912"/>
      <c r="I59" s="913"/>
      <c r="J59" s="628">
        <f>'Rates in Detail'!E62</f>
        <v>0.13054999999999992</v>
      </c>
      <c r="K59" s="630">
        <f>'Rates in Detail'!H62</f>
        <v>0</v>
      </c>
      <c r="L59" s="630">
        <f>'Rates in Detail'!F62</f>
        <v>0.26333000000000001</v>
      </c>
      <c r="M59" s="630">
        <f>'Rates in Detail'!I62</f>
        <v>6.3499999999999997E-3</v>
      </c>
      <c r="N59" s="137">
        <f t="shared" si="0"/>
        <v>0.40022999999999992</v>
      </c>
      <c r="O59" s="1375">
        <f>'Rates in Detail'!L62</f>
        <v>3.2980000000000002E-2</v>
      </c>
      <c r="P59" s="1376">
        <f>'Rates in Detail'!P62</f>
        <v>-2.2699999999999999E-3</v>
      </c>
      <c r="Q59" s="1383">
        <f t="shared" si="1"/>
        <v>0.43093999999999993</v>
      </c>
      <c r="R59" s="1376">
        <f>'Rates in Detail'!Y62</f>
        <v>1.546E-2</v>
      </c>
      <c r="S59" s="1387">
        <f t="shared" si="2"/>
        <v>0.44639999999999991</v>
      </c>
      <c r="T59" s="131"/>
    </row>
    <row r="60" spans="2:20" x14ac:dyDescent="0.2">
      <c r="B60" s="110">
        <f t="shared" si="3"/>
        <v>51</v>
      </c>
      <c r="C60" s="1355"/>
      <c r="D60" s="1355" t="s">
        <v>6</v>
      </c>
      <c r="E60" s="115">
        <v>20000</v>
      </c>
      <c r="F60" s="116">
        <f>'WA Volumes &amp; Revenues'!E65</f>
        <v>0</v>
      </c>
      <c r="G60" s="116"/>
      <c r="H60" s="912"/>
      <c r="I60" s="913"/>
      <c r="J60" s="628">
        <f>'Rates in Detail'!E63</f>
        <v>0.10011</v>
      </c>
      <c r="K60" s="630">
        <f>'Rates in Detail'!H63</f>
        <v>0</v>
      </c>
      <c r="L60" s="630">
        <f>'Rates in Detail'!F63</f>
        <v>0.26333000000000001</v>
      </c>
      <c r="M60" s="630">
        <f>'Rates in Detail'!I63</f>
        <v>5.1399999999999996E-3</v>
      </c>
      <c r="N60" s="137">
        <f t="shared" si="0"/>
        <v>0.36857999999999996</v>
      </c>
      <c r="O60" s="1375">
        <f>'Rates in Detail'!L63</f>
        <v>2.529E-2</v>
      </c>
      <c r="P60" s="1376">
        <f>'Rates in Detail'!P63</f>
        <v>-1.74E-3</v>
      </c>
      <c r="Q60" s="1383">
        <f t="shared" si="1"/>
        <v>0.39212999999999992</v>
      </c>
      <c r="R60" s="1376">
        <f>'Rates in Detail'!Y63</f>
        <v>1.1860000000000001E-2</v>
      </c>
      <c r="S60" s="1387">
        <f t="shared" si="2"/>
        <v>0.4039899999999999</v>
      </c>
      <c r="T60" s="131"/>
    </row>
    <row r="61" spans="2:20" x14ac:dyDescent="0.2">
      <c r="B61" s="110">
        <f t="shared" si="3"/>
        <v>52</v>
      </c>
      <c r="C61" s="1355"/>
      <c r="D61" s="1355" t="s">
        <v>7</v>
      </c>
      <c r="E61" s="115">
        <v>100000</v>
      </c>
      <c r="F61" s="116">
        <f>'WA Volumes &amp; Revenues'!E66</f>
        <v>0</v>
      </c>
      <c r="G61" s="116"/>
      <c r="H61" s="912"/>
      <c r="I61" s="913"/>
      <c r="J61" s="628">
        <f>'Rates in Detail'!E64</f>
        <v>8.0089999999999995E-2</v>
      </c>
      <c r="K61" s="630">
        <f>'Rates in Detail'!H64</f>
        <v>0</v>
      </c>
      <c r="L61" s="630">
        <f>'Rates in Detail'!F64</f>
        <v>0.26333000000000001</v>
      </c>
      <c r="M61" s="630">
        <f>'Rates in Detail'!I64</f>
        <v>4.3499999999999997E-3</v>
      </c>
      <c r="N61" s="137">
        <f t="shared" si="0"/>
        <v>0.34777000000000002</v>
      </c>
      <c r="O61" s="1375">
        <f>'Rates in Detail'!L64</f>
        <v>2.0230000000000001E-2</v>
      </c>
      <c r="P61" s="1376">
        <f>'Rates in Detail'!P64</f>
        <v>-1.39E-3</v>
      </c>
      <c r="Q61" s="1383">
        <f t="shared" si="1"/>
        <v>0.36661000000000005</v>
      </c>
      <c r="R61" s="1376">
        <f>'Rates in Detail'!Y64</f>
        <v>9.4900000000000002E-3</v>
      </c>
      <c r="S61" s="1387">
        <f t="shared" si="2"/>
        <v>0.37610000000000005</v>
      </c>
      <c r="T61" s="131"/>
    </row>
    <row r="62" spans="2:20" x14ac:dyDescent="0.2">
      <c r="B62" s="110">
        <f t="shared" si="3"/>
        <v>53</v>
      </c>
      <c r="C62" s="1355"/>
      <c r="D62" s="1355" t="s">
        <v>8</v>
      </c>
      <c r="E62" s="115">
        <v>600000</v>
      </c>
      <c r="F62" s="116">
        <f>'WA Volumes &amp; Revenues'!E67</f>
        <v>0</v>
      </c>
      <c r="G62" s="116"/>
      <c r="H62" s="912"/>
      <c r="I62" s="913"/>
      <c r="J62" s="628">
        <f>'Rates in Detail'!E65</f>
        <v>5.339E-2</v>
      </c>
      <c r="K62" s="630">
        <f>'Rates in Detail'!H65</f>
        <v>0</v>
      </c>
      <c r="L62" s="630">
        <f>'Rates in Detail'!F65</f>
        <v>0.26333000000000001</v>
      </c>
      <c r="M62" s="630">
        <f>'Rates in Detail'!I65</f>
        <v>3.2999999999999995E-3</v>
      </c>
      <c r="N62" s="137">
        <f t="shared" si="0"/>
        <v>0.32002000000000003</v>
      </c>
      <c r="O62" s="1375">
        <f>'Rates in Detail'!L65</f>
        <v>1.349E-2</v>
      </c>
      <c r="P62" s="1376">
        <f>'Rates in Detail'!P65</f>
        <v>-9.3000000000000005E-4</v>
      </c>
      <c r="Q62" s="1383">
        <f t="shared" si="1"/>
        <v>0.33258000000000004</v>
      </c>
      <c r="R62" s="1376">
        <f>'Rates in Detail'!Y65</f>
        <v>6.3200000000000001E-3</v>
      </c>
      <c r="S62" s="1387">
        <f t="shared" si="2"/>
        <v>0.33890000000000003</v>
      </c>
      <c r="T62" s="131"/>
    </row>
    <row r="63" spans="2:20" x14ac:dyDescent="0.2">
      <c r="B63" s="110">
        <f t="shared" si="3"/>
        <v>54</v>
      </c>
      <c r="C63" s="111"/>
      <c r="D63" s="111" t="s">
        <v>9</v>
      </c>
      <c r="E63" s="112" t="s">
        <v>74</v>
      </c>
      <c r="F63" s="113">
        <f>'WA Volumes &amp; Revenues'!E68</f>
        <v>0</v>
      </c>
      <c r="G63" s="113"/>
      <c r="H63" s="907"/>
      <c r="I63" s="909"/>
      <c r="J63" s="627">
        <f>'Rates in Detail'!E66</f>
        <v>2.002E-2</v>
      </c>
      <c r="K63" s="631">
        <f>'Rates in Detail'!H66</f>
        <v>0</v>
      </c>
      <c r="L63" s="631">
        <f>'Rates in Detail'!F66</f>
        <v>0.26333000000000001</v>
      </c>
      <c r="M63" s="631">
        <f>'Rates in Detail'!I66</f>
        <v>1.9499999999999995E-3</v>
      </c>
      <c r="N63" s="135">
        <f t="shared" si="0"/>
        <v>0.2853</v>
      </c>
      <c r="O63" s="1374">
        <f>'Rates in Detail'!L66</f>
        <v>5.0600000000000003E-3</v>
      </c>
      <c r="P63" s="1367">
        <f>'Rates in Detail'!P66</f>
        <v>-3.5E-4</v>
      </c>
      <c r="Q63" s="1382">
        <f t="shared" si="1"/>
        <v>0.29000999999999999</v>
      </c>
      <c r="R63" s="1367">
        <f>'Rates in Detail'!Y66</f>
        <v>2.3700000000000001E-3</v>
      </c>
      <c r="S63" s="1386">
        <f t="shared" si="2"/>
        <v>0.29237999999999997</v>
      </c>
      <c r="T63" s="131"/>
    </row>
    <row r="64" spans="2:20" x14ac:dyDescent="0.2">
      <c r="B64" s="110">
        <f t="shared" si="3"/>
        <v>55</v>
      </c>
      <c r="C64" s="1355" t="str">
        <f>'WA Volumes &amp; Revenues'!B69</f>
        <v>42C Inter Transpt</v>
      </c>
      <c r="D64" s="1355" t="s">
        <v>4</v>
      </c>
      <c r="E64" s="115">
        <v>10000</v>
      </c>
      <c r="F64" s="116">
        <f>'WA Volumes &amp; Revenues'!E69</f>
        <v>0</v>
      </c>
      <c r="G64" s="116">
        <f>'WA Volumes &amp; Revenues'!H69</f>
        <v>0</v>
      </c>
      <c r="H64" s="912">
        <f>'WA Volumes &amp; Revenues'!O69</f>
        <v>1550</v>
      </c>
      <c r="I64" s="913">
        <f>'WA Volumes &amp; Revenues'!N69</f>
        <v>1550</v>
      </c>
      <c r="J64" s="628">
        <f>'Rates in Detail'!E67</f>
        <v>0.13402999999999998</v>
      </c>
      <c r="K64" s="630">
        <f>'Rates in Detail'!H67</f>
        <v>0</v>
      </c>
      <c r="L64" s="630">
        <f>'Rates in Detail'!F67</f>
        <v>0</v>
      </c>
      <c r="M64" s="630">
        <f>'Rates in Detail'!I67</f>
        <v>5.6999999999999998E-4</v>
      </c>
      <c r="N64" s="137">
        <f t="shared" si="0"/>
        <v>0.13459999999999997</v>
      </c>
      <c r="O64" s="1375">
        <f>'Rates in Detail'!L67</f>
        <v>1.6990000000000002E-2</v>
      </c>
      <c r="P64" s="1376">
        <f>'Rates in Detail'!P67</f>
        <v>-1.2600000000000001E-3</v>
      </c>
      <c r="Q64" s="1383">
        <f t="shared" si="1"/>
        <v>0.15032999999999996</v>
      </c>
      <c r="R64" s="1376">
        <f>'Rates in Detail'!Y67</f>
        <v>8.4799999999999997E-3</v>
      </c>
      <c r="S64" s="1387">
        <f t="shared" si="2"/>
        <v>0.15880999999999995</v>
      </c>
      <c r="T64" s="131"/>
    </row>
    <row r="65" spans="2:20" x14ac:dyDescent="0.2">
      <c r="B65" s="110">
        <f t="shared" si="3"/>
        <v>56</v>
      </c>
      <c r="C65" s="1355"/>
      <c r="D65" s="1355" t="s">
        <v>5</v>
      </c>
      <c r="E65" s="115">
        <v>20000</v>
      </c>
      <c r="F65" s="116">
        <f>'WA Volumes &amp; Revenues'!E70</f>
        <v>0</v>
      </c>
      <c r="G65" s="116"/>
      <c r="H65" s="912"/>
      <c r="I65" s="913"/>
      <c r="J65" s="628">
        <f>'Rates in Detail'!E68</f>
        <v>0.11997999999999999</v>
      </c>
      <c r="K65" s="630">
        <f>'Rates in Detail'!H68</f>
        <v>0</v>
      </c>
      <c r="L65" s="630">
        <f>'Rates in Detail'!F68</f>
        <v>0</v>
      </c>
      <c r="M65" s="630">
        <f>'Rates in Detail'!I68</f>
        <v>5.1000000000000004E-4</v>
      </c>
      <c r="N65" s="137">
        <f t="shared" si="0"/>
        <v>0.12048999999999999</v>
      </c>
      <c r="O65" s="1375">
        <f>'Rates in Detail'!L68</f>
        <v>1.521E-2</v>
      </c>
      <c r="P65" s="1376">
        <f>'Rates in Detail'!P68</f>
        <v>-1.1199999999999999E-3</v>
      </c>
      <c r="Q65" s="1383">
        <f t="shared" si="1"/>
        <v>0.13457999999999998</v>
      </c>
      <c r="R65" s="1376">
        <f>'Rates in Detail'!Y68</f>
        <v>7.5900000000000004E-3</v>
      </c>
      <c r="S65" s="1387">
        <f t="shared" si="2"/>
        <v>0.14216999999999999</v>
      </c>
      <c r="T65" s="131"/>
    </row>
    <row r="66" spans="2:20" x14ac:dyDescent="0.2">
      <c r="B66" s="110">
        <f t="shared" si="3"/>
        <v>57</v>
      </c>
      <c r="C66" s="1355"/>
      <c r="D66" s="1355" t="s">
        <v>6</v>
      </c>
      <c r="E66" s="115">
        <v>20000</v>
      </c>
      <c r="F66" s="116">
        <f>'WA Volumes &amp; Revenues'!E71</f>
        <v>0</v>
      </c>
      <c r="G66" s="116"/>
      <c r="H66" s="912"/>
      <c r="I66" s="913"/>
      <c r="J66" s="628">
        <f>'Rates in Detail'!E69</f>
        <v>9.1999999999999998E-2</v>
      </c>
      <c r="K66" s="630">
        <f>'Rates in Detail'!H69</f>
        <v>0</v>
      </c>
      <c r="L66" s="630">
        <f>'Rates in Detail'!F69</f>
        <v>0</v>
      </c>
      <c r="M66" s="630">
        <f>'Rates in Detail'!I69</f>
        <v>3.7999999999999997E-4</v>
      </c>
      <c r="N66" s="137">
        <f t="shared" si="0"/>
        <v>9.2380000000000004E-2</v>
      </c>
      <c r="O66" s="1375">
        <f>'Rates in Detail'!L69</f>
        <v>1.166E-2</v>
      </c>
      <c r="P66" s="1376">
        <f>'Rates in Detail'!P69</f>
        <v>-8.5999999999999998E-4</v>
      </c>
      <c r="Q66" s="1383">
        <f t="shared" si="1"/>
        <v>0.10318000000000001</v>
      </c>
      <c r="R66" s="1376">
        <f>'Rates in Detail'!Y69</f>
        <v>5.8199999999999997E-3</v>
      </c>
      <c r="S66" s="1387">
        <f t="shared" si="2"/>
        <v>0.10900000000000001</v>
      </c>
      <c r="T66" s="131"/>
    </row>
    <row r="67" spans="2:20" x14ac:dyDescent="0.2">
      <c r="B67" s="110">
        <f t="shared" si="3"/>
        <v>58</v>
      </c>
      <c r="C67" s="1355"/>
      <c r="D67" s="1355" t="s">
        <v>7</v>
      </c>
      <c r="E67" s="115">
        <v>100000</v>
      </c>
      <c r="F67" s="116">
        <f>'WA Volumes &amp; Revenues'!E72</f>
        <v>0</v>
      </c>
      <c r="G67" s="116"/>
      <c r="H67" s="912"/>
      <c r="I67" s="913"/>
      <c r="J67" s="628">
        <f>'Rates in Detail'!E70</f>
        <v>7.3609999999999995E-2</v>
      </c>
      <c r="K67" s="630">
        <f>'Rates in Detail'!H70</f>
        <v>0</v>
      </c>
      <c r="L67" s="630">
        <f>'Rates in Detail'!F70</f>
        <v>0</v>
      </c>
      <c r="M67" s="630">
        <f>'Rates in Detail'!I70</f>
        <v>3.0999999999999995E-4</v>
      </c>
      <c r="N67" s="137">
        <f t="shared" si="0"/>
        <v>7.392E-2</v>
      </c>
      <c r="O67" s="1375">
        <f>'Rates in Detail'!L70</f>
        <v>9.3299999999999998E-3</v>
      </c>
      <c r="P67" s="1376">
        <f>'Rates in Detail'!P70</f>
        <v>-6.8999999999999997E-4</v>
      </c>
      <c r="Q67" s="1383">
        <f t="shared" si="1"/>
        <v>8.2560000000000008E-2</v>
      </c>
      <c r="R67" s="1376">
        <f>'Rates in Detail'!Y70</f>
        <v>4.6600000000000001E-3</v>
      </c>
      <c r="S67" s="1387">
        <f t="shared" si="2"/>
        <v>8.7220000000000006E-2</v>
      </c>
      <c r="T67" s="131"/>
    </row>
    <row r="68" spans="2:20" x14ac:dyDescent="0.2">
      <c r="B68" s="110">
        <f t="shared" si="3"/>
        <v>59</v>
      </c>
      <c r="C68" s="1355"/>
      <c r="D68" s="1355" t="s">
        <v>8</v>
      </c>
      <c r="E68" s="115">
        <v>600000</v>
      </c>
      <c r="F68" s="116">
        <f>'WA Volumes &amp; Revenues'!E73</f>
        <v>0</v>
      </c>
      <c r="G68" s="116"/>
      <c r="H68" s="912"/>
      <c r="I68" s="913"/>
      <c r="J68" s="628">
        <f>'Rates in Detail'!E71</f>
        <v>4.9079999999999999E-2</v>
      </c>
      <c r="K68" s="630">
        <f>'Rates in Detail'!H71</f>
        <v>0</v>
      </c>
      <c r="L68" s="630">
        <f>'Rates in Detail'!F71</f>
        <v>0</v>
      </c>
      <c r="M68" s="630">
        <f>'Rates in Detail'!I71</f>
        <v>2.0999999999999998E-4</v>
      </c>
      <c r="N68" s="137">
        <f t="shared" si="0"/>
        <v>4.929E-2</v>
      </c>
      <c r="O68" s="1375">
        <f>'Rates in Detail'!L71</f>
        <v>6.2199999999999998E-3</v>
      </c>
      <c r="P68" s="1376">
        <f>'Rates in Detail'!P71</f>
        <v>-4.6000000000000001E-4</v>
      </c>
      <c r="Q68" s="1383">
        <f t="shared" si="1"/>
        <v>5.5050000000000002E-2</v>
      </c>
      <c r="R68" s="1376">
        <f>'Rates in Detail'!Y71</f>
        <v>3.1099999999999999E-3</v>
      </c>
      <c r="S68" s="1387">
        <f t="shared" si="2"/>
        <v>5.8160000000000003E-2</v>
      </c>
      <c r="T68" s="131"/>
    </row>
    <row r="69" spans="2:20" x14ac:dyDescent="0.2">
      <c r="B69" s="110">
        <f t="shared" si="3"/>
        <v>60</v>
      </c>
      <c r="C69" s="111"/>
      <c r="D69" s="111" t="s">
        <v>9</v>
      </c>
      <c r="E69" s="112" t="s">
        <v>74</v>
      </c>
      <c r="F69" s="113">
        <f>'WA Volumes &amp; Revenues'!E74</f>
        <v>0</v>
      </c>
      <c r="G69" s="113"/>
      <c r="H69" s="907"/>
      <c r="I69" s="909"/>
      <c r="J69" s="627">
        <f>'Rates in Detail'!E72</f>
        <v>1.839E-2</v>
      </c>
      <c r="K69" s="631">
        <f>'Rates in Detail'!H72</f>
        <v>0</v>
      </c>
      <c r="L69" s="631">
        <f>'Rates in Detail'!F72</f>
        <v>0</v>
      </c>
      <c r="M69" s="631">
        <f>'Rates in Detail'!I72</f>
        <v>6.9999999999999994E-5</v>
      </c>
      <c r="N69" s="135">
        <f t="shared" si="0"/>
        <v>1.8460000000000001E-2</v>
      </c>
      <c r="O69" s="1374">
        <f>'Rates in Detail'!L72</f>
        <v>2.33E-3</v>
      </c>
      <c r="P69" s="1367">
        <f>'Rates in Detail'!P72</f>
        <v>-1.7000000000000001E-4</v>
      </c>
      <c r="Q69" s="1382">
        <f t="shared" si="1"/>
        <v>2.0619999999999999E-2</v>
      </c>
      <c r="R69" s="1367">
        <f>'Rates in Detail'!Y72</f>
        <v>1.16E-3</v>
      </c>
      <c r="S69" s="1386">
        <f t="shared" si="2"/>
        <v>2.1780000000000001E-2</v>
      </c>
      <c r="T69" s="131"/>
    </row>
    <row r="70" spans="2:20" x14ac:dyDescent="0.2">
      <c r="B70" s="110">
        <f t="shared" si="3"/>
        <v>61</v>
      </c>
      <c r="C70" s="1355" t="str">
        <f>'WA Volumes &amp; Revenues'!B75</f>
        <v>42I Inter Transpt</v>
      </c>
      <c r="D70" s="1355" t="s">
        <v>4</v>
      </c>
      <c r="E70" s="115">
        <v>10000</v>
      </c>
      <c r="F70" s="116">
        <f>'WA Volumes &amp; Revenues'!E75</f>
        <v>844078</v>
      </c>
      <c r="G70" s="116">
        <f>'WA Volumes &amp; Revenues'!H75</f>
        <v>7</v>
      </c>
      <c r="H70" s="912">
        <f>'WA Volumes &amp; Revenues'!O75</f>
        <v>1550</v>
      </c>
      <c r="I70" s="913">
        <f>'WA Volumes &amp; Revenues'!N75</f>
        <v>1550</v>
      </c>
      <c r="J70" s="628">
        <f>'Rates in Detail'!E73</f>
        <v>0.13402999999999998</v>
      </c>
      <c r="K70" s="630">
        <f>'Rates in Detail'!H73</f>
        <v>0</v>
      </c>
      <c r="L70" s="630">
        <f>'Rates in Detail'!F73</f>
        <v>0</v>
      </c>
      <c r="M70" s="630">
        <f>'Rates in Detail'!I73</f>
        <v>5.6999999999999998E-4</v>
      </c>
      <c r="N70" s="137">
        <f t="shared" si="0"/>
        <v>0.13459999999999997</v>
      </c>
      <c r="O70" s="1375">
        <f>'Rates in Detail'!L73</f>
        <v>2.1659999999999999E-2</v>
      </c>
      <c r="P70" s="1376">
        <f>'Rates in Detail'!P73</f>
        <v>-1.49E-3</v>
      </c>
      <c r="Q70" s="1383">
        <f t="shared" si="1"/>
        <v>0.15476999999999996</v>
      </c>
      <c r="R70" s="1376">
        <f>'Rates in Detail'!Y73</f>
        <v>1.0160000000000001E-2</v>
      </c>
      <c r="S70" s="1387">
        <f t="shared" si="2"/>
        <v>0.16492999999999997</v>
      </c>
      <c r="T70" s="131"/>
    </row>
    <row r="71" spans="2:20" x14ac:dyDescent="0.2">
      <c r="B71" s="110">
        <f t="shared" si="3"/>
        <v>62</v>
      </c>
      <c r="C71" s="1355"/>
      <c r="D71" s="1355" t="s">
        <v>5</v>
      </c>
      <c r="E71" s="115">
        <v>20000</v>
      </c>
      <c r="F71" s="116">
        <f>'WA Volumes &amp; Revenues'!E76</f>
        <v>1445175</v>
      </c>
      <c r="G71" s="116"/>
      <c r="H71" s="912"/>
      <c r="I71" s="913"/>
      <c r="J71" s="628">
        <f>'Rates in Detail'!E74</f>
        <v>0.11997999999999999</v>
      </c>
      <c r="K71" s="630">
        <f>'Rates in Detail'!H74</f>
        <v>0</v>
      </c>
      <c r="L71" s="630">
        <f>'Rates in Detail'!F74</f>
        <v>0</v>
      </c>
      <c r="M71" s="630">
        <f>'Rates in Detail'!I74</f>
        <v>5.1000000000000004E-4</v>
      </c>
      <c r="N71" s="137">
        <f t="shared" si="0"/>
        <v>0.12048999999999999</v>
      </c>
      <c r="O71" s="1375">
        <f>'Rates in Detail'!L74</f>
        <v>1.9390000000000001E-2</v>
      </c>
      <c r="P71" s="1376">
        <f>'Rates in Detail'!P74</f>
        <v>-1.33E-3</v>
      </c>
      <c r="Q71" s="1383">
        <f t="shared" si="1"/>
        <v>0.13854999999999998</v>
      </c>
      <c r="R71" s="1376">
        <f>'Rates in Detail'!Y74</f>
        <v>9.0900000000000009E-3</v>
      </c>
      <c r="S71" s="1387">
        <f t="shared" si="2"/>
        <v>0.14763999999999999</v>
      </c>
      <c r="T71" s="131"/>
    </row>
    <row r="72" spans="2:20" x14ac:dyDescent="0.2">
      <c r="B72" s="110">
        <f t="shared" si="3"/>
        <v>63</v>
      </c>
      <c r="C72" s="1355"/>
      <c r="D72" s="1355" t="s">
        <v>6</v>
      </c>
      <c r="E72" s="115">
        <v>20000</v>
      </c>
      <c r="F72" s="116">
        <f>'WA Volumes &amp; Revenues'!E77</f>
        <v>1034978</v>
      </c>
      <c r="G72" s="116"/>
      <c r="H72" s="912"/>
      <c r="I72" s="913"/>
      <c r="J72" s="628">
        <f>'Rates in Detail'!E75</f>
        <v>9.1999999999999998E-2</v>
      </c>
      <c r="K72" s="630">
        <f>'Rates in Detail'!H75</f>
        <v>0</v>
      </c>
      <c r="L72" s="630">
        <f>'Rates in Detail'!F75</f>
        <v>0</v>
      </c>
      <c r="M72" s="630">
        <f>'Rates in Detail'!I75</f>
        <v>3.7999999999999997E-4</v>
      </c>
      <c r="N72" s="137">
        <f t="shared" si="0"/>
        <v>9.2380000000000004E-2</v>
      </c>
      <c r="O72" s="1375">
        <f>'Rates in Detail'!L75</f>
        <v>1.487E-2</v>
      </c>
      <c r="P72" s="1376">
        <f>'Rates in Detail'!P75</f>
        <v>-1.0200000000000001E-3</v>
      </c>
      <c r="Q72" s="1383">
        <f t="shared" si="1"/>
        <v>0.10622999999999999</v>
      </c>
      <c r="R72" s="1376">
        <f>'Rates in Detail'!Y75</f>
        <v>6.9699999999999996E-3</v>
      </c>
      <c r="S72" s="1387">
        <f t="shared" si="2"/>
        <v>0.1132</v>
      </c>
      <c r="T72" s="131"/>
    </row>
    <row r="73" spans="2:20" x14ac:dyDescent="0.2">
      <c r="B73" s="110">
        <f t="shared" si="3"/>
        <v>64</v>
      </c>
      <c r="C73" s="1355"/>
      <c r="D73" s="1355" t="s">
        <v>7</v>
      </c>
      <c r="E73" s="115">
        <v>100000</v>
      </c>
      <c r="F73" s="116">
        <f>'WA Volumes &amp; Revenues'!E78</f>
        <v>3359916</v>
      </c>
      <c r="G73" s="116"/>
      <c r="H73" s="912"/>
      <c r="I73" s="913"/>
      <c r="J73" s="628">
        <f>'Rates in Detail'!E76</f>
        <v>7.3609999999999995E-2</v>
      </c>
      <c r="K73" s="630">
        <f>'Rates in Detail'!H76</f>
        <v>0</v>
      </c>
      <c r="L73" s="630">
        <f>'Rates in Detail'!F76</f>
        <v>0</v>
      </c>
      <c r="M73" s="630">
        <f>'Rates in Detail'!I76</f>
        <v>3.0999999999999995E-4</v>
      </c>
      <c r="N73" s="137">
        <f t="shared" si="0"/>
        <v>7.392E-2</v>
      </c>
      <c r="O73" s="1375">
        <f>'Rates in Detail'!L76</f>
        <v>1.189E-2</v>
      </c>
      <c r="P73" s="1376">
        <f>'Rates in Detail'!P76</f>
        <v>-8.1999999999999998E-4</v>
      </c>
      <c r="Q73" s="1383">
        <f t="shared" si="1"/>
        <v>8.4989999999999996E-2</v>
      </c>
      <c r="R73" s="1376">
        <f>'Rates in Detail'!Y76</f>
        <v>5.5799999999999999E-3</v>
      </c>
      <c r="S73" s="1387">
        <f t="shared" si="2"/>
        <v>9.0569999999999998E-2</v>
      </c>
      <c r="T73" s="131"/>
    </row>
    <row r="74" spans="2:20" x14ac:dyDescent="0.2">
      <c r="B74" s="110">
        <f t="shared" si="3"/>
        <v>65</v>
      </c>
      <c r="C74" s="1355"/>
      <c r="D74" s="1355" t="s">
        <v>8</v>
      </c>
      <c r="E74" s="115">
        <v>600000</v>
      </c>
      <c r="F74" s="116">
        <f>'WA Volumes &amp; Revenues'!E79</f>
        <v>1349120</v>
      </c>
      <c r="G74" s="116"/>
      <c r="H74" s="912"/>
      <c r="I74" s="913"/>
      <c r="J74" s="628">
        <f>'Rates in Detail'!E77</f>
        <v>4.9079999999999999E-2</v>
      </c>
      <c r="K74" s="630">
        <f>'Rates in Detail'!H77</f>
        <v>0</v>
      </c>
      <c r="L74" s="630">
        <f>'Rates in Detail'!F77</f>
        <v>0</v>
      </c>
      <c r="M74" s="630">
        <f>'Rates in Detail'!I77</f>
        <v>2.0999999999999998E-4</v>
      </c>
      <c r="N74" s="137">
        <f t="shared" si="0"/>
        <v>4.929E-2</v>
      </c>
      <c r="O74" s="1375">
        <f>'Rates in Detail'!L77</f>
        <v>7.9299999999999995E-3</v>
      </c>
      <c r="P74" s="1376">
        <f>'Rates in Detail'!P77</f>
        <v>-5.5000000000000003E-4</v>
      </c>
      <c r="Q74" s="1383">
        <f t="shared" si="1"/>
        <v>5.6669999999999998E-2</v>
      </c>
      <c r="R74" s="1376">
        <f>'Rates in Detail'!Y77</f>
        <v>3.7200000000000002E-3</v>
      </c>
      <c r="S74" s="1387">
        <f t="shared" si="2"/>
        <v>6.0389999999999999E-2</v>
      </c>
      <c r="T74" s="131"/>
    </row>
    <row r="75" spans="2:20" x14ac:dyDescent="0.2">
      <c r="B75" s="110">
        <f t="shared" si="3"/>
        <v>66</v>
      </c>
      <c r="C75" s="111"/>
      <c r="D75" s="111" t="s">
        <v>9</v>
      </c>
      <c r="E75" s="112" t="s">
        <v>74</v>
      </c>
      <c r="F75" s="113">
        <f>'WA Volumes &amp; Revenues'!E80</f>
        <v>0</v>
      </c>
      <c r="G75" s="113"/>
      <c r="H75" s="907"/>
      <c r="I75" s="909"/>
      <c r="J75" s="628">
        <f>'Rates in Detail'!E78</f>
        <v>1.839E-2</v>
      </c>
      <c r="K75" s="630">
        <f>'Rates in Detail'!H78</f>
        <v>0</v>
      </c>
      <c r="L75" s="630">
        <f>'Rates in Detail'!F78</f>
        <v>0</v>
      </c>
      <c r="M75" s="630">
        <f>'Rates in Detail'!I78</f>
        <v>6.9999999999999994E-5</v>
      </c>
      <c r="N75" s="629">
        <f t="shared" ref="N75:N78" si="4">SUM(J75:M75)</f>
        <v>1.8460000000000001E-2</v>
      </c>
      <c r="O75" s="1375">
        <f>'Rates in Detail'!L78</f>
        <v>2.97E-3</v>
      </c>
      <c r="P75" s="1376">
        <f>'Rates in Detail'!P78</f>
        <v>-2.0000000000000001E-4</v>
      </c>
      <c r="Q75" s="1383">
        <f t="shared" ref="Q75:Q78" si="5">SUM(N75:P75)</f>
        <v>2.1230000000000002E-2</v>
      </c>
      <c r="R75" s="1376">
        <f>'Rates in Detail'!Y78</f>
        <v>1.39E-3</v>
      </c>
      <c r="S75" s="1387">
        <f t="shared" ref="S75:S78" si="6">Q75+R75</f>
        <v>2.2620000000000001E-2</v>
      </c>
      <c r="T75" s="131"/>
    </row>
    <row r="76" spans="2:20" x14ac:dyDescent="0.2">
      <c r="B76" s="110">
        <f t="shared" ref="B76:B78" si="7">B75+1</f>
        <v>67</v>
      </c>
      <c r="C76" s="1354" t="str">
        <f>'WA Volumes &amp; Revenues'!B81</f>
        <v>43 Firm Transpt</v>
      </c>
      <c r="D76" s="111" t="s">
        <v>283</v>
      </c>
      <c r="E76" s="111" t="s">
        <v>283</v>
      </c>
      <c r="F76" s="113">
        <f>'WA Volumes &amp; Revenues'!E81</f>
        <v>0</v>
      </c>
      <c r="G76" s="113">
        <f>'WA Volumes &amp; Revenues'!H81</f>
        <v>0</v>
      </c>
      <c r="H76" s="907">
        <f>'WA Volumes &amp; Revenues'!O81</f>
        <v>38000</v>
      </c>
      <c r="I76" s="909">
        <f>'WA Volumes &amp; Revenues'!N81</f>
        <v>38000</v>
      </c>
      <c r="J76" s="625">
        <f>'Rates in Detail'!E79</f>
        <v>4.9099999999999994E-3</v>
      </c>
      <c r="K76" s="626">
        <f>'Rates in Detail'!H79</f>
        <v>0</v>
      </c>
      <c r="L76" s="626">
        <f>'Rates in Detail'!F79</f>
        <v>0</v>
      </c>
      <c r="M76" s="626">
        <f>'Rates in Detail'!I79</f>
        <v>1.0000000000000001E-5</v>
      </c>
      <c r="N76" s="135">
        <f t="shared" si="4"/>
        <v>4.919999999999999E-3</v>
      </c>
      <c r="O76" s="118">
        <f>'Rates in Detail'!L79</f>
        <v>0</v>
      </c>
      <c r="P76" s="1378">
        <f>'Rates in Detail'!P79</f>
        <v>0</v>
      </c>
      <c r="Q76" s="1384">
        <f t="shared" si="5"/>
        <v>4.919999999999999E-3</v>
      </c>
      <c r="R76" s="1378">
        <f>'Rates in Detail'!Y79</f>
        <v>0</v>
      </c>
      <c r="S76" s="1388">
        <f t="shared" si="6"/>
        <v>4.919999999999999E-3</v>
      </c>
      <c r="T76" s="131"/>
    </row>
    <row r="77" spans="2:20" x14ac:dyDescent="0.2">
      <c r="B77" s="110">
        <f t="shared" si="7"/>
        <v>68</v>
      </c>
      <c r="C77" s="1354" t="str">
        <f>'WA Volumes &amp; Revenues'!B82</f>
        <v>43 Interr Transpt</v>
      </c>
      <c r="D77" s="111" t="s">
        <v>283</v>
      </c>
      <c r="E77" s="111" t="s">
        <v>283</v>
      </c>
      <c r="F77" s="113">
        <f>'WA Volumes &amp; Revenues'!E82</f>
        <v>0</v>
      </c>
      <c r="G77" s="113">
        <f>'WA Volumes &amp; Revenues'!H82</f>
        <v>0</v>
      </c>
      <c r="H77" s="907">
        <f>'WA Volumes &amp; Revenues'!O82</f>
        <v>38000</v>
      </c>
      <c r="I77" s="909">
        <f>'WA Volumes &amp; Revenues'!N82</f>
        <v>38000</v>
      </c>
      <c r="J77" s="625">
        <f>'Rates in Detail'!E80</f>
        <v>4.9099999999999994E-3</v>
      </c>
      <c r="K77" s="626">
        <f>'Rates in Detail'!H80</f>
        <v>0</v>
      </c>
      <c r="L77" s="626">
        <f>'Rates in Detail'!F80</f>
        <v>0</v>
      </c>
      <c r="M77" s="626">
        <f>'Rates in Detail'!I80</f>
        <v>1.0000000000000001E-5</v>
      </c>
      <c r="N77" s="135">
        <f t="shared" si="4"/>
        <v>4.919999999999999E-3</v>
      </c>
      <c r="O77" s="118">
        <f>'Rates in Detail'!L80</f>
        <v>0</v>
      </c>
      <c r="P77" s="1378">
        <f>'Rates in Detail'!P80</f>
        <v>0</v>
      </c>
      <c r="Q77" s="1384">
        <f t="shared" si="5"/>
        <v>4.919999999999999E-3</v>
      </c>
      <c r="R77" s="1378">
        <f>'Rates in Detail'!Y80</f>
        <v>0</v>
      </c>
      <c r="S77" s="1388">
        <f t="shared" si="6"/>
        <v>4.919999999999999E-3</v>
      </c>
      <c r="T77" s="131"/>
    </row>
    <row r="78" spans="2:20" ht="13.5" thickBot="1" x14ac:dyDescent="0.25">
      <c r="B78" s="1448">
        <f t="shared" si="7"/>
        <v>69</v>
      </c>
      <c r="C78" s="1354" t="str">
        <f>'WA Volumes &amp; Revenues'!B83</f>
        <v>Special Contract</v>
      </c>
      <c r="D78" s="111" t="s">
        <v>283</v>
      </c>
      <c r="E78" s="111" t="s">
        <v>283</v>
      </c>
      <c r="F78" s="113">
        <f>'WA Volumes &amp; Revenues'!E83</f>
        <v>2895114</v>
      </c>
      <c r="G78" s="113">
        <f>'WA Volumes &amp; Revenues'!H83</f>
        <v>1</v>
      </c>
      <c r="H78" s="907">
        <f>'WA Volumes &amp; Revenues'!O83</f>
        <v>0</v>
      </c>
      <c r="I78" s="909">
        <f>'WA Volumes &amp; Revenues'!N83</f>
        <v>0</v>
      </c>
      <c r="J78" s="625">
        <f>'Rates in Detail'!E81</f>
        <v>0</v>
      </c>
      <c r="K78" s="626">
        <f>'Rates in Detail'!H81</f>
        <v>0</v>
      </c>
      <c r="L78" s="626">
        <f>'Rates in Detail'!F81</f>
        <v>0</v>
      </c>
      <c r="M78" s="626">
        <f>'Rates in Detail'!I81</f>
        <v>0</v>
      </c>
      <c r="N78" s="135">
        <f t="shared" si="4"/>
        <v>0</v>
      </c>
      <c r="O78" s="118">
        <f>'Rates in Detail'!L81</f>
        <v>0</v>
      </c>
      <c r="P78" s="1378">
        <f>'Rates in Detail'!P81</f>
        <v>0</v>
      </c>
      <c r="Q78" s="1385">
        <f t="shared" si="5"/>
        <v>0</v>
      </c>
      <c r="R78" s="1378">
        <f>'Rates in Detail'!Y81</f>
        <v>0</v>
      </c>
      <c r="S78" s="1389">
        <f t="shared" si="6"/>
        <v>0</v>
      </c>
      <c r="T78" s="131"/>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&amp;RExh. RJW-3 Wyman WP1</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X78"/>
  <sheetViews>
    <sheetView zoomScale="90" zoomScaleNormal="90" workbookViewId="0">
      <pane xSplit="4" ySplit="9" topLeftCell="G10" activePane="bottomRight" state="frozen"/>
      <selection activeCell="K47" sqref="K47"/>
      <selection pane="topRight" activeCell="K47" sqref="K47"/>
      <selection pane="bottomLeft" activeCell="K47" sqref="K47"/>
      <selection pane="bottomRight" activeCell="U18" sqref="U18"/>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33203125" style="52" customWidth="1"/>
    <col min="15" max="16" width="16" style="52" customWidth="1" outlineLevel="1"/>
    <col min="17" max="17" width="16.5" style="92" customWidth="1" outlineLevel="1"/>
    <col min="18" max="18" width="16" style="52" customWidth="1" outlineLevel="1"/>
    <col min="19" max="19" width="15.6640625" style="52" customWidth="1" outlineLevel="1"/>
    <col min="20" max="20" width="16" style="52" customWidth="1"/>
    <col min="21" max="21" width="16" style="130" customWidth="1" outlineLevel="1"/>
    <col min="22" max="22" width="15.6640625" style="130" customWidth="1" outlineLevel="1"/>
    <col min="23" max="23" width="16" style="130" customWidth="1" outlineLevel="1"/>
    <col min="24" max="24" width="3.1640625" style="130" customWidth="1"/>
    <col min="25" max="16384" width="9.33203125" style="52"/>
  </cols>
  <sheetData>
    <row r="1" spans="2:24" x14ac:dyDescent="0.2">
      <c r="B1" s="91" t="s">
        <v>0</v>
      </c>
      <c r="S1" s="65"/>
    </row>
    <row r="2" spans="2:24" x14ac:dyDescent="0.2">
      <c r="B2" s="91" t="s">
        <v>276</v>
      </c>
    </row>
    <row r="3" spans="2:24" x14ac:dyDescent="0.2">
      <c r="B3" s="91" t="s">
        <v>277</v>
      </c>
      <c r="P3" s="101"/>
      <c r="Q3" s="138"/>
    </row>
    <row r="4" spans="2:24" x14ac:dyDescent="0.2">
      <c r="B4" s="91" t="s">
        <v>605</v>
      </c>
      <c r="N4" s="656"/>
      <c r="O4" s="59"/>
      <c r="P4" s="59"/>
      <c r="Q4" s="58"/>
      <c r="R4" s="58"/>
      <c r="S4" s="58"/>
      <c r="U4" s="131"/>
      <c r="V4" s="131"/>
      <c r="W4" s="131"/>
      <c r="X4" s="131"/>
    </row>
    <row r="5" spans="2:24" ht="13.5" thickBot="1" x14ac:dyDescent="0.25">
      <c r="B5" s="1358" t="s">
        <v>600</v>
      </c>
      <c r="N5" s="656"/>
      <c r="O5" s="59"/>
      <c r="P5" s="59"/>
      <c r="Q5" s="58"/>
      <c r="R5" s="58"/>
      <c r="S5" s="58"/>
      <c r="U5" s="131"/>
      <c r="V5" s="131"/>
      <c r="W5" s="131"/>
      <c r="X5" s="131"/>
    </row>
    <row r="6" spans="2:24" ht="13.5" thickBot="1" x14ac:dyDescent="0.25">
      <c r="O6" s="1689" t="s">
        <v>604</v>
      </c>
      <c r="P6" s="1690"/>
      <c r="Q6" s="1690"/>
      <c r="R6" s="1690"/>
      <c r="S6" s="1690"/>
      <c r="T6" s="1691"/>
      <c r="U6" s="1687" t="s">
        <v>603</v>
      </c>
      <c r="V6" s="1692"/>
      <c r="W6" s="1688"/>
    </row>
    <row r="7" spans="2:24" ht="13.5" thickBot="1" x14ac:dyDescent="0.25">
      <c r="B7" s="103"/>
      <c r="C7" s="103"/>
      <c r="D7" s="103"/>
      <c r="E7" s="103"/>
      <c r="F7" s="103"/>
      <c r="G7" s="103"/>
      <c r="H7" s="632" t="s">
        <v>18</v>
      </c>
      <c r="I7" s="104" t="s">
        <v>595</v>
      </c>
      <c r="J7" s="1672" t="s">
        <v>596</v>
      </c>
      <c r="K7" s="1673"/>
      <c r="L7" s="1673"/>
      <c r="M7" s="1673"/>
      <c r="N7" s="1673"/>
      <c r="O7" s="1394" t="s">
        <v>179</v>
      </c>
      <c r="P7" s="1391" t="str">
        <f>'Rates in Detail'!P9</f>
        <v>EDIT Amort Cr</v>
      </c>
      <c r="Q7" s="1390" t="s">
        <v>138</v>
      </c>
      <c r="R7" s="1394" t="str">
        <f>'Rates in Detail'!S9</f>
        <v>Historical EE</v>
      </c>
      <c r="S7" s="1397" t="s">
        <v>577</v>
      </c>
      <c r="T7" s="1390" t="s">
        <v>32</v>
      </c>
      <c r="U7" s="1399" t="s">
        <v>179</v>
      </c>
      <c r="V7" s="1398" t="s">
        <v>418</v>
      </c>
      <c r="W7" s="1369" t="s">
        <v>32</v>
      </c>
    </row>
    <row r="8" spans="2:24" ht="51" x14ac:dyDescent="0.2">
      <c r="B8" s="105" t="s">
        <v>150</v>
      </c>
      <c r="C8" s="66" t="s">
        <v>2</v>
      </c>
      <c r="D8" s="66" t="s">
        <v>3</v>
      </c>
      <c r="E8" s="66" t="s">
        <v>164</v>
      </c>
      <c r="F8" s="66" t="s">
        <v>162</v>
      </c>
      <c r="G8" s="66" t="s">
        <v>163</v>
      </c>
      <c r="H8" s="106" t="s">
        <v>160</v>
      </c>
      <c r="I8" s="66" t="s">
        <v>161</v>
      </c>
      <c r="J8" s="623" t="s">
        <v>590</v>
      </c>
      <c r="K8" s="624" t="s">
        <v>591</v>
      </c>
      <c r="L8" s="624" t="s">
        <v>592</v>
      </c>
      <c r="M8" s="624" t="s">
        <v>594</v>
      </c>
      <c r="N8" s="66" t="s">
        <v>593</v>
      </c>
      <c r="O8" s="1395" t="s">
        <v>159</v>
      </c>
      <c r="P8" s="1392" t="s">
        <v>433</v>
      </c>
      <c r="Q8" s="1361" t="s">
        <v>607</v>
      </c>
      <c r="R8" s="1395" t="s">
        <v>238</v>
      </c>
      <c r="S8" s="1381" t="s">
        <v>238</v>
      </c>
      <c r="T8" s="1361" t="s">
        <v>606</v>
      </c>
      <c r="U8" s="1400" t="s">
        <v>159</v>
      </c>
      <c r="V8" s="1362" t="s">
        <v>238</v>
      </c>
      <c r="W8" s="1363" t="s">
        <v>609</v>
      </c>
      <c r="X8" s="1357"/>
    </row>
    <row r="9" spans="2:24" ht="13.5" thickBot="1" x14ac:dyDescent="0.25">
      <c r="B9" s="640"/>
      <c r="C9" s="641" t="s">
        <v>35</v>
      </c>
      <c r="D9" s="641" t="s">
        <v>36</v>
      </c>
      <c r="E9" s="641" t="s">
        <v>13</v>
      </c>
      <c r="F9" s="641" t="s">
        <v>37</v>
      </c>
      <c r="G9" s="641" t="s">
        <v>38</v>
      </c>
      <c r="H9" s="642" t="s">
        <v>39</v>
      </c>
      <c r="I9" s="643" t="s">
        <v>40</v>
      </c>
      <c r="J9" s="642" t="s">
        <v>41</v>
      </c>
      <c r="K9" s="641" t="s">
        <v>42</v>
      </c>
      <c r="L9" s="641" t="s">
        <v>129</v>
      </c>
      <c r="M9" s="641" t="s">
        <v>130</v>
      </c>
      <c r="N9" s="641" t="s">
        <v>259</v>
      </c>
      <c r="O9" s="1396" t="s">
        <v>131</v>
      </c>
      <c r="P9" s="1393" t="s">
        <v>132</v>
      </c>
      <c r="Q9" s="1360" t="s">
        <v>597</v>
      </c>
      <c r="R9" s="1396" t="s">
        <v>135</v>
      </c>
      <c r="S9" s="1359" t="s">
        <v>89</v>
      </c>
      <c r="T9" s="1360" t="s">
        <v>608</v>
      </c>
      <c r="U9" s="1401" t="s">
        <v>93</v>
      </c>
      <c r="V9" s="1364" t="s">
        <v>94</v>
      </c>
      <c r="W9" s="1449" t="s">
        <v>610</v>
      </c>
      <c r="X9" s="1356"/>
    </row>
    <row r="10" spans="2:24" x14ac:dyDescent="0.2">
      <c r="B10" s="110">
        <v>1</v>
      </c>
      <c r="C10" s="111" t="str">
        <f>'WA Volumes &amp; Revenues'!B15</f>
        <v>1R</v>
      </c>
      <c r="D10" s="111" t="s">
        <v>283</v>
      </c>
      <c r="E10" s="111" t="s">
        <v>283</v>
      </c>
      <c r="F10" s="113">
        <f>'WA Volumes &amp; Revenues'!E15</f>
        <v>214704.20066131229</v>
      </c>
      <c r="G10" s="113">
        <f>'WA Volumes &amp; Revenues'!H15</f>
        <v>911</v>
      </c>
      <c r="H10" s="907">
        <f>'WA Volumes &amp; Revenues'!O15</f>
        <v>5.5</v>
      </c>
      <c r="I10" s="908">
        <f>'WA Volumes &amp; Revenues'!N15</f>
        <v>5.5</v>
      </c>
      <c r="J10" s="627">
        <f>'Rates in Detail'!E13</f>
        <v>0.67652999999999996</v>
      </c>
      <c r="K10" s="631">
        <f>'Rates in Detail'!H13</f>
        <v>0.10141</v>
      </c>
      <c r="L10" s="631">
        <f>'Rates in Detail'!F13</f>
        <v>0.26333000000000001</v>
      </c>
      <c r="M10" s="631">
        <f>'Rates in Detail'!I13</f>
        <v>0.11125999999999998</v>
      </c>
      <c r="N10" s="135">
        <f>SUM(J10:M10)</f>
        <v>1.1525299999999998</v>
      </c>
      <c r="O10" s="1372">
        <f>'Rates in Detail'!L13</f>
        <v>0.13225000000000001</v>
      </c>
      <c r="P10" s="1367">
        <f>'Rates in Detail'!P13</f>
        <v>-9.1000000000000004E-3</v>
      </c>
      <c r="Q10" s="1373">
        <f>SUM(N10:P10)</f>
        <v>1.2756799999999997</v>
      </c>
      <c r="R10" s="1372">
        <f>'Rates in Detail'!S13</f>
        <v>-3.1189999999999999E-2</v>
      </c>
      <c r="S10" s="1367">
        <f>'Rates in Detail'!T13</f>
        <v>-1.7239999999999998E-2</v>
      </c>
      <c r="T10" s="1382">
        <f>SUM(Q10:S10)</f>
        <v>1.2272499999999997</v>
      </c>
      <c r="U10" s="114">
        <f>'Rates in Detail'!Y13</f>
        <v>6.2010000000000003E-2</v>
      </c>
      <c r="V10" s="114">
        <f>'Rates in Detail'!Z13</f>
        <v>-8.8000000000000003E-4</v>
      </c>
      <c r="W10" s="1386">
        <f>SUM(T10:V10)-(R10+S10)</f>
        <v>1.3368099999999996</v>
      </c>
      <c r="X10" s="131"/>
    </row>
    <row r="11" spans="2:24" x14ac:dyDescent="0.2">
      <c r="B11" s="110">
        <f>B10+1</f>
        <v>2</v>
      </c>
      <c r="C11" s="111" t="str">
        <f>'WA Volumes &amp; Revenues'!B16</f>
        <v>1C</v>
      </c>
      <c r="D11" s="111" t="s">
        <v>283</v>
      </c>
      <c r="E11" s="111" t="s">
        <v>283</v>
      </c>
      <c r="F11" s="113">
        <f>'WA Volumes &amp; Revenues'!E16</f>
        <v>46539.057144390383</v>
      </c>
      <c r="G11" s="113">
        <f>'WA Volumes &amp; Revenues'!H16</f>
        <v>34</v>
      </c>
      <c r="H11" s="907">
        <f>'WA Volumes &amp; Revenues'!O16</f>
        <v>7</v>
      </c>
      <c r="I11" s="908">
        <f>'WA Volumes &amp; Revenues'!N16</f>
        <v>7</v>
      </c>
      <c r="J11" s="627">
        <f>'Rates in Detail'!E14</f>
        <v>0.73148999999999997</v>
      </c>
      <c r="K11" s="631">
        <f>'Rates in Detail'!H14</f>
        <v>0.10141</v>
      </c>
      <c r="L11" s="631">
        <f>'Rates in Detail'!F14</f>
        <v>0.26333000000000001</v>
      </c>
      <c r="M11" s="631">
        <f>'Rates in Detail'!I14</f>
        <v>9.3060000000000004E-2</v>
      </c>
      <c r="N11" s="135">
        <f t="shared" ref="N11:N74" si="0">SUM(J11:M11)</f>
        <v>1.18929</v>
      </c>
      <c r="O11" s="1372">
        <f>'Rates in Detail'!L14</f>
        <v>0.10997</v>
      </c>
      <c r="P11" s="1367">
        <f>'Rates in Detail'!P14</f>
        <v>-7.5599999999999999E-3</v>
      </c>
      <c r="Q11" s="1373">
        <f t="shared" ref="Q11:Q74" si="1">SUM(N11:P11)</f>
        <v>1.2916999999999998</v>
      </c>
      <c r="R11" s="1372">
        <f>'Rates in Detail'!S14</f>
        <v>-2.5940000000000001E-2</v>
      </c>
      <c r="S11" s="1367">
        <f>'Rates in Detail'!T14</f>
        <v>-1.4330000000000001E-2</v>
      </c>
      <c r="T11" s="1382">
        <f t="shared" ref="T11:T74" si="2">SUM(Q11:S11)</f>
        <v>1.2514299999999998</v>
      </c>
      <c r="U11" s="114">
        <f>'Rates in Detail'!Y14</f>
        <v>5.1569999999999998E-2</v>
      </c>
      <c r="V11" s="114">
        <f>'Rates in Detail'!Z14</f>
        <v>-7.2999999999999996E-4</v>
      </c>
      <c r="W11" s="1386">
        <f t="shared" ref="W11:W74" si="3">SUM(T11:V11)-(R11+S11)</f>
        <v>1.3425399999999998</v>
      </c>
      <c r="X11" s="131"/>
    </row>
    <row r="12" spans="2:24" x14ac:dyDescent="0.2">
      <c r="B12" s="110">
        <f t="shared" ref="B12:B75" si="4">B11+1</f>
        <v>3</v>
      </c>
      <c r="C12" s="111" t="str">
        <f>'WA Volumes &amp; Revenues'!B17</f>
        <v>2R</v>
      </c>
      <c r="D12" s="111" t="s">
        <v>283</v>
      </c>
      <c r="E12" s="111" t="s">
        <v>283</v>
      </c>
      <c r="F12" s="113">
        <f>'WA Volumes &amp; Revenues'!E17</f>
        <v>54953515.785084128</v>
      </c>
      <c r="G12" s="113">
        <f>'WA Volumes &amp; Revenues'!H17</f>
        <v>81119</v>
      </c>
      <c r="H12" s="907">
        <f>'WA Volumes &amp; Revenues'!O17</f>
        <v>8</v>
      </c>
      <c r="I12" s="908">
        <f>'WA Volumes &amp; Revenues'!N17</f>
        <v>8</v>
      </c>
      <c r="J12" s="627">
        <f>'Rates in Detail'!E15</f>
        <v>0.45815999999999979</v>
      </c>
      <c r="K12" s="631">
        <f>'Rates in Detail'!H15</f>
        <v>0.10141</v>
      </c>
      <c r="L12" s="631">
        <f>'Rates in Detail'!F15</f>
        <v>0.26333000000000001</v>
      </c>
      <c r="M12" s="631">
        <f>'Rates in Detail'!I15</f>
        <v>6.6579999999999986E-2</v>
      </c>
      <c r="N12" s="135">
        <f t="shared" si="0"/>
        <v>0.88947999999999972</v>
      </c>
      <c r="O12" s="1372">
        <f>'Rates in Detail'!L15</f>
        <v>8.3699999999999997E-2</v>
      </c>
      <c r="P12" s="1367">
        <f>'Rates in Detail'!P15</f>
        <v>-5.7600000000000004E-3</v>
      </c>
      <c r="Q12" s="1373">
        <f t="shared" si="1"/>
        <v>0.96741999999999972</v>
      </c>
      <c r="R12" s="1372">
        <f>'Rates in Detail'!S15</f>
        <v>-1.9740000000000001E-2</v>
      </c>
      <c r="S12" s="1367">
        <f>'Rates in Detail'!T15</f>
        <v>-1.091E-2</v>
      </c>
      <c r="T12" s="1382">
        <f t="shared" si="2"/>
        <v>0.93676999999999977</v>
      </c>
      <c r="U12" s="114">
        <f>'Rates in Detail'!Y15</f>
        <v>3.925E-2</v>
      </c>
      <c r="V12" s="114">
        <f>'Rates in Detail'!Z15</f>
        <v>-5.5000000000000003E-4</v>
      </c>
      <c r="W12" s="1386">
        <f t="shared" si="3"/>
        <v>1.0061199999999997</v>
      </c>
      <c r="X12" s="131"/>
    </row>
    <row r="13" spans="2:24" x14ac:dyDescent="0.2">
      <c r="B13" s="110">
        <f t="shared" si="4"/>
        <v>4</v>
      </c>
      <c r="C13" s="111" t="str">
        <f>'WA Volumes &amp; Revenues'!B18</f>
        <v>3 CFS</v>
      </c>
      <c r="D13" s="111" t="s">
        <v>283</v>
      </c>
      <c r="E13" s="111" t="s">
        <v>283</v>
      </c>
      <c r="F13" s="113">
        <f>'WA Volumes &amp; Revenues'!E18</f>
        <v>17867210.60654201</v>
      </c>
      <c r="G13" s="113">
        <f>'WA Volumes &amp; Revenues'!H18</f>
        <v>6318</v>
      </c>
      <c r="H13" s="907">
        <f>'WA Volumes &amp; Revenues'!O18</f>
        <v>22</v>
      </c>
      <c r="I13" s="909">
        <f>'WA Volumes &amp; Revenues'!N18</f>
        <v>22</v>
      </c>
      <c r="J13" s="627">
        <f>'Rates in Detail'!E16</f>
        <v>0.44368000000000019</v>
      </c>
      <c r="K13" s="631">
        <f>'Rates in Detail'!H16</f>
        <v>0.10141</v>
      </c>
      <c r="L13" s="631">
        <f>'Rates in Detail'!F16</f>
        <v>0.26333000000000001</v>
      </c>
      <c r="M13" s="631">
        <f>'Rates in Detail'!I16</f>
        <v>5.8480000000000004E-2</v>
      </c>
      <c r="N13" s="136">
        <f t="shared" si="0"/>
        <v>0.86690000000000011</v>
      </c>
      <c r="O13" s="1374">
        <f>'Rates in Detail'!L16</f>
        <v>7.5149999999999995E-2</v>
      </c>
      <c r="P13" s="1367">
        <f>'Rates in Detail'!P16</f>
        <v>-5.1700000000000001E-3</v>
      </c>
      <c r="Q13" s="1373">
        <f t="shared" si="1"/>
        <v>0.93688000000000005</v>
      </c>
      <c r="R13" s="1374">
        <f>'Rates in Detail'!S16</f>
        <v>-1.7729999999999999E-2</v>
      </c>
      <c r="S13" s="1367">
        <f>'Rates in Detail'!T16</f>
        <v>-9.7999999999999997E-3</v>
      </c>
      <c r="T13" s="1382">
        <f t="shared" si="2"/>
        <v>0.90934999999999999</v>
      </c>
      <c r="U13" s="114">
        <f>'Rates in Detail'!Y16</f>
        <v>3.524E-2</v>
      </c>
      <c r="V13" s="114">
        <f>'Rates in Detail'!Z16</f>
        <v>-5.0000000000000001E-4</v>
      </c>
      <c r="W13" s="1386">
        <f t="shared" si="3"/>
        <v>0.97162000000000015</v>
      </c>
      <c r="X13" s="131"/>
    </row>
    <row r="14" spans="2:24" x14ac:dyDescent="0.2">
      <c r="B14" s="110">
        <f t="shared" si="4"/>
        <v>5</v>
      </c>
      <c r="C14" s="111" t="str">
        <f>'WA Volumes &amp; Revenues'!B19</f>
        <v>3 IFS</v>
      </c>
      <c r="D14" s="111" t="s">
        <v>283</v>
      </c>
      <c r="E14" s="111" t="s">
        <v>283</v>
      </c>
      <c r="F14" s="113">
        <f>'WA Volumes &amp; Revenues'!E19</f>
        <v>283651.99999999994</v>
      </c>
      <c r="G14" s="113">
        <f>'WA Volumes &amp; Revenues'!H19</f>
        <v>24.25</v>
      </c>
      <c r="H14" s="907">
        <f>'WA Volumes &amp; Revenues'!O19</f>
        <v>22</v>
      </c>
      <c r="I14" s="909">
        <f>'WA Volumes &amp; Revenues'!N19</f>
        <v>22</v>
      </c>
      <c r="J14" s="627">
        <f>'Rates in Detail'!E17</f>
        <v>0.46249000000000001</v>
      </c>
      <c r="K14" s="631">
        <f>'Rates in Detail'!H17</f>
        <v>0.10141</v>
      </c>
      <c r="L14" s="631">
        <f>'Rates in Detail'!F17</f>
        <v>0.26333000000000001</v>
      </c>
      <c r="M14" s="631">
        <f>'Rates in Detail'!I17</f>
        <v>-8.9999999999999802E-5</v>
      </c>
      <c r="N14" s="136">
        <f t="shared" si="0"/>
        <v>0.8271400000000001</v>
      </c>
      <c r="O14" s="1374">
        <f>'Rates in Detail'!L17</f>
        <v>6.8080000000000002E-2</v>
      </c>
      <c r="P14" s="1367">
        <f>'Rates in Detail'!P17</f>
        <v>-4.6899999999999997E-3</v>
      </c>
      <c r="Q14" s="1373">
        <f t="shared" si="1"/>
        <v>0.89053000000000015</v>
      </c>
      <c r="R14" s="1374">
        <f>'Rates in Detail'!S17</f>
        <v>0</v>
      </c>
      <c r="S14" s="1367">
        <f>'Rates in Detail'!T17</f>
        <v>-8.8699999999999994E-3</v>
      </c>
      <c r="T14" s="1382">
        <f t="shared" si="2"/>
        <v>0.88166000000000011</v>
      </c>
      <c r="U14" s="114">
        <f>'Rates in Detail'!Y17</f>
        <v>3.1919999999999997E-2</v>
      </c>
      <c r="V14" s="114">
        <f>'Rates in Detail'!Z17</f>
        <v>-4.4999999999999999E-4</v>
      </c>
      <c r="W14" s="1386">
        <f t="shared" si="3"/>
        <v>0.92200000000000015</v>
      </c>
      <c r="X14" s="131"/>
    </row>
    <row r="15" spans="2:24" x14ac:dyDescent="0.2">
      <c r="B15" s="110">
        <f t="shared" si="4"/>
        <v>6</v>
      </c>
      <c r="C15" s="1354" t="str">
        <f>'WA Volumes &amp; Revenues'!B20</f>
        <v>27R</v>
      </c>
      <c r="D15" s="111" t="s">
        <v>283</v>
      </c>
      <c r="E15" s="111" t="s">
        <v>283</v>
      </c>
      <c r="F15" s="113">
        <f>'WA Volumes &amp; Revenues'!E20</f>
        <v>461371.76933137607</v>
      </c>
      <c r="G15" s="113">
        <f>'WA Volumes &amp; Revenues'!H20</f>
        <v>776</v>
      </c>
      <c r="H15" s="910">
        <f>'WA Volumes &amp; Revenues'!O20</f>
        <v>9</v>
      </c>
      <c r="I15" s="911">
        <f>'WA Volumes &amp; Revenues'!N20</f>
        <v>9</v>
      </c>
      <c r="J15" s="627">
        <f>'Rates in Detail'!E18</f>
        <v>0.24087999999999973</v>
      </c>
      <c r="K15" s="631">
        <f>'Rates in Detail'!H18</f>
        <v>0.10141</v>
      </c>
      <c r="L15" s="631">
        <f>'Rates in Detail'!F18</f>
        <v>0.26333000000000001</v>
      </c>
      <c r="M15" s="631">
        <f>'Rates in Detail'!I18</f>
        <v>3.8710000000000001E-2</v>
      </c>
      <c r="N15" s="136">
        <f t="shared" si="0"/>
        <v>0.64432999999999985</v>
      </c>
      <c r="O15" s="1374">
        <f>'Rates in Detail'!L18</f>
        <v>5.9569999999999998E-2</v>
      </c>
      <c r="P15" s="1367">
        <f>'Rates in Detail'!P18</f>
        <v>-4.1000000000000003E-3</v>
      </c>
      <c r="Q15" s="1373">
        <f t="shared" si="1"/>
        <v>0.69979999999999987</v>
      </c>
      <c r="R15" s="1374">
        <f>'Rates in Detail'!S18</f>
        <v>-1.405E-2</v>
      </c>
      <c r="S15" s="1367">
        <f>'Rates in Detail'!T18</f>
        <v>-7.77E-3</v>
      </c>
      <c r="T15" s="1382">
        <f t="shared" si="2"/>
        <v>0.67797999999999981</v>
      </c>
      <c r="U15" s="114">
        <f>'Rates in Detail'!Y18</f>
        <v>2.793E-2</v>
      </c>
      <c r="V15" s="114">
        <f>'Rates in Detail'!Z18</f>
        <v>-3.8999999999999999E-4</v>
      </c>
      <c r="W15" s="1386">
        <f t="shared" si="3"/>
        <v>0.72733999999999976</v>
      </c>
      <c r="X15" s="131"/>
    </row>
    <row r="16" spans="2:24" x14ac:dyDescent="0.2">
      <c r="B16" s="110">
        <f t="shared" si="4"/>
        <v>7</v>
      </c>
      <c r="C16" s="1355" t="str">
        <f>'WA Volumes &amp; Revenues'!B21</f>
        <v>41C Firm Sales</v>
      </c>
      <c r="D16" s="1355" t="s">
        <v>4</v>
      </c>
      <c r="E16" s="115">
        <v>2000</v>
      </c>
      <c r="F16" s="116">
        <f>'WA Volumes &amp; Revenues'!E21</f>
        <v>1777065.1510316674</v>
      </c>
      <c r="G16" s="116">
        <f>'WA Volumes &amp; Revenues'!H21</f>
        <v>91</v>
      </c>
      <c r="H16" s="912">
        <f>'WA Volumes &amp; Revenues'!O21</f>
        <v>250</v>
      </c>
      <c r="I16" s="913">
        <f>'WA Volumes &amp; Revenues'!N21</f>
        <v>250</v>
      </c>
      <c r="J16" s="628">
        <f>'Rates in Detail'!E19</f>
        <v>0.34474000000000016</v>
      </c>
      <c r="K16" s="630">
        <f>'Rates in Detail'!H19</f>
        <v>0</v>
      </c>
      <c r="L16" s="630">
        <f>'Rates in Detail'!F19</f>
        <v>0.26333000000000001</v>
      </c>
      <c r="M16" s="630">
        <f>'Rates in Detail'!I19</f>
        <v>4.3429999999999996E-2</v>
      </c>
      <c r="N16" s="137">
        <f t="shared" si="0"/>
        <v>0.65150000000000008</v>
      </c>
      <c r="O16" s="1375">
        <f>'Rates in Detail'!L19</f>
        <v>5.9679999999999997E-2</v>
      </c>
      <c r="P16" s="1376">
        <f>'Rates in Detail'!P19</f>
        <v>-4.1099999999999999E-3</v>
      </c>
      <c r="Q16" s="1377">
        <f t="shared" si="1"/>
        <v>0.70707000000000009</v>
      </c>
      <c r="R16" s="1375">
        <f>'Rates in Detail'!S19</f>
        <v>-1.4080000000000001E-2</v>
      </c>
      <c r="S16" s="1376">
        <f>'Rates in Detail'!T19</f>
        <v>-7.7799999999999996E-3</v>
      </c>
      <c r="T16" s="1383">
        <f t="shared" si="2"/>
        <v>0.6852100000000001</v>
      </c>
      <c r="U16" s="117">
        <f>'Rates in Detail'!Y19</f>
        <v>2.7990000000000001E-2</v>
      </c>
      <c r="V16" s="117">
        <f>'Rates in Detail'!Z19</f>
        <v>-4.0000000000000002E-4</v>
      </c>
      <c r="W16" s="1387">
        <f t="shared" si="3"/>
        <v>0.73466000000000009</v>
      </c>
      <c r="X16" s="131"/>
    </row>
    <row r="17" spans="2:24" x14ac:dyDescent="0.2">
      <c r="B17" s="110">
        <f t="shared" si="4"/>
        <v>8</v>
      </c>
      <c r="C17" s="111"/>
      <c r="D17" s="111" t="s">
        <v>5</v>
      </c>
      <c r="E17" s="112" t="s">
        <v>74</v>
      </c>
      <c r="F17" s="113">
        <f>'WA Volumes &amp; Revenues'!E22</f>
        <v>1974656.4658023661</v>
      </c>
      <c r="G17" s="113"/>
      <c r="H17" s="907"/>
      <c r="I17" s="909"/>
      <c r="J17" s="627">
        <f>'Rates in Detail'!E20</f>
        <v>0.30376999999999998</v>
      </c>
      <c r="K17" s="631">
        <f>'Rates in Detail'!H20</f>
        <v>0</v>
      </c>
      <c r="L17" s="631">
        <f>'Rates in Detail'!F20</f>
        <v>0.26333000000000001</v>
      </c>
      <c r="M17" s="631">
        <f>'Rates in Detail'!I20</f>
        <v>3.7170000000000002E-2</v>
      </c>
      <c r="N17" s="135">
        <f t="shared" si="0"/>
        <v>0.60426999999999997</v>
      </c>
      <c r="O17" s="1374">
        <f>'Rates in Detail'!L20</f>
        <v>5.2589999999999998E-2</v>
      </c>
      <c r="P17" s="1367">
        <f>'Rates in Detail'!P20</f>
        <v>-3.62E-3</v>
      </c>
      <c r="Q17" s="1373">
        <f t="shared" si="1"/>
        <v>0.65324000000000004</v>
      </c>
      <c r="R17" s="1374">
        <f>'Rates in Detail'!S20</f>
        <v>-1.24E-2</v>
      </c>
      <c r="S17" s="1367">
        <f>'Rates in Detail'!T20</f>
        <v>-6.8599999999999998E-3</v>
      </c>
      <c r="T17" s="1382">
        <f t="shared" si="2"/>
        <v>0.6339800000000001</v>
      </c>
      <c r="U17" s="114">
        <f>'Rates in Detail'!Y20</f>
        <v>2.4660000000000001E-2</v>
      </c>
      <c r="V17" s="114">
        <f>'Rates in Detail'!Z20</f>
        <v>-3.5E-4</v>
      </c>
      <c r="W17" s="1386">
        <f t="shared" si="3"/>
        <v>0.6775500000000001</v>
      </c>
      <c r="X17" s="131"/>
    </row>
    <row r="18" spans="2:24" x14ac:dyDescent="0.2">
      <c r="B18" s="110">
        <f t="shared" si="4"/>
        <v>9</v>
      </c>
      <c r="C18" s="1355" t="str">
        <f>'WA Volumes &amp; Revenues'!B23</f>
        <v>41I Firm Sales</v>
      </c>
      <c r="D18" s="1355" t="s">
        <v>4</v>
      </c>
      <c r="E18" s="115">
        <v>2000</v>
      </c>
      <c r="F18" s="116">
        <f>'WA Volumes &amp; Revenues'!E23</f>
        <v>392890.20000000007</v>
      </c>
      <c r="G18" s="116">
        <f>'WA Volumes &amp; Revenues'!H23</f>
        <v>17.833333333333332</v>
      </c>
      <c r="H18" s="912">
        <f>'WA Volumes &amp; Revenues'!O23</f>
        <v>250</v>
      </c>
      <c r="I18" s="913">
        <f>'WA Volumes &amp; Revenues'!N23</f>
        <v>250</v>
      </c>
      <c r="J18" s="628">
        <f>'Rates in Detail'!E21</f>
        <v>0.34416000000000024</v>
      </c>
      <c r="K18" s="630">
        <f>'Rates in Detail'!H21</f>
        <v>0</v>
      </c>
      <c r="L18" s="630">
        <f>'Rates in Detail'!F21</f>
        <v>0.26333000000000001</v>
      </c>
      <c r="M18" s="630">
        <f>'Rates in Detail'!I21</f>
        <v>-1.7200000000000002E-3</v>
      </c>
      <c r="N18" s="137">
        <f t="shared" si="0"/>
        <v>0.60577000000000025</v>
      </c>
      <c r="O18" s="1375">
        <f>'Rates in Detail'!L21</f>
        <v>5.6809999999999999E-2</v>
      </c>
      <c r="P18" s="1376">
        <f>'Rates in Detail'!P21</f>
        <v>-3.9100000000000003E-3</v>
      </c>
      <c r="Q18" s="1377">
        <f t="shared" si="1"/>
        <v>0.65867000000000031</v>
      </c>
      <c r="R18" s="1375">
        <f>'Rates in Detail'!S21</f>
        <v>0</v>
      </c>
      <c r="S18" s="1376">
        <f>'Rates in Detail'!T21</f>
        <v>-7.4000000000000003E-3</v>
      </c>
      <c r="T18" s="1383">
        <f t="shared" si="2"/>
        <v>0.65127000000000035</v>
      </c>
      <c r="U18" s="117">
        <f>'Rates in Detail'!Y21</f>
        <v>2.664E-2</v>
      </c>
      <c r="V18" s="117">
        <f>'Rates in Detail'!Z21</f>
        <v>-3.8000000000000002E-4</v>
      </c>
      <c r="W18" s="1387">
        <f t="shared" si="3"/>
        <v>0.68493000000000026</v>
      </c>
      <c r="X18" s="131"/>
    </row>
    <row r="19" spans="2:24" x14ac:dyDescent="0.2">
      <c r="B19" s="110">
        <f t="shared" si="4"/>
        <v>10</v>
      </c>
      <c r="C19" s="111"/>
      <c r="D19" s="111" t="s">
        <v>5</v>
      </c>
      <c r="E19" s="112" t="s">
        <v>74</v>
      </c>
      <c r="F19" s="113">
        <f>'WA Volumes &amp; Revenues'!E24</f>
        <v>621650.00000000012</v>
      </c>
      <c r="G19" s="113"/>
      <c r="H19" s="907"/>
      <c r="I19" s="909"/>
      <c r="J19" s="627">
        <f>'Rates in Detail'!E22</f>
        <v>0.30325000000000002</v>
      </c>
      <c r="K19" s="631">
        <f>'Rates in Detail'!H22</f>
        <v>0</v>
      </c>
      <c r="L19" s="631">
        <f>'Rates in Detail'!F22</f>
        <v>0.26333000000000001</v>
      </c>
      <c r="M19" s="631">
        <f>'Rates in Detail'!I22</f>
        <v>-2.6199999999999999E-3</v>
      </c>
      <c r="N19" s="135">
        <f t="shared" si="0"/>
        <v>0.56396000000000013</v>
      </c>
      <c r="O19" s="1374">
        <f>'Rates in Detail'!L22</f>
        <v>5.0049999999999997E-2</v>
      </c>
      <c r="P19" s="1367">
        <f>'Rates in Detail'!P22</f>
        <v>-3.4399999999999999E-3</v>
      </c>
      <c r="Q19" s="1373">
        <f t="shared" si="1"/>
        <v>0.61057000000000017</v>
      </c>
      <c r="R19" s="1374">
        <f>'Rates in Detail'!S22</f>
        <v>0</v>
      </c>
      <c r="S19" s="1367">
        <f>'Rates in Detail'!T22</f>
        <v>-6.5199999999999998E-3</v>
      </c>
      <c r="T19" s="1382">
        <f t="shared" si="2"/>
        <v>0.6040500000000002</v>
      </c>
      <c r="U19" s="114">
        <f>'Rates in Detail'!Y22</f>
        <v>2.3470000000000001E-2</v>
      </c>
      <c r="V19" s="114">
        <f>'Rates in Detail'!Z22</f>
        <v>-3.3E-4</v>
      </c>
      <c r="W19" s="1386">
        <f t="shared" si="3"/>
        <v>0.63371000000000011</v>
      </c>
      <c r="X19" s="131"/>
    </row>
    <row r="20" spans="2:24" x14ac:dyDescent="0.2">
      <c r="B20" s="110">
        <f t="shared" si="4"/>
        <v>11</v>
      </c>
      <c r="C20" s="1355" t="str">
        <f>'WA Volumes &amp; Revenues'!B25</f>
        <v>41C Interr Sales</v>
      </c>
      <c r="D20" s="1355" t="s">
        <v>4</v>
      </c>
      <c r="E20" s="115">
        <v>2000</v>
      </c>
      <c r="F20" s="116">
        <f>'WA Volumes &amp; Revenues'!E25</f>
        <v>0</v>
      </c>
      <c r="G20" s="116">
        <f>'WA Volumes &amp; Revenues'!H25</f>
        <v>0</v>
      </c>
      <c r="H20" s="912">
        <f>'WA Volumes &amp; Revenues'!O25</f>
        <v>250</v>
      </c>
      <c r="I20" s="913">
        <f>'WA Volumes &amp; Revenues'!N25</f>
        <v>250</v>
      </c>
      <c r="J20" s="628">
        <f>'Rates in Detail'!E23</f>
        <v>0.34372999999999987</v>
      </c>
      <c r="K20" s="630">
        <f>'Rates in Detail'!H23</f>
        <v>0</v>
      </c>
      <c r="L20" s="630">
        <f>'Rates in Detail'!F23</f>
        <v>0.26333000000000001</v>
      </c>
      <c r="M20" s="630">
        <f>'Rates in Detail'!I23</f>
        <v>5.3189999999999994E-2</v>
      </c>
      <c r="N20" s="137">
        <f t="shared" si="0"/>
        <v>0.66024999999999989</v>
      </c>
      <c r="O20" s="1375">
        <f>'Rates in Detail'!L23</f>
        <v>4.3560000000000001E-2</v>
      </c>
      <c r="P20" s="1376">
        <f>'Rates in Detail'!P23</f>
        <v>-3.2200000000000002E-3</v>
      </c>
      <c r="Q20" s="1377">
        <f t="shared" si="1"/>
        <v>0.70058999999999994</v>
      </c>
      <c r="R20" s="1375">
        <f>'Rates in Detail'!S23</f>
        <v>-1.404E-2</v>
      </c>
      <c r="S20" s="1376">
        <f>'Rates in Detail'!T23</f>
        <v>-6.1000000000000004E-3</v>
      </c>
      <c r="T20" s="1383">
        <f t="shared" si="2"/>
        <v>0.68044999999999989</v>
      </c>
      <c r="U20" s="117">
        <f>'Rates in Detail'!Y23</f>
        <v>2.1749999999999999E-2</v>
      </c>
      <c r="V20" s="117">
        <f>'Rates in Detail'!Z23</f>
        <v>-3.1E-4</v>
      </c>
      <c r="W20" s="1387">
        <f t="shared" si="3"/>
        <v>0.72202999999999995</v>
      </c>
      <c r="X20" s="131"/>
    </row>
    <row r="21" spans="2:24" x14ac:dyDescent="0.2">
      <c r="B21" s="110">
        <f t="shared" si="4"/>
        <v>12</v>
      </c>
      <c r="C21" s="111"/>
      <c r="D21" s="111" t="s">
        <v>5</v>
      </c>
      <c r="E21" s="112" t="s">
        <v>74</v>
      </c>
      <c r="F21" s="113">
        <f>'WA Volumes &amp; Revenues'!E26</f>
        <v>0</v>
      </c>
      <c r="G21" s="113"/>
      <c r="H21" s="907"/>
      <c r="I21" s="909"/>
      <c r="J21" s="627">
        <f>'Rates in Detail'!E24</f>
        <v>0.30284999999999984</v>
      </c>
      <c r="K21" s="631">
        <f>'Rates in Detail'!H24</f>
        <v>0</v>
      </c>
      <c r="L21" s="631">
        <f>'Rates in Detail'!F24</f>
        <v>0.26333000000000001</v>
      </c>
      <c r="M21" s="631">
        <f>'Rates in Detail'!I24</f>
        <v>4.6990000000000004E-2</v>
      </c>
      <c r="N21" s="135">
        <f t="shared" si="0"/>
        <v>0.61316999999999988</v>
      </c>
      <c r="O21" s="1374">
        <f>'Rates in Detail'!L24</f>
        <v>3.8379999999999997E-2</v>
      </c>
      <c r="P21" s="1367">
        <f>'Rates in Detail'!P24</f>
        <v>-2.8400000000000001E-3</v>
      </c>
      <c r="Q21" s="1373">
        <f t="shared" si="1"/>
        <v>0.6487099999999999</v>
      </c>
      <c r="R21" s="1374">
        <f>'Rates in Detail'!S24</f>
        <v>-1.2370000000000001E-2</v>
      </c>
      <c r="S21" s="1367">
        <f>'Rates in Detail'!T24</f>
        <v>-5.3699999999999998E-3</v>
      </c>
      <c r="T21" s="1382">
        <f t="shared" si="2"/>
        <v>0.63096999999999992</v>
      </c>
      <c r="U21" s="114">
        <f>'Rates in Detail'!Y24</f>
        <v>1.917E-2</v>
      </c>
      <c r="V21" s="114">
        <f>'Rates in Detail'!Z24</f>
        <v>-2.7E-4</v>
      </c>
      <c r="W21" s="1386">
        <f t="shared" si="3"/>
        <v>0.66760999999999993</v>
      </c>
      <c r="X21" s="131"/>
    </row>
    <row r="22" spans="2:24" x14ac:dyDescent="0.2">
      <c r="B22" s="110">
        <f t="shared" si="4"/>
        <v>13</v>
      </c>
      <c r="C22" s="1355" t="str">
        <f>'WA Volumes &amp; Revenues'!B27</f>
        <v>41I Interr Sales</v>
      </c>
      <c r="D22" s="1355" t="s">
        <v>4</v>
      </c>
      <c r="E22" s="115">
        <v>2000</v>
      </c>
      <c r="F22" s="116">
        <f>'WA Volumes &amp; Revenues'!E27</f>
        <v>0</v>
      </c>
      <c r="G22" s="116">
        <f>'WA Volumes &amp; Revenues'!H27</f>
        <v>0</v>
      </c>
      <c r="H22" s="912">
        <f>'WA Volumes &amp; Revenues'!O27</f>
        <v>250</v>
      </c>
      <c r="I22" s="913">
        <f>'WA Volumes &amp; Revenues'!N27</f>
        <v>250</v>
      </c>
      <c r="J22" s="628">
        <f>'Rates in Detail'!E25</f>
        <v>0.34372999999999987</v>
      </c>
      <c r="K22" s="630">
        <f>'Rates in Detail'!H25</f>
        <v>0</v>
      </c>
      <c r="L22" s="630">
        <f>'Rates in Detail'!F25</f>
        <v>0.26333000000000001</v>
      </c>
      <c r="M22" s="630">
        <f>'Rates in Detail'!I25</f>
        <v>8.7499999999999991E-3</v>
      </c>
      <c r="N22" s="137">
        <f t="shared" si="0"/>
        <v>0.61580999999999997</v>
      </c>
      <c r="O22" s="1375">
        <f>'Rates in Detail'!L25</f>
        <v>4.3560000000000001E-2</v>
      </c>
      <c r="P22" s="1376">
        <f>'Rates in Detail'!P25</f>
        <v>-3.2200000000000002E-3</v>
      </c>
      <c r="Q22" s="1377">
        <f t="shared" si="1"/>
        <v>0.65615000000000001</v>
      </c>
      <c r="R22" s="1375">
        <f>'Rates in Detail'!S25</f>
        <v>0</v>
      </c>
      <c r="S22" s="1376">
        <f>'Rates in Detail'!T25</f>
        <v>-6.1000000000000004E-3</v>
      </c>
      <c r="T22" s="1383">
        <f t="shared" si="2"/>
        <v>0.65005000000000002</v>
      </c>
      <c r="U22" s="117">
        <f>'Rates in Detail'!Y25</f>
        <v>2.1749999999999999E-2</v>
      </c>
      <c r="V22" s="117">
        <f>'Rates in Detail'!Z25</f>
        <v>-3.1E-4</v>
      </c>
      <c r="W22" s="1387">
        <f t="shared" si="3"/>
        <v>0.67759000000000003</v>
      </c>
      <c r="X22" s="131"/>
    </row>
    <row r="23" spans="2:24" x14ac:dyDescent="0.2">
      <c r="B23" s="110">
        <f t="shared" si="4"/>
        <v>14</v>
      </c>
      <c r="C23" s="111"/>
      <c r="D23" s="111" t="s">
        <v>5</v>
      </c>
      <c r="E23" s="112" t="s">
        <v>74</v>
      </c>
      <c r="F23" s="113">
        <f>'WA Volumes &amp; Revenues'!E28</f>
        <v>0</v>
      </c>
      <c r="G23" s="113"/>
      <c r="H23" s="907"/>
      <c r="I23" s="909"/>
      <c r="J23" s="627">
        <f>'Rates in Detail'!E26</f>
        <v>0.30284999999999984</v>
      </c>
      <c r="K23" s="631">
        <f>'Rates in Detail'!H26</f>
        <v>0</v>
      </c>
      <c r="L23" s="631">
        <f>'Rates in Detail'!F26</f>
        <v>0.26333000000000001</v>
      </c>
      <c r="M23" s="631">
        <f>'Rates in Detail'!I26</f>
        <v>7.8399999999999997E-3</v>
      </c>
      <c r="N23" s="135">
        <f t="shared" si="0"/>
        <v>0.57401999999999986</v>
      </c>
      <c r="O23" s="1374">
        <f>'Rates in Detail'!L26</f>
        <v>3.8379999999999997E-2</v>
      </c>
      <c r="P23" s="1367">
        <f>'Rates in Detail'!P26</f>
        <v>-2.8400000000000001E-3</v>
      </c>
      <c r="Q23" s="1373">
        <f t="shared" si="1"/>
        <v>0.60955999999999988</v>
      </c>
      <c r="R23" s="1374">
        <f>'Rates in Detail'!S26</f>
        <v>0</v>
      </c>
      <c r="S23" s="1367">
        <f>'Rates in Detail'!T26</f>
        <v>-5.3699999999999998E-3</v>
      </c>
      <c r="T23" s="1382">
        <f t="shared" si="2"/>
        <v>0.60418999999999989</v>
      </c>
      <c r="U23" s="114">
        <f>'Rates in Detail'!Y26</f>
        <v>1.917E-2</v>
      </c>
      <c r="V23" s="114">
        <f>'Rates in Detail'!Z26</f>
        <v>-2.7E-4</v>
      </c>
      <c r="W23" s="1386">
        <f t="shared" si="3"/>
        <v>0.62845999999999991</v>
      </c>
      <c r="X23" s="131"/>
    </row>
    <row r="24" spans="2:24" x14ac:dyDescent="0.2">
      <c r="B24" s="110">
        <f t="shared" si="4"/>
        <v>15</v>
      </c>
      <c r="C24" s="1355" t="str">
        <f>'WA Volumes &amp; Revenues'!B29</f>
        <v>41C Firm Transpt</v>
      </c>
      <c r="D24" s="1355" t="s">
        <v>4</v>
      </c>
      <c r="E24" s="115">
        <v>2000</v>
      </c>
      <c r="F24" s="116">
        <f>'WA Volumes &amp; Revenues'!E29</f>
        <v>168721</v>
      </c>
      <c r="G24" s="116">
        <f>'WA Volumes &amp; Revenues'!H29</f>
        <v>7.916666666666667</v>
      </c>
      <c r="H24" s="912">
        <f>'WA Volumes &amp; Revenues'!O29</f>
        <v>500</v>
      </c>
      <c r="I24" s="913">
        <f>'WA Volumes &amp; Revenues'!N29</f>
        <v>500</v>
      </c>
      <c r="J24" s="628">
        <f>'Rates in Detail'!E27</f>
        <v>0.34791</v>
      </c>
      <c r="K24" s="630">
        <f>'Rates in Detail'!H27</f>
        <v>0</v>
      </c>
      <c r="L24" s="630">
        <f>'Rates in Detail'!F27</f>
        <v>0</v>
      </c>
      <c r="M24" s="630">
        <f>'Rates in Detail'!I27</f>
        <v>1.5499999999999999E-3</v>
      </c>
      <c r="N24" s="137">
        <f t="shared" si="0"/>
        <v>0.34945999999999999</v>
      </c>
      <c r="O24" s="1375">
        <f>'Rates in Detail'!L27</f>
        <v>6.3149999999999998E-2</v>
      </c>
      <c r="P24" s="1376">
        <f>'Rates in Detail'!P27</f>
        <v>-4.3499999999999997E-3</v>
      </c>
      <c r="Q24" s="1377">
        <f t="shared" si="1"/>
        <v>0.40825999999999996</v>
      </c>
      <c r="R24" s="1375">
        <f>'Rates in Detail'!S27</f>
        <v>0</v>
      </c>
      <c r="S24" s="1376">
        <f>'Rates in Detail'!T27</f>
        <v>-8.2299999999999995E-3</v>
      </c>
      <c r="T24" s="1383">
        <f t="shared" si="2"/>
        <v>0.40002999999999994</v>
      </c>
      <c r="U24" s="117">
        <f>'Rates in Detail'!Y27</f>
        <v>2.9610000000000001E-2</v>
      </c>
      <c r="V24" s="117">
        <f>'Rates in Detail'!Z27</f>
        <v>-4.2000000000000002E-4</v>
      </c>
      <c r="W24" s="1387">
        <f t="shared" si="3"/>
        <v>0.43745000000000001</v>
      </c>
      <c r="X24" s="131"/>
    </row>
    <row r="25" spans="2:24" x14ac:dyDescent="0.2">
      <c r="B25" s="110">
        <f t="shared" si="4"/>
        <v>16</v>
      </c>
      <c r="C25" s="111"/>
      <c r="D25" s="111" t="s">
        <v>5</v>
      </c>
      <c r="E25" s="112" t="s">
        <v>74</v>
      </c>
      <c r="F25" s="113">
        <f>'WA Volumes &amp; Revenues'!E30</f>
        <v>272866</v>
      </c>
      <c r="G25" s="113"/>
      <c r="H25" s="907"/>
      <c r="I25" s="909"/>
      <c r="J25" s="627">
        <f>'Rates in Detail'!E28</f>
        <v>0.30653000000000008</v>
      </c>
      <c r="K25" s="631">
        <f>'Rates in Detail'!H28</f>
        <v>0</v>
      </c>
      <c r="L25" s="631">
        <f>'Rates in Detail'!F28</f>
        <v>0</v>
      </c>
      <c r="M25" s="631">
        <f>'Rates in Detail'!I28</f>
        <v>1.3600000000000001E-3</v>
      </c>
      <c r="N25" s="135">
        <f t="shared" si="0"/>
        <v>0.30789000000000011</v>
      </c>
      <c r="O25" s="1374">
        <f>'Rates in Detail'!L28</f>
        <v>5.5640000000000002E-2</v>
      </c>
      <c r="P25" s="1367">
        <f>'Rates in Detail'!P28</f>
        <v>-3.8300000000000001E-3</v>
      </c>
      <c r="Q25" s="1373">
        <f t="shared" si="1"/>
        <v>0.35970000000000013</v>
      </c>
      <c r="R25" s="1374">
        <f>'Rates in Detail'!S28</f>
        <v>0</v>
      </c>
      <c r="S25" s="1367">
        <f>'Rates in Detail'!T28</f>
        <v>-7.2500000000000004E-3</v>
      </c>
      <c r="T25" s="1382">
        <f t="shared" si="2"/>
        <v>0.35245000000000015</v>
      </c>
      <c r="U25" s="114">
        <f>'Rates in Detail'!Y28</f>
        <v>2.6089999999999999E-2</v>
      </c>
      <c r="V25" s="114">
        <f>'Rates in Detail'!Z28</f>
        <v>-3.6999999999999999E-4</v>
      </c>
      <c r="W25" s="1386">
        <f t="shared" si="3"/>
        <v>0.38542000000000015</v>
      </c>
      <c r="X25" s="131"/>
    </row>
    <row r="26" spans="2:24" x14ac:dyDescent="0.2">
      <c r="B26" s="110">
        <f t="shared" si="4"/>
        <v>17</v>
      </c>
      <c r="C26" s="1355" t="str">
        <f>'WA Volumes &amp; Revenues'!B31</f>
        <v>41I Firm Transpt</v>
      </c>
      <c r="D26" s="1355" t="s">
        <v>4</v>
      </c>
      <c r="E26" s="115">
        <v>2000</v>
      </c>
      <c r="F26" s="116">
        <f>'WA Volumes &amp; Revenues'!E31</f>
        <v>0</v>
      </c>
      <c r="G26" s="116">
        <f>'WA Volumes &amp; Revenues'!H31</f>
        <v>0</v>
      </c>
      <c r="H26" s="912">
        <f>'WA Volumes &amp; Revenues'!O31</f>
        <v>500</v>
      </c>
      <c r="I26" s="913">
        <f>'WA Volumes &amp; Revenues'!N31</f>
        <v>500</v>
      </c>
      <c r="J26" s="628">
        <f>'Rates in Detail'!E29</f>
        <v>0.34791</v>
      </c>
      <c r="K26" s="630">
        <f>'Rates in Detail'!H29</f>
        <v>0</v>
      </c>
      <c r="L26" s="630">
        <f>'Rates in Detail'!F29</f>
        <v>0</v>
      </c>
      <c r="M26" s="630">
        <f>'Rates in Detail'!I29</f>
        <v>1.5499999999999999E-3</v>
      </c>
      <c r="N26" s="137">
        <f t="shared" si="0"/>
        <v>0.34945999999999999</v>
      </c>
      <c r="O26" s="1375">
        <f>'Rates in Detail'!L29</f>
        <v>4.4089999999999997E-2</v>
      </c>
      <c r="P26" s="1376">
        <f>'Rates in Detail'!P29</f>
        <v>-3.2599999999999999E-3</v>
      </c>
      <c r="Q26" s="1377">
        <f t="shared" si="1"/>
        <v>0.39029000000000003</v>
      </c>
      <c r="R26" s="1375">
        <f>'Rates in Detail'!S29</f>
        <v>0</v>
      </c>
      <c r="S26" s="1376">
        <f>'Rates in Detail'!T29</f>
        <v>-6.1700000000000001E-3</v>
      </c>
      <c r="T26" s="1383">
        <f t="shared" si="2"/>
        <v>0.38412000000000002</v>
      </c>
      <c r="U26" s="117">
        <f>'Rates in Detail'!Y29</f>
        <v>2.2020000000000001E-2</v>
      </c>
      <c r="V26" s="117">
        <f>'Rates in Detail'!Z29</f>
        <v>-3.1E-4</v>
      </c>
      <c r="W26" s="1387">
        <f t="shared" si="3"/>
        <v>0.41200000000000003</v>
      </c>
      <c r="X26" s="131"/>
    </row>
    <row r="27" spans="2:24" x14ac:dyDescent="0.2">
      <c r="B27" s="110">
        <f t="shared" si="4"/>
        <v>18</v>
      </c>
      <c r="C27" s="111"/>
      <c r="D27" s="111" t="s">
        <v>5</v>
      </c>
      <c r="E27" s="112" t="s">
        <v>74</v>
      </c>
      <c r="F27" s="113">
        <f>'WA Volumes &amp; Revenues'!E32</f>
        <v>0</v>
      </c>
      <c r="G27" s="113"/>
      <c r="H27" s="907"/>
      <c r="I27" s="909"/>
      <c r="J27" s="627">
        <f>'Rates in Detail'!E30</f>
        <v>0.30653000000000008</v>
      </c>
      <c r="K27" s="631">
        <f>'Rates in Detail'!H30</f>
        <v>0</v>
      </c>
      <c r="L27" s="631">
        <f>'Rates in Detail'!F30</f>
        <v>0</v>
      </c>
      <c r="M27" s="631">
        <f>'Rates in Detail'!I30</f>
        <v>1.3600000000000001E-3</v>
      </c>
      <c r="N27" s="135">
        <f t="shared" si="0"/>
        <v>0.30789000000000011</v>
      </c>
      <c r="O27" s="1374">
        <f>'Rates in Detail'!L30</f>
        <v>3.8850000000000003E-2</v>
      </c>
      <c r="P27" s="1367">
        <f>'Rates in Detail'!P30</f>
        <v>-2.8700000000000002E-3</v>
      </c>
      <c r="Q27" s="1373">
        <f t="shared" si="1"/>
        <v>0.34387000000000012</v>
      </c>
      <c r="R27" s="1374">
        <f>'Rates in Detail'!S30</f>
        <v>0</v>
      </c>
      <c r="S27" s="1367">
        <f>'Rates in Detail'!T30</f>
        <v>-5.4400000000000004E-3</v>
      </c>
      <c r="T27" s="1382">
        <f t="shared" si="2"/>
        <v>0.33843000000000012</v>
      </c>
      <c r="U27" s="114">
        <f>'Rates in Detail'!Y30</f>
        <v>1.9400000000000001E-2</v>
      </c>
      <c r="V27" s="114">
        <f>'Rates in Detail'!Z30</f>
        <v>-2.7999999999999998E-4</v>
      </c>
      <c r="W27" s="1386">
        <f t="shared" si="3"/>
        <v>0.36299000000000009</v>
      </c>
      <c r="X27" s="131"/>
    </row>
    <row r="28" spans="2:24" x14ac:dyDescent="0.2">
      <c r="B28" s="110">
        <f t="shared" si="4"/>
        <v>19</v>
      </c>
      <c r="C28" s="1355" t="str">
        <f>'WA Volumes &amp; Revenues'!B33</f>
        <v>42C Firm Sales</v>
      </c>
      <c r="D28" s="1355" t="s">
        <v>4</v>
      </c>
      <c r="E28" s="115">
        <v>10000</v>
      </c>
      <c r="F28" s="116">
        <f>'WA Volumes &amp; Revenues'!E33</f>
        <v>350769.66174469434</v>
      </c>
      <c r="G28" s="116">
        <f>'WA Volumes &amp; Revenues'!H33</f>
        <v>5</v>
      </c>
      <c r="H28" s="912">
        <f>'WA Volumes &amp; Revenues'!O33</f>
        <v>1300</v>
      </c>
      <c r="I28" s="913">
        <f>'WA Volumes &amp; Revenues'!N33</f>
        <v>1300</v>
      </c>
      <c r="J28" s="628">
        <f>'Rates in Detail'!E31</f>
        <v>0.15245999999999996</v>
      </c>
      <c r="K28" s="630">
        <f>'Rates in Detail'!H31</f>
        <v>0</v>
      </c>
      <c r="L28" s="630">
        <f>'Rates in Detail'!F31</f>
        <v>0.26333000000000001</v>
      </c>
      <c r="M28" s="630">
        <f>'Rates in Detail'!I31</f>
        <v>1.9560000000000001E-2</v>
      </c>
      <c r="N28" s="137">
        <f t="shared" si="0"/>
        <v>0.43535000000000001</v>
      </c>
      <c r="O28" s="1375">
        <f>'Rates in Detail'!L31</f>
        <v>4.4949999999999997E-2</v>
      </c>
      <c r="P28" s="1376">
        <f>'Rates in Detail'!P31</f>
        <v>-3.0899999999999999E-3</v>
      </c>
      <c r="Q28" s="1377">
        <f t="shared" si="1"/>
        <v>0.47721000000000002</v>
      </c>
      <c r="R28" s="1375">
        <f>'Rates in Detail'!S31</f>
        <v>-1.06E-2</v>
      </c>
      <c r="S28" s="1376">
        <f>'Rates in Detail'!T31</f>
        <v>-5.8599999999999998E-3</v>
      </c>
      <c r="T28" s="1383">
        <f t="shared" si="2"/>
        <v>0.46075000000000005</v>
      </c>
      <c r="U28" s="117">
        <f>'Rates in Detail'!Y31</f>
        <v>2.1080000000000002E-2</v>
      </c>
      <c r="V28" s="117">
        <f>'Rates in Detail'!Z31</f>
        <v>-2.9999999999999997E-4</v>
      </c>
      <c r="W28" s="1387">
        <f t="shared" si="3"/>
        <v>0.49798999999999999</v>
      </c>
      <c r="X28" s="131"/>
    </row>
    <row r="29" spans="2:24" x14ac:dyDescent="0.2">
      <c r="B29" s="110">
        <f t="shared" si="4"/>
        <v>20</v>
      </c>
      <c r="C29" s="1355"/>
      <c r="D29" s="1355" t="s">
        <v>5</v>
      </c>
      <c r="E29" s="115">
        <v>20000</v>
      </c>
      <c r="F29" s="116">
        <f>'WA Volumes &amp; Revenues'!E34</f>
        <v>303088.75426472601</v>
      </c>
      <c r="G29" s="116"/>
      <c r="H29" s="912"/>
      <c r="I29" s="913"/>
      <c r="J29" s="628">
        <f>'Rates in Detail'!E32</f>
        <v>0.1364699999999997</v>
      </c>
      <c r="K29" s="630">
        <f>'Rates in Detail'!H32</f>
        <v>0</v>
      </c>
      <c r="L29" s="630">
        <f>'Rates in Detail'!F32</f>
        <v>0.26333000000000001</v>
      </c>
      <c r="M29" s="630">
        <f>'Rates in Detail'!I32</f>
        <v>1.6539999999999999E-2</v>
      </c>
      <c r="N29" s="137">
        <f t="shared" si="0"/>
        <v>0.41633999999999971</v>
      </c>
      <c r="O29" s="1375">
        <f>'Rates in Detail'!L32</f>
        <v>4.0230000000000002E-2</v>
      </c>
      <c r="P29" s="1376">
        <f>'Rates in Detail'!P32</f>
        <v>-2.7699999999999999E-3</v>
      </c>
      <c r="Q29" s="1377">
        <f t="shared" si="1"/>
        <v>0.4537999999999997</v>
      </c>
      <c r="R29" s="1375">
        <f>'Rates in Detail'!S32</f>
        <v>-9.4900000000000002E-3</v>
      </c>
      <c r="S29" s="1376">
        <f>'Rates in Detail'!T32</f>
        <v>-5.2500000000000003E-3</v>
      </c>
      <c r="T29" s="1383">
        <f t="shared" si="2"/>
        <v>0.43905999999999973</v>
      </c>
      <c r="U29" s="117">
        <f>'Rates in Detail'!Y32</f>
        <v>1.8859999999999998E-2</v>
      </c>
      <c r="V29" s="117">
        <f>'Rates in Detail'!Z32</f>
        <v>-2.7E-4</v>
      </c>
      <c r="W29" s="1387">
        <f t="shared" si="3"/>
        <v>0.4723899999999997</v>
      </c>
      <c r="X29" s="131"/>
    </row>
    <row r="30" spans="2:24" x14ac:dyDescent="0.2">
      <c r="B30" s="110">
        <f t="shared" si="4"/>
        <v>21</v>
      </c>
      <c r="C30" s="1355"/>
      <c r="D30" s="1355" t="s">
        <v>6</v>
      </c>
      <c r="E30" s="115">
        <v>20000</v>
      </c>
      <c r="F30" s="116">
        <f>'WA Volumes &amp; Revenues'!E35</f>
        <v>59441.942130257296</v>
      </c>
      <c r="G30" s="116"/>
      <c r="H30" s="912"/>
      <c r="I30" s="913"/>
      <c r="J30" s="628">
        <f>'Rates in Detail'!E33</f>
        <v>0.1046699999999999</v>
      </c>
      <c r="K30" s="630">
        <f>'Rates in Detail'!H33</f>
        <v>0</v>
      </c>
      <c r="L30" s="630">
        <f>'Rates in Detail'!F33</f>
        <v>0.26333000000000001</v>
      </c>
      <c r="M30" s="630">
        <f>'Rates in Detail'!I33</f>
        <v>1.052E-2</v>
      </c>
      <c r="N30" s="137">
        <f t="shared" si="0"/>
        <v>0.37851999999999986</v>
      </c>
      <c r="O30" s="1375">
        <f>'Rates in Detail'!L33</f>
        <v>3.0859999999999999E-2</v>
      </c>
      <c r="P30" s="1376">
        <f>'Rates in Detail'!P33</f>
        <v>-2.1199999999999999E-3</v>
      </c>
      <c r="Q30" s="1377">
        <f t="shared" si="1"/>
        <v>0.40725999999999984</v>
      </c>
      <c r="R30" s="1375">
        <f>'Rates in Detail'!S33</f>
        <v>-7.28E-3</v>
      </c>
      <c r="S30" s="1376">
        <f>'Rates in Detail'!T33</f>
        <v>-4.0200000000000001E-3</v>
      </c>
      <c r="T30" s="1383">
        <f t="shared" si="2"/>
        <v>0.39595999999999981</v>
      </c>
      <c r="U30" s="117">
        <f>'Rates in Detail'!Y33</f>
        <v>1.447E-2</v>
      </c>
      <c r="V30" s="117">
        <f>'Rates in Detail'!Z33</f>
        <v>-2.0000000000000001E-4</v>
      </c>
      <c r="W30" s="1387">
        <f t="shared" si="3"/>
        <v>0.42152999999999979</v>
      </c>
      <c r="X30" s="131"/>
    </row>
    <row r="31" spans="2:24" x14ac:dyDescent="0.2">
      <c r="B31" s="110">
        <f t="shared" si="4"/>
        <v>22</v>
      </c>
      <c r="C31" s="1355"/>
      <c r="D31" s="1355" t="s">
        <v>7</v>
      </c>
      <c r="E31" s="115">
        <v>100000</v>
      </c>
      <c r="F31" s="116">
        <f>'WA Volumes &amp; Revenues'!E36</f>
        <v>3614.6071898605187</v>
      </c>
      <c r="G31" s="116"/>
      <c r="H31" s="912"/>
      <c r="I31" s="913"/>
      <c r="J31" s="628">
        <f>'Rates in Detail'!E34</f>
        <v>8.3729999999999999E-2</v>
      </c>
      <c r="K31" s="630">
        <f>'Rates in Detail'!H34</f>
        <v>0</v>
      </c>
      <c r="L31" s="630">
        <f>'Rates in Detail'!F34</f>
        <v>0.26333000000000001</v>
      </c>
      <c r="M31" s="630">
        <f>'Rates in Detail'!I34</f>
        <v>6.550000000000002E-3</v>
      </c>
      <c r="N31" s="137">
        <f t="shared" si="0"/>
        <v>0.35361000000000004</v>
      </c>
      <c r="O31" s="1375">
        <f>'Rates in Detail'!L34</f>
        <v>2.4680000000000001E-2</v>
      </c>
      <c r="P31" s="1376">
        <f>'Rates in Detail'!P34</f>
        <v>-1.6999999999999999E-3</v>
      </c>
      <c r="Q31" s="1377">
        <f t="shared" si="1"/>
        <v>0.37659000000000004</v>
      </c>
      <c r="R31" s="1375">
        <f>'Rates in Detail'!S34</f>
        <v>-5.8199999999999997E-3</v>
      </c>
      <c r="S31" s="1376">
        <f>'Rates in Detail'!T34</f>
        <v>-3.2200000000000002E-3</v>
      </c>
      <c r="T31" s="1383">
        <f t="shared" si="2"/>
        <v>0.36755000000000004</v>
      </c>
      <c r="U31" s="117">
        <f>'Rates in Detail'!Y34</f>
        <v>1.157E-2</v>
      </c>
      <c r="V31" s="117">
        <f>'Rates in Detail'!Z34</f>
        <v>-1.6000000000000001E-4</v>
      </c>
      <c r="W31" s="1387">
        <f t="shared" si="3"/>
        <v>0.38800000000000007</v>
      </c>
      <c r="X31" s="131"/>
    </row>
    <row r="32" spans="2:24" x14ac:dyDescent="0.2">
      <c r="B32" s="110">
        <f t="shared" si="4"/>
        <v>23</v>
      </c>
      <c r="C32" s="1355"/>
      <c r="D32" s="1355" t="s">
        <v>8</v>
      </c>
      <c r="E32" s="115">
        <v>600000</v>
      </c>
      <c r="F32" s="116">
        <f>'WA Volumes &amp; Revenues'!E37</f>
        <v>0</v>
      </c>
      <c r="G32" s="116"/>
      <c r="H32" s="912"/>
      <c r="I32" s="913"/>
      <c r="J32" s="628">
        <f>'Rates in Detail'!E35</f>
        <v>5.5809999999999992E-2</v>
      </c>
      <c r="K32" s="630">
        <f>'Rates in Detail'!H35</f>
        <v>0</v>
      </c>
      <c r="L32" s="630">
        <f>'Rates in Detail'!F35</f>
        <v>0.26333000000000001</v>
      </c>
      <c r="M32" s="630">
        <f>'Rates in Detail'!I35</f>
        <v>1.239999999999998E-3</v>
      </c>
      <c r="N32" s="137">
        <f t="shared" si="0"/>
        <v>0.32038</v>
      </c>
      <c r="O32" s="1375">
        <f>'Rates in Detail'!L35</f>
        <v>1.6449999999999999E-2</v>
      </c>
      <c r="P32" s="1376">
        <f>'Rates in Detail'!P35</f>
        <v>-1.1299999999999999E-3</v>
      </c>
      <c r="Q32" s="1377">
        <f t="shared" si="1"/>
        <v>0.3357</v>
      </c>
      <c r="R32" s="1375">
        <f>'Rates in Detail'!S35</f>
        <v>-3.8800000000000002E-3</v>
      </c>
      <c r="S32" s="1376">
        <f>'Rates in Detail'!T35</f>
        <v>-2.15E-3</v>
      </c>
      <c r="T32" s="1383">
        <f t="shared" si="2"/>
        <v>0.32967000000000002</v>
      </c>
      <c r="U32" s="117">
        <f>'Rates in Detail'!Y35</f>
        <v>7.7099999999999998E-3</v>
      </c>
      <c r="V32" s="117">
        <f>'Rates in Detail'!Z35</f>
        <v>-1.1E-4</v>
      </c>
      <c r="W32" s="1387">
        <f t="shared" si="3"/>
        <v>0.34329999999999999</v>
      </c>
      <c r="X32" s="131"/>
    </row>
    <row r="33" spans="2:24" x14ac:dyDescent="0.2">
      <c r="B33" s="110">
        <f t="shared" si="4"/>
        <v>24</v>
      </c>
      <c r="C33" s="111"/>
      <c r="D33" s="111" t="s">
        <v>9</v>
      </c>
      <c r="E33" s="112" t="s">
        <v>74</v>
      </c>
      <c r="F33" s="113">
        <f>'WA Volumes &amp; Revenues'!E38</f>
        <v>0</v>
      </c>
      <c r="G33" s="113"/>
      <c r="H33" s="907"/>
      <c r="I33" s="909"/>
      <c r="J33" s="627">
        <f>'Rates in Detail'!E36</f>
        <v>2.0920000000000029E-2</v>
      </c>
      <c r="K33" s="631">
        <f>'Rates in Detail'!H36</f>
        <v>0</v>
      </c>
      <c r="L33" s="631">
        <f>'Rates in Detail'!F36</f>
        <v>0.26333000000000001</v>
      </c>
      <c r="M33" s="631">
        <f>'Rates in Detail'!I36</f>
        <v>-5.3500000000000006E-3</v>
      </c>
      <c r="N33" s="135">
        <f t="shared" si="0"/>
        <v>0.27890000000000004</v>
      </c>
      <c r="O33" s="1374">
        <f>'Rates in Detail'!L36</f>
        <v>6.1700000000000001E-3</v>
      </c>
      <c r="P33" s="1367">
        <f>'Rates in Detail'!P36</f>
        <v>-4.2000000000000002E-4</v>
      </c>
      <c r="Q33" s="1373">
        <f t="shared" si="1"/>
        <v>0.28465000000000007</v>
      </c>
      <c r="R33" s="1374">
        <f>'Rates in Detail'!S36</f>
        <v>-1.4499999999999999E-3</v>
      </c>
      <c r="S33" s="1367">
        <f>'Rates in Detail'!T36</f>
        <v>-8.0000000000000004E-4</v>
      </c>
      <c r="T33" s="1382">
        <f t="shared" si="2"/>
        <v>0.28240000000000004</v>
      </c>
      <c r="U33" s="114">
        <f>'Rates in Detail'!Y36</f>
        <v>2.8900000000000002E-3</v>
      </c>
      <c r="V33" s="114">
        <f>'Rates in Detail'!Z36</f>
        <v>-4.0000000000000003E-5</v>
      </c>
      <c r="W33" s="1386">
        <f t="shared" si="3"/>
        <v>0.28750000000000003</v>
      </c>
      <c r="X33" s="131"/>
    </row>
    <row r="34" spans="2:24" x14ac:dyDescent="0.2">
      <c r="B34" s="110">
        <f t="shared" si="4"/>
        <v>25</v>
      </c>
      <c r="C34" s="1355" t="str">
        <f>'WA Volumes &amp; Revenues'!B39</f>
        <v>42I Firm Sales</v>
      </c>
      <c r="D34" s="1355" t="s">
        <v>4</v>
      </c>
      <c r="E34" s="115">
        <v>10000</v>
      </c>
      <c r="F34" s="116">
        <f>'WA Volumes &amp; Revenues'!E39</f>
        <v>1093724.2000000002</v>
      </c>
      <c r="G34" s="116">
        <f>'WA Volumes &amp; Revenues'!H39</f>
        <v>11.916666666666666</v>
      </c>
      <c r="H34" s="912">
        <f>'WA Volumes &amp; Revenues'!O39</f>
        <v>1300</v>
      </c>
      <c r="I34" s="913">
        <f>'WA Volumes &amp; Revenues'!N39</f>
        <v>1300</v>
      </c>
      <c r="J34" s="628">
        <f>'Rates in Detail'!E37</f>
        <v>0.14721000000000001</v>
      </c>
      <c r="K34" s="630">
        <f>'Rates in Detail'!H37</f>
        <v>0</v>
      </c>
      <c r="L34" s="630">
        <f>'Rates in Detail'!F37</f>
        <v>0.26333000000000001</v>
      </c>
      <c r="M34" s="630">
        <f>'Rates in Detail'!I37</f>
        <v>-4.6100000000000012E-3</v>
      </c>
      <c r="N34" s="137">
        <f t="shared" si="0"/>
        <v>0.40593000000000001</v>
      </c>
      <c r="O34" s="1375">
        <f>'Rates in Detail'!L37</f>
        <v>3.9980000000000002E-2</v>
      </c>
      <c r="P34" s="1376">
        <f>'Rates in Detail'!P37</f>
        <v>-2.7499999999999998E-3</v>
      </c>
      <c r="Q34" s="1377">
        <f t="shared" si="1"/>
        <v>0.44316000000000005</v>
      </c>
      <c r="R34" s="1375">
        <f>'Rates in Detail'!S37</f>
        <v>0</v>
      </c>
      <c r="S34" s="1376">
        <f>'Rates in Detail'!T37</f>
        <v>-5.2100000000000002E-3</v>
      </c>
      <c r="T34" s="1383">
        <f t="shared" si="2"/>
        <v>0.43795000000000006</v>
      </c>
      <c r="U34" s="117">
        <f>'Rates in Detail'!Y37</f>
        <v>1.8749999999999999E-2</v>
      </c>
      <c r="V34" s="117">
        <f>'Rates in Detail'!Z37</f>
        <v>-2.7E-4</v>
      </c>
      <c r="W34" s="1387">
        <f t="shared" si="3"/>
        <v>0.46164000000000005</v>
      </c>
      <c r="X34" s="131"/>
    </row>
    <row r="35" spans="2:24" x14ac:dyDescent="0.2">
      <c r="B35" s="110">
        <f t="shared" si="4"/>
        <v>26</v>
      </c>
      <c r="C35" s="1355"/>
      <c r="D35" s="1355" t="s">
        <v>5</v>
      </c>
      <c r="E35" s="115">
        <v>20000</v>
      </c>
      <c r="F35" s="116">
        <f>'WA Volumes &amp; Revenues'!E40</f>
        <v>655939.80000000005</v>
      </c>
      <c r="G35" s="116"/>
      <c r="H35" s="912"/>
      <c r="I35" s="913"/>
      <c r="J35" s="628">
        <f>'Rates in Detail'!E38</f>
        <v>0.13177</v>
      </c>
      <c r="K35" s="630">
        <f>'Rates in Detail'!H38</f>
        <v>0</v>
      </c>
      <c r="L35" s="630">
        <f>'Rates in Detail'!F38</f>
        <v>0.26333000000000001</v>
      </c>
      <c r="M35" s="630">
        <f>'Rates in Detail'!I38</f>
        <v>-5.1100000000000008E-3</v>
      </c>
      <c r="N35" s="137">
        <f t="shared" si="0"/>
        <v>0.38999</v>
      </c>
      <c r="O35" s="1375">
        <f>'Rates in Detail'!L38</f>
        <v>3.5790000000000002E-2</v>
      </c>
      <c r="P35" s="1376">
        <f>'Rates in Detail'!P38</f>
        <v>-2.4599999999999999E-3</v>
      </c>
      <c r="Q35" s="1377">
        <f t="shared" si="1"/>
        <v>0.42331999999999997</v>
      </c>
      <c r="R35" s="1375">
        <f>'Rates in Detail'!S38</f>
        <v>0</v>
      </c>
      <c r="S35" s="1376">
        <f>'Rates in Detail'!T38</f>
        <v>-4.6699999999999997E-3</v>
      </c>
      <c r="T35" s="1383">
        <f t="shared" si="2"/>
        <v>0.41864999999999997</v>
      </c>
      <c r="U35" s="117">
        <f>'Rates in Detail'!Y38</f>
        <v>1.678E-2</v>
      </c>
      <c r="V35" s="117">
        <f>'Rates in Detail'!Z38</f>
        <v>-2.4000000000000001E-4</v>
      </c>
      <c r="W35" s="1387">
        <f t="shared" si="3"/>
        <v>0.43985999999999997</v>
      </c>
      <c r="X35" s="131"/>
    </row>
    <row r="36" spans="2:24" x14ac:dyDescent="0.2">
      <c r="B36" s="110">
        <f t="shared" si="4"/>
        <v>27</v>
      </c>
      <c r="C36" s="1355"/>
      <c r="D36" s="1355" t="s">
        <v>6</v>
      </c>
      <c r="E36" s="115">
        <v>20000</v>
      </c>
      <c r="F36" s="116">
        <f>'WA Volumes &amp; Revenues'!E41</f>
        <v>81241.3</v>
      </c>
      <c r="G36" s="116"/>
      <c r="H36" s="912"/>
      <c r="I36" s="913"/>
      <c r="J36" s="628">
        <f>'Rates in Detail'!E39</f>
        <v>0.10104999999999985</v>
      </c>
      <c r="K36" s="630">
        <f>'Rates in Detail'!H39</f>
        <v>0</v>
      </c>
      <c r="L36" s="630">
        <f>'Rates in Detail'!F39</f>
        <v>0.26333000000000001</v>
      </c>
      <c r="M36" s="630">
        <f>'Rates in Detail'!I39</f>
        <v>-6.0700000000000007E-3</v>
      </c>
      <c r="N36" s="137">
        <f t="shared" si="0"/>
        <v>0.35830999999999985</v>
      </c>
      <c r="O36" s="1375">
        <f>'Rates in Detail'!L39</f>
        <v>2.7439999999999999E-2</v>
      </c>
      <c r="P36" s="1376">
        <f>'Rates in Detail'!P39</f>
        <v>-1.89E-3</v>
      </c>
      <c r="Q36" s="1377">
        <f t="shared" si="1"/>
        <v>0.38385999999999987</v>
      </c>
      <c r="R36" s="1375">
        <f>'Rates in Detail'!S39</f>
        <v>0</v>
      </c>
      <c r="S36" s="1376">
        <f>'Rates in Detail'!T39</f>
        <v>-3.5799999999999998E-3</v>
      </c>
      <c r="T36" s="1383">
        <f t="shared" si="2"/>
        <v>0.38027999999999984</v>
      </c>
      <c r="U36" s="117">
        <f>'Rates in Detail'!Y39</f>
        <v>1.2869999999999999E-2</v>
      </c>
      <c r="V36" s="117">
        <f>'Rates in Detail'!Z39</f>
        <v>-1.8000000000000001E-4</v>
      </c>
      <c r="W36" s="1387">
        <f t="shared" si="3"/>
        <v>0.39654999999999985</v>
      </c>
      <c r="X36" s="131"/>
    </row>
    <row r="37" spans="2:24" x14ac:dyDescent="0.2">
      <c r="B37" s="110">
        <f t="shared" si="4"/>
        <v>28</v>
      </c>
      <c r="C37" s="1355"/>
      <c r="D37" s="1355" t="s">
        <v>7</v>
      </c>
      <c r="E37" s="115">
        <v>100000</v>
      </c>
      <c r="F37" s="116">
        <f>'WA Volumes &amp; Revenues'!E42</f>
        <v>9320.1</v>
      </c>
      <c r="G37" s="116"/>
      <c r="H37" s="912"/>
      <c r="I37" s="913"/>
      <c r="J37" s="628">
        <f>'Rates in Detail'!E40</f>
        <v>8.0839999999999995E-2</v>
      </c>
      <c r="K37" s="630">
        <f>'Rates in Detail'!H40</f>
        <v>0</v>
      </c>
      <c r="L37" s="630">
        <f>'Rates in Detail'!F40</f>
        <v>0.26333000000000001</v>
      </c>
      <c r="M37" s="630">
        <f>'Rates in Detail'!I40</f>
        <v>-6.7300000000000007E-3</v>
      </c>
      <c r="N37" s="137">
        <f t="shared" si="0"/>
        <v>0.33743999999999996</v>
      </c>
      <c r="O37" s="1375">
        <f>'Rates in Detail'!L40</f>
        <v>2.196E-2</v>
      </c>
      <c r="P37" s="1376">
        <f>'Rates in Detail'!P40</f>
        <v>-1.5100000000000001E-3</v>
      </c>
      <c r="Q37" s="1377">
        <f t="shared" si="1"/>
        <v>0.35788999999999993</v>
      </c>
      <c r="R37" s="1375">
        <f>'Rates in Detail'!S40</f>
        <v>0</v>
      </c>
      <c r="S37" s="1376">
        <f>'Rates in Detail'!T40</f>
        <v>-2.8600000000000001E-3</v>
      </c>
      <c r="T37" s="1383">
        <f t="shared" si="2"/>
        <v>0.35502999999999996</v>
      </c>
      <c r="U37" s="117">
        <f>'Rates in Detail'!Y40</f>
        <v>1.03E-2</v>
      </c>
      <c r="V37" s="117">
        <f>'Rates in Detail'!Z40</f>
        <v>-1.4999999999999999E-4</v>
      </c>
      <c r="W37" s="1387">
        <f t="shared" si="3"/>
        <v>0.36803999999999992</v>
      </c>
      <c r="X37" s="131"/>
    </row>
    <row r="38" spans="2:24" x14ac:dyDescent="0.2">
      <c r="B38" s="110">
        <f t="shared" si="4"/>
        <v>29</v>
      </c>
      <c r="C38" s="1355"/>
      <c r="D38" s="1355" t="s">
        <v>8</v>
      </c>
      <c r="E38" s="115">
        <v>600000</v>
      </c>
      <c r="F38" s="116">
        <f>'WA Volumes &amp; Revenues'!E43</f>
        <v>0</v>
      </c>
      <c r="G38" s="116"/>
      <c r="H38" s="912"/>
      <c r="I38" s="913"/>
      <c r="J38" s="628">
        <f>'Rates in Detail'!E41</f>
        <v>5.391E-2</v>
      </c>
      <c r="K38" s="630">
        <f>'Rates in Detail'!H41</f>
        <v>0</v>
      </c>
      <c r="L38" s="630">
        <f>'Rates in Detail'!F41</f>
        <v>0.26333000000000001</v>
      </c>
      <c r="M38" s="630">
        <f>'Rates in Detail'!I41</f>
        <v>-7.5900000000000004E-3</v>
      </c>
      <c r="N38" s="137">
        <f t="shared" si="0"/>
        <v>0.30965000000000004</v>
      </c>
      <c r="O38" s="1375">
        <f>'Rates in Detail'!L41</f>
        <v>1.464E-2</v>
      </c>
      <c r="P38" s="1376">
        <f>'Rates in Detail'!P41</f>
        <v>-1.01E-3</v>
      </c>
      <c r="Q38" s="1377">
        <f t="shared" si="1"/>
        <v>0.32328000000000001</v>
      </c>
      <c r="R38" s="1375">
        <f>'Rates in Detail'!S41</f>
        <v>0</v>
      </c>
      <c r="S38" s="1376">
        <f>'Rates in Detail'!T41</f>
        <v>-1.91E-3</v>
      </c>
      <c r="T38" s="1383">
        <f t="shared" si="2"/>
        <v>0.32136999999999999</v>
      </c>
      <c r="U38" s="117">
        <f>'Rates in Detail'!Y41</f>
        <v>6.8700000000000002E-3</v>
      </c>
      <c r="V38" s="117">
        <f>'Rates in Detail'!Z41</f>
        <v>-1E-4</v>
      </c>
      <c r="W38" s="1387">
        <f t="shared" si="3"/>
        <v>0.33005000000000001</v>
      </c>
      <c r="X38" s="131"/>
    </row>
    <row r="39" spans="2:24" x14ac:dyDescent="0.2">
      <c r="B39" s="110">
        <f t="shared" si="4"/>
        <v>30</v>
      </c>
      <c r="C39" s="111"/>
      <c r="D39" s="111" t="s">
        <v>9</v>
      </c>
      <c r="E39" s="112" t="s">
        <v>74</v>
      </c>
      <c r="F39" s="113">
        <f>'WA Volumes &amp; Revenues'!E44</f>
        <v>0</v>
      </c>
      <c r="G39" s="113"/>
      <c r="H39" s="907"/>
      <c r="I39" s="909"/>
      <c r="J39" s="627">
        <f>'Rates in Detail'!E42</f>
        <v>2.0199999999999999E-2</v>
      </c>
      <c r="K39" s="631">
        <f>'Rates in Detail'!H42</f>
        <v>0</v>
      </c>
      <c r="L39" s="631">
        <f>'Rates in Detail'!F42</f>
        <v>0.26333000000000001</v>
      </c>
      <c r="M39" s="631">
        <f>'Rates in Detail'!I42</f>
        <v>-8.6700000000000006E-3</v>
      </c>
      <c r="N39" s="135">
        <f t="shared" si="0"/>
        <v>0.27485999999999999</v>
      </c>
      <c r="O39" s="1374">
        <f>'Rates in Detail'!L42</f>
        <v>5.4900000000000001E-3</v>
      </c>
      <c r="P39" s="1367">
        <f>'Rates in Detail'!P42</f>
        <v>-3.8000000000000002E-4</v>
      </c>
      <c r="Q39" s="1373">
        <f t="shared" si="1"/>
        <v>0.27997</v>
      </c>
      <c r="R39" s="1374">
        <f>'Rates in Detail'!S42</f>
        <v>0</v>
      </c>
      <c r="S39" s="1367">
        <f>'Rates in Detail'!T42</f>
        <v>-7.2000000000000005E-4</v>
      </c>
      <c r="T39" s="1382">
        <f t="shared" si="2"/>
        <v>0.27925</v>
      </c>
      <c r="U39" s="114">
        <f>'Rates in Detail'!Y42</f>
        <v>2.5699999999999998E-3</v>
      </c>
      <c r="V39" s="114">
        <f>'Rates in Detail'!Z42</f>
        <v>-4.0000000000000003E-5</v>
      </c>
      <c r="W39" s="1386">
        <f t="shared" si="3"/>
        <v>0.28250000000000003</v>
      </c>
      <c r="X39" s="131"/>
    </row>
    <row r="40" spans="2:24" x14ac:dyDescent="0.2">
      <c r="B40" s="110">
        <f t="shared" si="4"/>
        <v>31</v>
      </c>
      <c r="C40" s="1355" t="str">
        <f>'WA Volumes &amp; Revenues'!B45</f>
        <v>42C Firm Transpt</v>
      </c>
      <c r="D40" s="1355" t="s">
        <v>4</v>
      </c>
      <c r="E40" s="115">
        <v>10000</v>
      </c>
      <c r="F40" s="116">
        <f>'WA Volumes &amp; Revenues'!E45</f>
        <v>480000</v>
      </c>
      <c r="G40" s="116">
        <f>'WA Volumes &amp; Revenues'!H45</f>
        <v>4</v>
      </c>
      <c r="H40" s="912">
        <f>'WA Volumes &amp; Revenues'!O45</f>
        <v>1550</v>
      </c>
      <c r="I40" s="913">
        <f>'WA Volumes &amp; Revenues'!N45</f>
        <v>1550</v>
      </c>
      <c r="J40" s="628">
        <f>'Rates in Detail'!E43</f>
        <v>0.13791999999999999</v>
      </c>
      <c r="K40" s="630">
        <f>'Rates in Detail'!H43</f>
        <v>0</v>
      </c>
      <c r="L40" s="630">
        <f>'Rates in Detail'!F43</f>
        <v>0</v>
      </c>
      <c r="M40" s="630">
        <f>'Rates in Detail'!I43</f>
        <v>5.9999999999999995E-4</v>
      </c>
      <c r="N40" s="137">
        <f t="shared" si="0"/>
        <v>0.13851999999999998</v>
      </c>
      <c r="O40" s="1375">
        <f>'Rates in Detail'!L43</f>
        <v>2.5399999999999999E-2</v>
      </c>
      <c r="P40" s="1376">
        <f>'Rates in Detail'!P43</f>
        <v>-1.75E-3</v>
      </c>
      <c r="Q40" s="1377">
        <f t="shared" si="1"/>
        <v>0.16216999999999998</v>
      </c>
      <c r="R40" s="1375">
        <f>'Rates in Detail'!S43</f>
        <v>0</v>
      </c>
      <c r="S40" s="1376">
        <f>'Rates in Detail'!T43</f>
        <v>-3.31E-3</v>
      </c>
      <c r="T40" s="1383">
        <f t="shared" si="2"/>
        <v>0.15885999999999997</v>
      </c>
      <c r="U40" s="117">
        <f>'Rates in Detail'!Y43</f>
        <v>1.191E-2</v>
      </c>
      <c r="V40" s="117">
        <f>'Rates in Detail'!Z43</f>
        <v>-1.7000000000000001E-4</v>
      </c>
      <c r="W40" s="1387">
        <f t="shared" si="3"/>
        <v>0.17390999999999998</v>
      </c>
      <c r="X40" s="131"/>
    </row>
    <row r="41" spans="2:24" x14ac:dyDescent="0.2">
      <c r="B41" s="110">
        <f t="shared" si="4"/>
        <v>32</v>
      </c>
      <c r="C41" s="1355"/>
      <c r="D41" s="1355" t="s">
        <v>5</v>
      </c>
      <c r="E41" s="115">
        <v>20000</v>
      </c>
      <c r="F41" s="116">
        <f>'WA Volumes &amp; Revenues'!E46</f>
        <v>807846</v>
      </c>
      <c r="G41" s="116"/>
      <c r="H41" s="912"/>
      <c r="I41" s="913"/>
      <c r="J41" s="628">
        <f>'Rates in Detail'!E44</f>
        <v>0.12346999999999998</v>
      </c>
      <c r="K41" s="630">
        <f>'Rates in Detail'!H44</f>
        <v>0</v>
      </c>
      <c r="L41" s="630">
        <f>'Rates in Detail'!F44</f>
        <v>0</v>
      </c>
      <c r="M41" s="630">
        <f>'Rates in Detail'!I44</f>
        <v>5.2999999999999998E-4</v>
      </c>
      <c r="N41" s="137">
        <f t="shared" si="0"/>
        <v>0.12399999999999999</v>
      </c>
      <c r="O41" s="1375">
        <f>'Rates in Detail'!L44</f>
        <v>2.274E-2</v>
      </c>
      <c r="P41" s="1376">
        <f>'Rates in Detail'!P44</f>
        <v>-1.57E-3</v>
      </c>
      <c r="Q41" s="1377">
        <f t="shared" si="1"/>
        <v>0.14516999999999999</v>
      </c>
      <c r="R41" s="1375">
        <f>'Rates in Detail'!S44</f>
        <v>0</v>
      </c>
      <c r="S41" s="1376">
        <f>'Rates in Detail'!T44</f>
        <v>-2.96E-3</v>
      </c>
      <c r="T41" s="1383">
        <f t="shared" si="2"/>
        <v>0.14221</v>
      </c>
      <c r="U41" s="117">
        <f>'Rates in Detail'!Y44</f>
        <v>1.0659999999999999E-2</v>
      </c>
      <c r="V41" s="117">
        <f>'Rates in Detail'!Z44</f>
        <v>-1.4999999999999999E-4</v>
      </c>
      <c r="W41" s="1387">
        <f t="shared" si="3"/>
        <v>0.15567999999999999</v>
      </c>
      <c r="X41" s="131"/>
    </row>
    <row r="42" spans="2:24" x14ac:dyDescent="0.2">
      <c r="B42" s="110">
        <f t="shared" si="4"/>
        <v>33</v>
      </c>
      <c r="C42" s="1355"/>
      <c r="D42" s="1355" t="s">
        <v>6</v>
      </c>
      <c r="E42" s="115">
        <v>20000</v>
      </c>
      <c r="F42" s="116">
        <f>'WA Volumes &amp; Revenues'!E47</f>
        <v>583779</v>
      </c>
      <c r="G42" s="116"/>
      <c r="H42" s="912"/>
      <c r="I42" s="913"/>
      <c r="J42" s="628">
        <f>'Rates in Detail'!E45</f>
        <v>9.4670000000000004E-2</v>
      </c>
      <c r="K42" s="630">
        <f>'Rates in Detail'!H45</f>
        <v>0</v>
      </c>
      <c r="L42" s="630">
        <f>'Rates in Detail'!F45</f>
        <v>0</v>
      </c>
      <c r="M42" s="630">
        <f>'Rates in Detail'!I45</f>
        <v>4.1000000000000005E-4</v>
      </c>
      <c r="N42" s="137">
        <f t="shared" si="0"/>
        <v>9.5079999999999998E-2</v>
      </c>
      <c r="O42" s="1375">
        <f>'Rates in Detail'!L45</f>
        <v>1.7440000000000001E-2</v>
      </c>
      <c r="P42" s="1376">
        <f>'Rates in Detail'!P45</f>
        <v>-1.1999999999999999E-3</v>
      </c>
      <c r="Q42" s="1377">
        <f t="shared" si="1"/>
        <v>0.11131999999999999</v>
      </c>
      <c r="R42" s="1375">
        <f>'Rates in Detail'!S45</f>
        <v>0</v>
      </c>
      <c r="S42" s="1376">
        <f>'Rates in Detail'!T45</f>
        <v>-2.2699999999999999E-3</v>
      </c>
      <c r="T42" s="1383">
        <f t="shared" si="2"/>
        <v>0.10904999999999999</v>
      </c>
      <c r="U42" s="117">
        <f>'Rates in Detail'!Y45</f>
        <v>8.1799999999999998E-3</v>
      </c>
      <c r="V42" s="117">
        <f>'Rates in Detail'!Z45</f>
        <v>-1.2E-4</v>
      </c>
      <c r="W42" s="1387">
        <f t="shared" si="3"/>
        <v>0.11938</v>
      </c>
      <c r="X42" s="131"/>
    </row>
    <row r="43" spans="2:24" x14ac:dyDescent="0.2">
      <c r="B43" s="110">
        <f t="shared" si="4"/>
        <v>34</v>
      </c>
      <c r="C43" s="1355"/>
      <c r="D43" s="1355" t="s">
        <v>7</v>
      </c>
      <c r="E43" s="115">
        <v>100000</v>
      </c>
      <c r="F43" s="116">
        <f>'WA Volumes &amp; Revenues'!E48</f>
        <v>598933</v>
      </c>
      <c r="G43" s="116"/>
      <c r="H43" s="912"/>
      <c r="I43" s="913"/>
      <c r="J43" s="628">
        <f>'Rates in Detail'!E46</f>
        <v>7.5750000000000012E-2</v>
      </c>
      <c r="K43" s="630">
        <f>'Rates in Detail'!H46</f>
        <v>0</v>
      </c>
      <c r="L43" s="630">
        <f>'Rates in Detail'!F46</f>
        <v>0</v>
      </c>
      <c r="M43" s="630">
        <f>'Rates in Detail'!I46</f>
        <v>3.1999999999999997E-4</v>
      </c>
      <c r="N43" s="137">
        <f t="shared" si="0"/>
        <v>7.6070000000000013E-2</v>
      </c>
      <c r="O43" s="1375">
        <f>'Rates in Detail'!L46</f>
        <v>1.3950000000000001E-2</v>
      </c>
      <c r="P43" s="1376">
        <f>'Rates in Detail'!P46</f>
        <v>-9.6000000000000002E-4</v>
      </c>
      <c r="Q43" s="1377">
        <f t="shared" si="1"/>
        <v>8.9060000000000014E-2</v>
      </c>
      <c r="R43" s="1375">
        <f>'Rates in Detail'!S46</f>
        <v>0</v>
      </c>
      <c r="S43" s="1376">
        <f>'Rates in Detail'!T46</f>
        <v>-1.82E-3</v>
      </c>
      <c r="T43" s="1383">
        <f t="shared" si="2"/>
        <v>8.7240000000000012E-2</v>
      </c>
      <c r="U43" s="117">
        <f>'Rates in Detail'!Y46</f>
        <v>6.5399999999999998E-3</v>
      </c>
      <c r="V43" s="117">
        <f>'Rates in Detail'!Z46</f>
        <v>-9.0000000000000006E-5</v>
      </c>
      <c r="W43" s="1387">
        <f t="shared" si="3"/>
        <v>9.5510000000000012E-2</v>
      </c>
      <c r="X43" s="131"/>
    </row>
    <row r="44" spans="2:24" x14ac:dyDescent="0.2">
      <c r="B44" s="110">
        <f t="shared" si="4"/>
        <v>35</v>
      </c>
      <c r="C44" s="1355"/>
      <c r="D44" s="1355" t="s">
        <v>8</v>
      </c>
      <c r="E44" s="115">
        <v>600000</v>
      </c>
      <c r="F44" s="116">
        <f>'WA Volumes &amp; Revenues'!E49</f>
        <v>0</v>
      </c>
      <c r="G44" s="116"/>
      <c r="H44" s="912"/>
      <c r="I44" s="913"/>
      <c r="J44" s="628">
        <f>'Rates in Detail'!E47</f>
        <v>5.0500000000000003E-2</v>
      </c>
      <c r="K44" s="630">
        <f>'Rates in Detail'!H47</f>
        <v>0</v>
      </c>
      <c r="L44" s="630">
        <f>'Rates in Detail'!F47</f>
        <v>0</v>
      </c>
      <c r="M44" s="630">
        <f>'Rates in Detail'!I47</f>
        <v>2.1000000000000001E-4</v>
      </c>
      <c r="N44" s="137">
        <f t="shared" si="0"/>
        <v>5.0710000000000005E-2</v>
      </c>
      <c r="O44" s="1375">
        <f>'Rates in Detail'!L47</f>
        <v>9.2999999999999992E-3</v>
      </c>
      <c r="P44" s="1376">
        <f>'Rates in Detail'!P47</f>
        <v>-6.4000000000000005E-4</v>
      </c>
      <c r="Q44" s="1377">
        <f t="shared" si="1"/>
        <v>5.9370000000000006E-2</v>
      </c>
      <c r="R44" s="1375">
        <f>'Rates in Detail'!S47</f>
        <v>0</v>
      </c>
      <c r="S44" s="1376">
        <f>'Rates in Detail'!T47</f>
        <v>-1.2099999999999999E-3</v>
      </c>
      <c r="T44" s="1383">
        <f t="shared" si="2"/>
        <v>5.8160000000000003E-2</v>
      </c>
      <c r="U44" s="117">
        <f>'Rates in Detail'!Y47</f>
        <v>4.3600000000000002E-3</v>
      </c>
      <c r="V44" s="117">
        <f>'Rates in Detail'!Z47</f>
        <v>-6.0000000000000002E-5</v>
      </c>
      <c r="W44" s="1387">
        <f t="shared" si="3"/>
        <v>6.3670000000000004E-2</v>
      </c>
      <c r="X44" s="131"/>
    </row>
    <row r="45" spans="2:24" x14ac:dyDescent="0.2">
      <c r="B45" s="110">
        <f t="shared" si="4"/>
        <v>36</v>
      </c>
      <c r="C45" s="111"/>
      <c r="D45" s="111" t="s">
        <v>9</v>
      </c>
      <c r="E45" s="112" t="s">
        <v>74</v>
      </c>
      <c r="F45" s="113">
        <f>'WA Volumes &amp; Revenues'!E50</f>
        <v>0</v>
      </c>
      <c r="G45" s="113"/>
      <c r="H45" s="907"/>
      <c r="I45" s="909"/>
      <c r="J45" s="627">
        <f>'Rates in Detail'!E48</f>
        <v>1.8929999999999999E-2</v>
      </c>
      <c r="K45" s="631">
        <f>'Rates in Detail'!H48</f>
        <v>0</v>
      </c>
      <c r="L45" s="631">
        <f>'Rates in Detail'!F48</f>
        <v>0</v>
      </c>
      <c r="M45" s="631">
        <f>'Rates in Detail'!I48</f>
        <v>7.9999999999999993E-5</v>
      </c>
      <c r="N45" s="135">
        <f t="shared" si="0"/>
        <v>1.9009999999999999E-2</v>
      </c>
      <c r="O45" s="1374">
        <f>'Rates in Detail'!L48</f>
        <v>3.49E-3</v>
      </c>
      <c r="P45" s="1367">
        <f>'Rates in Detail'!P48</f>
        <v>-2.4000000000000001E-4</v>
      </c>
      <c r="Q45" s="1373">
        <f t="shared" si="1"/>
        <v>2.2259999999999999E-2</v>
      </c>
      <c r="R45" s="1374">
        <f>'Rates in Detail'!S48</f>
        <v>0</v>
      </c>
      <c r="S45" s="1367">
        <f>'Rates in Detail'!T48</f>
        <v>-4.4999999999999999E-4</v>
      </c>
      <c r="T45" s="1382">
        <f t="shared" si="2"/>
        <v>2.181E-2</v>
      </c>
      <c r="U45" s="114">
        <f>'Rates in Detail'!Y48</f>
        <v>1.64E-3</v>
      </c>
      <c r="V45" s="114">
        <f>'Rates in Detail'!Z48</f>
        <v>-2.0000000000000002E-5</v>
      </c>
      <c r="W45" s="1386">
        <f t="shared" si="3"/>
        <v>2.3879999999999998E-2</v>
      </c>
      <c r="X45" s="131"/>
    </row>
    <row r="46" spans="2:24" x14ac:dyDescent="0.2">
      <c r="B46" s="110">
        <f t="shared" si="4"/>
        <v>37</v>
      </c>
      <c r="C46" s="1355" t="str">
        <f>'WA Volumes &amp; Revenues'!B51</f>
        <v>42I Firm Transpt</v>
      </c>
      <c r="D46" s="1355" t="s">
        <v>4</v>
      </c>
      <c r="E46" s="115">
        <v>10000</v>
      </c>
      <c r="F46" s="116">
        <f>'WA Volumes &amp; Revenues'!E51</f>
        <v>924395</v>
      </c>
      <c r="G46" s="116">
        <f>'WA Volumes &amp; Revenues'!H51</f>
        <v>8.9166666666666661</v>
      </c>
      <c r="H46" s="912">
        <f>'WA Volumes &amp; Revenues'!O51</f>
        <v>1550</v>
      </c>
      <c r="I46" s="913">
        <f>'WA Volumes &amp; Revenues'!N51</f>
        <v>1550</v>
      </c>
      <c r="J46" s="628">
        <f>'Rates in Detail'!E49</f>
        <v>0.13941000000000001</v>
      </c>
      <c r="K46" s="630">
        <f>'Rates in Detail'!H49</f>
        <v>0</v>
      </c>
      <c r="L46" s="630">
        <f>'Rates in Detail'!F49</f>
        <v>0</v>
      </c>
      <c r="M46" s="630">
        <f>'Rates in Detail'!I49</f>
        <v>5.8999999999999992E-4</v>
      </c>
      <c r="N46" s="137">
        <f t="shared" si="0"/>
        <v>0.14000000000000001</v>
      </c>
      <c r="O46" s="1375">
        <f>'Rates in Detail'!L49</f>
        <v>2.5739999999999999E-2</v>
      </c>
      <c r="P46" s="1376">
        <f>'Rates in Detail'!P49</f>
        <v>-1.7700000000000001E-3</v>
      </c>
      <c r="Q46" s="1377">
        <f t="shared" si="1"/>
        <v>0.16397</v>
      </c>
      <c r="R46" s="1375">
        <f>'Rates in Detail'!S49</f>
        <v>0</v>
      </c>
      <c r="S46" s="1376">
        <f>'Rates in Detail'!T49</f>
        <v>-3.3600000000000001E-3</v>
      </c>
      <c r="T46" s="1383">
        <f t="shared" si="2"/>
        <v>0.16061</v>
      </c>
      <c r="U46" s="117">
        <f>'Rates in Detail'!Y49</f>
        <v>1.2070000000000001E-2</v>
      </c>
      <c r="V46" s="117">
        <f>'Rates in Detail'!Z49</f>
        <v>-1.7000000000000001E-4</v>
      </c>
      <c r="W46" s="1387">
        <f t="shared" si="3"/>
        <v>0.17587</v>
      </c>
      <c r="X46" s="131"/>
    </row>
    <row r="47" spans="2:24" x14ac:dyDescent="0.2">
      <c r="B47" s="110">
        <f t="shared" si="4"/>
        <v>38</v>
      </c>
      <c r="C47" s="1355"/>
      <c r="D47" s="1355" t="s">
        <v>5</v>
      </c>
      <c r="E47" s="115">
        <v>20000</v>
      </c>
      <c r="F47" s="116">
        <f>'WA Volumes &amp; Revenues'!E52</f>
        <v>1036796</v>
      </c>
      <c r="G47" s="116"/>
      <c r="H47" s="912"/>
      <c r="I47" s="913"/>
      <c r="J47" s="628">
        <f>'Rates in Detail'!E50</f>
        <v>0.12478999999999997</v>
      </c>
      <c r="K47" s="630">
        <f>'Rates in Detail'!H50</f>
        <v>0</v>
      </c>
      <c r="L47" s="630">
        <f>'Rates in Detail'!F50</f>
        <v>0</v>
      </c>
      <c r="M47" s="630">
        <f>'Rates in Detail'!I50</f>
        <v>5.2000000000000006E-4</v>
      </c>
      <c r="N47" s="137">
        <f t="shared" si="0"/>
        <v>0.12530999999999998</v>
      </c>
      <c r="O47" s="1375">
        <f>'Rates in Detail'!L50</f>
        <v>2.3040000000000001E-2</v>
      </c>
      <c r="P47" s="1376">
        <f>'Rates in Detail'!P50</f>
        <v>-1.5900000000000001E-3</v>
      </c>
      <c r="Q47" s="1377">
        <f t="shared" si="1"/>
        <v>0.14675999999999997</v>
      </c>
      <c r="R47" s="1375">
        <f>'Rates in Detail'!S50</f>
        <v>0</v>
      </c>
      <c r="S47" s="1376">
        <f>'Rates in Detail'!T50</f>
        <v>-3.0000000000000001E-3</v>
      </c>
      <c r="T47" s="1383">
        <f t="shared" si="2"/>
        <v>0.14375999999999997</v>
      </c>
      <c r="U47" s="117">
        <f>'Rates in Detail'!Y50</f>
        <v>1.0800000000000001E-2</v>
      </c>
      <c r="V47" s="117">
        <f>'Rates in Detail'!Z50</f>
        <v>-1.4999999999999999E-4</v>
      </c>
      <c r="W47" s="1387">
        <f t="shared" si="3"/>
        <v>0.15740999999999997</v>
      </c>
      <c r="X47" s="131"/>
    </row>
    <row r="48" spans="2:24" x14ac:dyDescent="0.2">
      <c r="B48" s="110">
        <f t="shared" si="4"/>
        <v>39</v>
      </c>
      <c r="C48" s="1355"/>
      <c r="D48" s="1355" t="s">
        <v>6</v>
      </c>
      <c r="E48" s="115">
        <v>20000</v>
      </c>
      <c r="F48" s="116">
        <f>'WA Volumes &amp; Revenues'!E53</f>
        <v>937215</v>
      </c>
      <c r="G48" s="116"/>
      <c r="H48" s="912"/>
      <c r="I48" s="913"/>
      <c r="J48" s="628">
        <f>'Rates in Detail'!E51</f>
        <v>9.5690000000000011E-2</v>
      </c>
      <c r="K48" s="630">
        <f>'Rates in Detail'!H51</f>
        <v>0</v>
      </c>
      <c r="L48" s="630">
        <f>'Rates in Detail'!F51</f>
        <v>0</v>
      </c>
      <c r="M48" s="630">
        <f>'Rates in Detail'!I51</f>
        <v>4.1000000000000005E-4</v>
      </c>
      <c r="N48" s="137">
        <f t="shared" si="0"/>
        <v>9.6100000000000005E-2</v>
      </c>
      <c r="O48" s="1375">
        <f>'Rates in Detail'!L51</f>
        <v>1.7670000000000002E-2</v>
      </c>
      <c r="P48" s="1376">
        <f>'Rates in Detail'!P51</f>
        <v>-1.2199999999999999E-3</v>
      </c>
      <c r="Q48" s="1377">
        <f t="shared" si="1"/>
        <v>0.11255000000000001</v>
      </c>
      <c r="R48" s="1375">
        <f>'Rates in Detail'!S51</f>
        <v>0</v>
      </c>
      <c r="S48" s="1376">
        <f>'Rates in Detail'!T51</f>
        <v>-2.3E-3</v>
      </c>
      <c r="T48" s="1383">
        <f t="shared" si="2"/>
        <v>0.11025000000000001</v>
      </c>
      <c r="U48" s="117">
        <f>'Rates in Detail'!Y51</f>
        <v>8.2799999999999992E-3</v>
      </c>
      <c r="V48" s="117">
        <f>'Rates in Detail'!Z51</f>
        <v>-1.2E-4</v>
      </c>
      <c r="W48" s="1387">
        <f t="shared" si="3"/>
        <v>0.12071000000000001</v>
      </c>
      <c r="X48" s="131"/>
    </row>
    <row r="49" spans="2:24" x14ac:dyDescent="0.2">
      <c r="B49" s="110">
        <f t="shared" si="4"/>
        <v>40</v>
      </c>
      <c r="C49" s="1355"/>
      <c r="D49" s="1355" t="s">
        <v>7</v>
      </c>
      <c r="E49" s="115">
        <v>100000</v>
      </c>
      <c r="F49" s="116">
        <f>'WA Volumes &amp; Revenues'!E54</f>
        <v>2390318</v>
      </c>
      <c r="G49" s="116"/>
      <c r="H49" s="912"/>
      <c r="I49" s="913"/>
      <c r="J49" s="628">
        <f>'Rates in Detail'!E52</f>
        <v>7.6560000000000017E-2</v>
      </c>
      <c r="K49" s="630">
        <f>'Rates in Detail'!H52</f>
        <v>0</v>
      </c>
      <c r="L49" s="630">
        <f>'Rates in Detail'!F52</f>
        <v>0</v>
      </c>
      <c r="M49" s="630">
        <f>'Rates in Detail'!I52</f>
        <v>3.1999999999999997E-4</v>
      </c>
      <c r="N49" s="137">
        <f t="shared" si="0"/>
        <v>7.6880000000000018E-2</v>
      </c>
      <c r="O49" s="1375">
        <f>'Rates in Detail'!L52</f>
        <v>1.414E-2</v>
      </c>
      <c r="P49" s="1376">
        <f>'Rates in Detail'!P52</f>
        <v>-9.7000000000000005E-4</v>
      </c>
      <c r="Q49" s="1377">
        <f t="shared" si="1"/>
        <v>9.0050000000000019E-2</v>
      </c>
      <c r="R49" s="1375">
        <f>'Rates in Detail'!S52</f>
        <v>0</v>
      </c>
      <c r="S49" s="1376">
        <f>'Rates in Detail'!T52</f>
        <v>-1.8400000000000001E-3</v>
      </c>
      <c r="T49" s="1383">
        <f t="shared" si="2"/>
        <v>8.8210000000000025E-2</v>
      </c>
      <c r="U49" s="117">
        <f>'Rates in Detail'!Y52</f>
        <v>6.6299999999999996E-3</v>
      </c>
      <c r="V49" s="117">
        <f>'Rates in Detail'!Z52</f>
        <v>-9.0000000000000006E-5</v>
      </c>
      <c r="W49" s="1387">
        <f t="shared" si="3"/>
        <v>9.6590000000000009E-2</v>
      </c>
      <c r="X49" s="131"/>
    </row>
    <row r="50" spans="2:24" x14ac:dyDescent="0.2">
      <c r="B50" s="110">
        <f t="shared" si="4"/>
        <v>41</v>
      </c>
      <c r="C50" s="1355"/>
      <c r="D50" s="1355" t="s">
        <v>8</v>
      </c>
      <c r="E50" s="115">
        <v>600000</v>
      </c>
      <c r="F50" s="116">
        <f>'WA Volumes &amp; Revenues'!E55</f>
        <v>1492257</v>
      </c>
      <c r="G50" s="116"/>
      <c r="H50" s="912"/>
      <c r="I50" s="913"/>
      <c r="J50" s="628">
        <f>'Rates in Detail'!E53</f>
        <v>5.1040000000000002E-2</v>
      </c>
      <c r="K50" s="630">
        <f>'Rates in Detail'!H53</f>
        <v>0</v>
      </c>
      <c r="L50" s="630">
        <f>'Rates in Detail'!F53</f>
        <v>0</v>
      </c>
      <c r="M50" s="630">
        <f>'Rates in Detail'!I53</f>
        <v>2.1000000000000001E-4</v>
      </c>
      <c r="N50" s="137">
        <f t="shared" si="0"/>
        <v>5.1250000000000004E-2</v>
      </c>
      <c r="O50" s="1375">
        <f>'Rates in Detail'!L53</f>
        <v>9.4199999999999996E-3</v>
      </c>
      <c r="P50" s="1376">
        <f>'Rates in Detail'!P53</f>
        <v>-6.4999999999999997E-4</v>
      </c>
      <c r="Q50" s="1377">
        <f t="shared" si="1"/>
        <v>6.0020000000000004E-2</v>
      </c>
      <c r="R50" s="1375">
        <f>'Rates in Detail'!S53</f>
        <v>0</v>
      </c>
      <c r="S50" s="1376">
        <f>'Rates in Detail'!T53</f>
        <v>-1.23E-3</v>
      </c>
      <c r="T50" s="1383">
        <f t="shared" si="2"/>
        <v>5.8790000000000002E-2</v>
      </c>
      <c r="U50" s="117">
        <f>'Rates in Detail'!Y53</f>
        <v>4.4200000000000003E-3</v>
      </c>
      <c r="V50" s="117">
        <f>'Rates in Detail'!Z53</f>
        <v>-6.0000000000000002E-5</v>
      </c>
      <c r="W50" s="1387">
        <f t="shared" si="3"/>
        <v>6.4379999999999993E-2</v>
      </c>
      <c r="X50" s="131"/>
    </row>
    <row r="51" spans="2:24" x14ac:dyDescent="0.2">
      <c r="B51" s="110">
        <f t="shared" si="4"/>
        <v>42</v>
      </c>
      <c r="C51" s="111"/>
      <c r="D51" s="111" t="s">
        <v>9</v>
      </c>
      <c r="E51" s="112" t="s">
        <v>74</v>
      </c>
      <c r="F51" s="113">
        <f>'WA Volumes &amp; Revenues'!E56</f>
        <v>0</v>
      </c>
      <c r="G51" s="113"/>
      <c r="H51" s="907"/>
      <c r="I51" s="909"/>
      <c r="J51" s="627">
        <f>'Rates in Detail'!E54</f>
        <v>1.9140000000000001E-2</v>
      </c>
      <c r="K51" s="631">
        <f>'Rates in Detail'!H54</f>
        <v>0</v>
      </c>
      <c r="L51" s="631">
        <f>'Rates in Detail'!F54</f>
        <v>0</v>
      </c>
      <c r="M51" s="631">
        <f>'Rates in Detail'!I54</f>
        <v>7.9999999999999993E-5</v>
      </c>
      <c r="N51" s="135">
        <f t="shared" si="0"/>
        <v>1.9220000000000001E-2</v>
      </c>
      <c r="O51" s="1374">
        <f>'Rates in Detail'!L54</f>
        <v>3.5300000000000002E-3</v>
      </c>
      <c r="P51" s="1367">
        <f>'Rates in Detail'!P54</f>
        <v>-2.4000000000000001E-4</v>
      </c>
      <c r="Q51" s="1373">
        <f t="shared" si="1"/>
        <v>2.2509999999999999E-2</v>
      </c>
      <c r="R51" s="1374">
        <f>'Rates in Detail'!S54</f>
        <v>0</v>
      </c>
      <c r="S51" s="1367">
        <f>'Rates in Detail'!T54</f>
        <v>-4.6000000000000001E-4</v>
      </c>
      <c r="T51" s="1382">
        <f t="shared" si="2"/>
        <v>2.205E-2</v>
      </c>
      <c r="U51" s="114">
        <f>'Rates in Detail'!Y54</f>
        <v>1.66E-3</v>
      </c>
      <c r="V51" s="114">
        <f>'Rates in Detail'!Z54</f>
        <v>-2.0000000000000002E-5</v>
      </c>
      <c r="W51" s="1386">
        <f t="shared" si="3"/>
        <v>2.4150000000000001E-2</v>
      </c>
      <c r="X51" s="131"/>
    </row>
    <row r="52" spans="2:24" x14ac:dyDescent="0.2">
      <c r="B52" s="110">
        <f t="shared" si="4"/>
        <v>43</v>
      </c>
      <c r="C52" s="1355" t="str">
        <f>'WA Volumes &amp; Revenues'!B57</f>
        <v>42C Interr Sales</v>
      </c>
      <c r="D52" s="1355" t="s">
        <v>4</v>
      </c>
      <c r="E52" s="115">
        <v>10000</v>
      </c>
      <c r="F52" s="116">
        <f>'WA Volumes &amp; Revenues'!E57</f>
        <v>240000</v>
      </c>
      <c r="G52" s="116">
        <f>'WA Volumes &amp; Revenues'!H57</f>
        <v>2</v>
      </c>
      <c r="H52" s="912">
        <f>'WA Volumes &amp; Revenues'!O57</f>
        <v>1300</v>
      </c>
      <c r="I52" s="913">
        <f>'WA Volumes &amp; Revenues'!N57</f>
        <v>1300</v>
      </c>
      <c r="J52" s="628">
        <f>'Rates in Detail'!E55</f>
        <v>0.13682000000000002</v>
      </c>
      <c r="K52" s="630">
        <f>'Rates in Detail'!H55</f>
        <v>0</v>
      </c>
      <c r="L52" s="630">
        <f>'Rates in Detail'!F55</f>
        <v>0.26333000000000001</v>
      </c>
      <c r="M52" s="630">
        <f>'Rates in Detail'!I55</f>
        <v>2.334E-2</v>
      </c>
      <c r="N52" s="137">
        <f t="shared" si="0"/>
        <v>0.42349000000000003</v>
      </c>
      <c r="O52" s="1375">
        <f>'Rates in Detail'!L55</f>
        <v>2.6700000000000002E-2</v>
      </c>
      <c r="P52" s="1376">
        <f>'Rates in Detail'!P55</f>
        <v>-1.8400000000000001E-3</v>
      </c>
      <c r="Q52" s="1377">
        <f t="shared" si="1"/>
        <v>0.44835000000000003</v>
      </c>
      <c r="R52" s="1375">
        <f>'Rates in Detail'!S55</f>
        <v>-6.3E-3</v>
      </c>
      <c r="S52" s="1376">
        <f>'Rates in Detail'!T55</f>
        <v>-3.48E-3</v>
      </c>
      <c r="T52" s="1383">
        <f t="shared" si="2"/>
        <v>0.43857000000000007</v>
      </c>
      <c r="U52" s="117">
        <f>'Rates in Detail'!Y55</f>
        <v>1.252E-2</v>
      </c>
      <c r="V52" s="117">
        <f>'Rates in Detail'!Z55</f>
        <v>-1.8000000000000001E-4</v>
      </c>
      <c r="W52" s="1387">
        <f t="shared" si="3"/>
        <v>0.46069000000000004</v>
      </c>
      <c r="X52" s="131"/>
    </row>
    <row r="53" spans="2:24" x14ac:dyDescent="0.2">
      <c r="B53" s="110">
        <f t="shared" si="4"/>
        <v>44</v>
      </c>
      <c r="C53" s="1355"/>
      <c r="D53" s="1355" t="s">
        <v>5</v>
      </c>
      <c r="E53" s="115">
        <v>20000</v>
      </c>
      <c r="F53" s="116">
        <f>'WA Volumes &amp; Revenues'!E58</f>
        <v>467511</v>
      </c>
      <c r="G53" s="116"/>
      <c r="H53" s="912"/>
      <c r="I53" s="913"/>
      <c r="J53" s="628">
        <f>'Rates in Detail'!E56</f>
        <v>0.12246999999999988</v>
      </c>
      <c r="K53" s="630">
        <f>'Rates in Detail'!H56</f>
        <v>0</v>
      </c>
      <c r="L53" s="630">
        <f>'Rates in Detail'!F56</f>
        <v>0.26333000000000001</v>
      </c>
      <c r="M53" s="630">
        <f>'Rates in Detail'!I56</f>
        <v>2.0999999999999998E-2</v>
      </c>
      <c r="N53" s="137">
        <f t="shared" si="0"/>
        <v>0.40679999999999994</v>
      </c>
      <c r="O53" s="1375">
        <f>'Rates in Detail'!L56</f>
        <v>2.3900000000000001E-2</v>
      </c>
      <c r="P53" s="1376">
        <f>'Rates in Detail'!P56</f>
        <v>-1.64E-3</v>
      </c>
      <c r="Q53" s="1377">
        <f t="shared" si="1"/>
        <v>0.42905999999999994</v>
      </c>
      <c r="R53" s="1375">
        <f>'Rates in Detail'!S56</f>
        <v>-5.64E-3</v>
      </c>
      <c r="S53" s="1376">
        <f>'Rates in Detail'!T56</f>
        <v>-3.1199999999999999E-3</v>
      </c>
      <c r="T53" s="1383">
        <f t="shared" si="2"/>
        <v>0.42029999999999995</v>
      </c>
      <c r="U53" s="117">
        <f>'Rates in Detail'!Y56</f>
        <v>1.1209999999999999E-2</v>
      </c>
      <c r="V53" s="117">
        <f>'Rates in Detail'!Z56</f>
        <v>-1.6000000000000001E-4</v>
      </c>
      <c r="W53" s="1387">
        <f t="shared" si="3"/>
        <v>0.44010999999999995</v>
      </c>
      <c r="X53" s="131"/>
    </row>
    <row r="54" spans="2:24" x14ac:dyDescent="0.2">
      <c r="B54" s="110">
        <f t="shared" si="4"/>
        <v>45</v>
      </c>
      <c r="C54" s="1355"/>
      <c r="D54" s="1355" t="s">
        <v>6</v>
      </c>
      <c r="E54" s="115">
        <v>20000</v>
      </c>
      <c r="F54" s="116">
        <f>'WA Volumes &amp; Revenues'!E59</f>
        <v>218004</v>
      </c>
      <c r="G54" s="116"/>
      <c r="H54" s="912"/>
      <c r="I54" s="913"/>
      <c r="J54" s="628">
        <f>'Rates in Detail'!E57</f>
        <v>9.3909999999999993E-2</v>
      </c>
      <c r="K54" s="630">
        <f>'Rates in Detail'!H57</f>
        <v>0</v>
      </c>
      <c r="L54" s="630">
        <f>'Rates in Detail'!F57</f>
        <v>0.26333000000000001</v>
      </c>
      <c r="M54" s="630">
        <f>'Rates in Detail'!I57</f>
        <v>1.6370000000000003E-2</v>
      </c>
      <c r="N54" s="137">
        <f t="shared" si="0"/>
        <v>0.37361</v>
      </c>
      <c r="O54" s="1375">
        <f>'Rates in Detail'!L57</f>
        <v>1.8329999999999999E-2</v>
      </c>
      <c r="P54" s="1376">
        <f>'Rates in Detail'!P57</f>
        <v>-1.2600000000000001E-3</v>
      </c>
      <c r="Q54" s="1377">
        <f t="shared" si="1"/>
        <v>0.39068000000000003</v>
      </c>
      <c r="R54" s="1375">
        <f>'Rates in Detail'!S57</f>
        <v>-4.3200000000000001E-3</v>
      </c>
      <c r="S54" s="1376">
        <f>'Rates in Detail'!T57</f>
        <v>-2.3900000000000002E-3</v>
      </c>
      <c r="T54" s="1383">
        <f t="shared" si="2"/>
        <v>0.38397000000000003</v>
      </c>
      <c r="U54" s="117">
        <f>'Rates in Detail'!Y57</f>
        <v>8.5900000000000004E-3</v>
      </c>
      <c r="V54" s="117">
        <f>'Rates in Detail'!Z57</f>
        <v>-1.2E-4</v>
      </c>
      <c r="W54" s="1387">
        <f t="shared" si="3"/>
        <v>0.39915</v>
      </c>
      <c r="X54" s="131"/>
    </row>
    <row r="55" spans="2:24" x14ac:dyDescent="0.2">
      <c r="B55" s="110">
        <f t="shared" si="4"/>
        <v>46</v>
      </c>
      <c r="C55" s="1355"/>
      <c r="D55" s="1355" t="s">
        <v>7</v>
      </c>
      <c r="E55" s="115">
        <v>100000</v>
      </c>
      <c r="F55" s="116">
        <f>'WA Volumes &amp; Revenues'!E60</f>
        <v>18208</v>
      </c>
      <c r="G55" s="116"/>
      <c r="H55" s="912"/>
      <c r="I55" s="913"/>
      <c r="J55" s="628">
        <f>'Rates in Detail'!E58</f>
        <v>7.5130000000000044E-2</v>
      </c>
      <c r="K55" s="630">
        <f>'Rates in Detail'!H58</f>
        <v>0</v>
      </c>
      <c r="L55" s="630">
        <f>'Rates in Detail'!F58</f>
        <v>0.26333000000000001</v>
      </c>
      <c r="M55" s="630">
        <f>'Rates in Detail'!I58</f>
        <v>1.3339999999999999E-2</v>
      </c>
      <c r="N55" s="137">
        <f t="shared" si="0"/>
        <v>0.35180000000000006</v>
      </c>
      <c r="O55" s="1375">
        <f>'Rates in Detail'!L58</f>
        <v>1.4659999999999999E-2</v>
      </c>
      <c r="P55" s="1376">
        <f>'Rates in Detail'!P58</f>
        <v>-1.01E-3</v>
      </c>
      <c r="Q55" s="1377">
        <f t="shared" si="1"/>
        <v>0.36545000000000005</v>
      </c>
      <c r="R55" s="1375">
        <f>'Rates in Detail'!S58</f>
        <v>-3.46E-3</v>
      </c>
      <c r="S55" s="1376">
        <f>'Rates in Detail'!T58</f>
        <v>-1.91E-3</v>
      </c>
      <c r="T55" s="1383">
        <f t="shared" si="2"/>
        <v>0.36008000000000001</v>
      </c>
      <c r="U55" s="117">
        <f>'Rates in Detail'!Y58</f>
        <v>6.8799999999999998E-3</v>
      </c>
      <c r="V55" s="117">
        <f>'Rates in Detail'!Z58</f>
        <v>-1E-4</v>
      </c>
      <c r="W55" s="1387">
        <f t="shared" si="3"/>
        <v>0.37223000000000001</v>
      </c>
      <c r="X55" s="131"/>
    </row>
    <row r="56" spans="2:24" x14ac:dyDescent="0.2">
      <c r="B56" s="110">
        <f t="shared" si="4"/>
        <v>47</v>
      </c>
      <c r="C56" s="1355"/>
      <c r="D56" s="1355" t="s">
        <v>8</v>
      </c>
      <c r="E56" s="115">
        <v>600000</v>
      </c>
      <c r="F56" s="116">
        <f>'WA Volumes &amp; Revenues'!E61</f>
        <v>0</v>
      </c>
      <c r="G56" s="116"/>
      <c r="H56" s="912"/>
      <c r="I56" s="913"/>
      <c r="J56" s="628">
        <f>'Rates in Detail'!E59</f>
        <v>5.0089999999999968E-2</v>
      </c>
      <c r="K56" s="630">
        <f>'Rates in Detail'!H59</f>
        <v>0</v>
      </c>
      <c r="L56" s="630">
        <f>'Rates in Detail'!F59</f>
        <v>0.26333000000000001</v>
      </c>
      <c r="M56" s="630">
        <f>'Rates in Detail'!I59</f>
        <v>9.2699999999999987E-3</v>
      </c>
      <c r="N56" s="137">
        <f t="shared" si="0"/>
        <v>0.32268999999999998</v>
      </c>
      <c r="O56" s="1375">
        <f>'Rates in Detail'!L59</f>
        <v>9.7800000000000005E-3</v>
      </c>
      <c r="P56" s="1376">
        <f>'Rates in Detail'!P59</f>
        <v>-6.7000000000000002E-4</v>
      </c>
      <c r="Q56" s="1377">
        <f t="shared" si="1"/>
        <v>0.33179999999999998</v>
      </c>
      <c r="R56" s="1375">
        <f>'Rates in Detail'!S59</f>
        <v>-2.31E-3</v>
      </c>
      <c r="S56" s="1376">
        <f>'Rates in Detail'!T59</f>
        <v>-1.2700000000000001E-3</v>
      </c>
      <c r="T56" s="1383">
        <f t="shared" si="2"/>
        <v>0.32822000000000001</v>
      </c>
      <c r="U56" s="117">
        <f>'Rates in Detail'!Y59</f>
        <v>4.5799999999999999E-3</v>
      </c>
      <c r="V56" s="117">
        <f>'Rates in Detail'!Z59</f>
        <v>-6.0000000000000002E-5</v>
      </c>
      <c r="W56" s="1387">
        <f t="shared" si="3"/>
        <v>0.33631999999999995</v>
      </c>
      <c r="X56" s="131"/>
    </row>
    <row r="57" spans="2:24" x14ac:dyDescent="0.2">
      <c r="B57" s="110">
        <f t="shared" si="4"/>
        <v>48</v>
      </c>
      <c r="C57" s="111"/>
      <c r="D57" s="111" t="s">
        <v>9</v>
      </c>
      <c r="E57" s="112" t="s">
        <v>74</v>
      </c>
      <c r="F57" s="113">
        <f>'WA Volumes &amp; Revenues'!E62</f>
        <v>0</v>
      </c>
      <c r="G57" s="113"/>
      <c r="H57" s="907"/>
      <c r="I57" s="909"/>
      <c r="J57" s="627">
        <f>'Rates in Detail'!E60</f>
        <v>1.8790000000000001E-2</v>
      </c>
      <c r="K57" s="631">
        <f>'Rates in Detail'!H60</f>
        <v>0</v>
      </c>
      <c r="L57" s="631">
        <f>'Rates in Detail'!F60</f>
        <v>0.26333000000000001</v>
      </c>
      <c r="M57" s="631">
        <f>'Rates in Detail'!I60</f>
        <v>4.1999999999999989E-3</v>
      </c>
      <c r="N57" s="135">
        <f t="shared" si="0"/>
        <v>0.28632000000000002</v>
      </c>
      <c r="O57" s="1374">
        <f>'Rates in Detail'!L60</f>
        <v>3.6700000000000001E-3</v>
      </c>
      <c r="P57" s="1367">
        <f>'Rates in Detail'!P60</f>
        <v>-2.5000000000000001E-4</v>
      </c>
      <c r="Q57" s="1373">
        <f t="shared" si="1"/>
        <v>0.28974000000000005</v>
      </c>
      <c r="R57" s="1374">
        <f>'Rates in Detail'!S60</f>
        <v>-8.7000000000000001E-4</v>
      </c>
      <c r="S57" s="1367">
        <f>'Rates in Detail'!T60</f>
        <v>-4.8000000000000001E-4</v>
      </c>
      <c r="T57" s="1382">
        <f t="shared" si="2"/>
        <v>0.28839000000000009</v>
      </c>
      <c r="U57" s="114">
        <f>'Rates in Detail'!Y60</f>
        <v>1.72E-3</v>
      </c>
      <c r="V57" s="114">
        <f>'Rates in Detail'!Z60</f>
        <v>-2.0000000000000002E-5</v>
      </c>
      <c r="W57" s="1386">
        <f t="shared" si="3"/>
        <v>0.29144000000000009</v>
      </c>
      <c r="X57" s="131"/>
    </row>
    <row r="58" spans="2:24" x14ac:dyDescent="0.2">
      <c r="B58" s="110">
        <f t="shared" si="4"/>
        <v>49</v>
      </c>
      <c r="C58" s="1355" t="str">
        <f>'WA Volumes &amp; Revenues'!B63</f>
        <v>42I Interr Sales</v>
      </c>
      <c r="D58" s="1355" t="s">
        <v>4</v>
      </c>
      <c r="E58" s="115">
        <v>10000</v>
      </c>
      <c r="F58" s="116">
        <f>'WA Volumes &amp; Revenues'!E63</f>
        <v>156740</v>
      </c>
      <c r="G58" s="116">
        <f>'WA Volumes &amp; Revenues'!H63</f>
        <v>1.9166666666666701</v>
      </c>
      <c r="H58" s="912">
        <f>'WA Volumes &amp; Revenues'!O63</f>
        <v>1300</v>
      </c>
      <c r="I58" s="913">
        <f>'WA Volumes &amp; Revenues'!N63</f>
        <v>1300</v>
      </c>
      <c r="J58" s="628">
        <f>'Rates in Detail'!E61</f>
        <v>0.14583999999999989</v>
      </c>
      <c r="K58" s="630">
        <f>'Rates in Detail'!H61</f>
        <v>0</v>
      </c>
      <c r="L58" s="630">
        <f>'Rates in Detail'!F61</f>
        <v>0.26333000000000001</v>
      </c>
      <c r="M58" s="630">
        <f>'Rates in Detail'!I61</f>
        <v>6.9699999999999996E-3</v>
      </c>
      <c r="N58" s="137">
        <f t="shared" si="0"/>
        <v>0.4161399999999999</v>
      </c>
      <c r="O58" s="1375">
        <f>'Rates in Detail'!L61</f>
        <v>3.6839999999999998E-2</v>
      </c>
      <c r="P58" s="1376">
        <f>'Rates in Detail'!P61</f>
        <v>-2.5400000000000002E-3</v>
      </c>
      <c r="Q58" s="1377">
        <f t="shared" si="1"/>
        <v>0.4504399999999999</v>
      </c>
      <c r="R58" s="1375">
        <f>'Rates in Detail'!S61</f>
        <v>0</v>
      </c>
      <c r="S58" s="1376">
        <f>'Rates in Detail'!T61</f>
        <v>-4.7999999999999996E-3</v>
      </c>
      <c r="T58" s="1383">
        <f t="shared" si="2"/>
        <v>0.44563999999999987</v>
      </c>
      <c r="U58" s="117">
        <f>'Rates in Detail'!Y61</f>
        <v>1.728E-2</v>
      </c>
      <c r="V58" s="117">
        <f>'Rates in Detail'!Z61</f>
        <v>-2.4000000000000001E-4</v>
      </c>
      <c r="W58" s="1387">
        <f t="shared" si="3"/>
        <v>0.4674799999999999</v>
      </c>
      <c r="X58" s="131"/>
    </row>
    <row r="59" spans="2:24" x14ac:dyDescent="0.2">
      <c r="B59" s="110">
        <f t="shared" si="4"/>
        <v>50</v>
      </c>
      <c r="C59" s="1355"/>
      <c r="D59" s="1355" t="s">
        <v>5</v>
      </c>
      <c r="E59" s="115">
        <v>20000</v>
      </c>
      <c r="F59" s="116">
        <f>'WA Volumes &amp; Revenues'!E64</f>
        <v>159690</v>
      </c>
      <c r="G59" s="116"/>
      <c r="H59" s="912"/>
      <c r="I59" s="913"/>
      <c r="J59" s="628">
        <f>'Rates in Detail'!E62</f>
        <v>0.13054999999999992</v>
      </c>
      <c r="K59" s="630">
        <f>'Rates in Detail'!H62</f>
        <v>0</v>
      </c>
      <c r="L59" s="630">
        <f>'Rates in Detail'!F62</f>
        <v>0.26333000000000001</v>
      </c>
      <c r="M59" s="630">
        <f>'Rates in Detail'!I62</f>
        <v>6.3499999999999997E-3</v>
      </c>
      <c r="N59" s="137">
        <f t="shared" si="0"/>
        <v>0.40022999999999992</v>
      </c>
      <c r="O59" s="1375">
        <f>'Rates in Detail'!L62</f>
        <v>3.2980000000000002E-2</v>
      </c>
      <c r="P59" s="1376">
        <f>'Rates in Detail'!P62</f>
        <v>-2.2699999999999999E-3</v>
      </c>
      <c r="Q59" s="1377">
        <f t="shared" si="1"/>
        <v>0.43093999999999993</v>
      </c>
      <c r="R59" s="1375">
        <f>'Rates in Detail'!S62</f>
        <v>0</v>
      </c>
      <c r="S59" s="1376">
        <f>'Rates in Detail'!T62</f>
        <v>-4.3E-3</v>
      </c>
      <c r="T59" s="1383">
        <f t="shared" si="2"/>
        <v>0.42663999999999991</v>
      </c>
      <c r="U59" s="117">
        <f>'Rates in Detail'!Y62</f>
        <v>1.546E-2</v>
      </c>
      <c r="V59" s="117">
        <f>'Rates in Detail'!Z62</f>
        <v>-2.2000000000000001E-4</v>
      </c>
      <c r="W59" s="1387">
        <f t="shared" si="3"/>
        <v>0.44617999999999991</v>
      </c>
      <c r="X59" s="131"/>
    </row>
    <row r="60" spans="2:24" x14ac:dyDescent="0.2">
      <c r="B60" s="110">
        <f t="shared" si="4"/>
        <v>51</v>
      </c>
      <c r="C60" s="1355"/>
      <c r="D60" s="1355" t="s">
        <v>6</v>
      </c>
      <c r="E60" s="115">
        <v>20000</v>
      </c>
      <c r="F60" s="116">
        <f>'WA Volumes &amp; Revenues'!E65</f>
        <v>0</v>
      </c>
      <c r="G60" s="116"/>
      <c r="H60" s="912"/>
      <c r="I60" s="913"/>
      <c r="J60" s="628">
        <f>'Rates in Detail'!E63</f>
        <v>0.10011</v>
      </c>
      <c r="K60" s="630">
        <f>'Rates in Detail'!H63</f>
        <v>0</v>
      </c>
      <c r="L60" s="630">
        <f>'Rates in Detail'!F63</f>
        <v>0.26333000000000001</v>
      </c>
      <c r="M60" s="630">
        <f>'Rates in Detail'!I63</f>
        <v>5.1399999999999996E-3</v>
      </c>
      <c r="N60" s="137">
        <f t="shared" si="0"/>
        <v>0.36857999999999996</v>
      </c>
      <c r="O60" s="1375">
        <f>'Rates in Detail'!L63</f>
        <v>2.529E-2</v>
      </c>
      <c r="P60" s="1376">
        <f>'Rates in Detail'!P63</f>
        <v>-1.74E-3</v>
      </c>
      <c r="Q60" s="1377">
        <f t="shared" si="1"/>
        <v>0.39212999999999992</v>
      </c>
      <c r="R60" s="1375">
        <f>'Rates in Detail'!S63</f>
        <v>0</v>
      </c>
      <c r="S60" s="1376">
        <f>'Rates in Detail'!T63</f>
        <v>-3.3E-3</v>
      </c>
      <c r="T60" s="1383">
        <f t="shared" si="2"/>
        <v>0.3888299999999999</v>
      </c>
      <c r="U60" s="117">
        <f>'Rates in Detail'!Y63</f>
        <v>1.1860000000000001E-2</v>
      </c>
      <c r="V60" s="117">
        <f>'Rates in Detail'!Z63</f>
        <v>-1.7000000000000001E-4</v>
      </c>
      <c r="W60" s="1387">
        <f t="shared" si="3"/>
        <v>0.4038199999999999</v>
      </c>
      <c r="X60" s="131"/>
    </row>
    <row r="61" spans="2:24" x14ac:dyDescent="0.2">
      <c r="B61" s="110">
        <f t="shared" si="4"/>
        <v>52</v>
      </c>
      <c r="C61" s="1355"/>
      <c r="D61" s="1355" t="s">
        <v>7</v>
      </c>
      <c r="E61" s="115">
        <v>100000</v>
      </c>
      <c r="F61" s="116">
        <f>'WA Volumes &amp; Revenues'!E66</f>
        <v>0</v>
      </c>
      <c r="G61" s="116"/>
      <c r="H61" s="912"/>
      <c r="I61" s="913"/>
      <c r="J61" s="628">
        <f>'Rates in Detail'!E64</f>
        <v>8.0089999999999995E-2</v>
      </c>
      <c r="K61" s="630">
        <f>'Rates in Detail'!H64</f>
        <v>0</v>
      </c>
      <c r="L61" s="630">
        <f>'Rates in Detail'!F64</f>
        <v>0.26333000000000001</v>
      </c>
      <c r="M61" s="630">
        <f>'Rates in Detail'!I64</f>
        <v>4.3499999999999997E-3</v>
      </c>
      <c r="N61" s="137">
        <f t="shared" si="0"/>
        <v>0.34777000000000002</v>
      </c>
      <c r="O61" s="1375">
        <f>'Rates in Detail'!L64</f>
        <v>2.0230000000000001E-2</v>
      </c>
      <c r="P61" s="1376">
        <f>'Rates in Detail'!P64</f>
        <v>-1.39E-3</v>
      </c>
      <c r="Q61" s="1377">
        <f t="shared" si="1"/>
        <v>0.36661000000000005</v>
      </c>
      <c r="R61" s="1375">
        <f>'Rates in Detail'!S64</f>
        <v>0</v>
      </c>
      <c r="S61" s="1376">
        <f>'Rates in Detail'!T64</f>
        <v>-2.64E-3</v>
      </c>
      <c r="T61" s="1383">
        <f t="shared" si="2"/>
        <v>0.36397000000000007</v>
      </c>
      <c r="U61" s="117">
        <f>'Rates in Detail'!Y64</f>
        <v>9.4900000000000002E-3</v>
      </c>
      <c r="V61" s="117">
        <f>'Rates in Detail'!Z64</f>
        <v>-1.2999999999999999E-4</v>
      </c>
      <c r="W61" s="1387">
        <f t="shared" si="3"/>
        <v>0.37597000000000003</v>
      </c>
      <c r="X61" s="131"/>
    </row>
    <row r="62" spans="2:24" x14ac:dyDescent="0.2">
      <c r="B62" s="110">
        <f t="shared" si="4"/>
        <v>53</v>
      </c>
      <c r="C62" s="1355"/>
      <c r="D62" s="1355" t="s">
        <v>8</v>
      </c>
      <c r="E62" s="115">
        <v>600000</v>
      </c>
      <c r="F62" s="116">
        <f>'WA Volumes &amp; Revenues'!E67</f>
        <v>0</v>
      </c>
      <c r="G62" s="116"/>
      <c r="H62" s="912"/>
      <c r="I62" s="913"/>
      <c r="J62" s="628">
        <f>'Rates in Detail'!E65</f>
        <v>5.339E-2</v>
      </c>
      <c r="K62" s="630">
        <f>'Rates in Detail'!H65</f>
        <v>0</v>
      </c>
      <c r="L62" s="630">
        <f>'Rates in Detail'!F65</f>
        <v>0.26333000000000001</v>
      </c>
      <c r="M62" s="630">
        <f>'Rates in Detail'!I65</f>
        <v>3.2999999999999995E-3</v>
      </c>
      <c r="N62" s="137">
        <f t="shared" si="0"/>
        <v>0.32002000000000003</v>
      </c>
      <c r="O62" s="1375">
        <f>'Rates in Detail'!L65</f>
        <v>1.349E-2</v>
      </c>
      <c r="P62" s="1376">
        <f>'Rates in Detail'!P65</f>
        <v>-9.3000000000000005E-4</v>
      </c>
      <c r="Q62" s="1377">
        <f t="shared" si="1"/>
        <v>0.33258000000000004</v>
      </c>
      <c r="R62" s="1375">
        <f>'Rates in Detail'!S65</f>
        <v>0</v>
      </c>
      <c r="S62" s="1376">
        <f>'Rates in Detail'!T65</f>
        <v>-1.7600000000000001E-3</v>
      </c>
      <c r="T62" s="1383">
        <f t="shared" si="2"/>
        <v>0.33082000000000006</v>
      </c>
      <c r="U62" s="117">
        <f>'Rates in Detail'!Y65</f>
        <v>6.3200000000000001E-3</v>
      </c>
      <c r="V62" s="117">
        <f>'Rates in Detail'!Z65</f>
        <v>-9.0000000000000006E-5</v>
      </c>
      <c r="W62" s="1387">
        <f t="shared" si="3"/>
        <v>0.33881000000000006</v>
      </c>
      <c r="X62" s="131"/>
    </row>
    <row r="63" spans="2:24" x14ac:dyDescent="0.2">
      <c r="B63" s="110">
        <f t="shared" si="4"/>
        <v>54</v>
      </c>
      <c r="C63" s="111"/>
      <c r="D63" s="111" t="s">
        <v>9</v>
      </c>
      <c r="E63" s="112" t="s">
        <v>74</v>
      </c>
      <c r="F63" s="113">
        <f>'WA Volumes &amp; Revenues'!E68</f>
        <v>0</v>
      </c>
      <c r="G63" s="113"/>
      <c r="H63" s="907"/>
      <c r="I63" s="909"/>
      <c r="J63" s="627">
        <f>'Rates in Detail'!E66</f>
        <v>2.002E-2</v>
      </c>
      <c r="K63" s="631">
        <f>'Rates in Detail'!H66</f>
        <v>0</v>
      </c>
      <c r="L63" s="631">
        <f>'Rates in Detail'!F66</f>
        <v>0.26333000000000001</v>
      </c>
      <c r="M63" s="631">
        <f>'Rates in Detail'!I66</f>
        <v>1.9499999999999995E-3</v>
      </c>
      <c r="N63" s="135">
        <f t="shared" si="0"/>
        <v>0.2853</v>
      </c>
      <c r="O63" s="1374">
        <f>'Rates in Detail'!L66</f>
        <v>5.0600000000000003E-3</v>
      </c>
      <c r="P63" s="1367">
        <f>'Rates in Detail'!P66</f>
        <v>-3.5E-4</v>
      </c>
      <c r="Q63" s="1373">
        <f t="shared" si="1"/>
        <v>0.29000999999999999</v>
      </c>
      <c r="R63" s="1374">
        <f>'Rates in Detail'!S66</f>
        <v>0</v>
      </c>
      <c r="S63" s="1367">
        <f>'Rates in Detail'!T66</f>
        <v>-6.6E-4</v>
      </c>
      <c r="T63" s="1382">
        <f t="shared" si="2"/>
        <v>0.28935</v>
      </c>
      <c r="U63" s="114">
        <f>'Rates in Detail'!Y66</f>
        <v>2.3700000000000001E-3</v>
      </c>
      <c r="V63" s="114">
        <f>'Rates in Detail'!Z66</f>
        <v>-3.0000000000000001E-5</v>
      </c>
      <c r="W63" s="1386">
        <f t="shared" si="3"/>
        <v>0.29235</v>
      </c>
      <c r="X63" s="131"/>
    </row>
    <row r="64" spans="2:24" x14ac:dyDescent="0.2">
      <c r="B64" s="110">
        <f t="shared" si="4"/>
        <v>55</v>
      </c>
      <c r="C64" s="1355" t="str">
        <f>'WA Volumes &amp; Revenues'!B69</f>
        <v>42C Inter Transpt</v>
      </c>
      <c r="D64" s="1355" t="s">
        <v>4</v>
      </c>
      <c r="E64" s="115">
        <v>10000</v>
      </c>
      <c r="F64" s="116">
        <f>'WA Volumes &amp; Revenues'!E69</f>
        <v>0</v>
      </c>
      <c r="G64" s="116">
        <f>'WA Volumes &amp; Revenues'!H69</f>
        <v>0</v>
      </c>
      <c r="H64" s="912">
        <f>'WA Volumes &amp; Revenues'!O69</f>
        <v>1550</v>
      </c>
      <c r="I64" s="913">
        <f>'WA Volumes &amp; Revenues'!N69</f>
        <v>1550</v>
      </c>
      <c r="J64" s="628">
        <f>'Rates in Detail'!E67</f>
        <v>0.13402999999999998</v>
      </c>
      <c r="K64" s="630">
        <f>'Rates in Detail'!H67</f>
        <v>0</v>
      </c>
      <c r="L64" s="630">
        <f>'Rates in Detail'!F67</f>
        <v>0</v>
      </c>
      <c r="M64" s="630">
        <f>'Rates in Detail'!I67</f>
        <v>5.6999999999999998E-4</v>
      </c>
      <c r="N64" s="137">
        <f t="shared" si="0"/>
        <v>0.13459999999999997</v>
      </c>
      <c r="O64" s="1375">
        <f>'Rates in Detail'!L67</f>
        <v>1.6990000000000002E-2</v>
      </c>
      <c r="P64" s="1376">
        <f>'Rates in Detail'!P67</f>
        <v>-1.2600000000000001E-3</v>
      </c>
      <c r="Q64" s="1377">
        <f t="shared" si="1"/>
        <v>0.15032999999999996</v>
      </c>
      <c r="R64" s="1375">
        <f>'Rates in Detail'!S67</f>
        <v>0</v>
      </c>
      <c r="S64" s="1376">
        <f>'Rates in Detail'!T67</f>
        <v>-2.3800000000000002E-3</v>
      </c>
      <c r="T64" s="1383">
        <f t="shared" si="2"/>
        <v>0.14794999999999997</v>
      </c>
      <c r="U64" s="117">
        <f>'Rates in Detail'!Y67</f>
        <v>8.4799999999999997E-3</v>
      </c>
      <c r="V64" s="117">
        <f>'Rates in Detail'!Z67</f>
        <v>-1.2E-4</v>
      </c>
      <c r="W64" s="1387">
        <f t="shared" si="3"/>
        <v>0.15868999999999994</v>
      </c>
      <c r="X64" s="131"/>
    </row>
    <row r="65" spans="2:24" x14ac:dyDescent="0.2">
      <c r="B65" s="110">
        <f t="shared" si="4"/>
        <v>56</v>
      </c>
      <c r="C65" s="1355"/>
      <c r="D65" s="1355" t="s">
        <v>5</v>
      </c>
      <c r="E65" s="115">
        <v>20000</v>
      </c>
      <c r="F65" s="116">
        <f>'WA Volumes &amp; Revenues'!E70</f>
        <v>0</v>
      </c>
      <c r="G65" s="116"/>
      <c r="H65" s="912"/>
      <c r="I65" s="913"/>
      <c r="J65" s="628">
        <f>'Rates in Detail'!E68</f>
        <v>0.11997999999999999</v>
      </c>
      <c r="K65" s="630">
        <f>'Rates in Detail'!H68</f>
        <v>0</v>
      </c>
      <c r="L65" s="630">
        <f>'Rates in Detail'!F68</f>
        <v>0</v>
      </c>
      <c r="M65" s="630">
        <f>'Rates in Detail'!I68</f>
        <v>5.1000000000000004E-4</v>
      </c>
      <c r="N65" s="137">
        <f t="shared" si="0"/>
        <v>0.12048999999999999</v>
      </c>
      <c r="O65" s="1375">
        <f>'Rates in Detail'!L68</f>
        <v>1.521E-2</v>
      </c>
      <c r="P65" s="1376">
        <f>'Rates in Detail'!P68</f>
        <v>-1.1199999999999999E-3</v>
      </c>
      <c r="Q65" s="1377">
        <f t="shared" si="1"/>
        <v>0.13457999999999998</v>
      </c>
      <c r="R65" s="1375">
        <f>'Rates in Detail'!S68</f>
        <v>0</v>
      </c>
      <c r="S65" s="1376">
        <f>'Rates in Detail'!T68</f>
        <v>-2.1299999999999999E-3</v>
      </c>
      <c r="T65" s="1383">
        <f t="shared" si="2"/>
        <v>0.13244999999999998</v>
      </c>
      <c r="U65" s="117">
        <f>'Rates in Detail'!Y68</f>
        <v>7.5900000000000004E-3</v>
      </c>
      <c r="V65" s="117">
        <f>'Rates in Detail'!Z68</f>
        <v>-1.1E-4</v>
      </c>
      <c r="W65" s="1387">
        <f t="shared" si="3"/>
        <v>0.14205999999999999</v>
      </c>
      <c r="X65" s="131"/>
    </row>
    <row r="66" spans="2:24" x14ac:dyDescent="0.2">
      <c r="B66" s="110">
        <f t="shared" si="4"/>
        <v>57</v>
      </c>
      <c r="C66" s="1355"/>
      <c r="D66" s="1355" t="s">
        <v>6</v>
      </c>
      <c r="E66" s="115">
        <v>20000</v>
      </c>
      <c r="F66" s="116">
        <f>'WA Volumes &amp; Revenues'!E71</f>
        <v>0</v>
      </c>
      <c r="G66" s="116"/>
      <c r="H66" s="912"/>
      <c r="I66" s="913"/>
      <c r="J66" s="628">
        <f>'Rates in Detail'!E69</f>
        <v>9.1999999999999998E-2</v>
      </c>
      <c r="K66" s="630">
        <f>'Rates in Detail'!H69</f>
        <v>0</v>
      </c>
      <c r="L66" s="630">
        <f>'Rates in Detail'!F69</f>
        <v>0</v>
      </c>
      <c r="M66" s="630">
        <f>'Rates in Detail'!I69</f>
        <v>3.7999999999999997E-4</v>
      </c>
      <c r="N66" s="137">
        <f t="shared" si="0"/>
        <v>9.2380000000000004E-2</v>
      </c>
      <c r="O66" s="1375">
        <f>'Rates in Detail'!L69</f>
        <v>1.166E-2</v>
      </c>
      <c r="P66" s="1376">
        <f>'Rates in Detail'!P69</f>
        <v>-8.5999999999999998E-4</v>
      </c>
      <c r="Q66" s="1377">
        <f t="shared" si="1"/>
        <v>0.10318000000000001</v>
      </c>
      <c r="R66" s="1375">
        <f>'Rates in Detail'!S69</f>
        <v>0</v>
      </c>
      <c r="S66" s="1376">
        <f>'Rates in Detail'!T69</f>
        <v>-1.6299999999999999E-3</v>
      </c>
      <c r="T66" s="1383">
        <f t="shared" si="2"/>
        <v>0.10155</v>
      </c>
      <c r="U66" s="117">
        <f>'Rates in Detail'!Y69</f>
        <v>5.8199999999999997E-3</v>
      </c>
      <c r="V66" s="117">
        <f>'Rates in Detail'!Z69</f>
        <v>-8.0000000000000007E-5</v>
      </c>
      <c r="W66" s="1387">
        <f t="shared" si="3"/>
        <v>0.10892000000000002</v>
      </c>
      <c r="X66" s="131"/>
    </row>
    <row r="67" spans="2:24" x14ac:dyDescent="0.2">
      <c r="B67" s="110">
        <f t="shared" si="4"/>
        <v>58</v>
      </c>
      <c r="C67" s="1355"/>
      <c r="D67" s="1355" t="s">
        <v>7</v>
      </c>
      <c r="E67" s="115">
        <v>100000</v>
      </c>
      <c r="F67" s="116">
        <f>'WA Volumes &amp; Revenues'!E72</f>
        <v>0</v>
      </c>
      <c r="G67" s="116"/>
      <c r="H67" s="912"/>
      <c r="I67" s="913"/>
      <c r="J67" s="628">
        <f>'Rates in Detail'!E70</f>
        <v>7.3609999999999995E-2</v>
      </c>
      <c r="K67" s="630">
        <f>'Rates in Detail'!H70</f>
        <v>0</v>
      </c>
      <c r="L67" s="630">
        <f>'Rates in Detail'!F70</f>
        <v>0</v>
      </c>
      <c r="M67" s="630">
        <f>'Rates in Detail'!I70</f>
        <v>3.0999999999999995E-4</v>
      </c>
      <c r="N67" s="137">
        <f t="shared" si="0"/>
        <v>7.392E-2</v>
      </c>
      <c r="O67" s="1375">
        <f>'Rates in Detail'!L70</f>
        <v>9.3299999999999998E-3</v>
      </c>
      <c r="P67" s="1376">
        <f>'Rates in Detail'!P70</f>
        <v>-6.8999999999999997E-4</v>
      </c>
      <c r="Q67" s="1377">
        <f t="shared" si="1"/>
        <v>8.2560000000000008E-2</v>
      </c>
      <c r="R67" s="1375">
        <f>'Rates in Detail'!S70</f>
        <v>0</v>
      </c>
      <c r="S67" s="1376">
        <f>'Rates in Detail'!T70</f>
        <v>-1.31E-3</v>
      </c>
      <c r="T67" s="1383">
        <f t="shared" si="2"/>
        <v>8.1250000000000003E-2</v>
      </c>
      <c r="U67" s="117">
        <f>'Rates in Detail'!Y70</f>
        <v>4.6600000000000001E-3</v>
      </c>
      <c r="V67" s="117">
        <f>'Rates in Detail'!Z70</f>
        <v>-6.9999999999999994E-5</v>
      </c>
      <c r="W67" s="1387">
        <f t="shared" si="3"/>
        <v>8.7150000000000005E-2</v>
      </c>
      <c r="X67" s="131"/>
    </row>
    <row r="68" spans="2:24" x14ac:dyDescent="0.2">
      <c r="B68" s="110">
        <f t="shared" si="4"/>
        <v>59</v>
      </c>
      <c r="C68" s="1355"/>
      <c r="D68" s="1355" t="s">
        <v>8</v>
      </c>
      <c r="E68" s="115">
        <v>600000</v>
      </c>
      <c r="F68" s="116">
        <f>'WA Volumes &amp; Revenues'!E73</f>
        <v>0</v>
      </c>
      <c r="G68" s="116"/>
      <c r="H68" s="912"/>
      <c r="I68" s="913"/>
      <c r="J68" s="628">
        <f>'Rates in Detail'!E71</f>
        <v>4.9079999999999999E-2</v>
      </c>
      <c r="K68" s="630">
        <f>'Rates in Detail'!H71</f>
        <v>0</v>
      </c>
      <c r="L68" s="630">
        <f>'Rates in Detail'!F71</f>
        <v>0</v>
      </c>
      <c r="M68" s="630">
        <f>'Rates in Detail'!I71</f>
        <v>2.0999999999999998E-4</v>
      </c>
      <c r="N68" s="137">
        <f t="shared" si="0"/>
        <v>4.929E-2</v>
      </c>
      <c r="O68" s="1375">
        <f>'Rates in Detail'!L71</f>
        <v>6.2199999999999998E-3</v>
      </c>
      <c r="P68" s="1376">
        <f>'Rates in Detail'!P71</f>
        <v>-4.6000000000000001E-4</v>
      </c>
      <c r="Q68" s="1377">
        <f t="shared" si="1"/>
        <v>5.5050000000000002E-2</v>
      </c>
      <c r="R68" s="1375">
        <f>'Rates in Detail'!S71</f>
        <v>0</v>
      </c>
      <c r="S68" s="1376">
        <f>'Rates in Detail'!T71</f>
        <v>-8.7000000000000001E-4</v>
      </c>
      <c r="T68" s="1383">
        <f t="shared" si="2"/>
        <v>5.4179999999999999E-2</v>
      </c>
      <c r="U68" s="117">
        <f>'Rates in Detail'!Y71</f>
        <v>3.1099999999999999E-3</v>
      </c>
      <c r="V68" s="117">
        <f>'Rates in Detail'!Z71</f>
        <v>-4.0000000000000003E-5</v>
      </c>
      <c r="W68" s="1387">
        <f t="shared" si="3"/>
        <v>5.8120000000000005E-2</v>
      </c>
      <c r="X68" s="131"/>
    </row>
    <row r="69" spans="2:24" x14ac:dyDescent="0.2">
      <c r="B69" s="110">
        <f t="shared" si="4"/>
        <v>60</v>
      </c>
      <c r="C69" s="111"/>
      <c r="D69" s="111" t="s">
        <v>9</v>
      </c>
      <c r="E69" s="112" t="s">
        <v>74</v>
      </c>
      <c r="F69" s="113">
        <f>'WA Volumes &amp; Revenues'!E74</f>
        <v>0</v>
      </c>
      <c r="G69" s="113"/>
      <c r="H69" s="907"/>
      <c r="I69" s="909"/>
      <c r="J69" s="627">
        <f>'Rates in Detail'!E72</f>
        <v>1.839E-2</v>
      </c>
      <c r="K69" s="631">
        <f>'Rates in Detail'!H72</f>
        <v>0</v>
      </c>
      <c r="L69" s="631">
        <f>'Rates in Detail'!F72</f>
        <v>0</v>
      </c>
      <c r="M69" s="631">
        <f>'Rates in Detail'!I72</f>
        <v>6.9999999999999994E-5</v>
      </c>
      <c r="N69" s="135">
        <f t="shared" si="0"/>
        <v>1.8460000000000001E-2</v>
      </c>
      <c r="O69" s="1374">
        <f>'Rates in Detail'!L72</f>
        <v>2.33E-3</v>
      </c>
      <c r="P69" s="1367">
        <f>'Rates in Detail'!P72</f>
        <v>-1.7000000000000001E-4</v>
      </c>
      <c r="Q69" s="1373">
        <f t="shared" si="1"/>
        <v>2.0619999999999999E-2</v>
      </c>
      <c r="R69" s="1374">
        <f>'Rates in Detail'!S72</f>
        <v>0</v>
      </c>
      <c r="S69" s="1367">
        <f>'Rates in Detail'!T72</f>
        <v>-3.3E-4</v>
      </c>
      <c r="T69" s="1382">
        <f t="shared" si="2"/>
        <v>2.0289999999999999E-2</v>
      </c>
      <c r="U69" s="114">
        <f>'Rates in Detail'!Y72</f>
        <v>1.16E-3</v>
      </c>
      <c r="V69" s="114">
        <f>'Rates in Detail'!Z72</f>
        <v>-2.0000000000000002E-5</v>
      </c>
      <c r="W69" s="1386">
        <f t="shared" si="3"/>
        <v>2.1760000000000002E-2</v>
      </c>
      <c r="X69" s="131"/>
    </row>
    <row r="70" spans="2:24" x14ac:dyDescent="0.2">
      <c r="B70" s="110">
        <f t="shared" si="4"/>
        <v>61</v>
      </c>
      <c r="C70" s="1355" t="str">
        <f>'WA Volumes &amp; Revenues'!B75</f>
        <v>42I Inter Transpt</v>
      </c>
      <c r="D70" s="1355" t="s">
        <v>4</v>
      </c>
      <c r="E70" s="115">
        <v>10000</v>
      </c>
      <c r="F70" s="116">
        <f>'WA Volumes &amp; Revenues'!E75</f>
        <v>844078</v>
      </c>
      <c r="G70" s="116">
        <f>'WA Volumes &amp; Revenues'!H75</f>
        <v>7</v>
      </c>
      <c r="H70" s="912">
        <f>'WA Volumes &amp; Revenues'!O75</f>
        <v>1550</v>
      </c>
      <c r="I70" s="913">
        <f>'WA Volumes &amp; Revenues'!N75</f>
        <v>1550</v>
      </c>
      <c r="J70" s="628">
        <f>'Rates in Detail'!E73</f>
        <v>0.13402999999999998</v>
      </c>
      <c r="K70" s="630">
        <f>'Rates in Detail'!H73</f>
        <v>0</v>
      </c>
      <c r="L70" s="630">
        <f>'Rates in Detail'!F73</f>
        <v>0</v>
      </c>
      <c r="M70" s="630">
        <f>'Rates in Detail'!I73</f>
        <v>5.6999999999999998E-4</v>
      </c>
      <c r="N70" s="137">
        <f t="shared" si="0"/>
        <v>0.13459999999999997</v>
      </c>
      <c r="O70" s="1375">
        <f>'Rates in Detail'!L73</f>
        <v>2.1659999999999999E-2</v>
      </c>
      <c r="P70" s="1376">
        <f>'Rates in Detail'!P73</f>
        <v>-1.49E-3</v>
      </c>
      <c r="Q70" s="1377">
        <f t="shared" si="1"/>
        <v>0.15476999999999996</v>
      </c>
      <c r="R70" s="1375">
        <f>'Rates in Detail'!S73</f>
        <v>0</v>
      </c>
      <c r="S70" s="1376">
        <f>'Rates in Detail'!T73</f>
        <v>-2.82E-3</v>
      </c>
      <c r="T70" s="1383">
        <f t="shared" si="2"/>
        <v>0.15194999999999997</v>
      </c>
      <c r="U70" s="117">
        <f>'Rates in Detail'!Y73</f>
        <v>1.0160000000000001E-2</v>
      </c>
      <c r="V70" s="117">
        <f>'Rates in Detail'!Z73</f>
        <v>-1.3999999999999999E-4</v>
      </c>
      <c r="W70" s="1387">
        <f t="shared" si="3"/>
        <v>0.16478999999999996</v>
      </c>
      <c r="X70" s="131"/>
    </row>
    <row r="71" spans="2:24" x14ac:dyDescent="0.2">
      <c r="B71" s="110">
        <f t="shared" si="4"/>
        <v>62</v>
      </c>
      <c r="C71" s="1355"/>
      <c r="D71" s="1355" t="s">
        <v>5</v>
      </c>
      <c r="E71" s="115">
        <v>20000</v>
      </c>
      <c r="F71" s="116">
        <f>'WA Volumes &amp; Revenues'!E76</f>
        <v>1445175</v>
      </c>
      <c r="G71" s="116"/>
      <c r="H71" s="912"/>
      <c r="I71" s="913"/>
      <c r="J71" s="628">
        <f>'Rates in Detail'!E74</f>
        <v>0.11997999999999999</v>
      </c>
      <c r="K71" s="630">
        <f>'Rates in Detail'!H74</f>
        <v>0</v>
      </c>
      <c r="L71" s="630">
        <f>'Rates in Detail'!F74</f>
        <v>0</v>
      </c>
      <c r="M71" s="630">
        <f>'Rates in Detail'!I74</f>
        <v>5.1000000000000004E-4</v>
      </c>
      <c r="N71" s="137">
        <f t="shared" si="0"/>
        <v>0.12048999999999999</v>
      </c>
      <c r="O71" s="1375">
        <f>'Rates in Detail'!L74</f>
        <v>1.9390000000000001E-2</v>
      </c>
      <c r="P71" s="1376">
        <f>'Rates in Detail'!P74</f>
        <v>-1.33E-3</v>
      </c>
      <c r="Q71" s="1377">
        <f t="shared" si="1"/>
        <v>0.13854999999999998</v>
      </c>
      <c r="R71" s="1375">
        <f>'Rates in Detail'!S74</f>
        <v>0</v>
      </c>
      <c r="S71" s="1376">
        <f>'Rates in Detail'!T74</f>
        <v>-2.5300000000000001E-3</v>
      </c>
      <c r="T71" s="1383">
        <f t="shared" si="2"/>
        <v>0.13601999999999997</v>
      </c>
      <c r="U71" s="117">
        <f>'Rates in Detail'!Y74</f>
        <v>9.0900000000000009E-3</v>
      </c>
      <c r="V71" s="117">
        <f>'Rates in Detail'!Z74</f>
        <v>-1.2999999999999999E-4</v>
      </c>
      <c r="W71" s="1387">
        <f t="shared" si="3"/>
        <v>0.14750999999999997</v>
      </c>
      <c r="X71" s="131"/>
    </row>
    <row r="72" spans="2:24" x14ac:dyDescent="0.2">
      <c r="B72" s="110">
        <f t="shared" si="4"/>
        <v>63</v>
      </c>
      <c r="C72" s="1355"/>
      <c r="D72" s="1355" t="s">
        <v>6</v>
      </c>
      <c r="E72" s="115">
        <v>20000</v>
      </c>
      <c r="F72" s="116">
        <f>'WA Volumes &amp; Revenues'!E77</f>
        <v>1034978</v>
      </c>
      <c r="G72" s="116"/>
      <c r="H72" s="912"/>
      <c r="I72" s="913"/>
      <c r="J72" s="628">
        <f>'Rates in Detail'!E75</f>
        <v>9.1999999999999998E-2</v>
      </c>
      <c r="K72" s="630">
        <f>'Rates in Detail'!H75</f>
        <v>0</v>
      </c>
      <c r="L72" s="630">
        <f>'Rates in Detail'!F75</f>
        <v>0</v>
      </c>
      <c r="M72" s="630">
        <f>'Rates in Detail'!I75</f>
        <v>3.7999999999999997E-4</v>
      </c>
      <c r="N72" s="137">
        <f t="shared" si="0"/>
        <v>9.2380000000000004E-2</v>
      </c>
      <c r="O72" s="1375">
        <f>'Rates in Detail'!L75</f>
        <v>1.487E-2</v>
      </c>
      <c r="P72" s="1376">
        <f>'Rates in Detail'!P75</f>
        <v>-1.0200000000000001E-3</v>
      </c>
      <c r="Q72" s="1377">
        <f t="shared" si="1"/>
        <v>0.10622999999999999</v>
      </c>
      <c r="R72" s="1375">
        <f>'Rates in Detail'!S75</f>
        <v>0</v>
      </c>
      <c r="S72" s="1376">
        <f>'Rates in Detail'!T75</f>
        <v>-1.9400000000000001E-3</v>
      </c>
      <c r="T72" s="1383">
        <f t="shared" si="2"/>
        <v>0.10428999999999999</v>
      </c>
      <c r="U72" s="117">
        <f>'Rates in Detail'!Y75</f>
        <v>6.9699999999999996E-3</v>
      </c>
      <c r="V72" s="117">
        <f>'Rates in Detail'!Z75</f>
        <v>-1E-4</v>
      </c>
      <c r="W72" s="1387">
        <f t="shared" si="3"/>
        <v>0.11309999999999999</v>
      </c>
      <c r="X72" s="131"/>
    </row>
    <row r="73" spans="2:24" x14ac:dyDescent="0.2">
      <c r="B73" s="110">
        <f t="shared" si="4"/>
        <v>64</v>
      </c>
      <c r="C73" s="1355"/>
      <c r="D73" s="1355" t="s">
        <v>7</v>
      </c>
      <c r="E73" s="115">
        <v>100000</v>
      </c>
      <c r="F73" s="116">
        <f>'WA Volumes &amp; Revenues'!E78</f>
        <v>3359916</v>
      </c>
      <c r="G73" s="116"/>
      <c r="H73" s="912"/>
      <c r="I73" s="913"/>
      <c r="J73" s="628">
        <f>'Rates in Detail'!E76</f>
        <v>7.3609999999999995E-2</v>
      </c>
      <c r="K73" s="630">
        <f>'Rates in Detail'!H76</f>
        <v>0</v>
      </c>
      <c r="L73" s="630">
        <f>'Rates in Detail'!F76</f>
        <v>0</v>
      </c>
      <c r="M73" s="630">
        <f>'Rates in Detail'!I76</f>
        <v>3.0999999999999995E-4</v>
      </c>
      <c r="N73" s="137">
        <f t="shared" si="0"/>
        <v>7.392E-2</v>
      </c>
      <c r="O73" s="1375">
        <f>'Rates in Detail'!L76</f>
        <v>1.189E-2</v>
      </c>
      <c r="P73" s="1376">
        <f>'Rates in Detail'!P76</f>
        <v>-8.1999999999999998E-4</v>
      </c>
      <c r="Q73" s="1377">
        <f t="shared" si="1"/>
        <v>8.4989999999999996E-2</v>
      </c>
      <c r="R73" s="1375">
        <f>'Rates in Detail'!S76</f>
        <v>0</v>
      </c>
      <c r="S73" s="1376">
        <f>'Rates in Detail'!T76</f>
        <v>-1.5499999999999999E-3</v>
      </c>
      <c r="T73" s="1383">
        <f t="shared" si="2"/>
        <v>8.344E-2</v>
      </c>
      <c r="U73" s="117">
        <f>'Rates in Detail'!Y76</f>
        <v>5.5799999999999999E-3</v>
      </c>
      <c r="V73" s="117">
        <f>'Rates in Detail'!Z76</f>
        <v>-8.0000000000000007E-5</v>
      </c>
      <c r="W73" s="1387">
        <f t="shared" si="3"/>
        <v>9.0490000000000001E-2</v>
      </c>
      <c r="X73" s="131"/>
    </row>
    <row r="74" spans="2:24" x14ac:dyDescent="0.2">
      <c r="B74" s="110">
        <f t="shared" si="4"/>
        <v>65</v>
      </c>
      <c r="C74" s="1355"/>
      <c r="D74" s="1355" t="s">
        <v>8</v>
      </c>
      <c r="E74" s="115">
        <v>600000</v>
      </c>
      <c r="F74" s="116">
        <f>'WA Volumes &amp; Revenues'!E79</f>
        <v>1349120</v>
      </c>
      <c r="G74" s="116"/>
      <c r="H74" s="912"/>
      <c r="I74" s="913"/>
      <c r="J74" s="628">
        <f>'Rates in Detail'!E77</f>
        <v>4.9079999999999999E-2</v>
      </c>
      <c r="K74" s="630">
        <f>'Rates in Detail'!H77</f>
        <v>0</v>
      </c>
      <c r="L74" s="630">
        <f>'Rates in Detail'!F77</f>
        <v>0</v>
      </c>
      <c r="M74" s="630">
        <f>'Rates in Detail'!I77</f>
        <v>2.0999999999999998E-4</v>
      </c>
      <c r="N74" s="137">
        <f t="shared" si="0"/>
        <v>4.929E-2</v>
      </c>
      <c r="O74" s="1375">
        <f>'Rates in Detail'!L77</f>
        <v>7.9299999999999995E-3</v>
      </c>
      <c r="P74" s="1376">
        <f>'Rates in Detail'!P77</f>
        <v>-5.5000000000000003E-4</v>
      </c>
      <c r="Q74" s="1377">
        <f t="shared" si="1"/>
        <v>5.6669999999999998E-2</v>
      </c>
      <c r="R74" s="1375">
        <f>'Rates in Detail'!S77</f>
        <v>0</v>
      </c>
      <c r="S74" s="1376">
        <f>'Rates in Detail'!T77</f>
        <v>-1.0300000000000001E-3</v>
      </c>
      <c r="T74" s="1383">
        <f t="shared" si="2"/>
        <v>5.5639999999999995E-2</v>
      </c>
      <c r="U74" s="117">
        <f>'Rates in Detail'!Y77</f>
        <v>3.7200000000000002E-3</v>
      </c>
      <c r="V74" s="117">
        <f>'Rates in Detail'!Z77</f>
        <v>-5.0000000000000002E-5</v>
      </c>
      <c r="W74" s="1387">
        <f t="shared" si="3"/>
        <v>6.0339999999999998E-2</v>
      </c>
      <c r="X74" s="131"/>
    </row>
    <row r="75" spans="2:24" x14ac:dyDescent="0.2">
      <c r="B75" s="110">
        <f t="shared" si="4"/>
        <v>66</v>
      </c>
      <c r="C75" s="111"/>
      <c r="D75" s="111" t="s">
        <v>9</v>
      </c>
      <c r="E75" s="112" t="s">
        <v>74</v>
      </c>
      <c r="F75" s="113">
        <f>'WA Volumes &amp; Revenues'!E80</f>
        <v>0</v>
      </c>
      <c r="G75" s="113"/>
      <c r="H75" s="907"/>
      <c r="I75" s="909"/>
      <c r="J75" s="628">
        <f>'Rates in Detail'!E78</f>
        <v>1.839E-2</v>
      </c>
      <c r="K75" s="630">
        <f>'Rates in Detail'!H78</f>
        <v>0</v>
      </c>
      <c r="L75" s="630">
        <f>'Rates in Detail'!F78</f>
        <v>0</v>
      </c>
      <c r="M75" s="630">
        <f>'Rates in Detail'!I78</f>
        <v>6.9999999999999994E-5</v>
      </c>
      <c r="N75" s="629">
        <f t="shared" ref="N75:N78" si="5">SUM(J75:M75)</f>
        <v>1.8460000000000001E-2</v>
      </c>
      <c r="O75" s="1375">
        <f>'Rates in Detail'!L78</f>
        <v>2.97E-3</v>
      </c>
      <c r="P75" s="1376">
        <f>'Rates in Detail'!P78</f>
        <v>-2.0000000000000001E-4</v>
      </c>
      <c r="Q75" s="1377">
        <f t="shared" ref="Q75:Q78" si="6">SUM(N75:P75)</f>
        <v>2.1230000000000002E-2</v>
      </c>
      <c r="R75" s="1375">
        <f>'Rates in Detail'!S78</f>
        <v>0</v>
      </c>
      <c r="S75" s="1376">
        <f>'Rates in Detail'!T78</f>
        <v>-3.8999999999999999E-4</v>
      </c>
      <c r="T75" s="1383">
        <f t="shared" ref="T75:T78" si="7">SUM(Q75:S75)</f>
        <v>2.0840000000000001E-2</v>
      </c>
      <c r="U75" s="117">
        <f>'Rates in Detail'!Y78</f>
        <v>1.39E-3</v>
      </c>
      <c r="V75" s="117">
        <f>'Rates in Detail'!Z78</f>
        <v>-2.0000000000000002E-5</v>
      </c>
      <c r="W75" s="1387">
        <f t="shared" ref="W75:W78" si="8">SUM(T75:V75)-(R75+S75)</f>
        <v>2.2600000000000002E-2</v>
      </c>
      <c r="X75" s="131"/>
    </row>
    <row r="76" spans="2:24" x14ac:dyDescent="0.2">
      <c r="B76" s="110">
        <f t="shared" ref="B76:B78" si="9">B75+1</f>
        <v>67</v>
      </c>
      <c r="C76" s="1354" t="str">
        <f>'WA Volumes &amp; Revenues'!B81</f>
        <v>43 Firm Transpt</v>
      </c>
      <c r="D76" s="111" t="s">
        <v>283</v>
      </c>
      <c r="E76" s="111" t="s">
        <v>283</v>
      </c>
      <c r="F76" s="113">
        <f>'WA Volumes &amp; Revenues'!E81</f>
        <v>0</v>
      </c>
      <c r="G76" s="113">
        <f>'WA Volumes &amp; Revenues'!H81</f>
        <v>0</v>
      </c>
      <c r="H76" s="907">
        <f>'WA Volumes &amp; Revenues'!O81</f>
        <v>38000</v>
      </c>
      <c r="I76" s="909">
        <f>'WA Volumes &amp; Revenues'!N81</f>
        <v>38000</v>
      </c>
      <c r="J76" s="625">
        <f>'Rates in Detail'!E79</f>
        <v>4.9099999999999994E-3</v>
      </c>
      <c r="K76" s="626">
        <f>'Rates in Detail'!H79</f>
        <v>0</v>
      </c>
      <c r="L76" s="626">
        <f>'Rates in Detail'!F79</f>
        <v>0</v>
      </c>
      <c r="M76" s="626">
        <f>'Rates in Detail'!I79</f>
        <v>1.0000000000000001E-5</v>
      </c>
      <c r="N76" s="135">
        <f t="shared" si="5"/>
        <v>4.919999999999999E-3</v>
      </c>
      <c r="O76" s="118">
        <f>'Rates in Detail'!L79</f>
        <v>0</v>
      </c>
      <c r="P76" s="1378">
        <f>'Rates in Detail'!P79</f>
        <v>0</v>
      </c>
      <c r="Q76" s="1379">
        <f t="shared" si="6"/>
        <v>4.919999999999999E-3</v>
      </c>
      <c r="R76" s="118">
        <f>'Rates in Detail'!S79</f>
        <v>0</v>
      </c>
      <c r="S76" s="1378">
        <f>'Rates in Detail'!T79</f>
        <v>0</v>
      </c>
      <c r="T76" s="1384">
        <f t="shared" si="7"/>
        <v>4.919999999999999E-3</v>
      </c>
      <c r="U76" s="119">
        <f>'Rates in Detail'!Y79</f>
        <v>0</v>
      </c>
      <c r="V76" s="119">
        <f>'Rates in Detail'!Z79</f>
        <v>0</v>
      </c>
      <c r="W76" s="1388">
        <f t="shared" si="8"/>
        <v>4.919999999999999E-3</v>
      </c>
      <c r="X76" s="131"/>
    </row>
    <row r="77" spans="2:24" x14ac:dyDescent="0.2">
      <c r="B77" s="110">
        <f t="shared" si="9"/>
        <v>68</v>
      </c>
      <c r="C77" s="1354" t="str">
        <f>'WA Volumes &amp; Revenues'!B82</f>
        <v>43 Interr Transpt</v>
      </c>
      <c r="D77" s="111" t="s">
        <v>283</v>
      </c>
      <c r="E77" s="111" t="s">
        <v>283</v>
      </c>
      <c r="F77" s="113">
        <f>'WA Volumes &amp; Revenues'!E82</f>
        <v>0</v>
      </c>
      <c r="G77" s="113">
        <f>'WA Volumes &amp; Revenues'!H82</f>
        <v>0</v>
      </c>
      <c r="H77" s="907">
        <f>'WA Volumes &amp; Revenues'!O82</f>
        <v>38000</v>
      </c>
      <c r="I77" s="909">
        <f>'WA Volumes &amp; Revenues'!N82</f>
        <v>38000</v>
      </c>
      <c r="J77" s="625">
        <f>'Rates in Detail'!E80</f>
        <v>4.9099999999999994E-3</v>
      </c>
      <c r="K77" s="626">
        <f>'Rates in Detail'!H80</f>
        <v>0</v>
      </c>
      <c r="L77" s="626">
        <f>'Rates in Detail'!F80</f>
        <v>0</v>
      </c>
      <c r="M77" s="626">
        <f>'Rates in Detail'!I80</f>
        <v>1.0000000000000001E-5</v>
      </c>
      <c r="N77" s="135">
        <f t="shared" si="5"/>
        <v>4.919999999999999E-3</v>
      </c>
      <c r="O77" s="118">
        <f>'Rates in Detail'!L80</f>
        <v>0</v>
      </c>
      <c r="P77" s="1378">
        <f>'Rates in Detail'!P80</f>
        <v>0</v>
      </c>
      <c r="Q77" s="1379">
        <f t="shared" si="6"/>
        <v>4.919999999999999E-3</v>
      </c>
      <c r="R77" s="118">
        <f>'Rates in Detail'!S80</f>
        <v>0</v>
      </c>
      <c r="S77" s="1378">
        <f>'Rates in Detail'!T80</f>
        <v>0</v>
      </c>
      <c r="T77" s="1384">
        <f t="shared" si="7"/>
        <v>4.919999999999999E-3</v>
      </c>
      <c r="U77" s="119">
        <f>'Rates in Detail'!Y80</f>
        <v>0</v>
      </c>
      <c r="V77" s="119">
        <f>'Rates in Detail'!Z80</f>
        <v>0</v>
      </c>
      <c r="W77" s="1388">
        <f t="shared" si="8"/>
        <v>4.919999999999999E-3</v>
      </c>
      <c r="X77" s="131"/>
    </row>
    <row r="78" spans="2:24" ht="13.5" thickBot="1" x14ac:dyDescent="0.25">
      <c r="B78" s="1448">
        <f t="shared" si="9"/>
        <v>69</v>
      </c>
      <c r="C78" s="1354" t="str">
        <f>'WA Volumes &amp; Revenues'!B83</f>
        <v>Special Contract</v>
      </c>
      <c r="D78" s="111" t="s">
        <v>283</v>
      </c>
      <c r="E78" s="111" t="s">
        <v>283</v>
      </c>
      <c r="F78" s="113">
        <f>'WA Volumes &amp; Revenues'!E83</f>
        <v>2895114</v>
      </c>
      <c r="G78" s="113">
        <f>'WA Volumes &amp; Revenues'!H83</f>
        <v>1</v>
      </c>
      <c r="H78" s="907">
        <f>'WA Volumes &amp; Revenues'!O83</f>
        <v>0</v>
      </c>
      <c r="I78" s="909">
        <f>'WA Volumes &amp; Revenues'!N83</f>
        <v>0</v>
      </c>
      <c r="J78" s="625">
        <f>'Rates in Detail'!E81</f>
        <v>0</v>
      </c>
      <c r="K78" s="626">
        <f>'Rates in Detail'!H81</f>
        <v>0</v>
      </c>
      <c r="L78" s="626">
        <f>'Rates in Detail'!F81</f>
        <v>0</v>
      </c>
      <c r="M78" s="626">
        <f>'Rates in Detail'!I81</f>
        <v>0</v>
      </c>
      <c r="N78" s="135">
        <f t="shared" si="5"/>
        <v>0</v>
      </c>
      <c r="O78" s="118">
        <f>'Rates in Detail'!L81</f>
        <v>0</v>
      </c>
      <c r="P78" s="1378">
        <f>'Rates in Detail'!P81</f>
        <v>0</v>
      </c>
      <c r="Q78" s="1380">
        <f t="shared" si="6"/>
        <v>0</v>
      </c>
      <c r="R78" s="118">
        <f>'Rates in Detail'!S81</f>
        <v>0</v>
      </c>
      <c r="S78" s="1378">
        <f>'Rates in Detail'!T81</f>
        <v>0</v>
      </c>
      <c r="T78" s="1385">
        <f t="shared" si="7"/>
        <v>0</v>
      </c>
      <c r="U78" s="119">
        <f>'Rates in Detail'!Y81</f>
        <v>0</v>
      </c>
      <c r="V78" s="119">
        <f>'Rates in Detail'!Z81</f>
        <v>0</v>
      </c>
      <c r="W78" s="1389">
        <f t="shared" si="8"/>
        <v>0</v>
      </c>
      <c r="X78" s="131"/>
    </row>
  </sheetData>
  <mergeCells count="3">
    <mergeCell ref="J7:N7"/>
    <mergeCell ref="O6:T6"/>
    <mergeCell ref="U6:W6"/>
  </mergeCells>
  <printOptions verticalCentered="1"/>
  <pageMargins left="0.5" right="0.5" top="0.5" bottom="0.5" header="0.25" footer="0.25"/>
  <pageSetup scale="42" orientation="landscape" r:id="rId1"/>
  <headerFooter alignWithMargins="0">
    <oddHeader>&amp;RExh. RJW-3 Wyman WP1</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08"/>
  <sheetViews>
    <sheetView zoomScale="90" zoomScaleNormal="90" workbookViewId="0">
      <pane ySplit="11" topLeftCell="A12" activePane="bottomLeft" state="frozen"/>
      <selection pane="bottomLeft" activeCell="A7" sqref="A7"/>
    </sheetView>
  </sheetViews>
  <sheetFormatPr defaultRowHeight="12.75" x14ac:dyDescent="0.2"/>
  <cols>
    <col min="1" max="1" width="2.1640625" customWidth="1"/>
    <col min="3" max="3" width="48.6640625" customWidth="1"/>
    <col min="4" max="4" width="17.83203125" bestFit="1" customWidth="1"/>
    <col min="5" max="5" width="16.6640625" customWidth="1"/>
    <col min="6" max="6" width="15.5" customWidth="1"/>
    <col min="7" max="7" width="14.1640625" customWidth="1"/>
    <col min="8" max="27" width="14.33203125" customWidth="1"/>
    <col min="28" max="28" width="2.1640625" customWidth="1"/>
  </cols>
  <sheetData>
    <row r="1" spans="1:27" ht="15.75" x14ac:dyDescent="0.25">
      <c r="A1" s="729" t="str">
        <f>'WA Volumes &amp; Revenues'!A1</f>
        <v>NW Natural</v>
      </c>
      <c r="B1" s="728"/>
      <c r="C1" s="1"/>
      <c r="D1" s="1"/>
      <c r="E1" s="1"/>
      <c r="F1" s="1"/>
      <c r="G1" s="1"/>
      <c r="H1" s="1"/>
      <c r="I1" s="1"/>
      <c r="J1" s="1"/>
      <c r="K1" s="1"/>
      <c r="L1" s="1"/>
      <c r="M1" s="1"/>
      <c r="N1" s="1"/>
      <c r="O1" s="1"/>
      <c r="P1" s="1"/>
      <c r="Q1" s="1"/>
      <c r="R1" s="1"/>
      <c r="S1" s="1"/>
      <c r="T1" s="1"/>
      <c r="U1" s="1"/>
      <c r="V1" s="1"/>
      <c r="W1" s="1"/>
      <c r="X1" s="1"/>
      <c r="Y1" s="1"/>
      <c r="Z1" s="1"/>
      <c r="AA1" s="1"/>
    </row>
    <row r="2" spans="1:27" ht="15.75" x14ac:dyDescent="0.25">
      <c r="A2" s="729" t="str">
        <f>'WA Volumes &amp; Revenues'!A2</f>
        <v>Rates &amp; Regulatory Affairs</v>
      </c>
      <c r="B2" s="728"/>
      <c r="C2" s="1"/>
      <c r="D2" s="1"/>
      <c r="E2" s="1"/>
      <c r="F2" s="1"/>
      <c r="G2" s="1"/>
      <c r="H2" s="1"/>
      <c r="I2" s="1"/>
      <c r="J2" s="1101"/>
      <c r="K2" s="1101"/>
      <c r="L2" s="1101"/>
      <c r="M2" s="1101"/>
      <c r="N2" s="1101"/>
      <c r="O2" s="1101"/>
      <c r="P2" s="1101"/>
      <c r="Q2" s="1101"/>
      <c r="R2" s="1101"/>
      <c r="S2" s="1101"/>
      <c r="T2" s="1101"/>
      <c r="U2" s="1101"/>
      <c r="V2" s="1101"/>
      <c r="W2" s="1101"/>
      <c r="X2" s="1101"/>
      <c r="Y2" s="1101"/>
      <c r="Z2" s="1"/>
      <c r="AA2" s="1"/>
    </row>
    <row r="3" spans="1:27" ht="15.75" x14ac:dyDescent="0.25">
      <c r="A3" s="729" t="str">
        <f>'WA Volumes &amp; Revenues'!A3</f>
        <v>Test Year Ending September 30, 2020</v>
      </c>
      <c r="B3" s="728"/>
      <c r="C3" s="1"/>
      <c r="D3" s="1"/>
      <c r="E3" s="1"/>
      <c r="F3" s="1"/>
      <c r="G3" s="1"/>
      <c r="H3" s="1"/>
      <c r="I3" s="1"/>
      <c r="J3" s="1102"/>
      <c r="K3" s="1102"/>
      <c r="L3" s="1102"/>
      <c r="M3" s="1102"/>
      <c r="N3" s="1102"/>
      <c r="O3" s="1102"/>
      <c r="P3" s="1102"/>
      <c r="Q3" s="1102"/>
      <c r="R3" s="1102"/>
      <c r="S3" s="1102"/>
      <c r="T3" s="1102"/>
      <c r="U3" s="1102"/>
      <c r="V3" s="1102"/>
      <c r="W3" s="1102"/>
      <c r="X3" s="1102"/>
      <c r="Y3" s="1102"/>
      <c r="Z3" s="1"/>
      <c r="AA3" s="1"/>
    </row>
    <row r="4" spans="1:27" ht="15.75" x14ac:dyDescent="0.25">
      <c r="A4" s="729" t="str">
        <f>'WA Volumes &amp; Revenues'!A4</f>
        <v>Year One: October 1, 2020 through October 31, 2021</v>
      </c>
      <c r="B4" s="728"/>
      <c r="C4" s="1"/>
      <c r="D4" s="1"/>
      <c r="E4" s="1"/>
      <c r="F4" s="1"/>
      <c r="G4" s="1"/>
      <c r="H4" s="1"/>
      <c r="I4" s="1"/>
      <c r="J4" s="1102"/>
      <c r="K4" s="1102"/>
      <c r="L4" s="1102"/>
      <c r="M4" s="1102"/>
      <c r="N4" s="1102"/>
      <c r="O4" s="1102"/>
      <c r="P4" s="1103"/>
      <c r="Q4" s="1103"/>
      <c r="R4" s="1103"/>
      <c r="S4" s="1103"/>
      <c r="T4" s="1103"/>
      <c r="U4" s="1103"/>
      <c r="V4" s="1103"/>
      <c r="W4" s="1103"/>
      <c r="X4" s="1103"/>
      <c r="Y4" s="1103"/>
      <c r="Z4" s="1"/>
      <c r="AA4" s="1"/>
    </row>
    <row r="5" spans="1:27" ht="15.75" x14ac:dyDescent="0.25">
      <c r="A5" s="729" t="str">
        <f>'WA Volumes &amp; Revenues'!A5</f>
        <v>Year One: November 1, 2021 through October 31, 2022</v>
      </c>
      <c r="B5" s="728"/>
      <c r="C5" s="1"/>
      <c r="D5" s="1"/>
      <c r="E5" s="1"/>
      <c r="F5" s="1"/>
      <c r="G5" s="1"/>
      <c r="H5" s="1"/>
      <c r="I5" s="1"/>
      <c r="J5" s="1105"/>
      <c r="K5" s="1105"/>
      <c r="L5" s="1106"/>
      <c r="M5" s="1106"/>
      <c r="N5" s="1106"/>
      <c r="O5" s="1106"/>
      <c r="P5" s="1106"/>
      <c r="Q5" s="1106"/>
      <c r="R5" s="1106"/>
      <c r="S5" s="1107"/>
      <c r="T5" s="1107"/>
      <c r="U5" s="1107"/>
      <c r="V5" s="1107"/>
      <c r="W5" s="1107"/>
      <c r="X5" s="1107"/>
      <c r="Y5" s="1107"/>
      <c r="Z5" s="1108"/>
      <c r="AA5" s="1"/>
    </row>
    <row r="6" spans="1:27" ht="15.75" x14ac:dyDescent="0.25">
      <c r="A6" s="730" t="s">
        <v>664</v>
      </c>
      <c r="B6" s="728"/>
      <c r="C6" s="1"/>
      <c r="D6" s="1"/>
      <c r="E6" s="23"/>
      <c r="F6" s="24"/>
      <c r="G6" s="1"/>
      <c r="H6" s="1"/>
      <c r="I6" s="1"/>
      <c r="J6" s="10"/>
      <c r="K6" s="10"/>
      <c r="L6" s="10"/>
      <c r="M6" s="10"/>
      <c r="N6" s="10"/>
      <c r="O6" s="10"/>
      <c r="P6" s="10"/>
      <c r="Q6" s="10"/>
      <c r="R6" s="10"/>
      <c r="S6" s="10"/>
      <c r="T6" s="10"/>
      <c r="U6" s="10"/>
      <c r="V6" s="8"/>
      <c r="W6" s="8"/>
      <c r="X6" s="8"/>
      <c r="Y6" s="8"/>
      <c r="Z6" s="1"/>
      <c r="AA6" s="1"/>
    </row>
    <row r="7" spans="1:27" ht="15" x14ac:dyDescent="0.25">
      <c r="A7" s="731"/>
      <c r="B7" s="3"/>
      <c r="C7" s="2"/>
      <c r="D7" s="1492"/>
      <c r="E7" s="1104">
        <v>1</v>
      </c>
      <c r="F7" s="1104">
        <v>2</v>
      </c>
      <c r="G7" s="1104">
        <v>3</v>
      </c>
      <c r="H7" s="1104">
        <v>4</v>
      </c>
      <c r="I7" s="1104">
        <v>5</v>
      </c>
      <c r="J7" s="1104">
        <v>6</v>
      </c>
      <c r="K7" s="1104">
        <v>7</v>
      </c>
      <c r="L7" s="1104">
        <v>8</v>
      </c>
      <c r="M7" s="1104">
        <v>9</v>
      </c>
      <c r="N7" s="1104">
        <v>10</v>
      </c>
      <c r="O7" s="1104">
        <v>11</v>
      </c>
      <c r="P7" s="1104">
        <v>12</v>
      </c>
      <c r="Q7" s="1104">
        <v>13</v>
      </c>
      <c r="R7" s="1104">
        <v>14</v>
      </c>
      <c r="S7" s="1104">
        <v>15</v>
      </c>
      <c r="T7" s="1104">
        <v>16</v>
      </c>
      <c r="U7" s="1104">
        <v>17</v>
      </c>
      <c r="V7" s="1104">
        <v>18</v>
      </c>
      <c r="W7" s="1104">
        <v>19</v>
      </c>
      <c r="X7" s="1104">
        <v>20</v>
      </c>
      <c r="Y7" s="1104">
        <v>21</v>
      </c>
      <c r="Z7" s="1104">
        <v>22</v>
      </c>
      <c r="AA7" s="1104">
        <v>23</v>
      </c>
    </row>
    <row r="8" spans="1:27" x14ac:dyDescent="0.2">
      <c r="B8" s="3"/>
      <c r="C8" s="4"/>
      <c r="D8" s="1019" t="s">
        <v>141</v>
      </c>
      <c r="E8" s="1493" t="s">
        <v>142</v>
      </c>
      <c r="F8" s="1493" t="s">
        <v>143</v>
      </c>
      <c r="G8" s="1493" t="s">
        <v>142</v>
      </c>
      <c r="H8" s="1493" t="s">
        <v>143</v>
      </c>
      <c r="I8" s="1493" t="s">
        <v>144</v>
      </c>
      <c r="J8" s="1493" t="s">
        <v>143</v>
      </c>
      <c r="K8" s="1493" t="s">
        <v>143</v>
      </c>
      <c r="L8" s="1493" t="s">
        <v>144</v>
      </c>
      <c r="M8" s="1493" t="s">
        <v>143</v>
      </c>
      <c r="N8" s="31" t="s">
        <v>145</v>
      </c>
      <c r="O8" s="31" t="s">
        <v>26</v>
      </c>
      <c r="P8" s="31" t="s">
        <v>145</v>
      </c>
      <c r="Q8" s="1493" t="s">
        <v>143</v>
      </c>
      <c r="R8" s="1493" t="s">
        <v>145</v>
      </c>
      <c r="S8" s="1493" t="s">
        <v>143</v>
      </c>
      <c r="T8" s="1493" t="s">
        <v>145</v>
      </c>
      <c r="U8" s="1493" t="s">
        <v>143</v>
      </c>
      <c r="V8" s="1493" t="s">
        <v>145</v>
      </c>
      <c r="W8" s="1493" t="s">
        <v>143</v>
      </c>
      <c r="X8" s="1493" t="s">
        <v>145</v>
      </c>
      <c r="Y8" s="31"/>
      <c r="Z8" s="1493"/>
      <c r="AA8" s="1493"/>
    </row>
    <row r="9" spans="1:27" x14ac:dyDescent="0.2">
      <c r="B9" s="3"/>
      <c r="C9" s="4"/>
      <c r="D9" s="1019" t="s">
        <v>146</v>
      </c>
      <c r="E9" s="1494" t="s">
        <v>85</v>
      </c>
      <c r="F9" s="1494" t="s">
        <v>85</v>
      </c>
      <c r="G9" s="1494" t="s">
        <v>147</v>
      </c>
      <c r="H9" s="1494" t="s">
        <v>85</v>
      </c>
      <c r="I9" s="1494" t="s">
        <v>85</v>
      </c>
      <c r="J9" s="1494" t="s">
        <v>85</v>
      </c>
      <c r="K9" s="1494" t="s">
        <v>85</v>
      </c>
      <c r="L9" s="1494" t="s">
        <v>85</v>
      </c>
      <c r="M9" s="1494" t="s">
        <v>85</v>
      </c>
      <c r="N9" s="1494" t="s">
        <v>85</v>
      </c>
      <c r="O9" s="1494" t="s">
        <v>137</v>
      </c>
      <c r="P9" s="1494" t="s">
        <v>137</v>
      </c>
      <c r="Q9" s="1494" t="s">
        <v>85</v>
      </c>
      <c r="R9" s="1494" t="s">
        <v>85</v>
      </c>
      <c r="S9" s="1494" t="s">
        <v>137</v>
      </c>
      <c r="T9" s="1494" t="s">
        <v>137</v>
      </c>
      <c r="U9" s="1494" t="s">
        <v>85</v>
      </c>
      <c r="V9" s="1494" t="s">
        <v>365</v>
      </c>
      <c r="W9" s="1494" t="s">
        <v>137</v>
      </c>
      <c r="X9" s="1494" t="s">
        <v>137</v>
      </c>
      <c r="Y9" s="1494" t="s">
        <v>137</v>
      </c>
      <c r="Z9" s="1494" t="s">
        <v>137</v>
      </c>
      <c r="AA9" s="1494" t="s">
        <v>391</v>
      </c>
    </row>
    <row r="10" spans="1:27" x14ac:dyDescent="0.2">
      <c r="B10" s="3"/>
      <c r="C10" s="5"/>
      <c r="D10" s="1495"/>
      <c r="E10" s="1494" t="s">
        <v>148</v>
      </c>
      <c r="F10" s="1494" t="s">
        <v>148</v>
      </c>
      <c r="G10" s="1494" t="s">
        <v>148</v>
      </c>
      <c r="H10" s="1494" t="s">
        <v>148</v>
      </c>
      <c r="I10" s="1494" t="s">
        <v>148</v>
      </c>
      <c r="J10" s="1494" t="s">
        <v>148</v>
      </c>
      <c r="K10" s="1494" t="s">
        <v>148</v>
      </c>
      <c r="L10" s="1494" t="s">
        <v>148</v>
      </c>
      <c r="M10" s="1494" t="s">
        <v>149</v>
      </c>
      <c r="N10" s="1494" t="s">
        <v>149</v>
      </c>
      <c r="O10" s="1494" t="s">
        <v>148</v>
      </c>
      <c r="P10" s="1494" t="s">
        <v>148</v>
      </c>
      <c r="Q10" s="1494" t="s">
        <v>148</v>
      </c>
      <c r="R10" s="1494" t="s">
        <v>148</v>
      </c>
      <c r="S10" s="1494" t="s">
        <v>148</v>
      </c>
      <c r="T10" s="1494" t="s">
        <v>148</v>
      </c>
      <c r="U10" s="1494" t="s">
        <v>149</v>
      </c>
      <c r="V10" s="1494" t="s">
        <v>149</v>
      </c>
      <c r="W10" s="1494" t="s">
        <v>149</v>
      </c>
      <c r="X10" s="1494" t="s">
        <v>149</v>
      </c>
      <c r="Y10" s="1494" t="s">
        <v>148</v>
      </c>
      <c r="Z10" s="1494" t="s">
        <v>149</v>
      </c>
      <c r="AA10" s="1494" t="s">
        <v>402</v>
      </c>
    </row>
    <row r="11" spans="1:27" ht="15.75" thickBot="1" x14ac:dyDescent="0.3">
      <c r="B11" s="6" t="s">
        <v>150</v>
      </c>
      <c r="C11" s="7"/>
      <c r="D11" s="1496" t="s">
        <v>151</v>
      </c>
      <c r="E11" s="1497" t="s">
        <v>449</v>
      </c>
      <c r="F11" s="1498" t="s">
        <v>450</v>
      </c>
      <c r="G11" s="1498" t="s">
        <v>451</v>
      </c>
      <c r="H11" s="1498" t="s">
        <v>452</v>
      </c>
      <c r="I11" s="1498" t="s">
        <v>453</v>
      </c>
      <c r="J11" s="1498" t="s">
        <v>470</v>
      </c>
      <c r="K11" s="1498" t="s">
        <v>352</v>
      </c>
      <c r="L11" s="1498" t="s">
        <v>353</v>
      </c>
      <c r="M11" s="1498" t="s">
        <v>355</v>
      </c>
      <c r="N11" s="1498" t="s">
        <v>356</v>
      </c>
      <c r="O11" s="1498" t="s">
        <v>357</v>
      </c>
      <c r="P11" s="1498" t="s">
        <v>358</v>
      </c>
      <c r="Q11" s="1498" t="s">
        <v>359</v>
      </c>
      <c r="R11" s="1498" t="s">
        <v>360</v>
      </c>
      <c r="S11" s="1498" t="s">
        <v>361</v>
      </c>
      <c r="T11" s="1498" t="s">
        <v>362</v>
      </c>
      <c r="U11" s="1498" t="s">
        <v>363</v>
      </c>
      <c r="V11" s="1498" t="s">
        <v>364</v>
      </c>
      <c r="W11" s="1498" t="s">
        <v>366</v>
      </c>
      <c r="X11" s="1499" t="s">
        <v>367</v>
      </c>
      <c r="Y11" s="1498" t="s">
        <v>56</v>
      </c>
      <c r="Z11" s="1498" t="s">
        <v>348</v>
      </c>
      <c r="AA11" s="1498" t="s">
        <v>391</v>
      </c>
    </row>
    <row r="12" spans="1:27" ht="15.75" thickTop="1" x14ac:dyDescent="0.25">
      <c r="B12" s="9"/>
      <c r="C12" s="32"/>
      <c r="D12" s="33"/>
      <c r="E12" s="34"/>
      <c r="F12" s="35"/>
      <c r="G12" s="35"/>
      <c r="H12" s="35"/>
      <c r="I12" s="35"/>
      <c r="J12" s="36"/>
      <c r="K12" s="36"/>
      <c r="L12" s="36"/>
      <c r="M12" s="36"/>
      <c r="N12" s="36"/>
      <c r="O12" s="36"/>
      <c r="P12" s="36"/>
      <c r="Q12" s="36"/>
      <c r="R12" s="36"/>
      <c r="S12" s="37"/>
      <c r="T12" s="37"/>
      <c r="U12" s="37"/>
      <c r="V12" s="37"/>
      <c r="W12" s="37"/>
      <c r="X12" s="37"/>
      <c r="Y12" s="37"/>
      <c r="Z12" s="35"/>
      <c r="AA12" s="35"/>
    </row>
    <row r="13" spans="1:27" x14ac:dyDescent="0.2">
      <c r="B13" s="3"/>
      <c r="C13" s="8"/>
      <c r="D13" s="9" t="s">
        <v>354</v>
      </c>
      <c r="E13" s="10"/>
      <c r="F13" s="10"/>
      <c r="G13" s="10"/>
      <c r="H13" s="10"/>
      <c r="I13" s="10"/>
      <c r="J13" s="10"/>
      <c r="K13" s="10"/>
      <c r="L13" s="10"/>
      <c r="M13" s="8"/>
      <c r="N13" s="8"/>
      <c r="O13" s="8"/>
      <c r="P13" s="8"/>
      <c r="Q13" s="8"/>
      <c r="R13" s="8"/>
      <c r="S13" s="8"/>
      <c r="T13" s="8"/>
      <c r="U13" s="8"/>
      <c r="V13" s="8"/>
      <c r="W13" s="8"/>
      <c r="X13" s="8"/>
      <c r="Y13" s="8"/>
      <c r="Z13" s="8"/>
      <c r="AA13" s="8"/>
    </row>
    <row r="14" spans="1:27" x14ac:dyDescent="0.2">
      <c r="B14" s="3">
        <v>1</v>
      </c>
      <c r="C14" s="29" t="s">
        <v>211</v>
      </c>
      <c r="D14" s="920">
        <f>SUM(E14:AA14)</f>
        <v>78333454.662138224</v>
      </c>
      <c r="E14" s="1112">
        <f>'[24]Total Revenue'!$Q$6</f>
        <v>283691.13211741613</v>
      </c>
      <c r="F14" s="1112">
        <f>'[24]Total Revenue'!$Q$8</f>
        <v>53871.380821902283</v>
      </c>
      <c r="G14" s="1112">
        <f>'[24]Total Revenue'!$Q$7</f>
        <v>53008197.589697547</v>
      </c>
      <c r="H14" s="1112">
        <f>'[24]Total Revenue'!$Q$9</f>
        <v>16112007.068833409</v>
      </c>
      <c r="I14" s="1112">
        <f>'[24]Total Revenue'!$Q$24</f>
        <v>241043.72505190157</v>
      </c>
      <c r="J14" s="1112">
        <f>'[24]Total Revenue'!$Q$10</f>
        <v>363218.20437801839</v>
      </c>
      <c r="K14" s="1112">
        <f>'[24]Total Revenue'!$Q$14</f>
        <v>2853836.1753150364</v>
      </c>
      <c r="L14" s="1112">
        <f>'[24]Total Revenue'!$Q$28</f>
        <v>747266.28046789952</v>
      </c>
      <c r="M14" s="1112">
        <f>'[24]Total Revenue'!$Q$40</f>
        <v>0</v>
      </c>
      <c r="N14" s="1112">
        <f>'[24]Total Revenue'!$Q$44</f>
        <v>0</v>
      </c>
      <c r="O14" s="1112">
        <f>'[24]Total Revenue'!$Q$65</f>
        <v>189841.33809000003</v>
      </c>
      <c r="P14" s="1112">
        <f>'[24]Total Revenue'!$Q$69</f>
        <v>0</v>
      </c>
      <c r="Q14" s="1112">
        <f>'[24]Total Revenue'!$Q$22</f>
        <v>470188.60083981924</v>
      </c>
      <c r="R14" s="1112">
        <f>'[24]Total Revenue'!$Q$36</f>
        <v>1154958.3793378912</v>
      </c>
      <c r="S14" s="1112">
        <f>'[24]Total Revenue'!$Q$77</f>
        <v>360784.67333999998</v>
      </c>
      <c r="T14" s="1112">
        <f>'[24]Total Revenue'!$Q$85</f>
        <v>823615.79209999996</v>
      </c>
      <c r="U14" s="1112">
        <f>'[24]Total Revenue'!$Q$52</f>
        <v>430728.61187958985</v>
      </c>
      <c r="V14" s="1112">
        <f>'[24]Total Revenue'!$Q$60</f>
        <v>171731.03459599178</v>
      </c>
      <c r="W14" s="1112">
        <f>'[24]Total Revenue'!$Q$93</f>
        <v>0</v>
      </c>
      <c r="X14" s="1112">
        <f>'[24]Total Revenue'!$Q$101</f>
        <v>825480.07319999998</v>
      </c>
      <c r="Y14" s="1113">
        <f>'[24]Total Revenue'!$Q$103</f>
        <v>0</v>
      </c>
      <c r="Z14" s="1114">
        <f>'[24]Total Revenue'!$Q$104</f>
        <v>0</v>
      </c>
      <c r="AA14" s="1114">
        <f>'[24]Total Revenue'!$Q$106</f>
        <v>242994.60207180592</v>
      </c>
    </row>
    <row r="15" spans="1:27" x14ac:dyDescent="0.2">
      <c r="B15" s="3">
        <v>2</v>
      </c>
      <c r="C15" s="29" t="s">
        <v>403</v>
      </c>
      <c r="D15" s="921">
        <f>SUM(E15:AA15)</f>
        <v>49604902.662138224</v>
      </c>
      <c r="E15" s="1115">
        <f>'[24]Monthly Margin'!$Q$6</f>
        <v>208635.1321174161</v>
      </c>
      <c r="F15" s="1115">
        <f>'[24]Monthly Margin'!$Q$8</f>
        <v>37604.380821902283</v>
      </c>
      <c r="G15" s="1115">
        <f>'[24]Monthly Margin'!$Q$7</f>
        <v>33798099.589697547</v>
      </c>
      <c r="H15" s="1115">
        <f>'[24]Monthly Margin'!$Q$9</f>
        <v>9866168.0688334089</v>
      </c>
      <c r="I15" s="1115">
        <f>'[24]Monthly Margin'!$Q$24</f>
        <v>141888.72505190157</v>
      </c>
      <c r="J15" s="1115">
        <f>'[24]Monthly Margin'!$Q$10</f>
        <v>201938.20437801833</v>
      </c>
      <c r="K15" s="1115">
        <f>'[24]Monthly Margin'!$Q$14</f>
        <v>1542348.175315036</v>
      </c>
      <c r="L15" s="1115">
        <f>'[24]Monthly Margin'!$Q$28</f>
        <v>392614.2804678994</v>
      </c>
      <c r="M15" s="1115">
        <f>'[24]Monthly Margin'!$Q$40</f>
        <v>0</v>
      </c>
      <c r="N15" s="1115">
        <f>'[24]Monthly Margin'!$Q$44</f>
        <v>0</v>
      </c>
      <c r="O15" s="1115">
        <f>'[24]Monthly Margin'!$Q$65</f>
        <v>189841.33809000003</v>
      </c>
      <c r="P15" s="1115">
        <f>'[24]Monthly Margin'!$Q$69</f>
        <v>0</v>
      </c>
      <c r="Q15" s="1115">
        <f>'[24]Monthly Margin'!$Q$22</f>
        <v>219574.60083981926</v>
      </c>
      <c r="R15" s="1115">
        <f>'[24]Monthly Margin'!$Q$36</f>
        <v>511672.37933789124</v>
      </c>
      <c r="S15" s="1115">
        <f>'[24]Monthly Margin'!$Q$77</f>
        <v>360784.67333999998</v>
      </c>
      <c r="T15" s="1115">
        <f>'[24]Monthly Margin'!$Q$85</f>
        <v>823615.79209999996</v>
      </c>
      <c r="U15" s="1115">
        <f>'[24]Monthly Margin'!$Q$52</f>
        <v>160512.61187958997</v>
      </c>
      <c r="V15" s="1115">
        <f>'[24]Monthly Margin'!$Q$60</f>
        <v>81130.03459599179</v>
      </c>
      <c r="W15" s="1115">
        <f>'[24]Monthly Margin'!$Q$93</f>
        <v>0</v>
      </c>
      <c r="X15" s="1115">
        <f>'[24]Monthly Margin'!$Q$101</f>
        <v>825480.07319999998</v>
      </c>
      <c r="Y15" s="1116">
        <f>'[24]Monthly Margin'!$Q$103</f>
        <v>0</v>
      </c>
      <c r="Z15" s="1117">
        <f>'[24]Monthly Margin'!$Q$104</f>
        <v>0</v>
      </c>
      <c r="AA15" s="1117">
        <f>'[24]Monthly Margin'!$Q$106</f>
        <v>242994.60207180592</v>
      </c>
    </row>
    <row r="16" spans="1:27" x14ac:dyDescent="0.2">
      <c r="B16" s="3">
        <v>3</v>
      </c>
      <c r="C16" s="8" t="s">
        <v>152</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2">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2">
      <c r="B18" s="3"/>
      <c r="C18" s="8" t="s">
        <v>155</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2">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2">
      <c r="B20" s="3">
        <v>4</v>
      </c>
      <c r="C20" s="1130" t="s">
        <v>422</v>
      </c>
      <c r="D20" s="22"/>
      <c r="E20" s="1501" t="s">
        <v>633</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2">
      <c r="B21" s="3" t="s">
        <v>165</v>
      </c>
      <c r="C21" s="13" t="s">
        <v>629</v>
      </c>
      <c r="D21" s="15">
        <f>'[25]KTW-2 - Rev Req'!$F$12</f>
        <v>6255809.5678384118</v>
      </c>
      <c r="E21" s="1500" t="s">
        <v>632</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2">
      <c r="B22" s="3" t="s">
        <v>166</v>
      </c>
      <c r="C22" s="29" t="s">
        <v>467</v>
      </c>
      <c r="D22" s="1134">
        <f>'Allocation = % of Margin'!S8</f>
        <v>-462252</v>
      </c>
      <c r="E22" s="1500" t="s">
        <v>631</v>
      </c>
      <c r="F22" s="1118" t="s">
        <v>468</v>
      </c>
      <c r="G22" s="11"/>
      <c r="H22" s="11"/>
      <c r="I22" s="11"/>
      <c r="J22" s="11"/>
      <c r="K22" s="11"/>
      <c r="L22" s="11"/>
      <c r="M22" s="11"/>
      <c r="N22" s="11"/>
      <c r="O22" s="11"/>
      <c r="P22" s="11"/>
      <c r="Q22" s="11"/>
      <c r="R22" s="11"/>
      <c r="S22" s="11"/>
      <c r="T22" s="11"/>
      <c r="U22" s="11"/>
      <c r="V22" s="11"/>
      <c r="W22" s="11"/>
      <c r="X22" s="11"/>
      <c r="Y22" s="11"/>
      <c r="Z22" s="11"/>
      <c r="AA22" s="11"/>
    </row>
    <row r="23" spans="2:27" x14ac:dyDescent="0.2">
      <c r="B23" s="12" t="s">
        <v>167</v>
      </c>
      <c r="C23" s="13" t="s">
        <v>454</v>
      </c>
      <c r="D23" s="615">
        <f>D21-D22</f>
        <v>6718061.5678384118</v>
      </c>
      <c r="E23" s="1500" t="s">
        <v>631</v>
      </c>
      <c r="F23" s="1118" t="s">
        <v>455</v>
      </c>
      <c r="G23" s="14"/>
      <c r="H23" s="14"/>
      <c r="I23" s="14"/>
      <c r="J23" s="14"/>
      <c r="K23" s="14"/>
      <c r="L23" s="14"/>
      <c r="M23" s="14"/>
      <c r="N23" s="14"/>
      <c r="O23" s="14"/>
      <c r="P23" s="14"/>
      <c r="Q23" s="14"/>
      <c r="R23" s="14"/>
      <c r="S23" s="14"/>
      <c r="T23" s="14"/>
      <c r="U23" s="14"/>
      <c r="V23" s="14"/>
      <c r="W23" s="14"/>
      <c r="X23" s="14"/>
      <c r="Y23" s="14"/>
      <c r="Z23" s="14"/>
      <c r="AA23" s="14"/>
    </row>
    <row r="24" spans="2:27" x14ac:dyDescent="0.2">
      <c r="B24" s="12" t="s">
        <v>193</v>
      </c>
      <c r="C24" s="13" t="s">
        <v>250</v>
      </c>
      <c r="D24" s="15">
        <v>0</v>
      </c>
      <c r="E24" s="1500"/>
      <c r="F24" s="1118" t="s">
        <v>630</v>
      </c>
      <c r="G24" s="14"/>
      <c r="H24" s="14"/>
      <c r="I24" s="14"/>
      <c r="J24" s="14"/>
      <c r="K24" s="14"/>
      <c r="L24" s="14"/>
      <c r="M24" s="14"/>
      <c r="N24" s="14"/>
      <c r="O24" s="14"/>
      <c r="P24" s="14"/>
      <c r="Q24" s="14"/>
      <c r="R24" s="14"/>
      <c r="S24" s="14"/>
      <c r="T24" s="14"/>
      <c r="U24" s="14"/>
      <c r="V24" s="14"/>
      <c r="W24" s="14"/>
      <c r="X24" s="14"/>
      <c r="Y24" s="14"/>
      <c r="Z24" s="14"/>
      <c r="AA24" s="14"/>
    </row>
    <row r="25" spans="2:27" x14ac:dyDescent="0.2">
      <c r="B25" s="12" t="s">
        <v>249</v>
      </c>
      <c r="C25" s="13" t="s">
        <v>480</v>
      </c>
      <c r="D25" s="922">
        <f>D23+D24</f>
        <v>6718061.5678384118</v>
      </c>
      <c r="E25" s="51"/>
      <c r="F25" s="11"/>
      <c r="G25" s="14"/>
      <c r="H25" s="14"/>
      <c r="I25" s="14"/>
      <c r="J25" s="919"/>
      <c r="K25" s="919"/>
      <c r="L25" s="14"/>
      <c r="M25" s="14"/>
      <c r="N25" s="14"/>
      <c r="O25" s="14"/>
      <c r="P25" s="14"/>
      <c r="Q25" s="14"/>
      <c r="R25" s="14"/>
      <c r="S25" s="14"/>
      <c r="T25" s="14"/>
      <c r="U25" s="14"/>
      <c r="V25" s="14"/>
      <c r="W25" s="14"/>
      <c r="X25" s="14"/>
      <c r="Y25" s="14"/>
      <c r="Z25" s="14"/>
      <c r="AA25" s="14"/>
    </row>
    <row r="26" spans="2:27" x14ac:dyDescent="0.2">
      <c r="B26" s="12"/>
      <c r="C26" s="13"/>
      <c r="D26" s="1131"/>
      <c r="E26" s="51"/>
      <c r="F26" s="11"/>
      <c r="G26" s="14"/>
      <c r="H26" s="14"/>
      <c r="I26" s="14"/>
      <c r="J26" s="919"/>
      <c r="K26" s="919"/>
      <c r="L26" s="14"/>
      <c r="M26" s="14"/>
      <c r="N26" s="14"/>
      <c r="O26" s="14"/>
      <c r="P26" s="14"/>
      <c r="Q26" s="14"/>
      <c r="R26" s="14"/>
      <c r="S26" s="14"/>
      <c r="T26" s="14"/>
      <c r="U26" s="14"/>
      <c r="V26" s="14"/>
      <c r="W26" s="14"/>
      <c r="X26" s="14"/>
      <c r="Y26" s="14"/>
      <c r="Z26" s="14"/>
      <c r="AA26" s="14"/>
    </row>
    <row r="27" spans="2:27" x14ac:dyDescent="0.2">
      <c r="B27" s="12">
        <v>5</v>
      </c>
      <c r="C27" s="1130" t="s">
        <v>417</v>
      </c>
      <c r="D27" s="1131"/>
      <c r="E27" s="51"/>
      <c r="F27" s="11"/>
      <c r="G27" s="14"/>
      <c r="H27" s="14"/>
      <c r="I27" s="14"/>
      <c r="J27" s="919"/>
      <c r="K27" s="919"/>
      <c r="L27" s="14"/>
      <c r="M27" s="14"/>
      <c r="N27" s="14"/>
      <c r="O27" s="14"/>
      <c r="P27" s="14"/>
      <c r="Q27" s="14"/>
      <c r="R27" s="14"/>
      <c r="S27" s="14"/>
      <c r="T27" s="14"/>
      <c r="U27" s="14"/>
      <c r="V27" s="14"/>
      <c r="W27" s="14"/>
      <c r="X27" s="14"/>
      <c r="Y27" s="14"/>
      <c r="Z27" s="14"/>
      <c r="AA27" s="14"/>
    </row>
    <row r="28" spans="2:27" x14ac:dyDescent="0.2">
      <c r="B28" s="12" t="s">
        <v>459</v>
      </c>
      <c r="C28" s="13" t="s">
        <v>629</v>
      </c>
      <c r="D28" s="15">
        <f>'[25]KTW-2 - Rev Req'!$J$12</f>
        <v>3150116.0024598953</v>
      </c>
      <c r="E28" s="1500" t="s">
        <v>632</v>
      </c>
      <c r="F28" s="11"/>
      <c r="G28" s="14"/>
      <c r="H28" s="14"/>
      <c r="I28" s="14"/>
      <c r="J28" s="919"/>
      <c r="K28" s="919"/>
      <c r="L28" s="14"/>
      <c r="M28" s="14"/>
      <c r="N28" s="14"/>
      <c r="O28" s="14"/>
      <c r="P28" s="14"/>
      <c r="Q28" s="14"/>
      <c r="R28" s="14"/>
      <c r="S28" s="14"/>
      <c r="T28" s="14"/>
      <c r="U28" s="14"/>
      <c r="V28" s="14"/>
      <c r="W28" s="14"/>
      <c r="X28" s="14"/>
      <c r="Y28" s="14"/>
      <c r="Z28" s="14"/>
      <c r="AA28" s="14"/>
    </row>
    <row r="29" spans="2:27" x14ac:dyDescent="0.2">
      <c r="B29" s="12" t="s">
        <v>460</v>
      </c>
      <c r="C29" s="13" t="s">
        <v>454</v>
      </c>
      <c r="D29" s="615">
        <f>D28</f>
        <v>3150116.0024598953</v>
      </c>
      <c r="E29" s="1500" t="s">
        <v>631</v>
      </c>
      <c r="F29" s="1118" t="s">
        <v>455</v>
      </c>
      <c r="G29" s="14"/>
      <c r="H29" s="14"/>
      <c r="I29" s="14"/>
      <c r="J29" s="919"/>
      <c r="K29" s="919"/>
      <c r="L29" s="14"/>
      <c r="M29" s="14"/>
      <c r="N29" s="14"/>
      <c r="O29" s="14"/>
      <c r="P29" s="14"/>
      <c r="Q29" s="14"/>
      <c r="R29" s="14"/>
      <c r="S29" s="14"/>
      <c r="T29" s="14"/>
      <c r="U29" s="14"/>
      <c r="V29" s="14"/>
      <c r="W29" s="14"/>
      <c r="X29" s="14"/>
      <c r="Y29" s="14"/>
      <c r="Z29" s="14"/>
      <c r="AA29" s="14"/>
    </row>
    <row r="30" spans="2:27" x14ac:dyDescent="0.2">
      <c r="B30" s="12" t="s">
        <v>461</v>
      </c>
      <c r="C30" s="13" t="s">
        <v>250</v>
      </c>
      <c r="D30" s="15">
        <v>0</v>
      </c>
      <c r="F30" s="1118" t="s">
        <v>630</v>
      </c>
      <c r="G30" s="14"/>
      <c r="H30" s="14"/>
      <c r="I30" s="14"/>
      <c r="J30" s="919"/>
      <c r="K30" s="919"/>
      <c r="L30" s="14"/>
      <c r="M30" s="14"/>
      <c r="N30" s="14"/>
      <c r="O30" s="14"/>
      <c r="P30" s="14"/>
      <c r="Q30" s="14"/>
      <c r="R30" s="14"/>
      <c r="S30" s="14"/>
      <c r="T30" s="14"/>
      <c r="U30" s="14"/>
      <c r="V30" s="14"/>
      <c r="W30" s="14"/>
      <c r="X30" s="14"/>
      <c r="Y30" s="14"/>
      <c r="Z30" s="14"/>
      <c r="AA30" s="14"/>
    </row>
    <row r="31" spans="2:27" x14ac:dyDescent="0.2">
      <c r="B31" s="12" t="s">
        <v>462</v>
      </c>
      <c r="C31" s="13" t="s">
        <v>481</v>
      </c>
      <c r="D31" s="922">
        <f>D29+D30</f>
        <v>3150116.0024598953</v>
      </c>
      <c r="E31" s="51"/>
      <c r="G31" s="14"/>
      <c r="H31" s="14"/>
      <c r="I31" s="14"/>
      <c r="J31" s="919"/>
      <c r="K31" s="919"/>
      <c r="L31" s="14"/>
      <c r="M31" s="14"/>
      <c r="N31" s="14"/>
      <c r="O31" s="14"/>
      <c r="P31" s="14"/>
      <c r="Q31" s="14"/>
      <c r="R31" s="14"/>
      <c r="S31" s="14"/>
      <c r="T31" s="14"/>
      <c r="U31" s="14"/>
      <c r="V31" s="14"/>
      <c r="W31" s="14"/>
      <c r="X31" s="14"/>
      <c r="Y31" s="14"/>
      <c r="Z31" s="14"/>
      <c r="AA31" s="14"/>
    </row>
    <row r="32" spans="2:27" x14ac:dyDescent="0.2">
      <c r="B32" s="12"/>
      <c r="C32" s="13"/>
      <c r="D32" s="1131"/>
      <c r="E32" s="51"/>
      <c r="F32" s="11"/>
      <c r="G32" s="14"/>
      <c r="H32" s="14"/>
      <c r="I32" s="14"/>
      <c r="J32" s="919"/>
      <c r="K32" s="919"/>
      <c r="L32" s="14"/>
      <c r="M32" s="14"/>
      <c r="N32" s="14"/>
      <c r="O32" s="14"/>
      <c r="P32" s="14"/>
      <c r="Q32" s="14"/>
      <c r="R32" s="14"/>
      <c r="S32" s="14"/>
      <c r="T32" s="14"/>
      <c r="U32" s="14"/>
      <c r="V32" s="14"/>
      <c r="W32" s="14"/>
      <c r="X32" s="14"/>
      <c r="Y32" s="14"/>
      <c r="Z32" s="14"/>
      <c r="AA32" s="14"/>
    </row>
    <row r="33" spans="2:27" x14ac:dyDescent="0.2">
      <c r="D33" s="616"/>
      <c r="E33" s="617"/>
      <c r="J33" s="19"/>
      <c r="K33" s="19"/>
    </row>
    <row r="34" spans="2:27" x14ac:dyDescent="0.2">
      <c r="B34" s="27" t="s">
        <v>634</v>
      </c>
      <c r="D34" s="618"/>
      <c r="E34" s="28"/>
      <c r="H34" s="1502"/>
      <c r="I34" s="28"/>
    </row>
    <row r="35" spans="2:27" x14ac:dyDescent="0.2">
      <c r="G35" s="44"/>
      <c r="H35" s="44"/>
      <c r="I35" s="44"/>
      <c r="J35" s="16"/>
      <c r="K35" s="16"/>
      <c r="L35" s="16"/>
      <c r="M35" s="8"/>
      <c r="N35" s="8"/>
      <c r="O35" s="8"/>
      <c r="P35" s="8"/>
      <c r="Q35" s="8"/>
      <c r="R35" s="8"/>
      <c r="S35" s="8"/>
      <c r="T35" s="8"/>
      <c r="U35" s="8"/>
      <c r="V35" s="8"/>
      <c r="W35" s="8"/>
      <c r="X35" s="8"/>
      <c r="Y35" s="8"/>
      <c r="Z35" s="8"/>
      <c r="AA35" s="8"/>
    </row>
    <row r="36" spans="2:27" x14ac:dyDescent="0.2">
      <c r="B36" s="1120" t="s">
        <v>170</v>
      </c>
      <c r="G36" s="48"/>
      <c r="H36" s="29"/>
      <c r="I36" s="8"/>
      <c r="J36" s="8"/>
      <c r="K36" s="8"/>
      <c r="L36" s="8"/>
      <c r="M36" s="8"/>
      <c r="N36" s="8"/>
      <c r="O36" s="8"/>
      <c r="P36" s="8"/>
      <c r="Q36" s="8"/>
      <c r="R36" s="8"/>
      <c r="S36" s="8"/>
      <c r="T36" s="8"/>
      <c r="U36" s="8"/>
      <c r="V36" s="8"/>
      <c r="W36" s="8"/>
      <c r="X36" s="8"/>
      <c r="Y36" s="8"/>
      <c r="Z36" s="8"/>
      <c r="AA36" s="8"/>
    </row>
    <row r="37" spans="2:27" x14ac:dyDescent="0.2">
      <c r="B37" s="18" t="s">
        <v>504</v>
      </c>
      <c r="C37" s="18"/>
      <c r="D37" s="18"/>
      <c r="E37" s="18"/>
      <c r="F37" s="38"/>
      <c r="G37" s="1121"/>
      <c r="H37" s="1122"/>
      <c r="I37" s="1122"/>
    </row>
    <row r="38" spans="2:27" x14ac:dyDescent="0.2">
      <c r="B38" s="1119" t="s">
        <v>456</v>
      </c>
      <c r="C38" s="45"/>
      <c r="D38" s="46"/>
      <c r="E38" s="47"/>
      <c r="F38" s="16"/>
    </row>
    <row r="42" spans="2:27" x14ac:dyDescent="0.2">
      <c r="B42" s="3">
        <v>6</v>
      </c>
      <c r="C42" s="8" t="s">
        <v>172</v>
      </c>
      <c r="D42" s="40">
        <f>SUM(E42:AA42)</f>
        <v>6718061.5678384136</v>
      </c>
      <c r="E42" s="41">
        <f>($D$23*(E15/($D$15-$AA$15)))</f>
        <v>28394.843673249547</v>
      </c>
      <c r="F42" s="41">
        <f t="shared" ref="F42:Z42" si="1">($D$23*(F15/($D$15-$AA$15)))</f>
        <v>5117.8845289888013</v>
      </c>
      <c r="G42" s="41">
        <f t="shared" si="1"/>
        <v>4599856.9107828122</v>
      </c>
      <c r="H42" s="41">
        <f t="shared" si="1"/>
        <v>1342766.6621883633</v>
      </c>
      <c r="I42" s="41">
        <f t="shared" si="1"/>
        <v>19310.784938070901</v>
      </c>
      <c r="J42" s="41">
        <f t="shared" si="1"/>
        <v>27483.404577056339</v>
      </c>
      <c r="K42" s="41">
        <f t="shared" si="1"/>
        <v>209910.64584053485</v>
      </c>
      <c r="L42" s="41">
        <f t="shared" si="1"/>
        <v>53434.054967776654</v>
      </c>
      <c r="M42" s="41">
        <f t="shared" si="1"/>
        <v>0</v>
      </c>
      <c r="N42" s="41">
        <f t="shared" si="1"/>
        <v>0</v>
      </c>
      <c r="O42" s="41">
        <f t="shared" si="1"/>
        <v>25837.044140544749</v>
      </c>
      <c r="P42" s="41">
        <f t="shared" si="1"/>
        <v>0</v>
      </c>
      <c r="Q42" s="41">
        <f t="shared" si="1"/>
        <v>29883.684507909293</v>
      </c>
      <c r="R42" s="41">
        <f t="shared" si="1"/>
        <v>69637.635214008362</v>
      </c>
      <c r="S42" s="41">
        <f t="shared" si="1"/>
        <v>49102.106127688618</v>
      </c>
      <c r="T42" s="41">
        <f t="shared" si="1"/>
        <v>112092.53890345576</v>
      </c>
      <c r="U42" s="41">
        <f t="shared" si="1"/>
        <v>21845.460424857527</v>
      </c>
      <c r="V42" s="41">
        <f t="shared" si="1"/>
        <v>11041.643016584798</v>
      </c>
      <c r="W42" s="41">
        <f t="shared" si="1"/>
        <v>0</v>
      </c>
      <c r="X42" s="41">
        <f t="shared" si="1"/>
        <v>112346.26400651128</v>
      </c>
      <c r="Y42" s="41">
        <f t="shared" si="1"/>
        <v>0</v>
      </c>
      <c r="Z42" s="41">
        <f t="shared" si="1"/>
        <v>0</v>
      </c>
      <c r="AA42" s="41">
        <v>0</v>
      </c>
    </row>
    <row r="43" spans="2:27" s="28" customFormat="1" x14ac:dyDescent="0.2">
      <c r="B43" s="31"/>
      <c r="C43" s="29"/>
      <c r="D43" s="39"/>
      <c r="E43" s="39"/>
      <c r="F43" s="39"/>
      <c r="G43" s="39"/>
      <c r="H43" s="39"/>
      <c r="I43" s="39"/>
      <c r="J43" s="39"/>
      <c r="K43" s="39"/>
      <c r="L43" s="39"/>
      <c r="M43" s="39"/>
      <c r="N43" s="39"/>
      <c r="O43" s="39"/>
      <c r="P43" s="39"/>
      <c r="Q43" s="39"/>
      <c r="R43" s="39"/>
      <c r="S43" s="39"/>
      <c r="T43" s="39"/>
      <c r="U43" s="39"/>
      <c r="V43" s="39"/>
      <c r="W43" s="39"/>
      <c r="X43" s="39"/>
      <c r="Y43" s="39"/>
      <c r="Z43" s="39"/>
      <c r="AA43" s="39"/>
    </row>
    <row r="44" spans="2:27" s="28" customFormat="1" x14ac:dyDescent="0.2">
      <c r="B44" s="42" t="s">
        <v>171</v>
      </c>
      <c r="C44" s="29"/>
      <c r="D44" s="39"/>
      <c r="E44" s="39"/>
      <c r="F44" s="39"/>
      <c r="G44" s="39"/>
      <c r="H44" s="39"/>
      <c r="I44" s="39"/>
      <c r="J44" s="39"/>
      <c r="K44" s="39"/>
      <c r="L44" s="39"/>
      <c r="M44" s="39"/>
      <c r="N44" s="39"/>
      <c r="O44" s="39"/>
      <c r="P44" s="39"/>
      <c r="Q44" s="39"/>
      <c r="R44" s="39"/>
      <c r="S44" s="39"/>
      <c r="T44" s="39"/>
      <c r="U44" s="39"/>
      <c r="V44" s="39"/>
      <c r="W44" s="39"/>
      <c r="X44" s="39"/>
      <c r="Y44" s="39"/>
      <c r="Z44" s="39"/>
      <c r="AA44" s="39"/>
    </row>
    <row r="45" spans="2:27" s="28" customFormat="1" x14ac:dyDescent="0.2">
      <c r="B45" s="18" t="s">
        <v>469</v>
      </c>
      <c r="C45" s="18"/>
      <c r="D45" s="18"/>
      <c r="E45" s="18"/>
      <c r="F45" s="1123"/>
      <c r="G45" s="39"/>
      <c r="H45" s="39"/>
      <c r="J45" s="39"/>
      <c r="K45" s="39"/>
      <c r="L45" s="39"/>
      <c r="M45" s="39"/>
      <c r="N45" s="39"/>
      <c r="O45" s="39"/>
      <c r="P45" s="39"/>
      <c r="Q45" s="39"/>
      <c r="R45" s="39"/>
      <c r="S45" s="39"/>
      <c r="T45" s="39"/>
      <c r="U45" s="39"/>
      <c r="V45" s="39"/>
      <c r="W45" s="39"/>
      <c r="X45" s="39"/>
      <c r="Y45" s="39"/>
      <c r="Z45" s="39"/>
      <c r="AA45" s="39"/>
    </row>
    <row r="46" spans="2:27" s="28" customFormat="1" x14ac:dyDescent="0.2">
      <c r="B46" s="44"/>
      <c r="C46" s="44"/>
      <c r="D46" s="44"/>
      <c r="E46" s="44"/>
      <c r="F46" s="44"/>
      <c r="G46" s="39"/>
      <c r="H46" s="39"/>
      <c r="J46" s="39"/>
      <c r="K46" s="39"/>
      <c r="L46" s="39"/>
      <c r="M46" s="39"/>
      <c r="N46" s="39"/>
      <c r="O46" s="39"/>
      <c r="P46" s="39"/>
      <c r="Q46" s="39"/>
      <c r="R46" s="39"/>
      <c r="S46" s="39"/>
      <c r="T46" s="39"/>
      <c r="U46" s="39"/>
      <c r="V46" s="39"/>
      <c r="W46" s="39"/>
      <c r="X46" s="39"/>
      <c r="Y46" s="39"/>
      <c r="Z46" s="39"/>
      <c r="AA46" s="39"/>
    </row>
    <row r="47" spans="2:27" s="28" customFormat="1" x14ac:dyDescent="0.2">
      <c r="B47" s="44"/>
      <c r="C47" s="44"/>
      <c r="D47" s="44"/>
      <c r="E47" s="44"/>
      <c r="F47" s="44"/>
      <c r="G47" s="39"/>
      <c r="H47" s="39"/>
      <c r="J47" s="39"/>
      <c r="K47" s="39"/>
      <c r="L47" s="39"/>
      <c r="M47" s="39"/>
      <c r="N47" s="39"/>
      <c r="O47" s="39"/>
      <c r="P47" s="39"/>
      <c r="Q47" s="39"/>
      <c r="R47" s="39"/>
      <c r="S47" s="39"/>
      <c r="T47" s="39"/>
      <c r="U47" s="39"/>
      <c r="V47" s="39"/>
      <c r="W47" s="39"/>
      <c r="X47" s="39"/>
      <c r="Y47" s="39"/>
      <c r="Z47" s="39"/>
      <c r="AA47" s="39"/>
    </row>
    <row r="48" spans="2:27" s="28" customFormat="1" x14ac:dyDescent="0.2">
      <c r="B48" s="31"/>
      <c r="C48" s="29"/>
      <c r="D48" s="39"/>
      <c r="E48" s="39"/>
      <c r="F48" s="39"/>
      <c r="G48" s="39"/>
      <c r="H48" s="39"/>
      <c r="I48" s="39"/>
      <c r="J48" s="39"/>
      <c r="K48" s="39"/>
      <c r="L48" s="39"/>
      <c r="M48" s="39"/>
      <c r="N48" s="39"/>
      <c r="O48" s="39"/>
      <c r="P48" s="39"/>
      <c r="Q48" s="39"/>
      <c r="R48" s="39"/>
      <c r="S48" s="39"/>
      <c r="T48" s="39"/>
      <c r="U48" s="39"/>
      <c r="V48" s="39"/>
      <c r="W48" s="39"/>
      <c r="X48" s="39"/>
      <c r="Y48" s="39"/>
      <c r="Z48" s="39"/>
      <c r="AA48" s="39"/>
    </row>
    <row r="49" spans="2:27" x14ac:dyDescent="0.2">
      <c r="B49" s="3">
        <v>7</v>
      </c>
      <c r="C49" s="8" t="s">
        <v>464</v>
      </c>
      <c r="D49" s="40">
        <f>SUM(E49:Z49)</f>
        <v>-462252.00000000012</v>
      </c>
      <c r="E49" s="41">
        <f>($D$22*(E15/($D$15-$AA$15)))</f>
        <v>-1953.7738892545167</v>
      </c>
      <c r="F49" s="41">
        <f t="shared" ref="F49:Y49" si="2">($D$22*(F15/($D$15-$AA$15)))</f>
        <v>-352.14806167001689</v>
      </c>
      <c r="G49" s="41">
        <f t="shared" si="2"/>
        <v>-316503.95508466999</v>
      </c>
      <c r="H49" s="41">
        <f t="shared" si="2"/>
        <v>-92392.21297127963</v>
      </c>
      <c r="I49" s="41">
        <f t="shared" si="2"/>
        <v>-1328.7238988590134</v>
      </c>
      <c r="J49" s="41">
        <f t="shared" si="2"/>
        <v>-1891.0601822068654</v>
      </c>
      <c r="K49" s="41">
        <f t="shared" si="2"/>
        <v>-14443.394851515121</v>
      </c>
      <c r="L49" s="41">
        <f t="shared" si="2"/>
        <v>-3676.6556137579591</v>
      </c>
      <c r="M49" s="41">
        <f t="shared" si="2"/>
        <v>0</v>
      </c>
      <c r="N49" s="41">
        <f t="shared" si="2"/>
        <v>0</v>
      </c>
      <c r="O49" s="41">
        <f t="shared" si="2"/>
        <v>-1777.7784867633948</v>
      </c>
      <c r="P49" s="41">
        <f t="shared" si="2"/>
        <v>0</v>
      </c>
      <c r="Q49" s="41">
        <f t="shared" si="2"/>
        <v>-2056.2170786408528</v>
      </c>
      <c r="R49" s="41">
        <f t="shared" si="2"/>
        <v>-4791.5809981633165</v>
      </c>
      <c r="S49" s="41">
        <f t="shared" si="2"/>
        <v>-3378.5857025182681</v>
      </c>
      <c r="T49" s="41">
        <f t="shared" si="2"/>
        <v>-7712.7903294688185</v>
      </c>
      <c r="U49" s="41">
        <f t="shared" si="2"/>
        <v>-1503.1281970761077</v>
      </c>
      <c r="V49" s="41">
        <f t="shared" si="2"/>
        <v>-759.74617323202267</v>
      </c>
      <c r="W49" s="41">
        <f t="shared" si="2"/>
        <v>0</v>
      </c>
      <c r="X49" s="41">
        <f t="shared" si="2"/>
        <v>-7730.2484809241587</v>
      </c>
      <c r="Y49" s="41">
        <f t="shared" si="2"/>
        <v>0</v>
      </c>
      <c r="Z49" s="41">
        <f>($D$22*(Z15/($D$15-$AA$15)))</f>
        <v>0</v>
      </c>
      <c r="AA49" s="41">
        <v>0</v>
      </c>
    </row>
    <row r="50" spans="2:27" s="28" customFormat="1" x14ac:dyDescent="0.2">
      <c r="B50" s="31"/>
      <c r="C50" s="29"/>
      <c r="D50" s="39"/>
      <c r="E50" s="39"/>
      <c r="F50" s="39"/>
      <c r="G50" s="39"/>
      <c r="H50" s="39"/>
      <c r="I50" s="39"/>
      <c r="J50" s="39"/>
      <c r="K50" s="39"/>
      <c r="L50" s="39"/>
      <c r="M50" s="39"/>
      <c r="N50" s="39"/>
      <c r="O50" s="39"/>
      <c r="P50" s="39"/>
      <c r="Q50" s="39"/>
      <c r="R50" s="39"/>
      <c r="S50" s="39"/>
      <c r="T50" s="39"/>
      <c r="U50" s="39"/>
      <c r="V50" s="39"/>
      <c r="W50" s="39"/>
      <c r="X50" s="39"/>
      <c r="Y50" s="39"/>
      <c r="Z50" s="39"/>
      <c r="AA50" s="39"/>
    </row>
    <row r="51" spans="2:27" s="28" customFormat="1" x14ac:dyDescent="0.2">
      <c r="B51" s="31"/>
      <c r="C51" s="29"/>
      <c r="D51" s="39"/>
      <c r="E51" s="39"/>
      <c r="F51" s="1171"/>
      <c r="G51" s="39"/>
      <c r="H51" s="1172"/>
      <c r="I51" s="1173"/>
      <c r="J51" s="39"/>
      <c r="K51" s="39"/>
      <c r="L51" s="1502"/>
      <c r="M51" s="39"/>
      <c r="N51" s="39"/>
      <c r="O51" s="39"/>
      <c r="P51" s="39"/>
      <c r="Q51" s="39"/>
      <c r="R51" s="39"/>
      <c r="S51" s="39"/>
      <c r="T51" s="39"/>
      <c r="U51" s="39"/>
      <c r="V51" s="39"/>
      <c r="W51" s="39"/>
      <c r="X51" s="39"/>
      <c r="Y51" s="39"/>
      <c r="Z51" s="39"/>
      <c r="AA51" s="39"/>
    </row>
    <row r="52" spans="2:27" s="28" customFormat="1" x14ac:dyDescent="0.2">
      <c r="B52" s="31"/>
      <c r="C52" s="29" t="s">
        <v>635</v>
      </c>
      <c r="D52" s="39"/>
      <c r="E52" s="39"/>
      <c r="F52" s="39"/>
      <c r="G52" s="39"/>
      <c r="H52" s="47"/>
      <c r="I52" s="1170"/>
      <c r="J52" s="39"/>
      <c r="K52" s="39"/>
      <c r="L52" s="39"/>
      <c r="M52" s="39"/>
      <c r="N52" s="39"/>
      <c r="O52" s="39"/>
      <c r="P52" s="39"/>
      <c r="Q52" s="39"/>
      <c r="R52" s="39"/>
      <c r="S52" s="39"/>
      <c r="T52" s="39"/>
      <c r="U52" s="39"/>
      <c r="V52" s="39"/>
      <c r="W52" s="39"/>
      <c r="X52" s="39"/>
      <c r="Y52" s="39"/>
      <c r="Z52" s="39"/>
      <c r="AA52" s="39"/>
    </row>
    <row r="53" spans="2:27" x14ac:dyDescent="0.2">
      <c r="D53" s="1171"/>
      <c r="E53" s="1171"/>
      <c r="F53" s="1171"/>
      <c r="G53" s="1171"/>
      <c r="H53" s="1174"/>
      <c r="I53" s="1170"/>
      <c r="J53" s="1171"/>
    </row>
    <row r="54" spans="2:27" x14ac:dyDescent="0.2">
      <c r="D54" s="1171"/>
      <c r="E54" s="1171"/>
      <c r="F54" s="1171"/>
      <c r="G54" s="1171"/>
      <c r="H54" s="1171"/>
      <c r="I54" s="1171"/>
      <c r="J54" s="1171"/>
    </row>
    <row r="55" spans="2:27" x14ac:dyDescent="0.2">
      <c r="D55" s="1175"/>
      <c r="E55" s="1170"/>
      <c r="F55" s="1171"/>
      <c r="G55" s="1171"/>
      <c r="H55" s="1172"/>
      <c r="I55" s="1173"/>
      <c r="J55" s="1171"/>
    </row>
    <row r="56" spans="2:27" x14ac:dyDescent="0.2">
      <c r="D56" s="50"/>
      <c r="E56" s="1170"/>
      <c r="F56" s="1171"/>
      <c r="G56" s="1171"/>
      <c r="H56" s="47"/>
      <c r="I56" s="1170"/>
      <c r="J56" s="1171"/>
    </row>
    <row r="57" spans="2:27" x14ac:dyDescent="0.2">
      <c r="D57" s="50"/>
      <c r="E57" s="1170"/>
      <c r="F57" s="1171"/>
      <c r="G57" s="1171"/>
      <c r="H57" s="1174"/>
      <c r="I57" s="1170"/>
      <c r="J57" s="1171"/>
    </row>
    <row r="58" spans="2:27" x14ac:dyDescent="0.2">
      <c r="D58" s="1175"/>
      <c r="E58" s="1170"/>
      <c r="F58" s="1171"/>
      <c r="G58" s="1171"/>
      <c r="H58" s="1169"/>
      <c r="I58" s="1170"/>
      <c r="J58" s="1171"/>
    </row>
    <row r="59" spans="2:27" x14ac:dyDescent="0.2">
      <c r="D59" s="1171"/>
      <c r="E59" s="1171"/>
      <c r="F59" s="1171"/>
      <c r="G59" s="1171"/>
      <c r="H59" s="1171"/>
      <c r="I59" s="1171"/>
      <c r="J59" s="1171"/>
    </row>
    <row r="62" spans="2:27" x14ac:dyDescent="0.2">
      <c r="C62" s="1130"/>
    </row>
    <row r="63" spans="2:27" s="28" customFormat="1" x14ac:dyDescent="0.2">
      <c r="B63" s="20">
        <v>8</v>
      </c>
      <c r="C63" s="43" t="s">
        <v>636</v>
      </c>
      <c r="D63" s="40">
        <f>SUM(E63:AA63)</f>
        <v>6255809.5678384118</v>
      </c>
      <c r="E63" s="25">
        <f>E42+E49</f>
        <v>26441.06978399503</v>
      </c>
      <c r="F63" s="25">
        <f t="shared" ref="F63:AA63" si="3">F42+F49</f>
        <v>4765.736467318784</v>
      </c>
      <c r="G63" s="25">
        <f t="shared" si="3"/>
        <v>4283352.9556981418</v>
      </c>
      <c r="H63" s="25">
        <f t="shared" si="3"/>
        <v>1250374.4492170836</v>
      </c>
      <c r="I63" s="25">
        <f t="shared" si="3"/>
        <v>17982.061039211887</v>
      </c>
      <c r="J63" s="25">
        <f t="shared" si="3"/>
        <v>25592.344394849475</v>
      </c>
      <c r="K63" s="25">
        <f t="shared" si="3"/>
        <v>195467.25098901973</v>
      </c>
      <c r="L63" s="25">
        <f t="shared" si="3"/>
        <v>49757.399354018693</v>
      </c>
      <c r="M63" s="25">
        <f t="shared" si="3"/>
        <v>0</v>
      </c>
      <c r="N63" s="25">
        <f t="shared" si="3"/>
        <v>0</v>
      </c>
      <c r="O63" s="25">
        <f t="shared" si="3"/>
        <v>24059.265653781353</v>
      </c>
      <c r="P63" s="25">
        <f t="shared" si="3"/>
        <v>0</v>
      </c>
      <c r="Q63" s="25">
        <f t="shared" si="3"/>
        <v>27827.467429268439</v>
      </c>
      <c r="R63" s="25">
        <f t="shared" si="3"/>
        <v>64846.054215845048</v>
      </c>
      <c r="S63" s="25">
        <f t="shared" si="3"/>
        <v>45723.520425170347</v>
      </c>
      <c r="T63" s="25">
        <f t="shared" si="3"/>
        <v>104379.74857398694</v>
      </c>
      <c r="U63" s="25">
        <f t="shared" si="3"/>
        <v>20342.332227781419</v>
      </c>
      <c r="V63" s="25">
        <f t="shared" si="3"/>
        <v>10281.896843352775</v>
      </c>
      <c r="W63" s="25">
        <f t="shared" si="3"/>
        <v>0</v>
      </c>
      <c r="X63" s="25">
        <f t="shared" si="3"/>
        <v>104616.01552558712</v>
      </c>
      <c r="Y63" s="25">
        <f t="shared" si="3"/>
        <v>0</v>
      </c>
      <c r="Z63" s="25">
        <f t="shared" si="3"/>
        <v>0</v>
      </c>
      <c r="AA63" s="25">
        <f t="shared" si="3"/>
        <v>0</v>
      </c>
    </row>
    <row r="64" spans="2:27" s="28" customFormat="1" x14ac:dyDescent="0.2">
      <c r="B64" s="20" t="s">
        <v>251</v>
      </c>
      <c r="C64" s="43"/>
      <c r="D64" s="39"/>
      <c r="E64" s="612"/>
      <c r="F64" s="612"/>
      <c r="G64" s="612"/>
      <c r="H64" s="612"/>
      <c r="I64" s="612"/>
      <c r="J64" s="612"/>
      <c r="K64" s="612"/>
      <c r="L64" s="612"/>
      <c r="M64" s="612"/>
      <c r="N64" s="612"/>
      <c r="O64" s="612"/>
      <c r="P64" s="612"/>
      <c r="Q64" s="612"/>
      <c r="R64" s="612"/>
      <c r="S64" s="612"/>
      <c r="T64" s="612"/>
      <c r="U64" s="612"/>
      <c r="V64" s="612"/>
      <c r="W64" s="612"/>
      <c r="X64" s="612"/>
      <c r="Y64" s="612"/>
      <c r="Z64" s="612"/>
      <c r="AA64" s="612"/>
    </row>
    <row r="65" spans="2:27" s="28" customFormat="1" x14ac:dyDescent="0.2">
      <c r="B65" s="20" t="s">
        <v>252</v>
      </c>
      <c r="C65" s="29" t="s">
        <v>371</v>
      </c>
      <c r="D65" s="39">
        <f>SUM(E65:Z65)</f>
        <v>0</v>
      </c>
      <c r="E65" s="50">
        <f t="shared" ref="E65:AA65" si="4">ROUND((E63/$D$63)*$D$24,2)</f>
        <v>0</v>
      </c>
      <c r="F65" s="50">
        <f t="shared" si="4"/>
        <v>0</v>
      </c>
      <c r="G65" s="50">
        <f t="shared" si="4"/>
        <v>0</v>
      </c>
      <c r="H65" s="50">
        <f t="shared" si="4"/>
        <v>0</v>
      </c>
      <c r="I65" s="50">
        <f t="shared" si="4"/>
        <v>0</v>
      </c>
      <c r="J65" s="50">
        <f t="shared" si="4"/>
        <v>0</v>
      </c>
      <c r="K65" s="50">
        <f t="shared" si="4"/>
        <v>0</v>
      </c>
      <c r="L65" s="50">
        <f t="shared" si="4"/>
        <v>0</v>
      </c>
      <c r="M65" s="50">
        <f t="shared" si="4"/>
        <v>0</v>
      </c>
      <c r="N65" s="50">
        <f t="shared" si="4"/>
        <v>0</v>
      </c>
      <c r="O65" s="50">
        <f t="shared" si="4"/>
        <v>0</v>
      </c>
      <c r="P65" s="50">
        <f t="shared" si="4"/>
        <v>0</v>
      </c>
      <c r="Q65" s="50">
        <f t="shared" si="4"/>
        <v>0</v>
      </c>
      <c r="R65" s="50">
        <f t="shared" si="4"/>
        <v>0</v>
      </c>
      <c r="S65" s="50">
        <f t="shared" si="4"/>
        <v>0</v>
      </c>
      <c r="T65" s="50">
        <f t="shared" si="4"/>
        <v>0</v>
      </c>
      <c r="U65" s="50">
        <f t="shared" si="4"/>
        <v>0</v>
      </c>
      <c r="V65" s="50">
        <f t="shared" si="4"/>
        <v>0</v>
      </c>
      <c r="W65" s="50">
        <f t="shared" si="4"/>
        <v>0</v>
      </c>
      <c r="X65" s="50">
        <f t="shared" si="4"/>
        <v>0</v>
      </c>
      <c r="Y65" s="50">
        <f t="shared" si="4"/>
        <v>0</v>
      </c>
      <c r="Z65" s="50">
        <f t="shared" si="4"/>
        <v>0</v>
      </c>
      <c r="AA65" s="50">
        <f t="shared" si="4"/>
        <v>0</v>
      </c>
    </row>
    <row r="66" spans="2:27" s="28" customFormat="1" x14ac:dyDescent="0.2">
      <c r="B66" s="20"/>
      <c r="C66" s="29"/>
      <c r="D66" s="39"/>
      <c r="E66" s="50"/>
      <c r="F66" s="50"/>
      <c r="G66" s="50"/>
      <c r="H66" s="50"/>
      <c r="I66" s="50"/>
      <c r="J66" s="50"/>
      <c r="K66" s="50"/>
      <c r="L66" s="50"/>
      <c r="M66" s="50"/>
      <c r="N66" s="50"/>
      <c r="O66" s="50"/>
      <c r="P66" s="50"/>
      <c r="Q66" s="50"/>
      <c r="R66" s="50"/>
      <c r="S66" s="50"/>
      <c r="T66" s="50"/>
      <c r="U66" s="50"/>
      <c r="V66" s="50"/>
      <c r="W66" s="50"/>
      <c r="X66" s="50"/>
      <c r="Y66" s="50"/>
      <c r="Z66" s="50"/>
      <c r="AA66" s="50"/>
    </row>
    <row r="67" spans="2:27" s="28" customFormat="1" x14ac:dyDescent="0.2">
      <c r="B67" s="20"/>
      <c r="C67" s="1130" t="s">
        <v>422</v>
      </c>
      <c r="D67" s="39"/>
      <c r="E67" s="612"/>
      <c r="F67" s="612"/>
      <c r="G67" s="612"/>
      <c r="H67" s="612"/>
      <c r="I67" s="612"/>
      <c r="J67" s="612"/>
      <c r="K67" s="612"/>
      <c r="L67" s="612"/>
      <c r="M67" s="612"/>
      <c r="N67" s="612"/>
      <c r="O67" s="612"/>
      <c r="P67" s="612"/>
      <c r="Q67" s="612"/>
      <c r="R67" s="612"/>
      <c r="S67" s="612"/>
      <c r="T67" s="612"/>
      <c r="U67" s="612"/>
      <c r="V67" s="612"/>
      <c r="W67" s="612"/>
      <c r="X67" s="612"/>
      <c r="Y67" s="612"/>
      <c r="Z67" s="612"/>
      <c r="AA67" s="612"/>
    </row>
    <row r="68" spans="2:27" s="28" customFormat="1" x14ac:dyDescent="0.2">
      <c r="B68" s="20">
        <v>9</v>
      </c>
      <c r="C68" s="43" t="s">
        <v>639</v>
      </c>
      <c r="D68" s="40">
        <f t="shared" ref="D68:AA68" si="5">D63+D65</f>
        <v>6255809.5678384118</v>
      </c>
      <c r="E68" s="25">
        <f t="shared" si="5"/>
        <v>26441.06978399503</v>
      </c>
      <c r="F68" s="25">
        <f t="shared" si="5"/>
        <v>4765.736467318784</v>
      </c>
      <c r="G68" s="25">
        <f t="shared" si="5"/>
        <v>4283352.9556981418</v>
      </c>
      <c r="H68" s="25">
        <f t="shared" si="5"/>
        <v>1250374.4492170836</v>
      </c>
      <c r="I68" s="25">
        <f t="shared" si="5"/>
        <v>17982.061039211887</v>
      </c>
      <c r="J68" s="25">
        <f t="shared" si="5"/>
        <v>25592.344394849475</v>
      </c>
      <c r="K68" s="25">
        <f t="shared" si="5"/>
        <v>195467.25098901973</v>
      </c>
      <c r="L68" s="25">
        <f t="shared" si="5"/>
        <v>49757.399354018693</v>
      </c>
      <c r="M68" s="25">
        <f t="shared" si="5"/>
        <v>0</v>
      </c>
      <c r="N68" s="25">
        <f t="shared" si="5"/>
        <v>0</v>
      </c>
      <c r="O68" s="25">
        <f t="shared" si="5"/>
        <v>24059.265653781353</v>
      </c>
      <c r="P68" s="25">
        <f t="shared" si="5"/>
        <v>0</v>
      </c>
      <c r="Q68" s="25">
        <f t="shared" si="5"/>
        <v>27827.467429268439</v>
      </c>
      <c r="R68" s="25">
        <f t="shared" si="5"/>
        <v>64846.054215845048</v>
      </c>
      <c r="S68" s="25">
        <f t="shared" si="5"/>
        <v>45723.520425170347</v>
      </c>
      <c r="T68" s="25">
        <f t="shared" si="5"/>
        <v>104379.74857398694</v>
      </c>
      <c r="U68" s="25">
        <f t="shared" si="5"/>
        <v>20342.332227781419</v>
      </c>
      <c r="V68" s="25">
        <f t="shared" si="5"/>
        <v>10281.896843352775</v>
      </c>
      <c r="W68" s="25">
        <f t="shared" si="5"/>
        <v>0</v>
      </c>
      <c r="X68" s="25">
        <f t="shared" si="5"/>
        <v>104616.01552558712</v>
      </c>
      <c r="Y68" s="25">
        <f t="shared" si="5"/>
        <v>0</v>
      </c>
      <c r="Z68" s="26">
        <f t="shared" si="5"/>
        <v>0</v>
      </c>
      <c r="AA68" s="26">
        <f t="shared" si="5"/>
        <v>0</v>
      </c>
    </row>
    <row r="69" spans="2:27" s="28" customFormat="1" x14ac:dyDescent="0.2">
      <c r="B69" s="20"/>
      <c r="C69" s="43"/>
      <c r="D69" s="39"/>
      <c r="E69" s="39"/>
      <c r="F69" s="39"/>
      <c r="G69" s="39"/>
      <c r="H69" s="39"/>
      <c r="I69" s="39"/>
      <c r="J69" s="39"/>
      <c r="K69" s="39"/>
      <c r="L69" s="39"/>
      <c r="M69" s="39"/>
      <c r="N69" s="39"/>
      <c r="O69" s="39"/>
      <c r="P69" s="39"/>
      <c r="Q69" s="39"/>
      <c r="R69" s="39"/>
      <c r="S69" s="39"/>
      <c r="T69" s="39"/>
      <c r="U69" s="39"/>
      <c r="V69" s="39"/>
      <c r="W69" s="39"/>
      <c r="X69" s="39"/>
      <c r="Y69" s="39"/>
      <c r="Z69" s="39"/>
      <c r="AA69" s="39"/>
    </row>
    <row r="70" spans="2:27" s="28" customFormat="1" x14ac:dyDescent="0.2">
      <c r="B70" s="20"/>
      <c r="C70" s="43"/>
      <c r="D70" s="39"/>
      <c r="E70" s="612"/>
      <c r="F70" s="39"/>
      <c r="G70" s="39"/>
      <c r="H70" s="39"/>
      <c r="I70" s="39"/>
      <c r="J70" s="39"/>
      <c r="K70" s="39"/>
      <c r="L70" s="39"/>
      <c r="M70" s="39"/>
      <c r="N70" s="39"/>
      <c r="O70" s="39"/>
      <c r="P70" s="39"/>
      <c r="Q70" s="39"/>
      <c r="R70" s="39"/>
      <c r="S70" s="39"/>
      <c r="T70" s="39"/>
      <c r="U70" s="39"/>
      <c r="V70" s="39"/>
      <c r="W70" s="39"/>
      <c r="X70" s="39"/>
      <c r="Y70" s="39"/>
      <c r="Z70" s="39"/>
      <c r="AA70" s="39"/>
    </row>
    <row r="71" spans="2:27" x14ac:dyDescent="0.2">
      <c r="B71" s="3"/>
      <c r="C71" s="1130" t="s">
        <v>422</v>
      </c>
      <c r="D71" s="1139" t="str">
        <f t="shared" ref="D71:AA71" si="6">D11</f>
        <v>RATE SCHEDULE</v>
      </c>
      <c r="E71" s="1139" t="str">
        <f t="shared" si="6"/>
        <v>01R</v>
      </c>
      <c r="F71" s="1139" t="str">
        <f t="shared" si="6"/>
        <v>01C</v>
      </c>
      <c r="G71" s="1139" t="str">
        <f t="shared" si="6"/>
        <v>02R</v>
      </c>
      <c r="H71" s="1139" t="str">
        <f t="shared" si="6"/>
        <v>03C</v>
      </c>
      <c r="I71" s="1139" t="str">
        <f t="shared" si="6"/>
        <v>03I</v>
      </c>
      <c r="J71" s="1139" t="str">
        <f t="shared" si="6"/>
        <v>27R</v>
      </c>
      <c r="K71" s="1139" t="str">
        <f t="shared" si="6"/>
        <v>41CFS</v>
      </c>
      <c r="L71" s="1139" t="str">
        <f t="shared" si="6"/>
        <v>41IFS</v>
      </c>
      <c r="M71" s="1139" t="str">
        <f t="shared" si="6"/>
        <v>41CIS</v>
      </c>
      <c r="N71" s="1139" t="str">
        <f t="shared" si="6"/>
        <v>41IIS</v>
      </c>
      <c r="O71" s="1139" t="str">
        <f t="shared" si="6"/>
        <v>41CTF</v>
      </c>
      <c r="P71" s="1139" t="str">
        <f t="shared" si="6"/>
        <v>41ITF</v>
      </c>
      <c r="Q71" s="1139" t="str">
        <f t="shared" si="6"/>
        <v>42CFS</v>
      </c>
      <c r="R71" s="1139" t="str">
        <f t="shared" si="6"/>
        <v>42IFS</v>
      </c>
      <c r="S71" s="1139" t="str">
        <f t="shared" si="6"/>
        <v>42CFT</v>
      </c>
      <c r="T71" s="1139" t="str">
        <f t="shared" si="6"/>
        <v>42IFT</v>
      </c>
      <c r="U71" s="1139" t="str">
        <f t="shared" si="6"/>
        <v>42CIS</v>
      </c>
      <c r="V71" s="1139" t="str">
        <f t="shared" si="6"/>
        <v>42IIS</v>
      </c>
      <c r="W71" s="1139" t="str">
        <f t="shared" si="6"/>
        <v>42CIT</v>
      </c>
      <c r="X71" s="1139" t="str">
        <f t="shared" si="6"/>
        <v>42IIT</v>
      </c>
      <c r="Y71" s="1139" t="str">
        <f t="shared" si="6"/>
        <v>43 FT</v>
      </c>
      <c r="Z71" s="1139" t="str">
        <f t="shared" si="6"/>
        <v>43 IT</v>
      </c>
      <c r="AA71" s="1139" t="str">
        <f t="shared" si="6"/>
        <v>Special</v>
      </c>
    </row>
    <row r="72" spans="2:27" x14ac:dyDescent="0.2">
      <c r="B72" s="3">
        <v>10</v>
      </c>
      <c r="C72" s="10" t="s">
        <v>638</v>
      </c>
      <c r="D72" s="1125">
        <f t="shared" ref="D72:AA72" si="7">D14+D$68</f>
        <v>84589264.229976639</v>
      </c>
      <c r="E72" s="1125">
        <f t="shared" si="7"/>
        <v>310132.20190141117</v>
      </c>
      <c r="F72" s="1125">
        <f t="shared" si="7"/>
        <v>58637.117289221067</v>
      </c>
      <c r="G72" s="1125">
        <f t="shared" si="7"/>
        <v>57291550.545395687</v>
      </c>
      <c r="H72" s="1125">
        <f t="shared" si="7"/>
        <v>17362381.518050492</v>
      </c>
      <c r="I72" s="1125">
        <f t="shared" si="7"/>
        <v>259025.78609111346</v>
      </c>
      <c r="J72" s="1125">
        <f t="shared" si="7"/>
        <v>388810.54877286789</v>
      </c>
      <c r="K72" s="1125">
        <f t="shared" si="7"/>
        <v>3049303.4263040563</v>
      </c>
      <c r="L72" s="1125">
        <f t="shared" si="7"/>
        <v>797023.67982191825</v>
      </c>
      <c r="M72" s="1125">
        <f t="shared" si="7"/>
        <v>0</v>
      </c>
      <c r="N72" s="1125">
        <f t="shared" si="7"/>
        <v>0</v>
      </c>
      <c r="O72" s="1125">
        <f t="shared" si="7"/>
        <v>213900.60374378139</v>
      </c>
      <c r="P72" s="1125">
        <f t="shared" si="7"/>
        <v>0</v>
      </c>
      <c r="Q72" s="1125">
        <f t="shared" si="7"/>
        <v>498016.0682690877</v>
      </c>
      <c r="R72" s="1125">
        <f t="shared" si="7"/>
        <v>1219804.4335537362</v>
      </c>
      <c r="S72" s="1125">
        <f t="shared" si="7"/>
        <v>406508.19376517035</v>
      </c>
      <c r="T72" s="1125">
        <f t="shared" si="7"/>
        <v>927995.54067398689</v>
      </c>
      <c r="U72" s="1125">
        <f t="shared" si="7"/>
        <v>451070.94410737127</v>
      </c>
      <c r="V72" s="1125">
        <f t="shared" si="7"/>
        <v>182012.93143934454</v>
      </c>
      <c r="W72" s="1125">
        <f t="shared" si="7"/>
        <v>0</v>
      </c>
      <c r="X72" s="1125">
        <f t="shared" si="7"/>
        <v>930096.08872558712</v>
      </c>
      <c r="Y72" s="1125">
        <f t="shared" si="7"/>
        <v>0</v>
      </c>
      <c r="Z72" s="1125">
        <f t="shared" si="7"/>
        <v>0</v>
      </c>
      <c r="AA72" s="1125">
        <f t="shared" si="7"/>
        <v>242994.60207180592</v>
      </c>
    </row>
    <row r="73" spans="2:27" x14ac:dyDescent="0.2">
      <c r="B73" s="3">
        <v>11</v>
      </c>
      <c r="C73" s="8" t="s">
        <v>153</v>
      </c>
      <c r="D73" s="1126">
        <f>IFERROR((D72-D14-$AA$14)/(D14-$AA$14),0)</f>
        <v>7.6998073274784279E-2</v>
      </c>
      <c r="E73" s="1126">
        <f t="shared" ref="E73:AA73" si="8">IFERROR((E72-E14)/E14,0)</f>
        <v>9.3203723312195119E-2</v>
      </c>
      <c r="F73" s="1126">
        <f t="shared" si="8"/>
        <v>8.8465088412606585E-2</v>
      </c>
      <c r="G73" s="1126">
        <f t="shared" si="8"/>
        <v>8.0805481990782399E-2</v>
      </c>
      <c r="H73" s="1126">
        <f t="shared" si="8"/>
        <v>7.7605132859938378E-2</v>
      </c>
      <c r="I73" s="1126">
        <f t="shared" si="8"/>
        <v>7.4600826200059756E-2</v>
      </c>
      <c r="J73" s="1126">
        <f t="shared" si="8"/>
        <v>7.0459971681965397E-2</v>
      </c>
      <c r="K73" s="1126">
        <f t="shared" si="8"/>
        <v>6.8492807218494989E-2</v>
      </c>
      <c r="L73" s="1126">
        <f t="shared" si="8"/>
        <v>6.6585902046675013E-2</v>
      </c>
      <c r="M73" s="1126">
        <f t="shared" si="8"/>
        <v>0</v>
      </c>
      <c r="N73" s="1126">
        <f t="shared" si="8"/>
        <v>0</v>
      </c>
      <c r="O73" s="1126">
        <f t="shared" si="8"/>
        <v>0.12673354442105406</v>
      </c>
      <c r="P73" s="1126">
        <f t="shared" si="8"/>
        <v>0</v>
      </c>
      <c r="Q73" s="1126">
        <f t="shared" si="8"/>
        <v>5.9183628398402077E-2</v>
      </c>
      <c r="R73" s="1126">
        <f t="shared" si="8"/>
        <v>5.6145793109029243E-2</v>
      </c>
      <c r="S73" s="1126">
        <f t="shared" si="8"/>
        <v>0.12673354442105406</v>
      </c>
      <c r="T73" s="1126">
        <f t="shared" si="8"/>
        <v>0.126733544421054</v>
      </c>
      <c r="U73" s="1126">
        <f t="shared" si="8"/>
        <v>4.7227724527081363E-2</v>
      </c>
      <c r="V73" s="1126">
        <f t="shared" si="8"/>
        <v>5.9872095148914589E-2</v>
      </c>
      <c r="W73" s="1126">
        <f t="shared" si="8"/>
        <v>0</v>
      </c>
      <c r="X73" s="1126">
        <f t="shared" si="8"/>
        <v>0.12673354442105403</v>
      </c>
      <c r="Y73" s="1126">
        <f t="shared" si="8"/>
        <v>0</v>
      </c>
      <c r="Z73" s="1126">
        <f t="shared" si="8"/>
        <v>0</v>
      </c>
      <c r="AA73" s="1126">
        <f t="shared" si="8"/>
        <v>0</v>
      </c>
    </row>
    <row r="74" spans="2:27" x14ac:dyDescent="0.2">
      <c r="B74" s="3">
        <v>12</v>
      </c>
      <c r="C74" s="8" t="s">
        <v>637</v>
      </c>
      <c r="D74" s="1127">
        <f t="shared" ref="D74:AA74" si="9">D15+D$68</f>
        <v>55860712.229976639</v>
      </c>
      <c r="E74" s="1127">
        <f t="shared" si="9"/>
        <v>235076.20190141111</v>
      </c>
      <c r="F74" s="1127">
        <f t="shared" si="9"/>
        <v>42370.117289221067</v>
      </c>
      <c r="G74" s="1127">
        <f t="shared" si="9"/>
        <v>38081452.545395687</v>
      </c>
      <c r="H74" s="1127">
        <f t="shared" si="9"/>
        <v>11116542.518050492</v>
      </c>
      <c r="I74" s="1127">
        <f t="shared" si="9"/>
        <v>159870.78609111346</v>
      </c>
      <c r="J74" s="1127">
        <f t="shared" si="9"/>
        <v>227530.5487728678</v>
      </c>
      <c r="K74" s="1127">
        <f t="shared" si="9"/>
        <v>1737815.4263040556</v>
      </c>
      <c r="L74" s="1127">
        <f t="shared" si="9"/>
        <v>442371.67982191808</v>
      </c>
      <c r="M74" s="1127">
        <f t="shared" si="9"/>
        <v>0</v>
      </c>
      <c r="N74" s="1127">
        <f t="shared" si="9"/>
        <v>0</v>
      </c>
      <c r="O74" s="1127">
        <f t="shared" si="9"/>
        <v>213900.60374378139</v>
      </c>
      <c r="P74" s="1127">
        <f t="shared" si="9"/>
        <v>0</v>
      </c>
      <c r="Q74" s="1127">
        <f t="shared" si="9"/>
        <v>247402.0682690877</v>
      </c>
      <c r="R74" s="1127">
        <f t="shared" si="9"/>
        <v>576518.43355373631</v>
      </c>
      <c r="S74" s="1127">
        <f t="shared" si="9"/>
        <v>406508.19376517035</v>
      </c>
      <c r="T74" s="1127">
        <f t="shared" si="9"/>
        <v>927995.54067398689</v>
      </c>
      <c r="U74" s="1127">
        <f t="shared" si="9"/>
        <v>180854.94410737138</v>
      </c>
      <c r="V74" s="1127">
        <f t="shared" si="9"/>
        <v>91411.931439344567</v>
      </c>
      <c r="W74" s="1127">
        <f t="shared" si="9"/>
        <v>0</v>
      </c>
      <c r="X74" s="1127">
        <f t="shared" si="9"/>
        <v>930096.08872558712</v>
      </c>
      <c r="Y74" s="1127">
        <f t="shared" si="9"/>
        <v>0</v>
      </c>
      <c r="Z74" s="1127">
        <f t="shared" si="9"/>
        <v>0</v>
      </c>
      <c r="AA74" s="1127">
        <f t="shared" si="9"/>
        <v>242994.60207180592</v>
      </c>
    </row>
    <row r="75" spans="2:27" x14ac:dyDescent="0.2">
      <c r="B75" s="3">
        <v>13</v>
      </c>
      <c r="C75" s="8" t="s">
        <v>154</v>
      </c>
      <c r="D75" s="1128">
        <f>IFERROR(D68/(D15-AA15),0)</f>
        <v>0.12673354442105403</v>
      </c>
      <c r="E75" s="1128">
        <f t="shared" ref="E75:AA75" si="10">IFERROR(E68/E15,0)</f>
        <v>0.12673354442105403</v>
      </c>
      <c r="F75" s="1128">
        <f t="shared" si="10"/>
        <v>0.126733544421054</v>
      </c>
      <c r="G75" s="1128">
        <f t="shared" si="10"/>
        <v>0.12673354442105403</v>
      </c>
      <c r="H75" s="1128">
        <f t="shared" si="10"/>
        <v>0.12673354442105403</v>
      </c>
      <c r="I75" s="1128">
        <f t="shared" si="10"/>
        <v>0.12673354442105403</v>
      </c>
      <c r="J75" s="1128">
        <f t="shared" si="10"/>
        <v>0.12673354442105403</v>
      </c>
      <c r="K75" s="1128">
        <f t="shared" si="10"/>
        <v>0.12673354442105403</v>
      </c>
      <c r="L75" s="1128">
        <f t="shared" si="10"/>
        <v>0.12673354442105403</v>
      </c>
      <c r="M75" s="1128">
        <f t="shared" si="10"/>
        <v>0</v>
      </c>
      <c r="N75" s="1128">
        <f t="shared" si="10"/>
        <v>0</v>
      </c>
      <c r="O75" s="1128">
        <f t="shared" si="10"/>
        <v>0.126733544421054</v>
      </c>
      <c r="P75" s="1128">
        <f t="shared" si="10"/>
        <v>0</v>
      </c>
      <c r="Q75" s="1128">
        <f t="shared" si="10"/>
        <v>0.12673354442105403</v>
      </c>
      <c r="R75" s="1128">
        <f t="shared" si="10"/>
        <v>0.12673354442105403</v>
      </c>
      <c r="S75" s="1128">
        <f t="shared" si="10"/>
        <v>0.126733544421054</v>
      </c>
      <c r="T75" s="1128">
        <f t="shared" si="10"/>
        <v>0.12673354442105403</v>
      </c>
      <c r="U75" s="1128">
        <f t="shared" si="10"/>
        <v>0.12673354442105403</v>
      </c>
      <c r="V75" s="1128">
        <f t="shared" si="10"/>
        <v>0.12673354442105403</v>
      </c>
      <c r="W75" s="1128">
        <f t="shared" si="10"/>
        <v>0</v>
      </c>
      <c r="X75" s="1128">
        <f t="shared" si="10"/>
        <v>0.12673354442105403</v>
      </c>
      <c r="Y75" s="1128">
        <f t="shared" si="10"/>
        <v>0</v>
      </c>
      <c r="Z75" s="1128">
        <f t="shared" si="10"/>
        <v>0</v>
      </c>
      <c r="AA75" s="1128">
        <f t="shared" si="10"/>
        <v>0</v>
      </c>
    </row>
    <row r="76" spans="2:27" x14ac:dyDescent="0.2">
      <c r="B76" s="3">
        <v>14</v>
      </c>
      <c r="C76" s="8" t="s">
        <v>156</v>
      </c>
      <c r="D76" s="1129">
        <f>IF(ISERROR(D42/D18),$D$80,(D42/D18))</f>
        <v>0.18016996345459338</v>
      </c>
      <c r="E76" s="1129">
        <f t="shared" ref="E76:X76" si="11">IF(ISERROR(E42/E18),$D$80,(E42/E18))</f>
        <v>0.19548407392050854</v>
      </c>
      <c r="F76" s="1129">
        <f t="shared" si="11"/>
        <v>0.15033588488055699</v>
      </c>
      <c r="G76" s="1129">
        <f t="shared" si="11"/>
        <v>0.18269710506172165</v>
      </c>
      <c r="H76" s="1129">
        <f t="shared" si="11"/>
        <v>0.169384607237999</v>
      </c>
      <c r="I76" s="1129">
        <f t="shared" si="11"/>
        <v>0.14720156829288875</v>
      </c>
      <c r="J76" s="1129">
        <f t="shared" si="11"/>
        <v>0.2472974722369761</v>
      </c>
      <c r="K76" s="1129">
        <f t="shared" si="11"/>
        <v>0.17312689404374293</v>
      </c>
      <c r="L76" s="1129">
        <f t="shared" si="11"/>
        <v>0.16505645091550003</v>
      </c>
      <c r="M76" s="1129">
        <f t="shared" si="11"/>
        <v>0.12673354442105403</v>
      </c>
      <c r="N76" s="1129">
        <f t="shared" si="11"/>
        <v>0.12673354442105403</v>
      </c>
      <c r="O76" s="1129">
        <f t="shared" si="11"/>
        <v>0.18151512312365903</v>
      </c>
      <c r="P76" s="1129">
        <f t="shared" si="11"/>
        <v>0.12673354442105403</v>
      </c>
      <c r="Q76" s="1129">
        <f t="shared" si="11"/>
        <v>0.2948126523741853</v>
      </c>
      <c r="R76" s="1129">
        <f t="shared" si="11"/>
        <v>0.27159446345794847</v>
      </c>
      <c r="S76" s="1129">
        <f t="shared" si="11"/>
        <v>0.18419137874158276</v>
      </c>
      <c r="T76" s="1129">
        <f t="shared" si="11"/>
        <v>0.18463573425748889</v>
      </c>
      <c r="U76" s="1129">
        <f t="shared" si="11"/>
        <v>0.19516376100968005</v>
      </c>
      <c r="V76" s="1129">
        <f t="shared" si="11"/>
        <v>0.25263448992323245</v>
      </c>
      <c r="W76" s="1129">
        <f t="shared" si="11"/>
        <v>0.12673354442105403</v>
      </c>
      <c r="X76" s="1129">
        <f t="shared" si="11"/>
        <v>0.16158420205746071</v>
      </c>
      <c r="Y76" s="1129">
        <v>0</v>
      </c>
      <c r="Z76" s="1129">
        <v>0</v>
      </c>
      <c r="AA76" s="1129">
        <v>0</v>
      </c>
    </row>
    <row r="77" spans="2:27" x14ac:dyDescent="0.2">
      <c r="B77" s="3"/>
      <c r="C77" s="1148" t="s">
        <v>477</v>
      </c>
      <c r="D77" s="30"/>
      <c r="E77" s="30"/>
      <c r="F77" s="30"/>
      <c r="G77" s="30"/>
      <c r="H77" s="30"/>
      <c r="I77" s="30"/>
      <c r="J77" s="30"/>
      <c r="K77" s="30"/>
      <c r="L77" s="30"/>
      <c r="M77" s="30"/>
      <c r="N77" s="30"/>
      <c r="O77" s="30"/>
      <c r="P77" s="30"/>
      <c r="Q77" s="30"/>
      <c r="R77" s="30"/>
      <c r="S77" s="30"/>
      <c r="T77" s="30"/>
      <c r="U77" s="30"/>
      <c r="V77" s="30"/>
      <c r="W77" s="30"/>
      <c r="X77" s="30"/>
      <c r="Y77" s="30"/>
      <c r="Z77" s="30"/>
      <c r="AA77" s="30"/>
    </row>
    <row r="78" spans="2:27" x14ac:dyDescent="0.2">
      <c r="B78" s="3">
        <v>15</v>
      </c>
      <c r="C78" s="8" t="s">
        <v>156</v>
      </c>
      <c r="D78" s="1129">
        <f>IF(ISERROR(D68/D18),$D$80,(D68/D18))</f>
        <v>0.167772946084952</v>
      </c>
      <c r="E78" s="1129">
        <f t="shared" ref="E78:X78" si="12">IF(ISERROR(E68/E18),$D$80,(E68/E18))</f>
        <v>0.18203333322314724</v>
      </c>
      <c r="F78" s="1129">
        <f t="shared" si="12"/>
        <v>0.13999167133680299</v>
      </c>
      <c r="G78" s="1129">
        <f t="shared" si="12"/>
        <v>0.17012620178014246</v>
      </c>
      <c r="H78" s="1129">
        <f t="shared" si="12"/>
        <v>0.15772970162656197</v>
      </c>
      <c r="I78" s="1129">
        <f t="shared" si="12"/>
        <v>0.1370730187612389</v>
      </c>
      <c r="J78" s="1129">
        <f t="shared" si="12"/>
        <v>0.23028158901200768</v>
      </c>
      <c r="K78" s="1129">
        <f t="shared" si="12"/>
        <v>0.16121449160184956</v>
      </c>
      <c r="L78" s="1129">
        <f t="shared" si="12"/>
        <v>0.15369935426222522</v>
      </c>
      <c r="M78" s="1129">
        <f t="shared" si="12"/>
        <v>0.12673354442105403</v>
      </c>
      <c r="N78" s="1129">
        <f t="shared" si="12"/>
        <v>0.12673354442105403</v>
      </c>
      <c r="O78" s="1129">
        <f t="shared" si="12"/>
        <v>0.16902554888458948</v>
      </c>
      <c r="P78" s="1129">
        <f t="shared" si="12"/>
        <v>0.12673354442105403</v>
      </c>
      <c r="Q78" s="1129">
        <f t="shared" si="12"/>
        <v>0.27452737561553237</v>
      </c>
      <c r="R78" s="1129">
        <f t="shared" si="12"/>
        <v>0.25290676870334999</v>
      </c>
      <c r="S78" s="1129">
        <f t="shared" si="12"/>
        <v>0.17151765845094696</v>
      </c>
      <c r="T78" s="1129">
        <f t="shared" si="12"/>
        <v>0.17193143904224659</v>
      </c>
      <c r="U78" s="1129">
        <f t="shared" si="12"/>
        <v>0.18173506019423427</v>
      </c>
      <c r="V78" s="1129">
        <f t="shared" si="12"/>
        <v>0.23525138066518958</v>
      </c>
      <c r="W78" s="1129">
        <f t="shared" si="12"/>
        <v>0.12673354442105403</v>
      </c>
      <c r="X78" s="1129">
        <f t="shared" si="12"/>
        <v>0.15046602163960868</v>
      </c>
      <c r="Y78" s="1129">
        <v>0</v>
      </c>
      <c r="Z78" s="1129">
        <v>0</v>
      </c>
      <c r="AA78" s="1129">
        <v>0</v>
      </c>
    </row>
    <row r="79" spans="2:27" x14ac:dyDescent="0.2">
      <c r="B79" s="3"/>
      <c r="C79" s="1148" t="s">
        <v>478</v>
      </c>
      <c r="D79" s="30"/>
      <c r="E79" s="30"/>
      <c r="F79" s="30"/>
      <c r="G79" s="30"/>
      <c r="H79" s="30"/>
      <c r="I79" s="30"/>
      <c r="J79" s="30"/>
      <c r="K79" s="30"/>
      <c r="L79" s="30"/>
      <c r="M79" s="30"/>
      <c r="N79" s="30"/>
      <c r="O79" s="30"/>
      <c r="P79" s="30"/>
      <c r="Q79" s="30"/>
      <c r="R79" s="30"/>
      <c r="S79" s="30"/>
      <c r="T79" s="30"/>
      <c r="U79" s="30"/>
      <c r="V79" s="30"/>
      <c r="W79" s="30"/>
      <c r="X79" s="30"/>
      <c r="Y79" s="30"/>
      <c r="Z79" s="30"/>
      <c r="AA79" s="30"/>
    </row>
    <row r="80" spans="2:27" x14ac:dyDescent="0.2">
      <c r="B80" s="3"/>
      <c r="C80" s="1124" t="s">
        <v>457</v>
      </c>
      <c r="D80" s="30">
        <f>D75</f>
        <v>0.12673354442105403</v>
      </c>
      <c r="E80" s="1140" t="s">
        <v>466</v>
      </c>
      <c r="F80" s="30"/>
      <c r="G80" s="30"/>
      <c r="H80" s="30"/>
      <c r="I80" s="30"/>
      <c r="J80" s="30"/>
      <c r="K80" s="30"/>
      <c r="L80" s="30"/>
      <c r="M80" s="30"/>
      <c r="N80" s="30"/>
      <c r="O80" s="30"/>
      <c r="P80" s="30"/>
      <c r="Q80" s="30"/>
      <c r="R80" s="30"/>
      <c r="S80" s="30"/>
      <c r="T80" s="30"/>
      <c r="U80" s="30"/>
      <c r="V80" s="30"/>
      <c r="W80" s="30"/>
      <c r="X80" s="30"/>
      <c r="Y80" s="30"/>
      <c r="Z80" s="30"/>
      <c r="AA80" s="30"/>
    </row>
    <row r="81" spans="2:27" x14ac:dyDescent="0.2">
      <c r="B81" s="3"/>
      <c r="C81" s="1124"/>
      <c r="D81" s="30"/>
      <c r="E81" s="1140"/>
      <c r="F81" s="30"/>
      <c r="G81" s="30"/>
      <c r="H81" s="30"/>
      <c r="I81" s="30"/>
      <c r="J81" s="30"/>
      <c r="K81" s="30"/>
      <c r="L81" s="30"/>
      <c r="M81" s="30"/>
      <c r="N81" s="30"/>
      <c r="O81" s="30"/>
      <c r="P81" s="30"/>
      <c r="Q81" s="30"/>
      <c r="R81" s="30"/>
      <c r="S81" s="30"/>
      <c r="T81" s="30"/>
      <c r="U81" s="30"/>
      <c r="V81" s="30"/>
      <c r="W81" s="30"/>
      <c r="X81" s="30"/>
      <c r="Y81" s="30"/>
      <c r="Z81" s="30"/>
      <c r="AA81" s="30"/>
    </row>
    <row r="82" spans="2:27" x14ac:dyDescent="0.2">
      <c r="D82" s="554"/>
      <c r="E82" s="554"/>
      <c r="F82" s="554"/>
      <c r="G82" s="554"/>
      <c r="H82" s="554"/>
      <c r="I82" s="554"/>
      <c r="J82" s="554"/>
      <c r="K82" s="554"/>
      <c r="L82" s="554"/>
      <c r="M82" s="554"/>
      <c r="N82" s="554"/>
      <c r="O82" s="554"/>
      <c r="P82" s="554"/>
      <c r="Q82" s="554"/>
      <c r="R82" s="554"/>
      <c r="S82" s="554"/>
      <c r="T82" s="554"/>
      <c r="U82" s="554"/>
      <c r="V82" s="554"/>
      <c r="W82" s="554"/>
      <c r="X82" s="554"/>
      <c r="Y82" s="554"/>
      <c r="Z82" s="554"/>
      <c r="AA82" s="554"/>
    </row>
    <row r="83" spans="2:27" x14ac:dyDescent="0.2">
      <c r="D83" s="554"/>
      <c r="E83" s="554"/>
      <c r="F83" s="554"/>
      <c r="G83" s="554"/>
      <c r="H83" s="554"/>
      <c r="I83" s="554"/>
      <c r="J83" s="554"/>
      <c r="K83" s="554"/>
      <c r="L83" s="554"/>
      <c r="M83" s="554"/>
      <c r="N83" s="554"/>
      <c r="O83" s="554"/>
      <c r="P83" s="554"/>
      <c r="Q83" s="554"/>
      <c r="R83" s="554"/>
      <c r="S83" s="554"/>
      <c r="T83" s="554"/>
      <c r="U83" s="554"/>
      <c r="V83" s="554"/>
      <c r="W83" s="554"/>
      <c r="X83" s="554"/>
      <c r="Y83" s="554"/>
      <c r="Z83" s="554"/>
      <c r="AA83" s="554"/>
    </row>
    <row r="84" spans="2:27" x14ac:dyDescent="0.2">
      <c r="B84" s="27" t="s">
        <v>458</v>
      </c>
    </row>
    <row r="86" spans="2:27" x14ac:dyDescent="0.2">
      <c r="B86" s="1120" t="s">
        <v>170</v>
      </c>
      <c r="G86" s="48"/>
      <c r="H86" s="29"/>
    </row>
    <row r="87" spans="2:27" x14ac:dyDescent="0.2">
      <c r="B87" s="18" t="s">
        <v>529</v>
      </c>
      <c r="C87" s="18"/>
      <c r="D87" s="18"/>
      <c r="E87" s="18"/>
      <c r="F87" s="18"/>
      <c r="G87" s="1121"/>
      <c r="H87" s="1122"/>
    </row>
    <row r="88" spans="2:27" x14ac:dyDescent="0.2">
      <c r="B88" s="1119" t="s">
        <v>456</v>
      </c>
      <c r="C88" s="45"/>
      <c r="D88" s="46"/>
      <c r="E88" s="47"/>
      <c r="F88" s="16"/>
    </row>
    <row r="89" spans="2:27" x14ac:dyDescent="0.2">
      <c r="B89" s="1119"/>
      <c r="C89" s="45"/>
      <c r="D89" s="46"/>
      <c r="E89" s="47"/>
      <c r="F89" s="16"/>
    </row>
    <row r="90" spans="2:27" x14ac:dyDescent="0.2">
      <c r="B90" s="3">
        <v>16</v>
      </c>
      <c r="C90" s="45" t="s">
        <v>463</v>
      </c>
      <c r="D90" s="921">
        <f t="shared" ref="D90:AA90" si="13">D15+D68</f>
        <v>55860712.229976639</v>
      </c>
      <c r="E90" s="1503">
        <f t="shared" si="13"/>
        <v>235076.20190141111</v>
      </c>
      <c r="F90" s="1503">
        <f t="shared" si="13"/>
        <v>42370.117289221067</v>
      </c>
      <c r="G90" s="1503">
        <f t="shared" si="13"/>
        <v>38081452.545395687</v>
      </c>
      <c r="H90" s="1503">
        <f t="shared" si="13"/>
        <v>11116542.518050492</v>
      </c>
      <c r="I90" s="1503">
        <f t="shared" si="13"/>
        <v>159870.78609111346</v>
      </c>
      <c r="J90" s="1503">
        <f t="shared" si="13"/>
        <v>227530.5487728678</v>
      </c>
      <c r="K90" s="1503">
        <f t="shared" si="13"/>
        <v>1737815.4263040556</v>
      </c>
      <c r="L90" s="1503">
        <f t="shared" si="13"/>
        <v>442371.67982191808</v>
      </c>
      <c r="M90" s="1503">
        <f t="shared" si="13"/>
        <v>0</v>
      </c>
      <c r="N90" s="1503">
        <f t="shared" si="13"/>
        <v>0</v>
      </c>
      <c r="O90" s="1503">
        <f t="shared" si="13"/>
        <v>213900.60374378139</v>
      </c>
      <c r="P90" s="1503">
        <f t="shared" si="13"/>
        <v>0</v>
      </c>
      <c r="Q90" s="1503">
        <f t="shared" si="13"/>
        <v>247402.0682690877</v>
      </c>
      <c r="R90" s="1503">
        <f t="shared" si="13"/>
        <v>576518.43355373631</v>
      </c>
      <c r="S90" s="1503">
        <f t="shared" si="13"/>
        <v>406508.19376517035</v>
      </c>
      <c r="T90" s="1503">
        <f t="shared" si="13"/>
        <v>927995.54067398689</v>
      </c>
      <c r="U90" s="1503">
        <f t="shared" si="13"/>
        <v>180854.94410737138</v>
      </c>
      <c r="V90" s="1503">
        <f t="shared" si="13"/>
        <v>91411.931439344567</v>
      </c>
      <c r="W90" s="1503">
        <f t="shared" si="13"/>
        <v>0</v>
      </c>
      <c r="X90" s="1503">
        <f t="shared" si="13"/>
        <v>930096.08872558712</v>
      </c>
      <c r="Y90" s="1504">
        <f t="shared" si="13"/>
        <v>0</v>
      </c>
      <c r="Z90" s="1505">
        <f t="shared" si="13"/>
        <v>0</v>
      </c>
      <c r="AA90" s="1505">
        <f t="shared" si="13"/>
        <v>242994.60207180592</v>
      </c>
    </row>
    <row r="91" spans="2:27" x14ac:dyDescent="0.2">
      <c r="B91" s="3"/>
      <c r="C91" s="45"/>
      <c r="D91" s="46"/>
      <c r="E91" s="47"/>
      <c r="F91" s="16"/>
    </row>
    <row r="92" spans="2:27" x14ac:dyDescent="0.2">
      <c r="B92" s="3"/>
      <c r="C92" s="45"/>
      <c r="D92" s="46"/>
      <c r="E92" s="47"/>
      <c r="F92" s="16"/>
    </row>
    <row r="93" spans="2:27" x14ac:dyDescent="0.2">
      <c r="B93" s="3">
        <v>17</v>
      </c>
      <c r="C93" s="8" t="s">
        <v>172</v>
      </c>
      <c r="D93" s="40">
        <f>SUM(E93:Z93)</f>
        <v>3150116.0024598953</v>
      </c>
      <c r="E93" s="25">
        <f>($D$29*(E90/($D$90-$AA$90)))</f>
        <v>13314.413769391931</v>
      </c>
      <c r="F93" s="25">
        <f t="shared" ref="F93:Z93" si="14">($D$29*(F90/($D$90-$AA$15)))</f>
        <v>2399.7889555955503</v>
      </c>
      <c r="G93" s="25">
        <f t="shared" si="14"/>
        <v>2156884.4996972792</v>
      </c>
      <c r="H93" s="25">
        <f t="shared" si="14"/>
        <v>629626.67242869828</v>
      </c>
      <c r="I93" s="25">
        <f t="shared" si="14"/>
        <v>9054.8757315202129</v>
      </c>
      <c r="J93" s="25">
        <f t="shared" si="14"/>
        <v>12887.037679846861</v>
      </c>
      <c r="K93" s="25">
        <f t="shared" si="14"/>
        <v>98427.630927729115</v>
      </c>
      <c r="L93" s="25">
        <f t="shared" si="14"/>
        <v>25055.363058316572</v>
      </c>
      <c r="M93" s="25">
        <f t="shared" si="14"/>
        <v>0</v>
      </c>
      <c r="N93" s="25">
        <f t="shared" si="14"/>
        <v>0</v>
      </c>
      <c r="O93" s="25">
        <f t="shared" si="14"/>
        <v>12115.055121410631</v>
      </c>
      <c r="P93" s="25">
        <f t="shared" si="14"/>
        <v>0</v>
      </c>
      <c r="Q93" s="25">
        <f t="shared" si="14"/>
        <v>14012.534989481685</v>
      </c>
      <c r="R93" s="25">
        <f t="shared" si="14"/>
        <v>32653.262677926807</v>
      </c>
      <c r="S93" s="25">
        <f t="shared" si="14"/>
        <v>23024.101328247372</v>
      </c>
      <c r="T93" s="25">
        <f t="shared" si="14"/>
        <v>52560.474028187338</v>
      </c>
      <c r="U93" s="25">
        <f t="shared" si="14"/>
        <v>10243.391456084857</v>
      </c>
      <c r="V93" s="25">
        <f t="shared" si="14"/>
        <v>5177.454241638462</v>
      </c>
      <c r="W93" s="25">
        <f t="shared" si="14"/>
        <v>0</v>
      </c>
      <c r="X93" s="25">
        <f t="shared" si="14"/>
        <v>52679.446368540295</v>
      </c>
      <c r="Y93" s="25">
        <f t="shared" si="14"/>
        <v>0</v>
      </c>
      <c r="Z93" s="26">
        <f t="shared" si="14"/>
        <v>0</v>
      </c>
      <c r="AA93" s="26">
        <v>0</v>
      </c>
    </row>
    <row r="94" spans="2:27" x14ac:dyDescent="0.2">
      <c r="B94" s="3"/>
      <c r="C94" s="8"/>
      <c r="D94" s="39"/>
      <c r="E94" s="39"/>
      <c r="F94" s="39"/>
      <c r="G94" s="39"/>
      <c r="H94" s="39"/>
      <c r="I94" s="39"/>
      <c r="J94" s="39"/>
      <c r="K94" s="39"/>
      <c r="L94" s="39"/>
      <c r="M94" s="39"/>
      <c r="N94" s="39"/>
      <c r="O94" s="39"/>
      <c r="P94" s="39"/>
      <c r="Q94" s="39"/>
      <c r="R94" s="39"/>
      <c r="S94" s="39"/>
      <c r="T94" s="39"/>
      <c r="U94" s="39"/>
      <c r="V94" s="39"/>
      <c r="W94" s="39"/>
      <c r="X94" s="39"/>
      <c r="Y94" s="39"/>
      <c r="Z94" s="39"/>
      <c r="AA94" s="39"/>
    </row>
    <row r="95" spans="2:27" x14ac:dyDescent="0.2">
      <c r="B95" s="3"/>
      <c r="C95" s="1130" t="s">
        <v>417</v>
      </c>
      <c r="D95" s="39"/>
      <c r="E95" s="39"/>
      <c r="F95" s="39"/>
      <c r="G95" s="39"/>
      <c r="H95" s="39"/>
      <c r="I95" s="39"/>
      <c r="J95" s="39"/>
      <c r="K95" s="39"/>
      <c r="L95" s="39"/>
      <c r="M95" s="39"/>
      <c r="N95" s="39"/>
      <c r="O95" s="39"/>
      <c r="P95" s="39"/>
      <c r="Q95" s="39"/>
      <c r="R95" s="39"/>
      <c r="S95" s="39"/>
      <c r="T95" s="39"/>
      <c r="U95" s="39"/>
      <c r="V95" s="39"/>
      <c r="W95" s="39"/>
      <c r="X95" s="39"/>
      <c r="Y95" s="39"/>
      <c r="Z95" s="39"/>
      <c r="AA95" s="39"/>
    </row>
    <row r="96" spans="2:27" x14ac:dyDescent="0.2">
      <c r="B96" s="3"/>
      <c r="C96" s="43" t="s">
        <v>641</v>
      </c>
    </row>
    <row r="97" spans="2:27" x14ac:dyDescent="0.2">
      <c r="B97" s="3"/>
    </row>
    <row r="98" spans="2:27" x14ac:dyDescent="0.2">
      <c r="B98" s="3"/>
      <c r="C98" s="1130" t="s">
        <v>417</v>
      </c>
      <c r="D98" s="1139" t="str">
        <f t="shared" ref="D98:AA98" si="15">D71</f>
        <v>RATE SCHEDULE</v>
      </c>
      <c r="E98" s="1183" t="str">
        <f t="shared" si="15"/>
        <v>01R</v>
      </c>
      <c r="F98" s="1183" t="str">
        <f t="shared" si="15"/>
        <v>01C</v>
      </c>
      <c r="G98" s="1183" t="str">
        <f t="shared" si="15"/>
        <v>02R</v>
      </c>
      <c r="H98" s="1183" t="str">
        <f t="shared" si="15"/>
        <v>03C</v>
      </c>
      <c r="I98" s="1183" t="str">
        <f t="shared" si="15"/>
        <v>03I</v>
      </c>
      <c r="J98" s="1183" t="str">
        <f t="shared" si="15"/>
        <v>27R</v>
      </c>
      <c r="K98" s="1183" t="str">
        <f t="shared" si="15"/>
        <v>41CFS</v>
      </c>
      <c r="L98" s="1183" t="str">
        <f t="shared" si="15"/>
        <v>41IFS</v>
      </c>
      <c r="M98" s="1183" t="str">
        <f t="shared" si="15"/>
        <v>41CIS</v>
      </c>
      <c r="N98" s="1183" t="str">
        <f t="shared" si="15"/>
        <v>41IIS</v>
      </c>
      <c r="O98" s="1183" t="str">
        <f t="shared" si="15"/>
        <v>41CTF</v>
      </c>
      <c r="P98" s="1183" t="str">
        <f t="shared" si="15"/>
        <v>41ITF</v>
      </c>
      <c r="Q98" s="1183" t="str">
        <f t="shared" si="15"/>
        <v>42CFS</v>
      </c>
      <c r="R98" s="1183" t="str">
        <f t="shared" si="15"/>
        <v>42IFS</v>
      </c>
      <c r="S98" s="1183" t="str">
        <f t="shared" si="15"/>
        <v>42CFT</v>
      </c>
      <c r="T98" s="1183" t="str">
        <f t="shared" si="15"/>
        <v>42IFT</v>
      </c>
      <c r="U98" s="1183" t="str">
        <f t="shared" si="15"/>
        <v>42CIS</v>
      </c>
      <c r="V98" s="1183" t="str">
        <f t="shared" si="15"/>
        <v>42IIS</v>
      </c>
      <c r="W98" s="1183" t="str">
        <f t="shared" si="15"/>
        <v>42CIT</v>
      </c>
      <c r="X98" s="1183" t="str">
        <f t="shared" si="15"/>
        <v>42IIT</v>
      </c>
      <c r="Y98" s="1183" t="str">
        <f t="shared" si="15"/>
        <v>43 FT</v>
      </c>
      <c r="Z98" s="1183" t="str">
        <f t="shared" si="15"/>
        <v>43 IT</v>
      </c>
      <c r="AA98" s="1183" t="str">
        <f t="shared" si="15"/>
        <v>Special</v>
      </c>
    </row>
    <row r="99" spans="2:27" x14ac:dyDescent="0.2">
      <c r="B99" s="3">
        <v>18</v>
      </c>
      <c r="C99" s="10" t="s">
        <v>638</v>
      </c>
      <c r="D99" s="1125">
        <f t="shared" ref="D99:AA99" si="16">D72+D93</f>
        <v>87739380.232436538</v>
      </c>
      <c r="E99" s="1125">
        <f t="shared" si="16"/>
        <v>323446.61567080312</v>
      </c>
      <c r="F99" s="1125">
        <f t="shared" si="16"/>
        <v>61036.906244816615</v>
      </c>
      <c r="G99" s="1125">
        <f t="shared" si="16"/>
        <v>59448435.04509297</v>
      </c>
      <c r="H99" s="1125">
        <f t="shared" si="16"/>
        <v>17992008.190479189</v>
      </c>
      <c r="I99" s="1125">
        <f t="shared" si="16"/>
        <v>268080.6618226337</v>
      </c>
      <c r="J99" s="1125">
        <f t="shared" si="16"/>
        <v>401697.58645271475</v>
      </c>
      <c r="K99" s="1125">
        <f t="shared" si="16"/>
        <v>3147731.0572317853</v>
      </c>
      <c r="L99" s="1125">
        <f t="shared" si="16"/>
        <v>822079.04288023477</v>
      </c>
      <c r="M99" s="1125">
        <f t="shared" si="16"/>
        <v>0</v>
      </c>
      <c r="N99" s="1125">
        <f t="shared" si="16"/>
        <v>0</v>
      </c>
      <c r="O99" s="1125">
        <f t="shared" si="16"/>
        <v>226015.65886519203</v>
      </c>
      <c r="P99" s="1125">
        <f t="shared" si="16"/>
        <v>0</v>
      </c>
      <c r="Q99" s="1125">
        <f t="shared" si="16"/>
        <v>512028.60325856938</v>
      </c>
      <c r="R99" s="1125">
        <f t="shared" si="16"/>
        <v>1252457.696231663</v>
      </c>
      <c r="S99" s="1125">
        <f t="shared" si="16"/>
        <v>429532.29509341775</v>
      </c>
      <c r="T99" s="1125">
        <f t="shared" si="16"/>
        <v>980556.01470217423</v>
      </c>
      <c r="U99" s="1125">
        <f t="shared" si="16"/>
        <v>461314.33556345612</v>
      </c>
      <c r="V99" s="1125">
        <f t="shared" si="16"/>
        <v>187190.38568098299</v>
      </c>
      <c r="W99" s="1125">
        <f t="shared" si="16"/>
        <v>0</v>
      </c>
      <c r="X99" s="1125">
        <f t="shared" si="16"/>
        <v>982775.53509412741</v>
      </c>
      <c r="Y99" s="1125">
        <f t="shared" si="16"/>
        <v>0</v>
      </c>
      <c r="Z99" s="1125">
        <f t="shared" si="16"/>
        <v>0</v>
      </c>
      <c r="AA99" s="1125">
        <f t="shared" si="16"/>
        <v>242994.60207180592</v>
      </c>
    </row>
    <row r="100" spans="2:27" x14ac:dyDescent="0.2">
      <c r="B100" s="3">
        <v>19</v>
      </c>
      <c r="C100" s="8" t="s">
        <v>471</v>
      </c>
      <c r="D100" s="1126">
        <f t="shared" ref="D100:AA100" si="17">IFERROR((D99-D72)/D72,0)</f>
        <v>3.7240139527582795E-2</v>
      </c>
      <c r="E100" s="1126">
        <f t="shared" si="17"/>
        <v>4.2931413402934875E-2</v>
      </c>
      <c r="F100" s="1126">
        <f t="shared" si="17"/>
        <v>4.0926107328210823E-2</v>
      </c>
      <c r="G100" s="1126">
        <f t="shared" si="17"/>
        <v>3.7647514845810436E-2</v>
      </c>
      <c r="H100" s="1126">
        <f t="shared" si="17"/>
        <v>3.6263842709257206E-2</v>
      </c>
      <c r="I100" s="1126">
        <f t="shared" si="17"/>
        <v>3.4957429791700918E-2</v>
      </c>
      <c r="J100" s="1126">
        <f t="shared" si="17"/>
        <v>3.3144773773550851E-2</v>
      </c>
      <c r="K100" s="1126">
        <f t="shared" si="17"/>
        <v>3.2278726373593233E-2</v>
      </c>
      <c r="L100" s="1126">
        <f t="shared" si="17"/>
        <v>3.1436158915522719E-2</v>
      </c>
      <c r="M100" s="1126">
        <f t="shared" si="17"/>
        <v>0</v>
      </c>
      <c r="N100" s="1126">
        <f t="shared" si="17"/>
        <v>0</v>
      </c>
      <c r="O100" s="1126">
        <f t="shared" si="17"/>
        <v>5.6638714007196216E-2</v>
      </c>
      <c r="P100" s="1126">
        <f t="shared" si="17"/>
        <v>0</v>
      </c>
      <c r="Q100" s="1126">
        <f t="shared" si="17"/>
        <v>2.8136712612875842E-2</v>
      </c>
      <c r="R100" s="1126">
        <f t="shared" si="17"/>
        <v>2.6769260530391675E-2</v>
      </c>
      <c r="S100" s="1126">
        <f t="shared" si="17"/>
        <v>5.663871400719625E-2</v>
      </c>
      <c r="T100" s="1126">
        <f t="shared" si="17"/>
        <v>5.6638714007196188E-2</v>
      </c>
      <c r="U100" s="1126">
        <f t="shared" si="17"/>
        <v>2.2709047412387863E-2</v>
      </c>
      <c r="V100" s="1126">
        <f t="shared" si="17"/>
        <v>2.8445529670312612E-2</v>
      </c>
      <c r="W100" s="1126">
        <f t="shared" si="17"/>
        <v>0</v>
      </c>
      <c r="X100" s="1126">
        <f t="shared" si="17"/>
        <v>5.6638714007196174E-2</v>
      </c>
      <c r="Y100" s="1126">
        <f t="shared" si="17"/>
        <v>0</v>
      </c>
      <c r="Z100" s="1126">
        <f t="shared" si="17"/>
        <v>0</v>
      </c>
      <c r="AA100" s="1126">
        <f t="shared" si="17"/>
        <v>0</v>
      </c>
    </row>
    <row r="101" spans="2:27" x14ac:dyDescent="0.2">
      <c r="B101" s="3">
        <v>20</v>
      </c>
      <c r="C101" s="8" t="s">
        <v>640</v>
      </c>
      <c r="D101" s="1127">
        <f>D90+D$93</f>
        <v>59010828.232436538</v>
      </c>
      <c r="E101" s="1127">
        <f t="shared" ref="E101:AA101" si="18">E90+E$93</f>
        <v>248390.61567080303</v>
      </c>
      <c r="F101" s="1127">
        <f t="shared" si="18"/>
        <v>44769.906244816615</v>
      </c>
      <c r="G101" s="1127">
        <f t="shared" si="18"/>
        <v>40238337.04509297</v>
      </c>
      <c r="H101" s="1127">
        <f t="shared" si="18"/>
        <v>11746169.190479189</v>
      </c>
      <c r="I101" s="1127">
        <f t="shared" si="18"/>
        <v>168925.66182263367</v>
      </c>
      <c r="J101" s="1127">
        <f t="shared" si="18"/>
        <v>240417.58645271466</v>
      </c>
      <c r="K101" s="1127">
        <f t="shared" si="18"/>
        <v>1836243.0572317848</v>
      </c>
      <c r="L101" s="1127">
        <f t="shared" si="18"/>
        <v>467427.04288023466</v>
      </c>
      <c r="M101" s="1127">
        <f t="shared" si="18"/>
        <v>0</v>
      </c>
      <c r="N101" s="1127">
        <f t="shared" si="18"/>
        <v>0</v>
      </c>
      <c r="O101" s="1127">
        <f t="shared" si="18"/>
        <v>226015.65886519203</v>
      </c>
      <c r="P101" s="1127">
        <f t="shared" si="18"/>
        <v>0</v>
      </c>
      <c r="Q101" s="1127">
        <f t="shared" si="18"/>
        <v>261414.60325856938</v>
      </c>
      <c r="R101" s="1127">
        <f t="shared" si="18"/>
        <v>609171.69623166311</v>
      </c>
      <c r="S101" s="1127">
        <f t="shared" si="18"/>
        <v>429532.29509341775</v>
      </c>
      <c r="T101" s="1127">
        <f t="shared" si="18"/>
        <v>980556.01470217423</v>
      </c>
      <c r="U101" s="1127">
        <f t="shared" si="18"/>
        <v>191098.33556345623</v>
      </c>
      <c r="V101" s="1127">
        <f t="shared" si="18"/>
        <v>96589.385680983032</v>
      </c>
      <c r="W101" s="1127">
        <f t="shared" si="18"/>
        <v>0</v>
      </c>
      <c r="X101" s="1127">
        <f t="shared" si="18"/>
        <v>982775.53509412741</v>
      </c>
      <c r="Y101" s="1127">
        <f t="shared" si="18"/>
        <v>0</v>
      </c>
      <c r="Z101" s="1127">
        <f t="shared" si="18"/>
        <v>0</v>
      </c>
      <c r="AA101" s="1127">
        <f t="shared" si="18"/>
        <v>242994.60207180592</v>
      </c>
    </row>
    <row r="102" spans="2:27" x14ac:dyDescent="0.2">
      <c r="B102" s="3">
        <v>21</v>
      </c>
      <c r="C102" s="8" t="s">
        <v>472</v>
      </c>
      <c r="D102" s="1128">
        <f>IFERROR(D93/(D90-AA90),0)</f>
        <v>5.6638714007196181E-2</v>
      </c>
      <c r="E102" s="1128">
        <f t="shared" ref="E102:AA102" si="19">IFERROR(E93/(E90-AB90),0)</f>
        <v>5.6638714007196181E-2</v>
      </c>
      <c r="F102" s="1128">
        <f t="shared" si="19"/>
        <v>5.6638714007196181E-2</v>
      </c>
      <c r="G102" s="1128">
        <f t="shared" si="19"/>
        <v>5.6638714007196174E-2</v>
      </c>
      <c r="H102" s="1128">
        <f t="shared" si="19"/>
        <v>5.6638714007196181E-2</v>
      </c>
      <c r="I102" s="1128">
        <f t="shared" si="19"/>
        <v>5.6638714007196181E-2</v>
      </c>
      <c r="J102" s="1128">
        <f t="shared" si="19"/>
        <v>5.6638714007196181E-2</v>
      </c>
      <c r="K102" s="1128">
        <f t="shared" si="19"/>
        <v>5.6638714007196181E-2</v>
      </c>
      <c r="L102" s="1128">
        <f t="shared" si="19"/>
        <v>5.6638714007196174E-2</v>
      </c>
      <c r="M102" s="1128">
        <f t="shared" si="19"/>
        <v>0</v>
      </c>
      <c r="N102" s="1128">
        <f t="shared" si="19"/>
        <v>0</v>
      </c>
      <c r="O102" s="1128">
        <f t="shared" si="19"/>
        <v>5.6638714007196181E-2</v>
      </c>
      <c r="P102" s="1128">
        <f t="shared" si="19"/>
        <v>0</v>
      </c>
      <c r="Q102" s="1128">
        <f t="shared" si="19"/>
        <v>5.6638714007196188E-2</v>
      </c>
      <c r="R102" s="1128">
        <f t="shared" si="19"/>
        <v>5.6638714007196181E-2</v>
      </c>
      <c r="S102" s="1128">
        <f t="shared" si="19"/>
        <v>5.6638714007196181E-2</v>
      </c>
      <c r="T102" s="1128">
        <f t="shared" si="19"/>
        <v>5.6638714007196188E-2</v>
      </c>
      <c r="U102" s="1128">
        <f t="shared" si="19"/>
        <v>5.6638714007196174E-2</v>
      </c>
      <c r="V102" s="1128">
        <f t="shared" si="19"/>
        <v>5.6638714007196181E-2</v>
      </c>
      <c r="W102" s="1128">
        <f t="shared" si="19"/>
        <v>0</v>
      </c>
      <c r="X102" s="1128">
        <f t="shared" si="19"/>
        <v>5.6638714007196181E-2</v>
      </c>
      <c r="Y102" s="1128">
        <f t="shared" si="19"/>
        <v>0</v>
      </c>
      <c r="Z102" s="1128">
        <f t="shared" si="19"/>
        <v>0</v>
      </c>
      <c r="AA102" s="1128">
        <f t="shared" si="19"/>
        <v>0</v>
      </c>
    </row>
    <row r="103" spans="2:27" x14ac:dyDescent="0.2">
      <c r="B103" s="3">
        <v>22</v>
      </c>
      <c r="C103" s="8" t="s">
        <v>473</v>
      </c>
      <c r="D103" s="1129">
        <f t="shared" ref="D103:X103" si="20">IF(ISERROR(D93/(D18+D68)),$D$105,(D93/(D18+D68)))</f>
        <v>7.2344671348070627E-2</v>
      </c>
      <c r="E103" s="1129">
        <f t="shared" si="20"/>
        <v>7.75468613405291E-2</v>
      </c>
      <c r="F103" s="1129">
        <f t="shared" si="20"/>
        <v>6.1836307338076726E-2</v>
      </c>
      <c r="G103" s="1129">
        <f t="shared" si="20"/>
        <v>7.3211874866796173E-2</v>
      </c>
      <c r="H103" s="1129">
        <f t="shared" si="20"/>
        <v>6.8603983440141195E-2</v>
      </c>
      <c r="I103" s="1129">
        <f t="shared" si="20"/>
        <v>6.0702510097922047E-2</v>
      </c>
      <c r="J103" s="1129">
        <f t="shared" si="20"/>
        <v>9.425355064771021E-2</v>
      </c>
      <c r="K103" s="1129">
        <f t="shared" si="20"/>
        <v>6.9909252409043596E-2</v>
      </c>
      <c r="L103" s="1129">
        <f t="shared" si="20"/>
        <v>6.708453600464144E-2</v>
      </c>
      <c r="M103" s="1129">
        <f t="shared" si="20"/>
        <v>5.6638714007196181E-2</v>
      </c>
      <c r="N103" s="1129">
        <f t="shared" si="20"/>
        <v>5.6638714007196181E-2</v>
      </c>
      <c r="O103" s="1129">
        <f t="shared" si="20"/>
        <v>7.2806705408858363E-2</v>
      </c>
      <c r="P103" s="1129">
        <f t="shared" si="20"/>
        <v>5.6638714007196181E-2</v>
      </c>
      <c r="Q103" s="1129">
        <f t="shared" si="20"/>
        <v>0.10846247670866264</v>
      </c>
      <c r="R103" s="1129">
        <f t="shared" si="20"/>
        <v>0.10164469669064706</v>
      </c>
      <c r="S103" s="1129">
        <f t="shared" si="20"/>
        <v>7.3723004629897462E-2</v>
      </c>
      <c r="T103" s="1129">
        <f t="shared" si="20"/>
        <v>7.3874766300470837E-2</v>
      </c>
      <c r="U103" s="1129">
        <f t="shared" si="20"/>
        <v>7.7439336906058268E-2</v>
      </c>
      <c r="V103" s="1129">
        <f t="shared" si="20"/>
        <v>9.5900276624239944E-2</v>
      </c>
      <c r="W103" s="1129">
        <f t="shared" si="20"/>
        <v>5.6638714007196181E-2</v>
      </c>
      <c r="X103" s="1129">
        <f t="shared" si="20"/>
        <v>6.5857868205439485E-2</v>
      </c>
      <c r="Y103" s="1129">
        <v>0</v>
      </c>
      <c r="Z103" s="1129">
        <v>0</v>
      </c>
      <c r="AA103" s="1129">
        <v>0</v>
      </c>
    </row>
    <row r="104" spans="2:27" x14ac:dyDescent="0.2">
      <c r="B104" s="3">
        <v>23</v>
      </c>
    </row>
    <row r="105" spans="2:27" x14ac:dyDescent="0.2">
      <c r="B105" s="31">
        <v>24</v>
      </c>
      <c r="D105" s="30">
        <f>D102</f>
        <v>5.6638714007196181E-2</v>
      </c>
      <c r="E105" s="1140" t="s">
        <v>466</v>
      </c>
    </row>
    <row r="106" spans="2:27" x14ac:dyDescent="0.2">
      <c r="B106" s="31">
        <v>25</v>
      </c>
    </row>
    <row r="108" spans="2:27" x14ac:dyDescent="0.2">
      <c r="C108" s="29" t="s">
        <v>635</v>
      </c>
    </row>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&amp;RExh. RJW-3 Wyman WP1</oddHeader>
    <oddFooter xml:space="preserve">&amp;C&amp;F &amp;D &amp;T
&amp;A </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640625" defaultRowHeight="12.75" x14ac:dyDescent="0.2"/>
  <cols>
    <col min="1" max="1" width="7.33203125" style="529" customWidth="1"/>
    <col min="2" max="2" width="16" style="491" customWidth="1"/>
    <col min="3" max="3" width="10.1640625" style="502"/>
    <col min="4" max="4" width="17.1640625" style="503" customWidth="1"/>
    <col min="5" max="5" width="16.5" style="503" customWidth="1"/>
    <col min="6" max="6" width="17.1640625" style="503" customWidth="1"/>
    <col min="7" max="7" width="17.5" style="503" customWidth="1"/>
    <col min="8" max="8" width="28.6640625" style="503" bestFit="1" customWidth="1"/>
    <col min="9" max="9" width="15.1640625" style="514" customWidth="1"/>
    <col min="10" max="10" width="16.83203125" style="506" customWidth="1"/>
    <col min="11" max="11" width="13.83203125" style="506" customWidth="1"/>
    <col min="12" max="12" width="13.83203125" style="514" customWidth="1"/>
    <col min="13" max="13" width="16.1640625" style="506" customWidth="1"/>
    <col min="14" max="16" width="13.83203125" style="506" customWidth="1"/>
    <col min="17" max="17" width="13.83203125" style="514" customWidth="1"/>
    <col min="18" max="18" width="16.1640625" style="506" customWidth="1"/>
    <col min="19" max="20" width="13.83203125" style="506" customWidth="1"/>
    <col min="21" max="21" width="13.83203125" style="514" customWidth="1"/>
    <col min="22" max="22" width="16.1640625" style="506" customWidth="1"/>
    <col min="23" max="24" width="13.83203125" style="506" customWidth="1"/>
    <col min="25" max="16384" width="10.1640625" style="506"/>
  </cols>
  <sheetData>
    <row r="1" spans="1:24" x14ac:dyDescent="0.2">
      <c r="A1" s="139" t="str">
        <f>+'WA Volumes &amp; Revenues'!A1</f>
        <v>NW Natural</v>
      </c>
      <c r="H1" s="504"/>
      <c r="I1" s="1548"/>
      <c r="J1" s="1548"/>
      <c r="K1" s="495"/>
      <c r="L1" s="505"/>
      <c r="Q1" s="505"/>
      <c r="U1" s="505"/>
    </row>
    <row r="2" spans="1:24" x14ac:dyDescent="0.2">
      <c r="A2" s="139" t="str">
        <f>+'WA Volumes &amp; Revenues'!A2</f>
        <v>Rates &amp; Regulatory Affairs</v>
      </c>
      <c r="H2" s="504"/>
      <c r="I2" s="1550"/>
      <c r="J2" s="1550"/>
      <c r="K2" s="496"/>
      <c r="L2" s="505"/>
      <c r="Q2" s="505"/>
      <c r="U2" s="505"/>
    </row>
    <row r="3" spans="1:24" x14ac:dyDescent="0.2">
      <c r="A3" s="139" t="e">
        <f>+'WA Volumes &amp; Revenues'!#REF!</f>
        <v>#REF!</v>
      </c>
      <c r="H3" s="504"/>
      <c r="I3" s="507"/>
      <c r="J3" s="508"/>
      <c r="K3" s="509"/>
      <c r="L3" s="507"/>
      <c r="Q3" s="507"/>
      <c r="U3" s="507"/>
    </row>
    <row r="4" spans="1:24" x14ac:dyDescent="0.2">
      <c r="A4" s="139" t="str">
        <f>+'WA Volumes &amp; Revenues'!A3</f>
        <v>Test Year Ending September 30, 2020</v>
      </c>
      <c r="H4" s="504"/>
      <c r="I4" s="510"/>
      <c r="J4" s="508"/>
      <c r="K4" s="511"/>
      <c r="L4" s="510"/>
      <c r="M4" s="512"/>
      <c r="Q4" s="510"/>
      <c r="R4" s="512"/>
      <c r="U4" s="510"/>
      <c r="V4" s="512"/>
    </row>
    <row r="5" spans="1:24" x14ac:dyDescent="0.2">
      <c r="A5" s="435" t="s">
        <v>194</v>
      </c>
      <c r="D5" s="502"/>
      <c r="E5" s="502"/>
      <c r="F5" s="502"/>
      <c r="G5" s="502"/>
      <c r="H5" s="504"/>
      <c r="I5" s="507"/>
      <c r="K5" s="511"/>
      <c r="L5" s="507"/>
      <c r="M5" s="512"/>
      <c r="Q5" s="507"/>
      <c r="R5" s="512"/>
      <c r="U5" s="507"/>
      <c r="V5" s="512"/>
    </row>
    <row r="6" spans="1:24" x14ac:dyDescent="0.2">
      <c r="A6" s="55">
        <f>'WA Volumes &amp; Revenues'!A7</f>
        <v>0</v>
      </c>
      <c r="D6" s="502"/>
      <c r="E6" s="502"/>
      <c r="F6" s="502"/>
      <c r="G6" s="502"/>
      <c r="H6" s="504"/>
      <c r="I6" s="507"/>
      <c r="K6" s="338"/>
      <c r="L6" s="338"/>
      <c r="M6" s="338"/>
      <c r="N6" s="338"/>
      <c r="O6" s="338"/>
      <c r="P6" s="338"/>
      <c r="Q6" s="507"/>
      <c r="U6" s="507"/>
    </row>
    <row r="7" spans="1:24" x14ac:dyDescent="0.2">
      <c r="D7" s="502"/>
      <c r="E7" s="502"/>
      <c r="F7" s="502"/>
      <c r="G7" s="502"/>
      <c r="H7" s="504"/>
      <c r="I7" s="507"/>
      <c r="K7" s="513"/>
      <c r="L7" s="513"/>
      <c r="M7" s="513"/>
      <c r="N7" s="513"/>
      <c r="O7" s="513"/>
      <c r="P7" s="513"/>
      <c r="Q7" s="507"/>
      <c r="S7" s="511"/>
      <c r="U7" s="507"/>
      <c r="W7" s="511"/>
    </row>
    <row r="8" spans="1:24" x14ac:dyDescent="0.2">
      <c r="D8" s="502"/>
      <c r="E8" s="502"/>
      <c r="F8" s="502"/>
      <c r="G8" s="502"/>
      <c r="H8" s="504"/>
      <c r="K8" s="338"/>
      <c r="L8" s="338"/>
      <c r="M8" s="338"/>
      <c r="N8" s="338"/>
      <c r="O8" s="338"/>
      <c r="P8" s="338"/>
      <c r="Q8" s="1548"/>
      <c r="R8" s="1548"/>
      <c r="S8" s="1548"/>
      <c r="U8" s="1548"/>
      <c r="V8" s="1548"/>
      <c r="W8" s="1548"/>
    </row>
    <row r="9" spans="1:24" x14ac:dyDescent="0.2">
      <c r="A9" s="515"/>
      <c r="D9" s="502"/>
      <c r="E9" s="502"/>
      <c r="F9" s="502"/>
      <c r="G9" s="502"/>
      <c r="H9" s="504"/>
      <c r="L9" s="1549"/>
      <c r="M9" s="1549"/>
      <c r="N9" s="1549"/>
      <c r="O9" s="541"/>
      <c r="P9" s="541"/>
      <c r="Q9" s="1550"/>
      <c r="R9" s="1550"/>
      <c r="S9" s="1550"/>
      <c r="U9" s="1550"/>
      <c r="V9" s="1550"/>
      <c r="W9" s="1550"/>
    </row>
    <row r="10" spans="1:24" ht="15" customHeight="1" thickBot="1" x14ac:dyDescent="0.25">
      <c r="A10" s="115">
        <v>1</v>
      </c>
      <c r="D10" s="516"/>
      <c r="E10" s="516"/>
      <c r="F10" s="516"/>
      <c r="G10" s="516"/>
      <c r="H10" s="517"/>
      <c r="I10" s="1551" t="s">
        <v>375</v>
      </c>
      <c r="J10" s="1552"/>
      <c r="K10" s="1553"/>
      <c r="L10" s="1551" t="s">
        <v>375</v>
      </c>
      <c r="M10" s="1552"/>
      <c r="N10" s="1552"/>
      <c r="O10" s="1552"/>
      <c r="P10" s="1553"/>
      <c r="Q10" s="1551" t="s">
        <v>375</v>
      </c>
      <c r="R10" s="1552"/>
      <c r="S10" s="1552"/>
      <c r="T10" s="1552"/>
      <c r="U10" s="1551" t="s">
        <v>375</v>
      </c>
      <c r="V10" s="1552"/>
      <c r="W10" s="1552"/>
      <c r="X10" s="1553"/>
    </row>
    <row r="11" spans="1:24" ht="15" customHeight="1" thickBot="1" x14ac:dyDescent="0.25">
      <c r="A11" s="115">
        <f t="shared" ref="A11:A88" si="0">+A10+1</f>
        <v>2</v>
      </c>
      <c r="D11" s="442" t="s">
        <v>272</v>
      </c>
      <c r="E11" s="518" t="s">
        <v>18</v>
      </c>
      <c r="F11" s="61" t="str">
        <f>D11</f>
        <v>UG XXXXXX</v>
      </c>
      <c r="G11" s="61" t="str">
        <f>F11</f>
        <v>UG XXXXXX</v>
      </c>
      <c r="H11" s="519" t="s">
        <v>29</v>
      </c>
      <c r="I11" s="918"/>
      <c r="J11" s="521" t="s">
        <v>180</v>
      </c>
      <c r="K11" s="522"/>
      <c r="L11" s="523"/>
      <c r="M11" s="521" t="s">
        <v>180</v>
      </c>
      <c r="N11" s="521"/>
      <c r="O11" s="521"/>
      <c r="P11" s="521"/>
      <c r="Q11" s="520"/>
      <c r="R11" s="521" t="s">
        <v>180</v>
      </c>
      <c r="S11" s="521"/>
      <c r="T11" s="522"/>
      <c r="U11" s="520"/>
      <c r="V11" s="521" t="s">
        <v>180</v>
      </c>
      <c r="W11" s="521"/>
      <c r="X11" s="522"/>
    </row>
    <row r="12" spans="1:24" ht="15" customHeight="1" thickBot="1" x14ac:dyDescent="0.25">
      <c r="A12" s="115">
        <f t="shared" si="0"/>
        <v>3</v>
      </c>
      <c r="D12" s="61" t="s">
        <v>279</v>
      </c>
      <c r="E12" s="144" t="str">
        <f>'Allocation = % of Margin'!G9</f>
        <v>MARGIN</v>
      </c>
      <c r="F12" s="61" t="str">
        <f>D12</f>
        <v>WA GRC</v>
      </c>
      <c r="G12" s="61" t="str">
        <f>F12</f>
        <v>WA GRC</v>
      </c>
      <c r="H12" s="519" t="s">
        <v>24</v>
      </c>
      <c r="I12" s="447">
        <v>4.1579999999999999E-2</v>
      </c>
      <c r="J12" s="521" t="str">
        <f>IF(I12="&lt; n/a &gt;","rev sensitive factor is built in","add revenue sensitive factor")</f>
        <v>add revenue sensitive factor</v>
      </c>
      <c r="K12" s="522"/>
      <c r="L12" s="524">
        <f>I12</f>
        <v>4.1579999999999999E-2</v>
      </c>
      <c r="M12" s="521" t="str">
        <f>IF(L12="&lt; n/a &gt;","rev sensitive factor is built in","add revenue sensitive factor")</f>
        <v>add revenue sensitive factor</v>
      </c>
      <c r="N12" s="521"/>
      <c r="O12" s="521"/>
      <c r="P12" s="521"/>
      <c r="Q12" s="447">
        <f>I12</f>
        <v>4.1579999999999999E-2</v>
      </c>
      <c r="R12" s="521" t="str">
        <f>IF(Q12="&lt; n/a &gt;","rev sensitive factor is built in","add revenue sensitive factor")</f>
        <v>add revenue sensitive factor</v>
      </c>
      <c r="S12" s="521"/>
      <c r="T12" s="522"/>
      <c r="U12" s="447">
        <f>I12</f>
        <v>4.1579999999999999E-2</v>
      </c>
      <c r="V12" s="521" t="str">
        <f>IF(U12="&lt; n/a &gt;","rev sensitive factor is built in","add revenue sensitive factor")</f>
        <v>add revenue sensitive factor</v>
      </c>
      <c r="W12" s="521"/>
      <c r="X12" s="522"/>
    </row>
    <row r="13" spans="1:24" s="528" customFormat="1" ht="15" customHeight="1" thickBot="1" x14ac:dyDescent="0.25">
      <c r="A13" s="115">
        <f t="shared" si="0"/>
        <v>4</v>
      </c>
      <c r="B13" s="491"/>
      <c r="C13" s="502"/>
      <c r="D13" s="358" t="s">
        <v>174</v>
      </c>
      <c r="E13" s="451" t="str">
        <f>'Allocation = % of Margin'!G10</f>
        <v>Rate</v>
      </c>
      <c r="F13" s="358" t="s">
        <v>221</v>
      </c>
      <c r="G13" s="358" t="s">
        <v>219</v>
      </c>
      <c r="H13" s="519" t="s">
        <v>25</v>
      </c>
      <c r="I13" s="525">
        <f>IF(I12="&lt; n/a &gt;",I11,ROUND(+I11/(1-I12),0))</f>
        <v>0</v>
      </c>
      <c r="J13" s="523" t="s">
        <v>182</v>
      </c>
      <c r="K13" s="526"/>
      <c r="L13" s="527">
        <f>IF(L12="&lt; n/a &gt;",L11,ROUND(+L11/(1-L12),0))</f>
        <v>0</v>
      </c>
      <c r="M13" s="523" t="s">
        <v>182</v>
      </c>
      <c r="N13" s="523"/>
      <c r="O13" s="523"/>
      <c r="P13" s="523"/>
      <c r="Q13" s="525">
        <f>IF(Q12="&lt; n/a &gt;",Q11,ROUND(+Q11/(1-Q12),0))</f>
        <v>0</v>
      </c>
      <c r="R13" s="523" t="s">
        <v>182</v>
      </c>
      <c r="S13" s="523"/>
      <c r="T13" s="526"/>
      <c r="U13" s="525">
        <f>IF(U12="&lt; n/a &gt;",U11,ROUND(+U11/(1-U12),0))</f>
        <v>0</v>
      </c>
      <c r="V13" s="523" t="s">
        <v>182</v>
      </c>
      <c r="W13" s="523"/>
      <c r="X13" s="526"/>
    </row>
    <row r="14" spans="1:24" s="528" customFormat="1" x14ac:dyDescent="0.2">
      <c r="A14" s="115">
        <f t="shared" si="0"/>
        <v>5</v>
      </c>
      <c r="B14" s="529"/>
      <c r="C14" s="506"/>
      <c r="E14" s="542"/>
      <c r="H14" s="757"/>
      <c r="I14" s="530" t="s">
        <v>22</v>
      </c>
      <c r="J14" s="456" t="s">
        <v>174</v>
      </c>
      <c r="K14" s="457" t="s">
        <v>23</v>
      </c>
      <c r="L14" s="456" t="s">
        <v>22</v>
      </c>
      <c r="M14" s="456" t="s">
        <v>174</v>
      </c>
      <c r="N14" s="456" t="s">
        <v>218</v>
      </c>
      <c r="O14" s="456" t="s">
        <v>218</v>
      </c>
      <c r="P14" s="457" t="s">
        <v>220</v>
      </c>
      <c r="Q14" s="530" t="s">
        <v>22</v>
      </c>
      <c r="R14" s="456" t="s">
        <v>174</v>
      </c>
      <c r="S14" s="456" t="s">
        <v>218</v>
      </c>
      <c r="T14" s="457" t="s">
        <v>218</v>
      </c>
      <c r="U14" s="530" t="s">
        <v>22</v>
      </c>
      <c r="V14" s="755" t="s">
        <v>247</v>
      </c>
      <c r="W14" s="456" t="s">
        <v>218</v>
      </c>
      <c r="X14" s="457" t="s">
        <v>218</v>
      </c>
    </row>
    <row r="15" spans="1:24" s="528" customFormat="1" x14ac:dyDescent="0.2">
      <c r="A15" s="115">
        <f t="shared" si="0"/>
        <v>6</v>
      </c>
      <c r="B15" s="529"/>
      <c r="C15" s="506"/>
      <c r="E15" s="516"/>
      <c r="H15" s="758"/>
      <c r="I15" s="530"/>
      <c r="J15" s="456"/>
      <c r="K15" s="457"/>
      <c r="L15" s="456"/>
      <c r="M15" s="456"/>
      <c r="N15" s="456" t="s">
        <v>23</v>
      </c>
      <c r="O15" s="456" t="s">
        <v>28</v>
      </c>
      <c r="P15" s="457" t="s">
        <v>28</v>
      </c>
      <c r="Q15" s="530"/>
      <c r="R15" s="456"/>
      <c r="S15" s="456" t="s">
        <v>23</v>
      </c>
      <c r="T15" s="457" t="s">
        <v>28</v>
      </c>
      <c r="U15" s="530"/>
      <c r="V15" s="456"/>
      <c r="W15" s="456" t="s">
        <v>23</v>
      </c>
      <c r="X15" s="457" t="s">
        <v>28</v>
      </c>
    </row>
    <row r="16" spans="1:24" s="528" customFormat="1" x14ac:dyDescent="0.2">
      <c r="A16" s="115">
        <f t="shared" si="0"/>
        <v>7</v>
      </c>
      <c r="B16" s="706" t="s">
        <v>2</v>
      </c>
      <c r="C16" s="456" t="s">
        <v>3</v>
      </c>
      <c r="D16" s="460" t="s">
        <v>35</v>
      </c>
      <c r="E16" s="460" t="s">
        <v>36</v>
      </c>
      <c r="F16" s="460" t="s">
        <v>13</v>
      </c>
      <c r="G16" s="460" t="s">
        <v>37</v>
      </c>
      <c r="H16" s="759"/>
      <c r="I16" s="531" t="s">
        <v>38</v>
      </c>
      <c r="J16" s="460" t="s">
        <v>39</v>
      </c>
      <c r="K16" s="461" t="s">
        <v>40</v>
      </c>
      <c r="L16" s="460" t="s">
        <v>129</v>
      </c>
      <c r="M16" s="460" t="s">
        <v>130</v>
      </c>
      <c r="N16" s="460" t="s">
        <v>43</v>
      </c>
      <c r="O16" s="460" t="s">
        <v>131</v>
      </c>
      <c r="P16" s="461" t="s">
        <v>132</v>
      </c>
      <c r="Q16" s="531" t="s">
        <v>133</v>
      </c>
      <c r="R16" s="460" t="s">
        <v>134</v>
      </c>
      <c r="S16" s="460" t="s">
        <v>135</v>
      </c>
      <c r="T16" s="461" t="s">
        <v>89</v>
      </c>
      <c r="U16" s="531" t="s">
        <v>133</v>
      </c>
      <c r="V16" s="460" t="s">
        <v>134</v>
      </c>
      <c r="W16" s="460" t="s">
        <v>135</v>
      </c>
      <c r="X16" s="461" t="s">
        <v>89</v>
      </c>
    </row>
    <row r="17" spans="1:24" x14ac:dyDescent="0.2">
      <c r="A17" s="115">
        <f t="shared" si="0"/>
        <v>8</v>
      </c>
      <c r="B17" s="724" t="str">
        <f>'WA Volumes &amp; Revenues'!B15</f>
        <v>1R</v>
      </c>
      <c r="C17" s="724" t="str">
        <f>'WA Volumes &amp; Revenues'!C15</f>
        <v>n/a</v>
      </c>
      <c r="D17" s="466">
        <f>'WA Volumes &amp; Revenues'!E15</f>
        <v>214704.20066131229</v>
      </c>
      <c r="E17" s="463">
        <f>'Allocation = % of Margin'!E14</f>
        <v>0.67652999999999996</v>
      </c>
      <c r="F17" s="467">
        <f>'Allocation = % of Margin'!H14</f>
        <v>145254</v>
      </c>
      <c r="G17" s="467">
        <f>'Allocation = % of Margin'!K14</f>
        <v>208635.2992440185</v>
      </c>
      <c r="H17" s="760"/>
      <c r="I17" s="532">
        <v>1</v>
      </c>
      <c r="J17" s="533">
        <f>+$D17*I17</f>
        <v>214704.20066131229</v>
      </c>
      <c r="K17" s="470">
        <f>+I17*$K$87</f>
        <v>0</v>
      </c>
      <c r="L17" s="534">
        <v>1</v>
      </c>
      <c r="M17" s="533">
        <f>+$D17*L17</f>
        <v>214704.20066131229</v>
      </c>
      <c r="N17" s="468">
        <f>M17*O17</f>
        <v>0</v>
      </c>
      <c r="O17" s="469">
        <f>+$O$87*L17</f>
        <v>0</v>
      </c>
      <c r="P17" s="470">
        <f>O17</f>
        <v>0</v>
      </c>
      <c r="Q17" s="532">
        <v>1</v>
      </c>
      <c r="R17" s="533">
        <f>+$D17*Q17</f>
        <v>214704.20066131229</v>
      </c>
      <c r="S17" s="467">
        <f>R17*T17</f>
        <v>0</v>
      </c>
      <c r="T17" s="470">
        <f>+$T$87*Q17</f>
        <v>0</v>
      </c>
      <c r="U17" s="532">
        <v>1</v>
      </c>
      <c r="V17" s="533">
        <f>'WA Volumes &amp; Revenues'!F15*U17</f>
        <v>218577.4</v>
      </c>
      <c r="W17" s="467">
        <f>V17*X17</f>
        <v>0</v>
      </c>
      <c r="X17" s="470">
        <f>+$X$86*U17</f>
        <v>0</v>
      </c>
    </row>
    <row r="18" spans="1:24" x14ac:dyDescent="0.2">
      <c r="A18" s="115">
        <f t="shared" si="0"/>
        <v>9</v>
      </c>
      <c r="B18" s="724" t="str">
        <f>'WA Volumes &amp; Revenues'!B16</f>
        <v>1C</v>
      </c>
      <c r="C18" s="724" t="str">
        <f>'WA Volumes &amp; Revenues'!C16</f>
        <v>n/a</v>
      </c>
      <c r="D18" s="466">
        <f>'WA Volumes &amp; Revenues'!E16</f>
        <v>46539.057144390383</v>
      </c>
      <c r="E18" s="463">
        <f>'Allocation = % of Margin'!E15</f>
        <v>0.73148999999999997</v>
      </c>
      <c r="F18" s="467">
        <f>'Allocation = % of Margin'!H15</f>
        <v>34043</v>
      </c>
      <c r="G18" s="467">
        <f>'Allocation = % of Margin'!K15</f>
        <v>37604.525911352161</v>
      </c>
      <c r="H18" s="760"/>
      <c r="I18" s="532">
        <v>1</v>
      </c>
      <c r="J18" s="533">
        <f t="shared" ref="J18:J80" si="1">+$D18*I18</f>
        <v>46539.057144390383</v>
      </c>
      <c r="K18" s="470">
        <f t="shared" ref="K18:K81" si="2">+I18*$K$87</f>
        <v>0</v>
      </c>
      <c r="L18" s="534">
        <v>1</v>
      </c>
      <c r="M18" s="533">
        <f t="shared" ref="M18:M81" si="3">+$D18*L18</f>
        <v>46539.057144390383</v>
      </c>
      <c r="N18" s="467">
        <f t="shared" ref="N18:N81" si="4">M18*O18</f>
        <v>0</v>
      </c>
      <c r="O18" s="469">
        <f t="shared" ref="O18:O81" si="5">+$O$87*L18</f>
        <v>0</v>
      </c>
      <c r="P18" s="470">
        <f t="shared" ref="P18:P81" si="6">O18</f>
        <v>0</v>
      </c>
      <c r="Q18" s="532">
        <v>1</v>
      </c>
      <c r="R18" s="533">
        <f t="shared" ref="R18:R81" si="7">+$D18*Q18</f>
        <v>46539.057144390383</v>
      </c>
      <c r="S18" s="467">
        <f t="shared" ref="S18:S81" si="8">R18*T18</f>
        <v>0</v>
      </c>
      <c r="T18" s="470">
        <f t="shared" ref="T18:T81" si="9">+$T$87*Q18</f>
        <v>0</v>
      </c>
      <c r="U18" s="532">
        <v>1</v>
      </c>
      <c r="V18" s="533">
        <f>'WA Volumes &amp; Revenues'!F16*U18</f>
        <v>38726</v>
      </c>
      <c r="W18" s="467">
        <f t="shared" ref="W18:W81" si="10">V18*X18</f>
        <v>0</v>
      </c>
      <c r="X18" s="470">
        <f t="shared" ref="X18:X81" si="11">+$X$86*U18</f>
        <v>0</v>
      </c>
    </row>
    <row r="19" spans="1:24" x14ac:dyDescent="0.2">
      <c r="A19" s="115">
        <f t="shared" si="0"/>
        <v>10</v>
      </c>
      <c r="B19" s="724" t="str">
        <f>'WA Volumes &amp; Revenues'!B17</f>
        <v>2R</v>
      </c>
      <c r="C19" s="724" t="str">
        <f>'WA Volumes &amp; Revenues'!C17</f>
        <v>n/a</v>
      </c>
      <c r="D19" s="466">
        <f>'WA Volumes &amp; Revenues'!E17</f>
        <v>54953515.785084128</v>
      </c>
      <c r="E19" s="463">
        <f>'Allocation = % of Margin'!E16</f>
        <v>0.45815999999999979</v>
      </c>
      <c r="F19" s="467">
        <f>'Allocation = % of Margin'!H16</f>
        <v>25177503</v>
      </c>
      <c r="G19" s="467">
        <f>'Allocation = % of Margin'!K16</f>
        <v>33798099.797603399</v>
      </c>
      <c r="H19" s="760"/>
      <c r="I19" s="532">
        <v>1</v>
      </c>
      <c r="J19" s="533">
        <f t="shared" si="1"/>
        <v>54953515.785084128</v>
      </c>
      <c r="K19" s="470">
        <f t="shared" si="2"/>
        <v>0</v>
      </c>
      <c r="L19" s="534">
        <v>1</v>
      </c>
      <c r="M19" s="533">
        <f t="shared" si="3"/>
        <v>54953515.785084128</v>
      </c>
      <c r="N19" s="467">
        <f t="shared" si="4"/>
        <v>0</v>
      </c>
      <c r="O19" s="469">
        <f t="shared" si="5"/>
        <v>0</v>
      </c>
      <c r="P19" s="470">
        <f t="shared" si="6"/>
        <v>0</v>
      </c>
      <c r="Q19" s="532">
        <v>1</v>
      </c>
      <c r="R19" s="533">
        <f t="shared" si="7"/>
        <v>54953515.785084128</v>
      </c>
      <c r="S19" s="467">
        <f t="shared" si="8"/>
        <v>0</v>
      </c>
      <c r="T19" s="470">
        <f t="shared" si="9"/>
        <v>0</v>
      </c>
      <c r="U19" s="532">
        <v>1</v>
      </c>
      <c r="V19" s="533">
        <f>'WA Volumes &amp; Revenues'!F17*U19</f>
        <v>55009539.100000001</v>
      </c>
      <c r="W19" s="467">
        <f t="shared" si="10"/>
        <v>0</v>
      </c>
      <c r="X19" s="470">
        <f t="shared" si="11"/>
        <v>0</v>
      </c>
    </row>
    <row r="20" spans="1:24" x14ac:dyDescent="0.2">
      <c r="A20" s="115">
        <f t="shared" si="0"/>
        <v>11</v>
      </c>
      <c r="B20" s="724" t="str">
        <f>'WA Volumes &amp; Revenues'!B18</f>
        <v>3 CFS</v>
      </c>
      <c r="C20" s="724" t="str">
        <f>'WA Volumes &amp; Revenues'!C18</f>
        <v>n/a</v>
      </c>
      <c r="D20" s="466">
        <f>'WA Volumes &amp; Revenues'!E18</f>
        <v>17867210.60654201</v>
      </c>
      <c r="E20" s="463">
        <f>'Allocation = % of Margin'!E17</f>
        <v>0.44368000000000019</v>
      </c>
      <c r="F20" s="467">
        <f>'Allocation = % of Margin'!H17</f>
        <v>7927324</v>
      </c>
      <c r="G20" s="467">
        <f>'Allocation = % of Margin'!K17</f>
        <v>9866168.066922849</v>
      </c>
      <c r="H20" s="760"/>
      <c r="I20" s="535">
        <v>1</v>
      </c>
      <c r="J20" s="533">
        <f t="shared" si="1"/>
        <v>17867210.60654201</v>
      </c>
      <c r="K20" s="470">
        <f t="shared" si="2"/>
        <v>0</v>
      </c>
      <c r="L20" s="534">
        <v>1</v>
      </c>
      <c r="M20" s="533">
        <f t="shared" si="3"/>
        <v>17867210.60654201</v>
      </c>
      <c r="N20" s="467">
        <f t="shared" si="4"/>
        <v>0</v>
      </c>
      <c r="O20" s="469">
        <f t="shared" si="5"/>
        <v>0</v>
      </c>
      <c r="P20" s="470">
        <f t="shared" si="6"/>
        <v>0</v>
      </c>
      <c r="Q20" s="535">
        <v>1</v>
      </c>
      <c r="R20" s="533">
        <f t="shared" si="7"/>
        <v>17867210.60654201</v>
      </c>
      <c r="S20" s="467">
        <f t="shared" si="8"/>
        <v>0</v>
      </c>
      <c r="T20" s="470">
        <f t="shared" si="9"/>
        <v>0</v>
      </c>
      <c r="U20" s="535">
        <v>1</v>
      </c>
      <c r="V20" s="533">
        <f>'WA Volumes &amp; Revenues'!F18*U20</f>
        <v>18385904.899999999</v>
      </c>
      <c r="W20" s="467">
        <f t="shared" si="10"/>
        <v>0</v>
      </c>
      <c r="X20" s="470">
        <f t="shared" si="11"/>
        <v>0</v>
      </c>
    </row>
    <row r="21" spans="1:24" x14ac:dyDescent="0.2">
      <c r="A21" s="115">
        <f t="shared" si="0"/>
        <v>12</v>
      </c>
      <c r="B21" s="724" t="str">
        <f>'WA Volumes &amp; Revenues'!B19</f>
        <v>3 IFS</v>
      </c>
      <c r="C21" s="724" t="str">
        <f>'WA Volumes &amp; Revenues'!C19</f>
        <v>n/a</v>
      </c>
      <c r="D21" s="466">
        <f>'WA Volumes &amp; Revenues'!E19</f>
        <v>283651.99999999994</v>
      </c>
      <c r="E21" s="463">
        <f>'Allocation = % of Margin'!E18</f>
        <v>0.46249000000000001</v>
      </c>
      <c r="F21" s="467">
        <f>'Allocation = % of Margin'!H18</f>
        <v>131186</v>
      </c>
      <c r="G21" s="467">
        <f>'Allocation = % of Margin'!K18</f>
        <v>141888.51157190159</v>
      </c>
      <c r="H21" s="760"/>
      <c r="I21" s="535">
        <v>1</v>
      </c>
      <c r="J21" s="533">
        <f t="shared" si="1"/>
        <v>283651.99999999994</v>
      </c>
      <c r="K21" s="470">
        <f t="shared" si="2"/>
        <v>0</v>
      </c>
      <c r="L21" s="536">
        <v>1</v>
      </c>
      <c r="M21" s="533">
        <f t="shared" si="3"/>
        <v>283651.99999999994</v>
      </c>
      <c r="N21" s="467">
        <f t="shared" si="4"/>
        <v>0</v>
      </c>
      <c r="O21" s="469">
        <f t="shared" si="5"/>
        <v>0</v>
      </c>
      <c r="P21" s="470">
        <f t="shared" si="6"/>
        <v>0</v>
      </c>
      <c r="Q21" s="535">
        <v>1</v>
      </c>
      <c r="R21" s="533">
        <f t="shared" si="7"/>
        <v>283651.99999999994</v>
      </c>
      <c r="S21" s="467">
        <f t="shared" si="8"/>
        <v>0</v>
      </c>
      <c r="T21" s="470">
        <f t="shared" si="9"/>
        <v>0</v>
      </c>
      <c r="U21" s="535">
        <v>1</v>
      </c>
      <c r="V21" s="533">
        <f>'WA Volumes &amp; Revenues'!F19*U21</f>
        <v>263842</v>
      </c>
      <c r="W21" s="467">
        <f t="shared" si="10"/>
        <v>0</v>
      </c>
      <c r="X21" s="470">
        <f t="shared" si="11"/>
        <v>0</v>
      </c>
    </row>
    <row r="22" spans="1:24" x14ac:dyDescent="0.2">
      <c r="A22" s="115">
        <f t="shared" si="0"/>
        <v>13</v>
      </c>
      <c r="B22" s="724" t="str">
        <f>'WA Volumes &amp; Revenues'!B20</f>
        <v>27R</v>
      </c>
      <c r="C22" s="724" t="str">
        <f>'WA Volumes &amp; Revenues'!C20</f>
        <v>n/a</v>
      </c>
      <c r="D22" s="466">
        <f>'WA Volumes &amp; Revenues'!E20</f>
        <v>461371.76933137607</v>
      </c>
      <c r="E22" s="463">
        <f>'Allocation = % of Margin'!E19</f>
        <v>0.24087999999999973</v>
      </c>
      <c r="F22" s="467">
        <f>'Allocation = % of Margin'!H19</f>
        <v>111135</v>
      </c>
      <c r="G22" s="467">
        <f>'Allocation = % of Margin'!K19</f>
        <v>201937.97258147644</v>
      </c>
      <c r="H22" s="761"/>
      <c r="I22" s="535">
        <v>1</v>
      </c>
      <c r="J22" s="533">
        <f t="shared" si="1"/>
        <v>461371.76933137607</v>
      </c>
      <c r="K22" s="470">
        <f t="shared" si="2"/>
        <v>0</v>
      </c>
      <c r="L22" s="536">
        <v>1</v>
      </c>
      <c r="M22" s="533">
        <f t="shared" si="3"/>
        <v>461371.76933137607</v>
      </c>
      <c r="N22" s="467">
        <f t="shared" si="4"/>
        <v>0</v>
      </c>
      <c r="O22" s="469">
        <f t="shared" si="5"/>
        <v>0</v>
      </c>
      <c r="P22" s="470">
        <f t="shared" si="6"/>
        <v>0</v>
      </c>
      <c r="Q22" s="535">
        <v>1</v>
      </c>
      <c r="R22" s="533">
        <f t="shared" si="7"/>
        <v>461371.76933137607</v>
      </c>
      <c r="S22" s="467">
        <f t="shared" si="8"/>
        <v>0</v>
      </c>
      <c r="T22" s="470">
        <f t="shared" si="9"/>
        <v>0</v>
      </c>
      <c r="U22" s="535">
        <v>1</v>
      </c>
      <c r="V22" s="533">
        <f>'WA Volumes &amp; Revenues'!F20*U22</f>
        <v>591910</v>
      </c>
      <c r="W22" s="467">
        <f t="shared" si="10"/>
        <v>0</v>
      </c>
      <c r="X22" s="470">
        <f t="shared" si="11"/>
        <v>0</v>
      </c>
    </row>
    <row r="23" spans="1:24" x14ac:dyDescent="0.2">
      <c r="A23" s="115">
        <f t="shared" si="0"/>
        <v>14</v>
      </c>
      <c r="B23" s="725" t="str">
        <f>'WA Volumes &amp; Revenues'!B21</f>
        <v>41C Firm Sales</v>
      </c>
      <c r="C23" s="726" t="s">
        <v>4</v>
      </c>
      <c r="D23" s="472">
        <f>'WA Volumes &amp; Revenues'!E21</f>
        <v>1777065.1510316674</v>
      </c>
      <c r="E23" s="473">
        <f>'Allocation = % of Margin'!E20</f>
        <v>0.34474000000000016</v>
      </c>
      <c r="F23" s="281">
        <f>'Allocation = % of Margin'!H20</f>
        <v>612625</v>
      </c>
      <c r="G23" s="281">
        <f>'Allocation = % of Margin'!K20</f>
        <v>1542347.3405315941</v>
      </c>
      <c r="H23" s="760"/>
      <c r="I23" s="537">
        <v>1</v>
      </c>
      <c r="J23" s="529">
        <f t="shared" si="1"/>
        <v>1777065.1510316674</v>
      </c>
      <c r="K23" s="478">
        <f t="shared" si="2"/>
        <v>0</v>
      </c>
      <c r="L23" s="538">
        <v>1</v>
      </c>
      <c r="M23" s="529">
        <f t="shared" si="3"/>
        <v>1777065.1510316674</v>
      </c>
      <c r="N23" s="281">
        <f t="shared" si="4"/>
        <v>0</v>
      </c>
      <c r="O23" s="471">
        <f t="shared" si="5"/>
        <v>0</v>
      </c>
      <c r="P23" s="478">
        <f t="shared" si="6"/>
        <v>0</v>
      </c>
      <c r="Q23" s="537">
        <v>1</v>
      </c>
      <c r="R23" s="529">
        <f t="shared" si="7"/>
        <v>1777065.1510316674</v>
      </c>
      <c r="S23" s="281">
        <f t="shared" si="8"/>
        <v>0</v>
      </c>
      <c r="T23" s="478">
        <f t="shared" si="9"/>
        <v>0</v>
      </c>
      <c r="U23" s="537">
        <v>1</v>
      </c>
      <c r="V23" s="529">
        <f>'WA Volumes &amp; Revenues'!F21*U23</f>
        <v>1992236.2</v>
      </c>
      <c r="W23" s="281">
        <f t="shared" si="10"/>
        <v>0</v>
      </c>
      <c r="X23" s="478">
        <f t="shared" si="11"/>
        <v>0</v>
      </c>
    </row>
    <row r="24" spans="1:24" x14ac:dyDescent="0.2">
      <c r="A24" s="115">
        <f t="shared" si="0"/>
        <v>15</v>
      </c>
      <c r="B24" s="723"/>
      <c r="C24" s="727" t="s">
        <v>5</v>
      </c>
      <c r="D24" s="466">
        <f>'WA Volumes &amp; Revenues'!E22</f>
        <v>1974656.4658023661</v>
      </c>
      <c r="E24" s="463">
        <f>'Allocation = % of Margin'!E21</f>
        <v>0.30376999999999998</v>
      </c>
      <c r="F24" s="467">
        <f>'Allocation = % of Margin'!H21</f>
        <v>599841</v>
      </c>
      <c r="G24" s="467">
        <f>'Allocation = % of Margin'!K21</f>
        <v>0</v>
      </c>
      <c r="H24" s="760"/>
      <c r="I24" s="535">
        <v>1</v>
      </c>
      <c r="J24" s="533">
        <f t="shared" si="1"/>
        <v>1974656.4658023661</v>
      </c>
      <c r="K24" s="470">
        <f t="shared" si="2"/>
        <v>0</v>
      </c>
      <c r="L24" s="536">
        <v>1</v>
      </c>
      <c r="M24" s="533">
        <f t="shared" si="3"/>
        <v>1974656.4658023661</v>
      </c>
      <c r="N24" s="467">
        <f t="shared" si="4"/>
        <v>0</v>
      </c>
      <c r="O24" s="469">
        <f t="shared" si="5"/>
        <v>0</v>
      </c>
      <c r="P24" s="470">
        <f t="shared" si="6"/>
        <v>0</v>
      </c>
      <c r="Q24" s="535">
        <v>1</v>
      </c>
      <c r="R24" s="533">
        <f t="shared" si="7"/>
        <v>1974656.4658023661</v>
      </c>
      <c r="S24" s="467">
        <f t="shared" si="8"/>
        <v>0</v>
      </c>
      <c r="T24" s="470">
        <f t="shared" si="9"/>
        <v>0</v>
      </c>
      <c r="U24" s="535">
        <v>1</v>
      </c>
      <c r="V24" s="533">
        <f>'WA Volumes &amp; Revenues'!F22*U24</f>
        <v>2142067.7000000002</v>
      </c>
      <c r="W24" s="467">
        <f t="shared" si="10"/>
        <v>0</v>
      </c>
      <c r="X24" s="470">
        <f t="shared" si="11"/>
        <v>0</v>
      </c>
    </row>
    <row r="25" spans="1:24" x14ac:dyDescent="0.2">
      <c r="A25" s="115">
        <f t="shared" si="0"/>
        <v>16</v>
      </c>
      <c r="B25" s="725" t="str">
        <f>'WA Volumes &amp; Revenues'!B23</f>
        <v>41I Firm Sales</v>
      </c>
      <c r="C25" s="726" t="s">
        <v>4</v>
      </c>
      <c r="D25" s="479">
        <f>'WA Volumes &amp; Revenues'!E23</f>
        <v>392890.20000000007</v>
      </c>
      <c r="E25" s="473">
        <f>'Allocation = % of Margin'!E22</f>
        <v>0.34416000000000024</v>
      </c>
      <c r="F25" s="474">
        <f>'Allocation = % of Margin'!H22</f>
        <v>135217</v>
      </c>
      <c r="G25" s="474">
        <f>'Allocation = % of Margin'!K22</f>
        <v>392613.82673589932</v>
      </c>
      <c r="H25" s="760"/>
      <c r="I25" s="537">
        <v>1</v>
      </c>
      <c r="J25" s="529">
        <f t="shared" si="1"/>
        <v>392890.20000000007</v>
      </c>
      <c r="K25" s="478">
        <f t="shared" si="2"/>
        <v>0</v>
      </c>
      <c r="L25" s="538">
        <v>1</v>
      </c>
      <c r="M25" s="529">
        <f t="shared" si="3"/>
        <v>392890.20000000007</v>
      </c>
      <c r="N25" s="474">
        <f t="shared" si="4"/>
        <v>0</v>
      </c>
      <c r="O25" s="471">
        <f t="shared" si="5"/>
        <v>0</v>
      </c>
      <c r="P25" s="478">
        <f t="shared" si="6"/>
        <v>0</v>
      </c>
      <c r="Q25" s="537">
        <v>1</v>
      </c>
      <c r="R25" s="529">
        <f t="shared" si="7"/>
        <v>392890.20000000007</v>
      </c>
      <c r="S25" s="474">
        <f t="shared" si="8"/>
        <v>0</v>
      </c>
      <c r="T25" s="478">
        <f t="shared" si="9"/>
        <v>0</v>
      </c>
      <c r="U25" s="537">
        <v>1</v>
      </c>
      <c r="V25" s="529">
        <f>'WA Volumes &amp; Revenues'!F23*U25</f>
        <v>399967</v>
      </c>
      <c r="W25" s="474">
        <f t="shared" si="10"/>
        <v>0</v>
      </c>
      <c r="X25" s="478">
        <f t="shared" si="11"/>
        <v>0</v>
      </c>
    </row>
    <row r="26" spans="1:24" x14ac:dyDescent="0.2">
      <c r="A26" s="115">
        <f t="shared" si="0"/>
        <v>17</v>
      </c>
      <c r="B26" s="723"/>
      <c r="C26" s="727" t="s">
        <v>5</v>
      </c>
      <c r="D26" s="466">
        <f>'WA Volumes &amp; Revenues'!E24</f>
        <v>621650.00000000012</v>
      </c>
      <c r="E26" s="463">
        <f>'Allocation = % of Margin'!E23</f>
        <v>0.30325000000000002</v>
      </c>
      <c r="F26" s="467">
        <f>'Allocation = % of Margin'!H23</f>
        <v>188515</v>
      </c>
      <c r="G26" s="467">
        <f>'Allocation = % of Margin'!K23</f>
        <v>0</v>
      </c>
      <c r="H26" s="760"/>
      <c r="I26" s="535">
        <v>1</v>
      </c>
      <c r="J26" s="533">
        <f t="shared" si="1"/>
        <v>621650.00000000012</v>
      </c>
      <c r="K26" s="470">
        <f t="shared" si="2"/>
        <v>0</v>
      </c>
      <c r="L26" s="536">
        <v>1</v>
      </c>
      <c r="M26" s="533">
        <f t="shared" si="3"/>
        <v>621650.00000000012</v>
      </c>
      <c r="N26" s="467">
        <f t="shared" si="4"/>
        <v>0</v>
      </c>
      <c r="O26" s="469">
        <f t="shared" si="5"/>
        <v>0</v>
      </c>
      <c r="P26" s="470">
        <f t="shared" si="6"/>
        <v>0</v>
      </c>
      <c r="Q26" s="535">
        <v>1</v>
      </c>
      <c r="R26" s="533">
        <f t="shared" si="7"/>
        <v>621650.00000000012</v>
      </c>
      <c r="S26" s="467">
        <f t="shared" si="8"/>
        <v>0</v>
      </c>
      <c r="T26" s="470">
        <f t="shared" si="9"/>
        <v>0</v>
      </c>
      <c r="U26" s="535">
        <v>1</v>
      </c>
      <c r="V26" s="533">
        <f>'WA Volumes &amp; Revenues'!F24*U26</f>
        <v>630361</v>
      </c>
      <c r="W26" s="467">
        <f t="shared" si="10"/>
        <v>0</v>
      </c>
      <c r="X26" s="470">
        <f t="shared" si="11"/>
        <v>0</v>
      </c>
    </row>
    <row r="27" spans="1:24" x14ac:dyDescent="0.2">
      <c r="A27" s="115">
        <f t="shared" si="0"/>
        <v>18</v>
      </c>
      <c r="B27" s="725" t="str">
        <f>'WA Volumes &amp; Revenues'!B25</f>
        <v>41C Interr Sales</v>
      </c>
      <c r="C27" s="726" t="s">
        <v>4</v>
      </c>
      <c r="D27" s="479">
        <f>'WA Volumes &amp; Revenues'!E25</f>
        <v>0</v>
      </c>
      <c r="E27" s="473">
        <f>'Allocation = % of Margin'!E24</f>
        <v>0.34372999999999987</v>
      </c>
      <c r="F27" s="474">
        <f>'Allocation = % of Margin'!H24</f>
        <v>0</v>
      </c>
      <c r="G27" s="474">
        <f>'Allocation = % of Margin'!K24</f>
        <v>0</v>
      </c>
      <c r="H27" s="760"/>
      <c r="I27" s="537">
        <v>1</v>
      </c>
      <c r="J27" s="529">
        <f t="shared" si="1"/>
        <v>0</v>
      </c>
      <c r="K27" s="478">
        <f t="shared" si="2"/>
        <v>0</v>
      </c>
      <c r="L27" s="538">
        <v>0</v>
      </c>
      <c r="M27" s="529">
        <f t="shared" si="3"/>
        <v>0</v>
      </c>
      <c r="N27" s="474">
        <f t="shared" si="4"/>
        <v>0</v>
      </c>
      <c r="O27" s="471">
        <f t="shared" si="5"/>
        <v>0</v>
      </c>
      <c r="P27" s="478">
        <f t="shared" si="6"/>
        <v>0</v>
      </c>
      <c r="Q27" s="537">
        <v>0</v>
      </c>
      <c r="R27" s="529">
        <f t="shared" si="7"/>
        <v>0</v>
      </c>
      <c r="S27" s="474">
        <f t="shared" si="8"/>
        <v>0</v>
      </c>
      <c r="T27" s="478">
        <f t="shared" si="9"/>
        <v>0</v>
      </c>
      <c r="U27" s="537">
        <v>0</v>
      </c>
      <c r="V27" s="529">
        <f>'WA Volumes &amp; Revenues'!F25*U27</f>
        <v>0</v>
      </c>
      <c r="W27" s="474">
        <f t="shared" si="10"/>
        <v>0</v>
      </c>
      <c r="X27" s="478">
        <f t="shared" si="11"/>
        <v>0</v>
      </c>
    </row>
    <row r="28" spans="1:24" x14ac:dyDescent="0.2">
      <c r="A28" s="115">
        <f t="shared" si="0"/>
        <v>19</v>
      </c>
      <c r="B28" s="723"/>
      <c r="C28" s="727" t="s">
        <v>5</v>
      </c>
      <c r="D28" s="466">
        <f>'WA Volumes &amp; Revenues'!E26</f>
        <v>0</v>
      </c>
      <c r="E28" s="463">
        <f>'Allocation = % of Margin'!E25</f>
        <v>0.30284999999999984</v>
      </c>
      <c r="F28" s="467">
        <f>'Allocation = % of Margin'!H25</f>
        <v>0</v>
      </c>
      <c r="G28" s="467">
        <f>'Allocation = % of Margin'!K25</f>
        <v>0</v>
      </c>
      <c r="H28" s="760"/>
      <c r="I28" s="535">
        <v>1</v>
      </c>
      <c r="J28" s="533">
        <f t="shared" si="1"/>
        <v>0</v>
      </c>
      <c r="K28" s="470">
        <f t="shared" si="2"/>
        <v>0</v>
      </c>
      <c r="L28" s="536">
        <v>0</v>
      </c>
      <c r="M28" s="533">
        <f t="shared" si="3"/>
        <v>0</v>
      </c>
      <c r="N28" s="467">
        <f t="shared" si="4"/>
        <v>0</v>
      </c>
      <c r="O28" s="469">
        <f t="shared" si="5"/>
        <v>0</v>
      </c>
      <c r="P28" s="470">
        <f t="shared" si="6"/>
        <v>0</v>
      </c>
      <c r="Q28" s="535">
        <v>0</v>
      </c>
      <c r="R28" s="533">
        <f t="shared" si="7"/>
        <v>0</v>
      </c>
      <c r="S28" s="467">
        <f t="shared" si="8"/>
        <v>0</v>
      </c>
      <c r="T28" s="470">
        <f t="shared" si="9"/>
        <v>0</v>
      </c>
      <c r="U28" s="535">
        <v>0</v>
      </c>
      <c r="V28" s="533">
        <f>'WA Volumes &amp; Revenues'!F26*U28</f>
        <v>0</v>
      </c>
      <c r="W28" s="467">
        <f t="shared" si="10"/>
        <v>0</v>
      </c>
      <c r="X28" s="470">
        <f t="shared" si="11"/>
        <v>0</v>
      </c>
    </row>
    <row r="29" spans="1:24" x14ac:dyDescent="0.2">
      <c r="A29" s="115">
        <f t="shared" si="0"/>
        <v>20</v>
      </c>
      <c r="B29" s="725" t="str">
        <f>'WA Volumes &amp; Revenues'!B27</f>
        <v>41I Interr Sales</v>
      </c>
      <c r="C29" s="726" t="s">
        <v>4</v>
      </c>
      <c r="D29" s="479">
        <f>'WA Volumes &amp; Revenues'!E27</f>
        <v>0</v>
      </c>
      <c r="E29" s="473">
        <f>'Allocation = % of Margin'!E26</f>
        <v>0.34372999999999987</v>
      </c>
      <c r="F29" s="474">
        <f>'Allocation = % of Margin'!H26</f>
        <v>0</v>
      </c>
      <c r="G29" s="474">
        <f>'Allocation = % of Margin'!K26</f>
        <v>0</v>
      </c>
      <c r="H29" s="760"/>
      <c r="I29" s="537">
        <v>1</v>
      </c>
      <c r="J29" s="529">
        <f t="shared" si="1"/>
        <v>0</v>
      </c>
      <c r="K29" s="478">
        <f t="shared" si="2"/>
        <v>0</v>
      </c>
      <c r="L29" s="538">
        <v>1</v>
      </c>
      <c r="M29" s="529">
        <f t="shared" si="3"/>
        <v>0</v>
      </c>
      <c r="N29" s="474">
        <f t="shared" si="4"/>
        <v>0</v>
      </c>
      <c r="O29" s="471">
        <f t="shared" si="5"/>
        <v>0</v>
      </c>
      <c r="P29" s="478">
        <f t="shared" si="6"/>
        <v>0</v>
      </c>
      <c r="Q29" s="537">
        <v>1</v>
      </c>
      <c r="R29" s="529">
        <f t="shared" si="7"/>
        <v>0</v>
      </c>
      <c r="S29" s="474">
        <f t="shared" si="8"/>
        <v>0</v>
      </c>
      <c r="T29" s="478">
        <f t="shared" si="9"/>
        <v>0</v>
      </c>
      <c r="U29" s="537">
        <v>1</v>
      </c>
      <c r="V29" s="529">
        <f>'WA Volumes &amp; Revenues'!F27*U29</f>
        <v>0</v>
      </c>
      <c r="W29" s="474">
        <f t="shared" si="10"/>
        <v>0</v>
      </c>
      <c r="X29" s="478">
        <f t="shared" si="11"/>
        <v>0</v>
      </c>
    </row>
    <row r="30" spans="1:24" x14ac:dyDescent="0.2">
      <c r="A30" s="115">
        <f t="shared" si="0"/>
        <v>21</v>
      </c>
      <c r="B30" s="723"/>
      <c r="C30" s="727" t="s">
        <v>5</v>
      </c>
      <c r="D30" s="466">
        <f>'WA Volumes &amp; Revenues'!E28</f>
        <v>0</v>
      </c>
      <c r="E30" s="463">
        <f>'Allocation = % of Margin'!E27</f>
        <v>0.30284999999999984</v>
      </c>
      <c r="F30" s="467">
        <f>'Allocation = % of Margin'!H27</f>
        <v>0</v>
      </c>
      <c r="G30" s="467">
        <f>'Allocation = % of Margin'!K27</f>
        <v>0</v>
      </c>
      <c r="H30" s="760"/>
      <c r="I30" s="535">
        <v>1</v>
      </c>
      <c r="J30" s="533">
        <f t="shared" si="1"/>
        <v>0</v>
      </c>
      <c r="K30" s="470">
        <f t="shared" si="2"/>
        <v>0</v>
      </c>
      <c r="L30" s="536">
        <v>1</v>
      </c>
      <c r="M30" s="533">
        <f t="shared" si="3"/>
        <v>0</v>
      </c>
      <c r="N30" s="467">
        <f t="shared" si="4"/>
        <v>0</v>
      </c>
      <c r="O30" s="469">
        <f t="shared" si="5"/>
        <v>0</v>
      </c>
      <c r="P30" s="470">
        <f t="shared" si="6"/>
        <v>0</v>
      </c>
      <c r="Q30" s="535">
        <v>1</v>
      </c>
      <c r="R30" s="533">
        <f t="shared" si="7"/>
        <v>0</v>
      </c>
      <c r="S30" s="467">
        <f t="shared" si="8"/>
        <v>0</v>
      </c>
      <c r="T30" s="470">
        <f t="shared" si="9"/>
        <v>0</v>
      </c>
      <c r="U30" s="535">
        <v>1</v>
      </c>
      <c r="V30" s="533">
        <f>'WA Volumes &amp; Revenues'!F28*U30</f>
        <v>0</v>
      </c>
      <c r="W30" s="467">
        <f t="shared" si="10"/>
        <v>0</v>
      </c>
      <c r="X30" s="470">
        <f t="shared" si="11"/>
        <v>0</v>
      </c>
    </row>
    <row r="31" spans="1:24" x14ac:dyDescent="0.2">
      <c r="A31" s="115">
        <f t="shared" si="0"/>
        <v>22</v>
      </c>
      <c r="B31" s="725" t="str">
        <f>'WA Volumes &amp; Revenues'!B29</f>
        <v>41C Firm Transpt</v>
      </c>
      <c r="C31" s="726" t="s">
        <v>4</v>
      </c>
      <c r="D31" s="479">
        <f>'WA Volumes &amp; Revenues'!E29</f>
        <v>168721</v>
      </c>
      <c r="E31" s="473">
        <f>'Allocation = % of Margin'!E28</f>
        <v>0.34791</v>
      </c>
      <c r="F31" s="474">
        <f>'Allocation = % of Margin'!H28</f>
        <v>58700</v>
      </c>
      <c r="G31" s="474">
        <f>'Allocation = % of Margin'!K28</f>
        <v>189842</v>
      </c>
      <c r="H31" s="760"/>
      <c r="I31" s="537">
        <v>0</v>
      </c>
      <c r="J31" s="529">
        <f t="shared" si="1"/>
        <v>0</v>
      </c>
      <c r="K31" s="478">
        <f t="shared" si="2"/>
        <v>0</v>
      </c>
      <c r="L31" s="538">
        <v>1</v>
      </c>
      <c r="M31" s="529">
        <f t="shared" si="3"/>
        <v>168721</v>
      </c>
      <c r="N31" s="474">
        <f t="shared" si="4"/>
        <v>0</v>
      </c>
      <c r="O31" s="471">
        <f t="shared" si="5"/>
        <v>0</v>
      </c>
      <c r="P31" s="478">
        <f t="shared" si="6"/>
        <v>0</v>
      </c>
      <c r="Q31" s="537">
        <v>1</v>
      </c>
      <c r="R31" s="529">
        <f t="shared" si="7"/>
        <v>168721</v>
      </c>
      <c r="S31" s="474">
        <f t="shared" si="8"/>
        <v>0</v>
      </c>
      <c r="T31" s="478">
        <f t="shared" si="9"/>
        <v>0</v>
      </c>
      <c r="U31" s="537">
        <v>1</v>
      </c>
      <c r="V31" s="529">
        <f>'WA Volumes &amp; Revenues'!F29*U31</f>
        <v>169264</v>
      </c>
      <c r="W31" s="474">
        <f t="shared" si="10"/>
        <v>0</v>
      </c>
      <c r="X31" s="478">
        <f t="shared" si="11"/>
        <v>0</v>
      </c>
    </row>
    <row r="32" spans="1:24" x14ac:dyDescent="0.2">
      <c r="A32" s="115">
        <f t="shared" si="0"/>
        <v>23</v>
      </c>
      <c r="B32" s="723"/>
      <c r="C32" s="727" t="s">
        <v>5</v>
      </c>
      <c r="D32" s="466">
        <f>'WA Volumes &amp; Revenues'!E30</f>
        <v>272866</v>
      </c>
      <c r="E32" s="463">
        <f>'Allocation = % of Margin'!E29</f>
        <v>0.30653000000000008</v>
      </c>
      <c r="F32" s="467">
        <f>'Allocation = % of Margin'!H29</f>
        <v>83642</v>
      </c>
      <c r="G32" s="467">
        <f>'Allocation = % of Margin'!K29</f>
        <v>0</v>
      </c>
      <c r="H32" s="760"/>
      <c r="I32" s="535">
        <v>0</v>
      </c>
      <c r="J32" s="533">
        <f t="shared" si="1"/>
        <v>0</v>
      </c>
      <c r="K32" s="470">
        <f t="shared" si="2"/>
        <v>0</v>
      </c>
      <c r="L32" s="536">
        <v>1</v>
      </c>
      <c r="M32" s="533">
        <f t="shared" si="3"/>
        <v>272866</v>
      </c>
      <c r="N32" s="467">
        <f t="shared" si="4"/>
        <v>0</v>
      </c>
      <c r="O32" s="469">
        <f t="shared" si="5"/>
        <v>0</v>
      </c>
      <c r="P32" s="470">
        <f t="shared" si="6"/>
        <v>0</v>
      </c>
      <c r="Q32" s="535">
        <v>1</v>
      </c>
      <c r="R32" s="533">
        <f t="shared" si="7"/>
        <v>272866</v>
      </c>
      <c r="S32" s="467">
        <f t="shared" si="8"/>
        <v>0</v>
      </c>
      <c r="T32" s="470">
        <f t="shared" si="9"/>
        <v>0</v>
      </c>
      <c r="U32" s="535">
        <v>1</v>
      </c>
      <c r="V32" s="533">
        <f>'WA Volumes &amp; Revenues'!F30*U32</f>
        <v>260994</v>
      </c>
      <c r="W32" s="467">
        <f t="shared" si="10"/>
        <v>0</v>
      </c>
      <c r="X32" s="470">
        <f t="shared" si="11"/>
        <v>0</v>
      </c>
    </row>
    <row r="33" spans="1:24" x14ac:dyDescent="0.2">
      <c r="A33" s="115">
        <f t="shared" si="0"/>
        <v>24</v>
      </c>
      <c r="B33" s="725" t="str">
        <f>'WA Volumes &amp; Revenues'!B31</f>
        <v>41I Firm Transpt</v>
      </c>
      <c r="C33" s="726" t="s">
        <v>4</v>
      </c>
      <c r="D33" s="479">
        <f>'WA Volumes &amp; Revenues'!E31</f>
        <v>0</v>
      </c>
      <c r="E33" s="473">
        <f>'Allocation = % of Margin'!E30</f>
        <v>0.34791</v>
      </c>
      <c r="F33" s="474">
        <f>'Allocation = % of Margin'!H30</f>
        <v>0</v>
      </c>
      <c r="G33" s="474">
        <f>'Allocation = % of Margin'!K30</f>
        <v>0</v>
      </c>
      <c r="H33" s="760"/>
      <c r="I33" s="537">
        <v>0</v>
      </c>
      <c r="J33" s="529">
        <f t="shared" si="1"/>
        <v>0</v>
      </c>
      <c r="K33" s="478">
        <f t="shared" si="2"/>
        <v>0</v>
      </c>
      <c r="L33" s="538">
        <v>0</v>
      </c>
      <c r="M33" s="529">
        <f t="shared" si="3"/>
        <v>0</v>
      </c>
      <c r="N33" s="474">
        <f t="shared" si="4"/>
        <v>0</v>
      </c>
      <c r="O33" s="471">
        <f t="shared" si="5"/>
        <v>0</v>
      </c>
      <c r="P33" s="478">
        <f t="shared" si="6"/>
        <v>0</v>
      </c>
      <c r="Q33" s="537">
        <v>0</v>
      </c>
      <c r="R33" s="529">
        <f t="shared" si="7"/>
        <v>0</v>
      </c>
      <c r="S33" s="474">
        <f t="shared" si="8"/>
        <v>0</v>
      </c>
      <c r="T33" s="478">
        <f t="shared" si="9"/>
        <v>0</v>
      </c>
      <c r="U33" s="537">
        <v>0</v>
      </c>
      <c r="V33" s="529">
        <f>'WA Volumes &amp; Revenues'!F31*U33</f>
        <v>0</v>
      </c>
      <c r="W33" s="474">
        <f t="shared" si="10"/>
        <v>0</v>
      </c>
      <c r="X33" s="478">
        <f t="shared" si="11"/>
        <v>0</v>
      </c>
    </row>
    <row r="34" spans="1:24" x14ac:dyDescent="0.2">
      <c r="A34" s="115">
        <f t="shared" si="0"/>
        <v>25</v>
      </c>
      <c r="B34" s="723"/>
      <c r="C34" s="727" t="s">
        <v>5</v>
      </c>
      <c r="D34" s="466">
        <f>'WA Volumes &amp; Revenues'!E32</f>
        <v>0</v>
      </c>
      <c r="E34" s="463">
        <f>'Allocation = % of Margin'!E31</f>
        <v>0.30653000000000008</v>
      </c>
      <c r="F34" s="467">
        <f>'Allocation = % of Margin'!H31</f>
        <v>0</v>
      </c>
      <c r="G34" s="467">
        <f>'Allocation = % of Margin'!K31</f>
        <v>0</v>
      </c>
      <c r="H34" s="760"/>
      <c r="I34" s="535">
        <v>0</v>
      </c>
      <c r="J34" s="533">
        <f t="shared" si="1"/>
        <v>0</v>
      </c>
      <c r="K34" s="470">
        <f t="shared" si="2"/>
        <v>0</v>
      </c>
      <c r="L34" s="536">
        <v>0</v>
      </c>
      <c r="M34" s="533">
        <f t="shared" si="3"/>
        <v>0</v>
      </c>
      <c r="N34" s="467">
        <f t="shared" si="4"/>
        <v>0</v>
      </c>
      <c r="O34" s="469">
        <f t="shared" si="5"/>
        <v>0</v>
      </c>
      <c r="P34" s="470">
        <f t="shared" si="6"/>
        <v>0</v>
      </c>
      <c r="Q34" s="535">
        <v>0</v>
      </c>
      <c r="R34" s="533">
        <f t="shared" si="7"/>
        <v>0</v>
      </c>
      <c r="S34" s="467">
        <f t="shared" si="8"/>
        <v>0</v>
      </c>
      <c r="T34" s="470">
        <f t="shared" si="9"/>
        <v>0</v>
      </c>
      <c r="U34" s="535">
        <v>0</v>
      </c>
      <c r="V34" s="533">
        <f>'WA Volumes &amp; Revenues'!F32*U34</f>
        <v>0</v>
      </c>
      <c r="W34" s="467">
        <f t="shared" si="10"/>
        <v>0</v>
      </c>
      <c r="X34" s="470">
        <f t="shared" si="11"/>
        <v>0</v>
      </c>
    </row>
    <row r="35" spans="1:24" x14ac:dyDescent="0.2">
      <c r="A35" s="115">
        <f t="shared" si="0"/>
        <v>26</v>
      </c>
      <c r="B35" s="725" t="str">
        <f>'WA Volumes &amp; Revenues'!B33</f>
        <v>42C Firm Sales</v>
      </c>
      <c r="C35" s="726" t="s">
        <v>4</v>
      </c>
      <c r="D35" s="479">
        <f>'WA Volumes &amp; Revenues'!E33</f>
        <v>350769.66174469434</v>
      </c>
      <c r="E35" s="473">
        <f>'Allocation = % of Margin'!E32</f>
        <v>0.15245999999999996</v>
      </c>
      <c r="F35" s="474">
        <f>'Allocation = % of Margin'!H32</f>
        <v>53478</v>
      </c>
      <c r="G35" s="474">
        <f>'Allocation = % of Margin'!K32</f>
        <v>219575.29677293496</v>
      </c>
      <c r="H35" s="760"/>
      <c r="I35" s="537">
        <v>1</v>
      </c>
      <c r="J35" s="529">
        <f t="shared" si="1"/>
        <v>350769.66174469434</v>
      </c>
      <c r="K35" s="478">
        <f t="shared" si="2"/>
        <v>0</v>
      </c>
      <c r="L35" s="538">
        <v>1</v>
      </c>
      <c r="M35" s="529">
        <f t="shared" si="3"/>
        <v>350769.66174469434</v>
      </c>
      <c r="N35" s="474">
        <f t="shared" si="4"/>
        <v>0</v>
      </c>
      <c r="O35" s="471">
        <f t="shared" si="5"/>
        <v>0</v>
      </c>
      <c r="P35" s="478">
        <f t="shared" si="6"/>
        <v>0</v>
      </c>
      <c r="Q35" s="537">
        <v>1</v>
      </c>
      <c r="R35" s="529">
        <f t="shared" si="7"/>
        <v>350769.66174469434</v>
      </c>
      <c r="S35" s="474">
        <f t="shared" si="8"/>
        <v>0</v>
      </c>
      <c r="T35" s="478">
        <f t="shared" si="9"/>
        <v>0</v>
      </c>
      <c r="U35" s="537">
        <v>1</v>
      </c>
      <c r="V35" s="529">
        <f>'WA Volumes &amp; Revenues'!F33*U35</f>
        <v>542975.5</v>
      </c>
      <c r="W35" s="474">
        <f t="shared" si="10"/>
        <v>0</v>
      </c>
      <c r="X35" s="478">
        <f t="shared" si="11"/>
        <v>0</v>
      </c>
    </row>
    <row r="36" spans="1:24" x14ac:dyDescent="0.2">
      <c r="A36" s="115">
        <f t="shared" si="0"/>
        <v>27</v>
      </c>
      <c r="B36" s="725"/>
      <c r="C36" s="726" t="s">
        <v>5</v>
      </c>
      <c r="D36" s="479">
        <f>'WA Volumes &amp; Revenues'!E34</f>
        <v>303088.75426472601</v>
      </c>
      <c r="E36" s="473">
        <f>'Allocation = % of Margin'!E33</f>
        <v>0.1364699999999997</v>
      </c>
      <c r="F36" s="474">
        <f>'Allocation = % of Margin'!H33</f>
        <v>41363</v>
      </c>
      <c r="G36" s="474">
        <f>'Allocation = % of Margin'!K33</f>
        <v>0</v>
      </c>
      <c r="H36" s="760"/>
      <c r="I36" s="537">
        <v>1</v>
      </c>
      <c r="J36" s="529">
        <f t="shared" si="1"/>
        <v>303088.75426472601</v>
      </c>
      <c r="K36" s="478">
        <f t="shared" si="2"/>
        <v>0</v>
      </c>
      <c r="L36" s="538">
        <v>1</v>
      </c>
      <c r="M36" s="529">
        <f t="shared" si="3"/>
        <v>303088.75426472601</v>
      </c>
      <c r="N36" s="474">
        <f t="shared" si="4"/>
        <v>0</v>
      </c>
      <c r="O36" s="471">
        <f t="shared" si="5"/>
        <v>0</v>
      </c>
      <c r="P36" s="478">
        <f t="shared" si="6"/>
        <v>0</v>
      </c>
      <c r="Q36" s="537">
        <v>1</v>
      </c>
      <c r="R36" s="529">
        <f t="shared" si="7"/>
        <v>303088.75426472601</v>
      </c>
      <c r="S36" s="474">
        <f t="shared" si="8"/>
        <v>0</v>
      </c>
      <c r="T36" s="478">
        <f t="shared" si="9"/>
        <v>0</v>
      </c>
      <c r="U36" s="537">
        <v>1</v>
      </c>
      <c r="V36" s="529">
        <f>'WA Volumes &amp; Revenues'!F34*U36</f>
        <v>474167</v>
      </c>
      <c r="W36" s="474">
        <f t="shared" si="10"/>
        <v>0</v>
      </c>
      <c r="X36" s="478">
        <f t="shared" si="11"/>
        <v>0</v>
      </c>
    </row>
    <row r="37" spans="1:24" x14ac:dyDescent="0.2">
      <c r="A37" s="115">
        <f t="shared" si="0"/>
        <v>28</v>
      </c>
      <c r="B37" s="725"/>
      <c r="C37" s="726" t="s">
        <v>6</v>
      </c>
      <c r="D37" s="479">
        <f>'WA Volumes &amp; Revenues'!E35</f>
        <v>59441.942130257296</v>
      </c>
      <c r="E37" s="473">
        <f>'Allocation = % of Margin'!E34</f>
        <v>0.1046699999999999</v>
      </c>
      <c r="F37" s="474">
        <f>'Allocation = % of Margin'!H34</f>
        <v>6222</v>
      </c>
      <c r="G37" s="474">
        <f>'Allocation = % of Margin'!K34</f>
        <v>0</v>
      </c>
      <c r="H37" s="760"/>
      <c r="I37" s="537">
        <v>1</v>
      </c>
      <c r="J37" s="529">
        <f t="shared" si="1"/>
        <v>59441.942130257296</v>
      </c>
      <c r="K37" s="478">
        <f t="shared" si="2"/>
        <v>0</v>
      </c>
      <c r="L37" s="538">
        <v>1</v>
      </c>
      <c r="M37" s="529">
        <f t="shared" si="3"/>
        <v>59441.942130257296</v>
      </c>
      <c r="N37" s="474">
        <f t="shared" si="4"/>
        <v>0</v>
      </c>
      <c r="O37" s="471">
        <f t="shared" si="5"/>
        <v>0</v>
      </c>
      <c r="P37" s="478">
        <f t="shared" si="6"/>
        <v>0</v>
      </c>
      <c r="Q37" s="537">
        <v>1</v>
      </c>
      <c r="R37" s="529">
        <f t="shared" si="7"/>
        <v>59441.942130257296</v>
      </c>
      <c r="S37" s="474">
        <f t="shared" si="8"/>
        <v>0</v>
      </c>
      <c r="T37" s="478">
        <f t="shared" si="9"/>
        <v>0</v>
      </c>
      <c r="U37" s="537">
        <v>1</v>
      </c>
      <c r="V37" s="529">
        <f>'WA Volumes &amp; Revenues'!F35*U37</f>
        <v>97890.5</v>
      </c>
      <c r="W37" s="474">
        <f t="shared" si="10"/>
        <v>0</v>
      </c>
      <c r="X37" s="478">
        <f t="shared" si="11"/>
        <v>0</v>
      </c>
    </row>
    <row r="38" spans="1:24" x14ac:dyDescent="0.2">
      <c r="A38" s="115">
        <f t="shared" si="0"/>
        <v>29</v>
      </c>
      <c r="B38" s="725"/>
      <c r="C38" s="726" t="s">
        <v>7</v>
      </c>
      <c r="D38" s="479">
        <f>'WA Volumes &amp; Revenues'!E36</f>
        <v>3614.6071898605187</v>
      </c>
      <c r="E38" s="473">
        <f>'Allocation = % of Margin'!E35</f>
        <v>8.3729999999999999E-2</v>
      </c>
      <c r="F38" s="474">
        <f>'Allocation = % of Margin'!H35</f>
        <v>303</v>
      </c>
      <c r="G38" s="474">
        <f>'Allocation = % of Margin'!K35</f>
        <v>0</v>
      </c>
      <c r="H38" s="760"/>
      <c r="I38" s="537">
        <v>1</v>
      </c>
      <c r="J38" s="529">
        <f t="shared" si="1"/>
        <v>3614.6071898605187</v>
      </c>
      <c r="K38" s="478">
        <f t="shared" si="2"/>
        <v>0</v>
      </c>
      <c r="L38" s="538">
        <v>1</v>
      </c>
      <c r="M38" s="529">
        <f t="shared" si="3"/>
        <v>3614.6071898605187</v>
      </c>
      <c r="N38" s="474">
        <f t="shared" si="4"/>
        <v>0</v>
      </c>
      <c r="O38" s="471">
        <f t="shared" si="5"/>
        <v>0</v>
      </c>
      <c r="P38" s="478">
        <f t="shared" si="6"/>
        <v>0</v>
      </c>
      <c r="Q38" s="537">
        <v>1</v>
      </c>
      <c r="R38" s="529">
        <f t="shared" si="7"/>
        <v>3614.6071898605187</v>
      </c>
      <c r="S38" s="474">
        <f t="shared" si="8"/>
        <v>0</v>
      </c>
      <c r="T38" s="478">
        <f t="shared" si="9"/>
        <v>0</v>
      </c>
      <c r="U38" s="537">
        <v>1</v>
      </c>
      <c r="V38" s="529">
        <f>'WA Volumes &amp; Revenues'!F36*U38</f>
        <v>6094</v>
      </c>
      <c r="W38" s="474">
        <f t="shared" si="10"/>
        <v>0</v>
      </c>
      <c r="X38" s="478">
        <f t="shared" si="11"/>
        <v>0</v>
      </c>
    </row>
    <row r="39" spans="1:24" x14ac:dyDescent="0.2">
      <c r="A39" s="115">
        <f t="shared" si="0"/>
        <v>30</v>
      </c>
      <c r="B39" s="725"/>
      <c r="C39" s="726" t="s">
        <v>8</v>
      </c>
      <c r="D39" s="479">
        <f>'WA Volumes &amp; Revenues'!E37</f>
        <v>0</v>
      </c>
      <c r="E39" s="473">
        <f>'Allocation = % of Margin'!E36</f>
        <v>5.5809999999999992E-2</v>
      </c>
      <c r="F39" s="474">
        <f>'Allocation = % of Margin'!H36</f>
        <v>0</v>
      </c>
      <c r="G39" s="474">
        <f>'Allocation = % of Margin'!K36</f>
        <v>0</v>
      </c>
      <c r="H39" s="760"/>
      <c r="I39" s="537">
        <v>1</v>
      </c>
      <c r="J39" s="529">
        <f t="shared" si="1"/>
        <v>0</v>
      </c>
      <c r="K39" s="478">
        <f t="shared" si="2"/>
        <v>0</v>
      </c>
      <c r="L39" s="538">
        <v>1</v>
      </c>
      <c r="M39" s="529">
        <f t="shared" si="3"/>
        <v>0</v>
      </c>
      <c r="N39" s="474">
        <f t="shared" si="4"/>
        <v>0</v>
      </c>
      <c r="O39" s="471">
        <f t="shared" si="5"/>
        <v>0</v>
      </c>
      <c r="P39" s="478">
        <f t="shared" si="6"/>
        <v>0</v>
      </c>
      <c r="Q39" s="537">
        <v>1</v>
      </c>
      <c r="R39" s="529">
        <f t="shared" si="7"/>
        <v>0</v>
      </c>
      <c r="S39" s="474">
        <f t="shared" si="8"/>
        <v>0</v>
      </c>
      <c r="T39" s="478">
        <f t="shared" si="9"/>
        <v>0</v>
      </c>
      <c r="U39" s="537">
        <v>1</v>
      </c>
      <c r="V39" s="529">
        <f>'WA Volumes &amp; Revenues'!F37*U39</f>
        <v>0</v>
      </c>
      <c r="W39" s="474">
        <f t="shared" si="10"/>
        <v>0</v>
      </c>
      <c r="X39" s="478">
        <f t="shared" si="11"/>
        <v>0</v>
      </c>
    </row>
    <row r="40" spans="1:24" x14ac:dyDescent="0.2">
      <c r="A40" s="115">
        <f t="shared" si="0"/>
        <v>31</v>
      </c>
      <c r="B40" s="723"/>
      <c r="C40" s="727" t="s">
        <v>9</v>
      </c>
      <c r="D40" s="466">
        <f>'WA Volumes &amp; Revenues'!E38</f>
        <v>0</v>
      </c>
      <c r="E40" s="463">
        <f>'Allocation = % of Margin'!E37</f>
        <v>2.0920000000000029E-2</v>
      </c>
      <c r="F40" s="467">
        <f>'Allocation = % of Margin'!H37</f>
        <v>0</v>
      </c>
      <c r="G40" s="467">
        <f>'Allocation = % of Margin'!K37</f>
        <v>0</v>
      </c>
      <c r="H40" s="760"/>
      <c r="I40" s="535">
        <v>1</v>
      </c>
      <c r="J40" s="533">
        <f t="shared" si="1"/>
        <v>0</v>
      </c>
      <c r="K40" s="470">
        <f t="shared" si="2"/>
        <v>0</v>
      </c>
      <c r="L40" s="536">
        <v>1</v>
      </c>
      <c r="M40" s="533">
        <f t="shared" si="3"/>
        <v>0</v>
      </c>
      <c r="N40" s="467">
        <f t="shared" si="4"/>
        <v>0</v>
      </c>
      <c r="O40" s="469">
        <f t="shared" si="5"/>
        <v>0</v>
      </c>
      <c r="P40" s="470">
        <f t="shared" si="6"/>
        <v>0</v>
      </c>
      <c r="Q40" s="535">
        <v>1</v>
      </c>
      <c r="R40" s="533">
        <f t="shared" si="7"/>
        <v>0</v>
      </c>
      <c r="S40" s="467">
        <f t="shared" si="8"/>
        <v>0</v>
      </c>
      <c r="T40" s="470">
        <f t="shared" si="9"/>
        <v>0</v>
      </c>
      <c r="U40" s="535">
        <v>1</v>
      </c>
      <c r="V40" s="533">
        <f>'WA Volumes &amp; Revenues'!F38*U40</f>
        <v>0</v>
      </c>
      <c r="W40" s="467">
        <f t="shared" si="10"/>
        <v>0</v>
      </c>
      <c r="X40" s="470">
        <f t="shared" si="11"/>
        <v>0</v>
      </c>
    </row>
    <row r="41" spans="1:24" x14ac:dyDescent="0.2">
      <c r="A41" s="115">
        <f t="shared" si="0"/>
        <v>32</v>
      </c>
      <c r="B41" s="725" t="str">
        <f>'WA Volumes &amp; Revenues'!B39</f>
        <v>42I Firm Sales</v>
      </c>
      <c r="C41" s="726" t="s">
        <v>4</v>
      </c>
      <c r="D41" s="479">
        <f>'WA Volumes &amp; Revenues'!E39</f>
        <v>1093724.2000000002</v>
      </c>
      <c r="E41" s="473">
        <f>'Allocation = % of Margin'!E38</f>
        <v>0.14721000000000001</v>
      </c>
      <c r="F41" s="474">
        <f>'Allocation = % of Margin'!H38</f>
        <v>161007</v>
      </c>
      <c r="G41" s="474">
        <f>'Allocation = % of Margin'!K38</f>
        <v>511671.18216089124</v>
      </c>
      <c r="H41" s="760"/>
      <c r="I41" s="537">
        <v>1</v>
      </c>
      <c r="J41" s="529">
        <f t="shared" si="1"/>
        <v>1093724.2000000002</v>
      </c>
      <c r="K41" s="478">
        <f t="shared" si="2"/>
        <v>0</v>
      </c>
      <c r="L41" s="538">
        <v>1</v>
      </c>
      <c r="M41" s="529">
        <f t="shared" si="3"/>
        <v>1093724.2000000002</v>
      </c>
      <c r="N41" s="474">
        <f t="shared" si="4"/>
        <v>0</v>
      </c>
      <c r="O41" s="471">
        <f t="shared" si="5"/>
        <v>0</v>
      </c>
      <c r="P41" s="478">
        <f t="shared" si="6"/>
        <v>0</v>
      </c>
      <c r="Q41" s="537">
        <v>1</v>
      </c>
      <c r="R41" s="529">
        <f t="shared" si="7"/>
        <v>1093724.2000000002</v>
      </c>
      <c r="S41" s="474">
        <f t="shared" si="8"/>
        <v>0</v>
      </c>
      <c r="T41" s="478">
        <f t="shared" si="9"/>
        <v>0</v>
      </c>
      <c r="U41" s="537">
        <v>1</v>
      </c>
      <c r="V41" s="529">
        <f>'WA Volumes &amp; Revenues'!F39*U41</f>
        <v>1086353</v>
      </c>
      <c r="W41" s="474">
        <f t="shared" si="10"/>
        <v>0</v>
      </c>
      <c r="X41" s="478">
        <f t="shared" si="11"/>
        <v>0</v>
      </c>
    </row>
    <row r="42" spans="1:24" x14ac:dyDescent="0.2">
      <c r="A42" s="115">
        <f t="shared" si="0"/>
        <v>33</v>
      </c>
      <c r="B42" s="725"/>
      <c r="C42" s="726" t="s">
        <v>5</v>
      </c>
      <c r="D42" s="479">
        <f>'WA Volumes &amp; Revenues'!E40</f>
        <v>655939.80000000005</v>
      </c>
      <c r="E42" s="473">
        <f>'Allocation = % of Margin'!E39</f>
        <v>0.13177</v>
      </c>
      <c r="F42" s="474">
        <f>'Allocation = % of Margin'!H39</f>
        <v>86433</v>
      </c>
      <c r="G42" s="474">
        <f>'Allocation = % of Margin'!K39</f>
        <v>0</v>
      </c>
      <c r="H42" s="760"/>
      <c r="I42" s="537">
        <v>1</v>
      </c>
      <c r="J42" s="529">
        <f t="shared" si="1"/>
        <v>655939.80000000005</v>
      </c>
      <c r="K42" s="478">
        <f t="shared" si="2"/>
        <v>0</v>
      </c>
      <c r="L42" s="538">
        <v>1</v>
      </c>
      <c r="M42" s="529">
        <f t="shared" si="3"/>
        <v>655939.80000000005</v>
      </c>
      <c r="N42" s="474">
        <f t="shared" si="4"/>
        <v>0</v>
      </c>
      <c r="O42" s="471">
        <f t="shared" si="5"/>
        <v>0</v>
      </c>
      <c r="P42" s="478">
        <f t="shared" si="6"/>
        <v>0</v>
      </c>
      <c r="Q42" s="537">
        <v>1</v>
      </c>
      <c r="R42" s="529">
        <f t="shared" si="7"/>
        <v>655939.80000000005</v>
      </c>
      <c r="S42" s="474">
        <f t="shared" si="8"/>
        <v>0</v>
      </c>
      <c r="T42" s="478">
        <f t="shared" si="9"/>
        <v>0</v>
      </c>
      <c r="U42" s="537">
        <v>1</v>
      </c>
      <c r="V42" s="529">
        <f>'WA Volumes &amp; Revenues'!F40*U42</f>
        <v>638955</v>
      </c>
      <c r="W42" s="474">
        <f t="shared" si="10"/>
        <v>0</v>
      </c>
      <c r="X42" s="478">
        <f t="shared" si="11"/>
        <v>0</v>
      </c>
    </row>
    <row r="43" spans="1:24" x14ac:dyDescent="0.2">
      <c r="A43" s="115">
        <f t="shared" si="0"/>
        <v>34</v>
      </c>
      <c r="B43" s="725"/>
      <c r="C43" s="726" t="s">
        <v>6</v>
      </c>
      <c r="D43" s="479">
        <f>'WA Volumes &amp; Revenues'!E41</f>
        <v>81241.3</v>
      </c>
      <c r="E43" s="473">
        <f>'Allocation = % of Margin'!E40</f>
        <v>0.10104999999999985</v>
      </c>
      <c r="F43" s="474">
        <f>'Allocation = % of Margin'!H40</f>
        <v>8209</v>
      </c>
      <c r="G43" s="474">
        <f>'Allocation = % of Margin'!K40</f>
        <v>0</v>
      </c>
      <c r="H43" s="760"/>
      <c r="I43" s="537">
        <v>1</v>
      </c>
      <c r="J43" s="529">
        <f t="shared" si="1"/>
        <v>81241.3</v>
      </c>
      <c r="K43" s="478">
        <f t="shared" si="2"/>
        <v>0</v>
      </c>
      <c r="L43" s="538">
        <v>1</v>
      </c>
      <c r="M43" s="529">
        <f t="shared" si="3"/>
        <v>81241.3</v>
      </c>
      <c r="N43" s="474">
        <f t="shared" si="4"/>
        <v>0</v>
      </c>
      <c r="O43" s="471">
        <f t="shared" si="5"/>
        <v>0</v>
      </c>
      <c r="P43" s="478">
        <f t="shared" si="6"/>
        <v>0</v>
      </c>
      <c r="Q43" s="537">
        <v>1</v>
      </c>
      <c r="R43" s="529">
        <f t="shared" si="7"/>
        <v>81241.3</v>
      </c>
      <c r="S43" s="474">
        <f t="shared" si="8"/>
        <v>0</v>
      </c>
      <c r="T43" s="478">
        <f t="shared" si="9"/>
        <v>0</v>
      </c>
      <c r="U43" s="537">
        <v>1</v>
      </c>
      <c r="V43" s="529">
        <f>'WA Volumes &amp; Revenues'!F41*U43</f>
        <v>68923</v>
      </c>
      <c r="W43" s="474">
        <f t="shared" si="10"/>
        <v>0</v>
      </c>
      <c r="X43" s="478">
        <f t="shared" si="11"/>
        <v>0</v>
      </c>
    </row>
    <row r="44" spans="1:24" x14ac:dyDescent="0.2">
      <c r="A44" s="115">
        <f t="shared" si="0"/>
        <v>35</v>
      </c>
      <c r="B44" s="725"/>
      <c r="C44" s="726" t="s">
        <v>7</v>
      </c>
      <c r="D44" s="479">
        <f>'WA Volumes &amp; Revenues'!E42</f>
        <v>9320.1</v>
      </c>
      <c r="E44" s="473">
        <f>'Allocation = % of Margin'!E41</f>
        <v>8.0839999999999995E-2</v>
      </c>
      <c r="F44" s="474">
        <f>'Allocation = % of Margin'!H41</f>
        <v>753</v>
      </c>
      <c r="G44" s="474">
        <f>'Allocation = % of Margin'!K41</f>
        <v>0</v>
      </c>
      <c r="H44" s="760"/>
      <c r="I44" s="537">
        <v>1</v>
      </c>
      <c r="J44" s="529">
        <f t="shared" si="1"/>
        <v>9320.1</v>
      </c>
      <c r="K44" s="478">
        <f t="shared" si="2"/>
        <v>0</v>
      </c>
      <c r="L44" s="538">
        <v>1</v>
      </c>
      <c r="M44" s="529">
        <f t="shared" si="3"/>
        <v>9320.1</v>
      </c>
      <c r="N44" s="474">
        <f t="shared" si="4"/>
        <v>0</v>
      </c>
      <c r="O44" s="471">
        <f t="shared" si="5"/>
        <v>0</v>
      </c>
      <c r="P44" s="478">
        <f t="shared" si="6"/>
        <v>0</v>
      </c>
      <c r="Q44" s="537">
        <v>1</v>
      </c>
      <c r="R44" s="529">
        <f t="shared" si="7"/>
        <v>9320.1</v>
      </c>
      <c r="S44" s="474">
        <f t="shared" si="8"/>
        <v>0</v>
      </c>
      <c r="T44" s="478">
        <f t="shared" si="9"/>
        <v>0</v>
      </c>
      <c r="U44" s="537">
        <v>1</v>
      </c>
      <c r="V44" s="529">
        <f>'WA Volumes &amp; Revenues'!F42*U44</f>
        <v>0</v>
      </c>
      <c r="W44" s="474">
        <f t="shared" si="10"/>
        <v>0</v>
      </c>
      <c r="X44" s="478">
        <f t="shared" si="11"/>
        <v>0</v>
      </c>
    </row>
    <row r="45" spans="1:24" x14ac:dyDescent="0.2">
      <c r="A45" s="115">
        <f t="shared" si="0"/>
        <v>36</v>
      </c>
      <c r="B45" s="725"/>
      <c r="C45" s="726" t="s">
        <v>8</v>
      </c>
      <c r="D45" s="479">
        <f>'WA Volumes &amp; Revenues'!E43</f>
        <v>0</v>
      </c>
      <c r="E45" s="473">
        <f>'Allocation = % of Margin'!E42</f>
        <v>5.391E-2</v>
      </c>
      <c r="F45" s="474">
        <f>'Allocation = % of Margin'!H42</f>
        <v>0</v>
      </c>
      <c r="G45" s="474">
        <f>'Allocation = % of Margin'!K42</f>
        <v>0</v>
      </c>
      <c r="H45" s="760"/>
      <c r="I45" s="537">
        <v>1</v>
      </c>
      <c r="J45" s="529">
        <f t="shared" si="1"/>
        <v>0</v>
      </c>
      <c r="K45" s="478">
        <f t="shared" si="2"/>
        <v>0</v>
      </c>
      <c r="L45" s="538">
        <v>1</v>
      </c>
      <c r="M45" s="529">
        <f t="shared" si="3"/>
        <v>0</v>
      </c>
      <c r="N45" s="474">
        <f t="shared" si="4"/>
        <v>0</v>
      </c>
      <c r="O45" s="471">
        <f t="shared" si="5"/>
        <v>0</v>
      </c>
      <c r="P45" s="478">
        <f t="shared" si="6"/>
        <v>0</v>
      </c>
      <c r="Q45" s="537">
        <v>1</v>
      </c>
      <c r="R45" s="529">
        <f t="shared" si="7"/>
        <v>0</v>
      </c>
      <c r="S45" s="474">
        <f t="shared" si="8"/>
        <v>0</v>
      </c>
      <c r="T45" s="478">
        <f t="shared" si="9"/>
        <v>0</v>
      </c>
      <c r="U45" s="537">
        <v>1</v>
      </c>
      <c r="V45" s="529">
        <f>'WA Volumes &amp; Revenues'!F43*U45</f>
        <v>0</v>
      </c>
      <c r="W45" s="474">
        <f t="shared" si="10"/>
        <v>0</v>
      </c>
      <c r="X45" s="478">
        <f t="shared" si="11"/>
        <v>0</v>
      </c>
    </row>
    <row r="46" spans="1:24" x14ac:dyDescent="0.2">
      <c r="A46" s="115">
        <f t="shared" si="0"/>
        <v>37</v>
      </c>
      <c r="B46" s="723"/>
      <c r="C46" s="727" t="s">
        <v>9</v>
      </c>
      <c r="D46" s="466">
        <f>'WA Volumes &amp; Revenues'!E44</f>
        <v>0</v>
      </c>
      <c r="E46" s="463">
        <f>'Allocation = % of Margin'!E43</f>
        <v>2.0199999999999999E-2</v>
      </c>
      <c r="F46" s="467">
        <f>'Allocation = % of Margin'!H43</f>
        <v>0</v>
      </c>
      <c r="G46" s="467">
        <f>'Allocation = % of Margin'!K43</f>
        <v>0</v>
      </c>
      <c r="H46" s="760"/>
      <c r="I46" s="535">
        <v>1</v>
      </c>
      <c r="J46" s="533">
        <f t="shared" si="1"/>
        <v>0</v>
      </c>
      <c r="K46" s="470">
        <f t="shared" si="2"/>
        <v>0</v>
      </c>
      <c r="L46" s="536">
        <v>1</v>
      </c>
      <c r="M46" s="533">
        <f t="shared" si="3"/>
        <v>0</v>
      </c>
      <c r="N46" s="467">
        <f t="shared" si="4"/>
        <v>0</v>
      </c>
      <c r="O46" s="469">
        <f t="shared" si="5"/>
        <v>0</v>
      </c>
      <c r="P46" s="470">
        <f t="shared" si="6"/>
        <v>0</v>
      </c>
      <c r="Q46" s="535">
        <v>1</v>
      </c>
      <c r="R46" s="533">
        <f t="shared" si="7"/>
        <v>0</v>
      </c>
      <c r="S46" s="467">
        <f t="shared" si="8"/>
        <v>0</v>
      </c>
      <c r="T46" s="470">
        <f t="shared" si="9"/>
        <v>0</v>
      </c>
      <c r="U46" s="535">
        <v>1</v>
      </c>
      <c r="V46" s="533">
        <f>'WA Volumes &amp; Revenues'!F44*U46</f>
        <v>0</v>
      </c>
      <c r="W46" s="467">
        <f t="shared" si="10"/>
        <v>0</v>
      </c>
      <c r="X46" s="470">
        <f t="shared" si="11"/>
        <v>0</v>
      </c>
    </row>
    <row r="47" spans="1:24" x14ac:dyDescent="0.2">
      <c r="A47" s="115">
        <f t="shared" si="0"/>
        <v>38</v>
      </c>
      <c r="B47" s="725" t="str">
        <f>'WA Volumes &amp; Revenues'!B45</f>
        <v>42C Firm Transpt</v>
      </c>
      <c r="C47" s="726" t="s">
        <v>4</v>
      </c>
      <c r="D47" s="479">
        <f>'WA Volumes &amp; Revenues'!E45</f>
        <v>480000</v>
      </c>
      <c r="E47" s="473">
        <f>'Allocation = % of Margin'!E44</f>
        <v>0.13791999999999999</v>
      </c>
      <c r="F47" s="474">
        <f>'Allocation = % of Margin'!H44</f>
        <v>66202</v>
      </c>
      <c r="G47" s="474">
        <f>'Allocation = % of Margin'!K44</f>
        <v>360784.79504</v>
      </c>
      <c r="H47" s="760"/>
      <c r="I47" s="537">
        <v>0</v>
      </c>
      <c r="J47" s="529">
        <f t="shared" si="1"/>
        <v>0</v>
      </c>
      <c r="K47" s="478">
        <f t="shared" si="2"/>
        <v>0</v>
      </c>
      <c r="L47" s="538">
        <v>0</v>
      </c>
      <c r="M47" s="529">
        <f t="shared" si="3"/>
        <v>0</v>
      </c>
      <c r="N47" s="474">
        <f t="shared" si="4"/>
        <v>0</v>
      </c>
      <c r="O47" s="471">
        <f t="shared" si="5"/>
        <v>0</v>
      </c>
      <c r="P47" s="478">
        <f t="shared" si="6"/>
        <v>0</v>
      </c>
      <c r="Q47" s="537">
        <v>0</v>
      </c>
      <c r="R47" s="529">
        <f t="shared" si="7"/>
        <v>0</v>
      </c>
      <c r="S47" s="474">
        <f t="shared" si="8"/>
        <v>0</v>
      </c>
      <c r="T47" s="478">
        <f t="shared" si="9"/>
        <v>0</v>
      </c>
      <c r="U47" s="537">
        <v>0</v>
      </c>
      <c r="V47" s="529">
        <f>'WA Volumes &amp; Revenues'!F45*U47</f>
        <v>0</v>
      </c>
      <c r="W47" s="474">
        <f t="shared" si="10"/>
        <v>0</v>
      </c>
      <c r="X47" s="478">
        <f t="shared" si="11"/>
        <v>0</v>
      </c>
    </row>
    <row r="48" spans="1:24" x14ac:dyDescent="0.2">
      <c r="A48" s="115">
        <f t="shared" si="0"/>
        <v>39</v>
      </c>
      <c r="B48" s="725"/>
      <c r="C48" s="726" t="s">
        <v>5</v>
      </c>
      <c r="D48" s="479">
        <f>'WA Volumes &amp; Revenues'!E46</f>
        <v>807846</v>
      </c>
      <c r="E48" s="473">
        <f>'Allocation = % of Margin'!E45</f>
        <v>0.12346999999999998</v>
      </c>
      <c r="F48" s="474">
        <f>'Allocation = % of Margin'!H45</f>
        <v>99745</v>
      </c>
      <c r="G48" s="474">
        <f>'Allocation = % of Margin'!K45</f>
        <v>0</v>
      </c>
      <c r="H48" s="760"/>
      <c r="I48" s="537">
        <v>0</v>
      </c>
      <c r="J48" s="529">
        <f t="shared" si="1"/>
        <v>0</v>
      </c>
      <c r="K48" s="478">
        <f t="shared" si="2"/>
        <v>0</v>
      </c>
      <c r="L48" s="538">
        <v>0</v>
      </c>
      <c r="M48" s="529">
        <f t="shared" si="3"/>
        <v>0</v>
      </c>
      <c r="N48" s="474">
        <f t="shared" si="4"/>
        <v>0</v>
      </c>
      <c r="O48" s="471">
        <f t="shared" si="5"/>
        <v>0</v>
      </c>
      <c r="P48" s="478">
        <f t="shared" si="6"/>
        <v>0</v>
      </c>
      <c r="Q48" s="537">
        <v>0</v>
      </c>
      <c r="R48" s="529">
        <f t="shared" si="7"/>
        <v>0</v>
      </c>
      <c r="S48" s="474">
        <f t="shared" si="8"/>
        <v>0</v>
      </c>
      <c r="T48" s="478">
        <f t="shared" si="9"/>
        <v>0</v>
      </c>
      <c r="U48" s="537">
        <v>0</v>
      </c>
      <c r="V48" s="529">
        <f>'WA Volumes &amp; Revenues'!F46*U48</f>
        <v>0</v>
      </c>
      <c r="W48" s="474">
        <f t="shared" si="10"/>
        <v>0</v>
      </c>
      <c r="X48" s="478">
        <f t="shared" si="11"/>
        <v>0</v>
      </c>
    </row>
    <row r="49" spans="1:24" x14ac:dyDescent="0.2">
      <c r="A49" s="115">
        <f t="shared" si="0"/>
        <v>40</v>
      </c>
      <c r="B49" s="725"/>
      <c r="C49" s="726" t="s">
        <v>6</v>
      </c>
      <c r="D49" s="479">
        <f>'WA Volumes &amp; Revenues'!E47</f>
        <v>583779</v>
      </c>
      <c r="E49" s="473">
        <f>'Allocation = % of Margin'!E46</f>
        <v>9.4670000000000004E-2</v>
      </c>
      <c r="F49" s="474">
        <f>'Allocation = % of Margin'!H46</f>
        <v>55266</v>
      </c>
      <c r="G49" s="474">
        <f>'Allocation = % of Margin'!K46</f>
        <v>0</v>
      </c>
      <c r="H49" s="760"/>
      <c r="I49" s="537">
        <v>0</v>
      </c>
      <c r="J49" s="529">
        <f t="shared" si="1"/>
        <v>0</v>
      </c>
      <c r="K49" s="478">
        <f t="shared" si="2"/>
        <v>0</v>
      </c>
      <c r="L49" s="538">
        <v>0</v>
      </c>
      <c r="M49" s="529">
        <f t="shared" si="3"/>
        <v>0</v>
      </c>
      <c r="N49" s="474">
        <f t="shared" si="4"/>
        <v>0</v>
      </c>
      <c r="O49" s="471">
        <f t="shared" si="5"/>
        <v>0</v>
      </c>
      <c r="P49" s="478">
        <f t="shared" si="6"/>
        <v>0</v>
      </c>
      <c r="Q49" s="537">
        <v>0</v>
      </c>
      <c r="R49" s="529">
        <f t="shared" si="7"/>
        <v>0</v>
      </c>
      <c r="S49" s="474">
        <f t="shared" si="8"/>
        <v>0</v>
      </c>
      <c r="T49" s="478">
        <f t="shared" si="9"/>
        <v>0</v>
      </c>
      <c r="U49" s="537">
        <v>0</v>
      </c>
      <c r="V49" s="529">
        <f>'WA Volumes &amp; Revenues'!F47*U49</f>
        <v>0</v>
      </c>
      <c r="W49" s="474">
        <f t="shared" si="10"/>
        <v>0</v>
      </c>
      <c r="X49" s="478">
        <f t="shared" si="11"/>
        <v>0</v>
      </c>
    </row>
    <row r="50" spans="1:24" x14ac:dyDescent="0.2">
      <c r="A50" s="115">
        <f t="shared" si="0"/>
        <v>41</v>
      </c>
      <c r="B50" s="725"/>
      <c r="C50" s="726" t="s">
        <v>7</v>
      </c>
      <c r="D50" s="479">
        <f>'WA Volumes &amp; Revenues'!E48</f>
        <v>598933</v>
      </c>
      <c r="E50" s="473">
        <f>'Allocation = % of Margin'!E47</f>
        <v>7.5750000000000012E-2</v>
      </c>
      <c r="F50" s="474">
        <f>'Allocation = % of Margin'!H47</f>
        <v>45369</v>
      </c>
      <c r="G50" s="474">
        <f>'Allocation = % of Margin'!K47</f>
        <v>0</v>
      </c>
      <c r="H50" s="760"/>
      <c r="I50" s="537">
        <v>0</v>
      </c>
      <c r="J50" s="529">
        <f t="shared" si="1"/>
        <v>0</v>
      </c>
      <c r="K50" s="478">
        <f t="shared" si="2"/>
        <v>0</v>
      </c>
      <c r="L50" s="538">
        <v>0</v>
      </c>
      <c r="M50" s="529">
        <f t="shared" si="3"/>
        <v>0</v>
      </c>
      <c r="N50" s="474">
        <f t="shared" si="4"/>
        <v>0</v>
      </c>
      <c r="O50" s="471">
        <f t="shared" si="5"/>
        <v>0</v>
      </c>
      <c r="P50" s="478">
        <f t="shared" si="6"/>
        <v>0</v>
      </c>
      <c r="Q50" s="537">
        <v>0</v>
      </c>
      <c r="R50" s="529">
        <f t="shared" si="7"/>
        <v>0</v>
      </c>
      <c r="S50" s="474">
        <f t="shared" si="8"/>
        <v>0</v>
      </c>
      <c r="T50" s="478">
        <f t="shared" si="9"/>
        <v>0</v>
      </c>
      <c r="U50" s="537">
        <v>0</v>
      </c>
      <c r="V50" s="529">
        <f>'WA Volumes &amp; Revenues'!F48*U50</f>
        <v>0</v>
      </c>
      <c r="W50" s="474">
        <f t="shared" si="10"/>
        <v>0</v>
      </c>
      <c r="X50" s="478">
        <f t="shared" si="11"/>
        <v>0</v>
      </c>
    </row>
    <row r="51" spans="1:24" x14ac:dyDescent="0.2">
      <c r="A51" s="115">
        <f t="shared" si="0"/>
        <v>42</v>
      </c>
      <c r="B51" s="725"/>
      <c r="C51" s="726" t="s">
        <v>8</v>
      </c>
      <c r="D51" s="479">
        <f>'WA Volumes &amp; Revenues'!E49</f>
        <v>0</v>
      </c>
      <c r="E51" s="473">
        <f>'Allocation = % of Margin'!E48</f>
        <v>5.0500000000000003E-2</v>
      </c>
      <c r="F51" s="474">
        <f>'Allocation = % of Margin'!H48</f>
        <v>0</v>
      </c>
      <c r="G51" s="474">
        <f>'Allocation = % of Margin'!K48</f>
        <v>0</v>
      </c>
      <c r="H51" s="760"/>
      <c r="I51" s="537">
        <v>0</v>
      </c>
      <c r="J51" s="529">
        <f t="shared" si="1"/>
        <v>0</v>
      </c>
      <c r="K51" s="478">
        <f t="shared" si="2"/>
        <v>0</v>
      </c>
      <c r="L51" s="538">
        <v>0</v>
      </c>
      <c r="M51" s="529">
        <f t="shared" si="3"/>
        <v>0</v>
      </c>
      <c r="N51" s="474">
        <f t="shared" si="4"/>
        <v>0</v>
      </c>
      <c r="O51" s="471">
        <f t="shared" si="5"/>
        <v>0</v>
      </c>
      <c r="P51" s="478">
        <f t="shared" si="6"/>
        <v>0</v>
      </c>
      <c r="Q51" s="537">
        <v>0</v>
      </c>
      <c r="R51" s="529">
        <f t="shared" si="7"/>
        <v>0</v>
      </c>
      <c r="S51" s="474">
        <f t="shared" si="8"/>
        <v>0</v>
      </c>
      <c r="T51" s="478">
        <f t="shared" si="9"/>
        <v>0</v>
      </c>
      <c r="U51" s="537">
        <v>0</v>
      </c>
      <c r="V51" s="529">
        <f>'WA Volumes &amp; Revenues'!F49*U51</f>
        <v>0</v>
      </c>
      <c r="W51" s="474">
        <f t="shared" si="10"/>
        <v>0</v>
      </c>
      <c r="X51" s="478">
        <f t="shared" si="11"/>
        <v>0</v>
      </c>
    </row>
    <row r="52" spans="1:24" x14ac:dyDescent="0.2">
      <c r="A52" s="115">
        <f t="shared" si="0"/>
        <v>43</v>
      </c>
      <c r="B52" s="723"/>
      <c r="C52" s="727" t="s">
        <v>9</v>
      </c>
      <c r="D52" s="466">
        <f>'WA Volumes &amp; Revenues'!E50</f>
        <v>0</v>
      </c>
      <c r="E52" s="463">
        <f>'Allocation = % of Margin'!E49</f>
        <v>1.8929999999999999E-2</v>
      </c>
      <c r="F52" s="467">
        <f>'Allocation = % of Margin'!H49</f>
        <v>0</v>
      </c>
      <c r="G52" s="467">
        <f>'Allocation = % of Margin'!K49</f>
        <v>0</v>
      </c>
      <c r="H52" s="760"/>
      <c r="I52" s="535">
        <v>0</v>
      </c>
      <c r="J52" s="533">
        <f t="shared" si="1"/>
        <v>0</v>
      </c>
      <c r="K52" s="470">
        <f t="shared" si="2"/>
        <v>0</v>
      </c>
      <c r="L52" s="536">
        <v>0</v>
      </c>
      <c r="M52" s="533">
        <f t="shared" si="3"/>
        <v>0</v>
      </c>
      <c r="N52" s="467">
        <f t="shared" si="4"/>
        <v>0</v>
      </c>
      <c r="O52" s="469">
        <f t="shared" si="5"/>
        <v>0</v>
      </c>
      <c r="P52" s="470">
        <f t="shared" si="6"/>
        <v>0</v>
      </c>
      <c r="Q52" s="535">
        <v>0</v>
      </c>
      <c r="R52" s="533">
        <f t="shared" si="7"/>
        <v>0</v>
      </c>
      <c r="S52" s="467">
        <f t="shared" si="8"/>
        <v>0</v>
      </c>
      <c r="T52" s="470">
        <f t="shared" si="9"/>
        <v>0</v>
      </c>
      <c r="U52" s="535">
        <v>0</v>
      </c>
      <c r="V52" s="533">
        <f>'WA Volumes &amp; Revenues'!F50*U52</f>
        <v>0</v>
      </c>
      <c r="W52" s="467">
        <f t="shared" si="10"/>
        <v>0</v>
      </c>
      <c r="X52" s="470">
        <f t="shared" si="11"/>
        <v>0</v>
      </c>
    </row>
    <row r="53" spans="1:24" x14ac:dyDescent="0.2">
      <c r="A53" s="115">
        <f t="shared" si="0"/>
        <v>44</v>
      </c>
      <c r="B53" s="725" t="str">
        <f>'WA Volumes &amp; Revenues'!B51</f>
        <v>42I Firm Transpt</v>
      </c>
      <c r="C53" s="726" t="s">
        <v>4</v>
      </c>
      <c r="D53" s="479">
        <f>'WA Volumes &amp; Revenues'!E51</f>
        <v>924395</v>
      </c>
      <c r="E53" s="473">
        <f>'Allocation = % of Margin'!E50</f>
        <v>0.13941000000000001</v>
      </c>
      <c r="F53" s="474">
        <f>'Allocation = % of Margin'!H50</f>
        <v>128870</v>
      </c>
      <c r="G53" s="474">
        <f>'Allocation = % of Margin'!K50</f>
        <v>823616.4656</v>
      </c>
      <c r="H53" s="760"/>
      <c r="I53" s="537">
        <v>0</v>
      </c>
      <c r="J53" s="529">
        <f t="shared" si="1"/>
        <v>0</v>
      </c>
      <c r="K53" s="478">
        <f t="shared" si="2"/>
        <v>0</v>
      </c>
      <c r="L53" s="538">
        <v>0</v>
      </c>
      <c r="M53" s="529">
        <f t="shared" si="3"/>
        <v>0</v>
      </c>
      <c r="N53" s="474">
        <f t="shared" si="4"/>
        <v>0</v>
      </c>
      <c r="O53" s="471">
        <f t="shared" si="5"/>
        <v>0</v>
      </c>
      <c r="P53" s="478">
        <f t="shared" si="6"/>
        <v>0</v>
      </c>
      <c r="Q53" s="537">
        <v>0</v>
      </c>
      <c r="R53" s="529">
        <f t="shared" si="7"/>
        <v>0</v>
      </c>
      <c r="S53" s="474">
        <f t="shared" si="8"/>
        <v>0</v>
      </c>
      <c r="T53" s="478">
        <f t="shared" si="9"/>
        <v>0</v>
      </c>
      <c r="U53" s="537">
        <v>0</v>
      </c>
      <c r="V53" s="529">
        <f>'WA Volumes &amp; Revenues'!F51*U53</f>
        <v>0</v>
      </c>
      <c r="W53" s="474">
        <f t="shared" si="10"/>
        <v>0</v>
      </c>
      <c r="X53" s="478">
        <f t="shared" si="11"/>
        <v>0</v>
      </c>
    </row>
    <row r="54" spans="1:24" x14ac:dyDescent="0.2">
      <c r="A54" s="115">
        <f t="shared" si="0"/>
        <v>45</v>
      </c>
      <c r="B54" s="725"/>
      <c r="C54" s="726" t="s">
        <v>5</v>
      </c>
      <c r="D54" s="479">
        <f>'WA Volumes &amp; Revenues'!E52</f>
        <v>1036796</v>
      </c>
      <c r="E54" s="473">
        <f>'Allocation = % of Margin'!E51</f>
        <v>0.12478999999999997</v>
      </c>
      <c r="F54" s="474">
        <f>'Allocation = % of Margin'!H51</f>
        <v>129382</v>
      </c>
      <c r="G54" s="474">
        <f>'Allocation = % of Margin'!K51</f>
        <v>0</v>
      </c>
      <c r="H54" s="760"/>
      <c r="I54" s="537">
        <v>0</v>
      </c>
      <c r="J54" s="529">
        <f t="shared" si="1"/>
        <v>0</v>
      </c>
      <c r="K54" s="478">
        <f t="shared" si="2"/>
        <v>0</v>
      </c>
      <c r="L54" s="538">
        <v>0</v>
      </c>
      <c r="M54" s="529">
        <f t="shared" si="3"/>
        <v>0</v>
      </c>
      <c r="N54" s="474">
        <f t="shared" si="4"/>
        <v>0</v>
      </c>
      <c r="O54" s="471">
        <f t="shared" si="5"/>
        <v>0</v>
      </c>
      <c r="P54" s="478">
        <f t="shared" si="6"/>
        <v>0</v>
      </c>
      <c r="Q54" s="537">
        <v>0</v>
      </c>
      <c r="R54" s="529">
        <f t="shared" si="7"/>
        <v>0</v>
      </c>
      <c r="S54" s="474">
        <f t="shared" si="8"/>
        <v>0</v>
      </c>
      <c r="T54" s="478">
        <f t="shared" si="9"/>
        <v>0</v>
      </c>
      <c r="U54" s="537">
        <v>0</v>
      </c>
      <c r="V54" s="529">
        <f>'WA Volumes &amp; Revenues'!F52*U54</f>
        <v>0</v>
      </c>
      <c r="W54" s="474">
        <f t="shared" si="10"/>
        <v>0</v>
      </c>
      <c r="X54" s="478">
        <f t="shared" si="11"/>
        <v>0</v>
      </c>
    </row>
    <row r="55" spans="1:24" x14ac:dyDescent="0.2">
      <c r="A55" s="115">
        <f t="shared" si="0"/>
        <v>46</v>
      </c>
      <c r="B55" s="725"/>
      <c r="C55" s="726" t="s">
        <v>6</v>
      </c>
      <c r="D55" s="479">
        <f>'WA Volumes &amp; Revenues'!E53</f>
        <v>937215</v>
      </c>
      <c r="E55" s="473">
        <f>'Allocation = % of Margin'!E52</f>
        <v>9.5690000000000011E-2</v>
      </c>
      <c r="F55" s="474">
        <f>'Allocation = % of Margin'!H52</f>
        <v>89682</v>
      </c>
      <c r="G55" s="474">
        <f>'Allocation = % of Margin'!K52</f>
        <v>0</v>
      </c>
      <c r="H55" s="760"/>
      <c r="I55" s="537">
        <v>0</v>
      </c>
      <c r="J55" s="529">
        <f t="shared" si="1"/>
        <v>0</v>
      </c>
      <c r="K55" s="478">
        <f t="shared" si="2"/>
        <v>0</v>
      </c>
      <c r="L55" s="538">
        <v>0</v>
      </c>
      <c r="M55" s="529">
        <f t="shared" si="3"/>
        <v>0</v>
      </c>
      <c r="N55" s="474">
        <f t="shared" si="4"/>
        <v>0</v>
      </c>
      <c r="O55" s="471">
        <f t="shared" si="5"/>
        <v>0</v>
      </c>
      <c r="P55" s="478">
        <f t="shared" si="6"/>
        <v>0</v>
      </c>
      <c r="Q55" s="537">
        <v>0</v>
      </c>
      <c r="R55" s="529">
        <f t="shared" si="7"/>
        <v>0</v>
      </c>
      <c r="S55" s="474">
        <f t="shared" si="8"/>
        <v>0</v>
      </c>
      <c r="T55" s="478">
        <f t="shared" si="9"/>
        <v>0</v>
      </c>
      <c r="U55" s="537">
        <v>0</v>
      </c>
      <c r="V55" s="529">
        <f>'WA Volumes &amp; Revenues'!F53*U55</f>
        <v>0</v>
      </c>
      <c r="W55" s="474">
        <f t="shared" si="10"/>
        <v>0</v>
      </c>
      <c r="X55" s="478">
        <f t="shared" si="11"/>
        <v>0</v>
      </c>
    </row>
    <row r="56" spans="1:24" x14ac:dyDescent="0.2">
      <c r="A56" s="115">
        <f t="shared" si="0"/>
        <v>47</v>
      </c>
      <c r="B56" s="725"/>
      <c r="C56" s="726" t="s">
        <v>7</v>
      </c>
      <c r="D56" s="479">
        <f>'WA Volumes &amp; Revenues'!E54</f>
        <v>2390318</v>
      </c>
      <c r="E56" s="473">
        <f>'Allocation = % of Margin'!E53</f>
        <v>7.6560000000000017E-2</v>
      </c>
      <c r="F56" s="474">
        <f>'Allocation = % of Margin'!H53</f>
        <v>183003</v>
      </c>
      <c r="G56" s="474">
        <f>'Allocation = % of Margin'!K53</f>
        <v>0</v>
      </c>
      <c r="H56" s="760"/>
      <c r="I56" s="537">
        <v>0</v>
      </c>
      <c r="J56" s="529">
        <f t="shared" si="1"/>
        <v>0</v>
      </c>
      <c r="K56" s="478">
        <f t="shared" si="2"/>
        <v>0</v>
      </c>
      <c r="L56" s="538">
        <v>0</v>
      </c>
      <c r="M56" s="529">
        <f t="shared" si="3"/>
        <v>0</v>
      </c>
      <c r="N56" s="474">
        <f t="shared" si="4"/>
        <v>0</v>
      </c>
      <c r="O56" s="471">
        <f t="shared" si="5"/>
        <v>0</v>
      </c>
      <c r="P56" s="478">
        <f t="shared" si="6"/>
        <v>0</v>
      </c>
      <c r="Q56" s="537">
        <v>0</v>
      </c>
      <c r="R56" s="529">
        <f t="shared" si="7"/>
        <v>0</v>
      </c>
      <c r="S56" s="474">
        <f t="shared" si="8"/>
        <v>0</v>
      </c>
      <c r="T56" s="478">
        <f t="shared" si="9"/>
        <v>0</v>
      </c>
      <c r="U56" s="537">
        <v>0</v>
      </c>
      <c r="V56" s="529">
        <f>'WA Volumes &amp; Revenues'!F54*U56</f>
        <v>0</v>
      </c>
      <c r="W56" s="474">
        <f t="shared" si="10"/>
        <v>0</v>
      </c>
      <c r="X56" s="478">
        <f t="shared" si="11"/>
        <v>0</v>
      </c>
    </row>
    <row r="57" spans="1:24" x14ac:dyDescent="0.2">
      <c r="A57" s="115">
        <f t="shared" si="0"/>
        <v>48</v>
      </c>
      <c r="B57" s="725"/>
      <c r="C57" s="726" t="s">
        <v>8</v>
      </c>
      <c r="D57" s="479">
        <f>'WA Volumes &amp; Revenues'!E55</f>
        <v>1492257</v>
      </c>
      <c r="E57" s="473">
        <f>'Allocation = % of Margin'!E54</f>
        <v>5.1040000000000002E-2</v>
      </c>
      <c r="F57" s="474">
        <f>'Allocation = % of Margin'!H54</f>
        <v>76165</v>
      </c>
      <c r="G57" s="474">
        <f>'Allocation = % of Margin'!K54</f>
        <v>0</v>
      </c>
      <c r="H57" s="760"/>
      <c r="I57" s="537">
        <v>0</v>
      </c>
      <c r="J57" s="529">
        <f t="shared" si="1"/>
        <v>0</v>
      </c>
      <c r="K57" s="478">
        <f t="shared" si="2"/>
        <v>0</v>
      </c>
      <c r="L57" s="538">
        <v>0</v>
      </c>
      <c r="M57" s="529">
        <f t="shared" si="3"/>
        <v>0</v>
      </c>
      <c r="N57" s="474">
        <f t="shared" si="4"/>
        <v>0</v>
      </c>
      <c r="O57" s="471">
        <f t="shared" si="5"/>
        <v>0</v>
      </c>
      <c r="P57" s="478">
        <f t="shared" si="6"/>
        <v>0</v>
      </c>
      <c r="Q57" s="537">
        <v>0</v>
      </c>
      <c r="R57" s="529">
        <f t="shared" si="7"/>
        <v>0</v>
      </c>
      <c r="S57" s="474">
        <f t="shared" si="8"/>
        <v>0</v>
      </c>
      <c r="T57" s="478">
        <f t="shared" si="9"/>
        <v>0</v>
      </c>
      <c r="U57" s="537">
        <v>0</v>
      </c>
      <c r="V57" s="529">
        <f>'WA Volumes &amp; Revenues'!F55*U57</f>
        <v>0</v>
      </c>
      <c r="W57" s="474">
        <f t="shared" si="10"/>
        <v>0</v>
      </c>
      <c r="X57" s="478">
        <f t="shared" si="11"/>
        <v>0</v>
      </c>
    </row>
    <row r="58" spans="1:24" x14ac:dyDescent="0.2">
      <c r="A58" s="115">
        <f t="shared" si="0"/>
        <v>49</v>
      </c>
      <c r="B58" s="723"/>
      <c r="C58" s="727" t="s">
        <v>9</v>
      </c>
      <c r="D58" s="466">
        <f>'WA Volumes &amp; Revenues'!E56</f>
        <v>0</v>
      </c>
      <c r="E58" s="463">
        <f>'Allocation = % of Margin'!E55</f>
        <v>1.9140000000000001E-2</v>
      </c>
      <c r="F58" s="467">
        <f>'Allocation = % of Margin'!H55</f>
        <v>0</v>
      </c>
      <c r="G58" s="467">
        <f>'Allocation = % of Margin'!K55</f>
        <v>0</v>
      </c>
      <c r="H58" s="760"/>
      <c r="I58" s="535">
        <v>0</v>
      </c>
      <c r="J58" s="533">
        <f t="shared" si="1"/>
        <v>0</v>
      </c>
      <c r="K58" s="470">
        <f t="shared" si="2"/>
        <v>0</v>
      </c>
      <c r="L58" s="536">
        <v>0</v>
      </c>
      <c r="M58" s="533">
        <f t="shared" si="3"/>
        <v>0</v>
      </c>
      <c r="N58" s="467">
        <f t="shared" si="4"/>
        <v>0</v>
      </c>
      <c r="O58" s="469">
        <f t="shared" si="5"/>
        <v>0</v>
      </c>
      <c r="P58" s="470">
        <f t="shared" si="6"/>
        <v>0</v>
      </c>
      <c r="Q58" s="535">
        <v>0</v>
      </c>
      <c r="R58" s="533">
        <f t="shared" si="7"/>
        <v>0</v>
      </c>
      <c r="S58" s="467">
        <f t="shared" si="8"/>
        <v>0</v>
      </c>
      <c r="T58" s="470">
        <f t="shared" si="9"/>
        <v>0</v>
      </c>
      <c r="U58" s="535">
        <v>0</v>
      </c>
      <c r="V58" s="533">
        <f>'WA Volumes &amp; Revenues'!F56*U58</f>
        <v>0</v>
      </c>
      <c r="W58" s="467">
        <f t="shared" si="10"/>
        <v>0</v>
      </c>
      <c r="X58" s="470">
        <f t="shared" si="11"/>
        <v>0</v>
      </c>
    </row>
    <row r="59" spans="1:24" x14ac:dyDescent="0.2">
      <c r="A59" s="115">
        <f t="shared" si="0"/>
        <v>50</v>
      </c>
      <c r="B59" s="725" t="str">
        <f>'WA Volumes &amp; Revenues'!B57</f>
        <v>42C Interr Sales</v>
      </c>
      <c r="C59" s="726" t="s">
        <v>4</v>
      </c>
      <c r="D59" s="479">
        <f>'WA Volumes &amp; Revenues'!E57</f>
        <v>240000</v>
      </c>
      <c r="E59" s="473">
        <f>'Allocation = % of Margin'!E56</f>
        <v>0.13682000000000002</v>
      </c>
      <c r="F59" s="474">
        <f>'Allocation = % of Margin'!H56</f>
        <v>32837</v>
      </c>
      <c r="G59" s="474">
        <f>'Allocation = % of Margin'!K56</f>
        <v>160513.01702958997</v>
      </c>
      <c r="H59" s="760"/>
      <c r="I59" s="537">
        <v>1</v>
      </c>
      <c r="J59" s="529">
        <f t="shared" si="1"/>
        <v>240000</v>
      </c>
      <c r="K59" s="478">
        <f t="shared" si="2"/>
        <v>0</v>
      </c>
      <c r="L59" s="538">
        <v>1</v>
      </c>
      <c r="M59" s="529">
        <f t="shared" si="3"/>
        <v>240000</v>
      </c>
      <c r="N59" s="474">
        <f t="shared" si="4"/>
        <v>0</v>
      </c>
      <c r="O59" s="471">
        <f t="shared" si="5"/>
        <v>0</v>
      </c>
      <c r="P59" s="478">
        <f t="shared" si="6"/>
        <v>0</v>
      </c>
      <c r="Q59" s="537">
        <v>1</v>
      </c>
      <c r="R59" s="529">
        <f t="shared" si="7"/>
        <v>240000</v>
      </c>
      <c r="S59" s="474">
        <f t="shared" si="8"/>
        <v>0</v>
      </c>
      <c r="T59" s="478">
        <f t="shared" si="9"/>
        <v>0</v>
      </c>
      <c r="U59" s="537">
        <v>1</v>
      </c>
      <c r="V59" s="529">
        <f>'WA Volumes &amp; Revenues'!F57*U59</f>
        <v>239999</v>
      </c>
      <c r="W59" s="474">
        <f t="shared" si="10"/>
        <v>0</v>
      </c>
      <c r="X59" s="478">
        <f t="shared" si="11"/>
        <v>0</v>
      </c>
    </row>
    <row r="60" spans="1:24" x14ac:dyDescent="0.2">
      <c r="A60" s="115">
        <f t="shared" si="0"/>
        <v>51</v>
      </c>
      <c r="B60" s="725"/>
      <c r="C60" s="726" t="s">
        <v>5</v>
      </c>
      <c r="D60" s="479">
        <f>'WA Volumes &amp; Revenues'!E58</f>
        <v>467511</v>
      </c>
      <c r="E60" s="473">
        <f>'Allocation = % of Margin'!E57</f>
        <v>0.12246999999999988</v>
      </c>
      <c r="F60" s="474">
        <f>'Allocation = % of Margin'!H57</f>
        <v>57256</v>
      </c>
      <c r="G60" s="474">
        <f>'Allocation = % of Margin'!K57</f>
        <v>0</v>
      </c>
      <c r="H60" s="760"/>
      <c r="I60" s="537">
        <v>1</v>
      </c>
      <c r="J60" s="529">
        <f t="shared" si="1"/>
        <v>467511</v>
      </c>
      <c r="K60" s="478">
        <f t="shared" si="2"/>
        <v>0</v>
      </c>
      <c r="L60" s="538">
        <v>1</v>
      </c>
      <c r="M60" s="529">
        <f t="shared" si="3"/>
        <v>467511</v>
      </c>
      <c r="N60" s="474">
        <f t="shared" si="4"/>
        <v>0</v>
      </c>
      <c r="O60" s="471">
        <f t="shared" si="5"/>
        <v>0</v>
      </c>
      <c r="P60" s="478">
        <f t="shared" si="6"/>
        <v>0</v>
      </c>
      <c r="Q60" s="537">
        <v>1</v>
      </c>
      <c r="R60" s="529">
        <f t="shared" si="7"/>
        <v>467511</v>
      </c>
      <c r="S60" s="474">
        <f t="shared" si="8"/>
        <v>0</v>
      </c>
      <c r="T60" s="478">
        <f t="shared" si="9"/>
        <v>0</v>
      </c>
      <c r="U60" s="537">
        <v>1</v>
      </c>
      <c r="V60" s="529">
        <f>'WA Volumes &amp; Revenues'!F58*U60</f>
        <v>454151</v>
      </c>
      <c r="W60" s="474">
        <f t="shared" si="10"/>
        <v>0</v>
      </c>
      <c r="X60" s="478">
        <f t="shared" si="11"/>
        <v>0</v>
      </c>
    </row>
    <row r="61" spans="1:24" x14ac:dyDescent="0.2">
      <c r="A61" s="115">
        <f t="shared" si="0"/>
        <v>52</v>
      </c>
      <c r="B61" s="725"/>
      <c r="C61" s="726" t="s">
        <v>6</v>
      </c>
      <c r="D61" s="479">
        <f>'WA Volumes &amp; Revenues'!E59</f>
        <v>218004</v>
      </c>
      <c r="E61" s="473">
        <f>'Allocation = % of Margin'!E58</f>
        <v>9.3909999999999993E-2</v>
      </c>
      <c r="F61" s="474">
        <f>'Allocation = % of Margin'!H58</f>
        <v>20473</v>
      </c>
      <c r="G61" s="474">
        <f>'Allocation = % of Margin'!K58</f>
        <v>0</v>
      </c>
      <c r="H61" s="760"/>
      <c r="I61" s="537">
        <v>1</v>
      </c>
      <c r="J61" s="529">
        <f t="shared" si="1"/>
        <v>218004</v>
      </c>
      <c r="K61" s="478">
        <f t="shared" si="2"/>
        <v>0</v>
      </c>
      <c r="L61" s="538">
        <v>1</v>
      </c>
      <c r="M61" s="529">
        <f t="shared" si="3"/>
        <v>218004</v>
      </c>
      <c r="N61" s="474">
        <f t="shared" si="4"/>
        <v>0</v>
      </c>
      <c r="O61" s="471">
        <f t="shared" si="5"/>
        <v>0</v>
      </c>
      <c r="P61" s="478">
        <f t="shared" si="6"/>
        <v>0</v>
      </c>
      <c r="Q61" s="537">
        <v>1</v>
      </c>
      <c r="R61" s="529">
        <f t="shared" si="7"/>
        <v>218004</v>
      </c>
      <c r="S61" s="474">
        <f t="shared" si="8"/>
        <v>0</v>
      </c>
      <c r="T61" s="478">
        <f t="shared" si="9"/>
        <v>0</v>
      </c>
      <c r="U61" s="537">
        <v>1</v>
      </c>
      <c r="V61" s="529">
        <f>'WA Volumes &amp; Revenues'!F59*U61</f>
        <v>230285</v>
      </c>
      <c r="W61" s="474">
        <f t="shared" si="10"/>
        <v>0</v>
      </c>
      <c r="X61" s="478">
        <f t="shared" si="11"/>
        <v>0</v>
      </c>
    </row>
    <row r="62" spans="1:24" x14ac:dyDescent="0.2">
      <c r="A62" s="115">
        <f t="shared" si="0"/>
        <v>53</v>
      </c>
      <c r="B62" s="725"/>
      <c r="C62" s="726" t="s">
        <v>7</v>
      </c>
      <c r="D62" s="479">
        <f>'WA Volumes &amp; Revenues'!E60</f>
        <v>18208</v>
      </c>
      <c r="E62" s="473">
        <f>'Allocation = % of Margin'!E59</f>
        <v>7.5130000000000044E-2</v>
      </c>
      <c r="F62" s="474">
        <f>'Allocation = % of Margin'!H59</f>
        <v>1368</v>
      </c>
      <c r="G62" s="474">
        <f>'Allocation = % of Margin'!K59</f>
        <v>0</v>
      </c>
      <c r="H62" s="760"/>
      <c r="I62" s="537">
        <v>1</v>
      </c>
      <c r="J62" s="529">
        <f t="shared" si="1"/>
        <v>18208</v>
      </c>
      <c r="K62" s="478">
        <f t="shared" si="2"/>
        <v>0</v>
      </c>
      <c r="L62" s="538">
        <v>1</v>
      </c>
      <c r="M62" s="529">
        <f t="shared" si="3"/>
        <v>18208</v>
      </c>
      <c r="N62" s="474">
        <f t="shared" si="4"/>
        <v>0</v>
      </c>
      <c r="O62" s="471">
        <f t="shared" si="5"/>
        <v>0</v>
      </c>
      <c r="P62" s="478">
        <f t="shared" si="6"/>
        <v>0</v>
      </c>
      <c r="Q62" s="537">
        <v>1</v>
      </c>
      <c r="R62" s="529">
        <f t="shared" si="7"/>
        <v>18208</v>
      </c>
      <c r="S62" s="474">
        <f t="shared" si="8"/>
        <v>0</v>
      </c>
      <c r="T62" s="478">
        <f t="shared" si="9"/>
        <v>0</v>
      </c>
      <c r="U62" s="537">
        <v>1</v>
      </c>
      <c r="V62" s="529">
        <f>'WA Volumes &amp; Revenues'!F60*U62</f>
        <v>26942</v>
      </c>
      <c r="W62" s="474">
        <f t="shared" si="10"/>
        <v>0</v>
      </c>
      <c r="X62" s="478">
        <f t="shared" si="11"/>
        <v>0</v>
      </c>
    </row>
    <row r="63" spans="1:24" x14ac:dyDescent="0.2">
      <c r="A63" s="115">
        <f t="shared" si="0"/>
        <v>54</v>
      </c>
      <c r="B63" s="725"/>
      <c r="C63" s="726" t="s">
        <v>8</v>
      </c>
      <c r="D63" s="479">
        <f>'WA Volumes &amp; Revenues'!E61</f>
        <v>0</v>
      </c>
      <c r="E63" s="473">
        <f>'Allocation = % of Margin'!E60</f>
        <v>5.0089999999999968E-2</v>
      </c>
      <c r="F63" s="474">
        <f>'Allocation = % of Margin'!H60</f>
        <v>0</v>
      </c>
      <c r="G63" s="474">
        <f>'Allocation = % of Margin'!K60</f>
        <v>0</v>
      </c>
      <c r="H63" s="760"/>
      <c r="I63" s="537">
        <v>1</v>
      </c>
      <c r="J63" s="529">
        <f t="shared" si="1"/>
        <v>0</v>
      </c>
      <c r="K63" s="478">
        <f t="shared" si="2"/>
        <v>0</v>
      </c>
      <c r="L63" s="538">
        <v>1</v>
      </c>
      <c r="M63" s="529">
        <f t="shared" si="3"/>
        <v>0</v>
      </c>
      <c r="N63" s="474">
        <f t="shared" si="4"/>
        <v>0</v>
      </c>
      <c r="O63" s="471">
        <f t="shared" si="5"/>
        <v>0</v>
      </c>
      <c r="P63" s="478">
        <f t="shared" si="6"/>
        <v>0</v>
      </c>
      <c r="Q63" s="537">
        <v>1</v>
      </c>
      <c r="R63" s="529">
        <f t="shared" si="7"/>
        <v>0</v>
      </c>
      <c r="S63" s="474">
        <f t="shared" si="8"/>
        <v>0</v>
      </c>
      <c r="T63" s="478">
        <f t="shared" si="9"/>
        <v>0</v>
      </c>
      <c r="U63" s="537">
        <v>1</v>
      </c>
      <c r="V63" s="529">
        <f>'WA Volumes &amp; Revenues'!F61*U63</f>
        <v>0</v>
      </c>
      <c r="W63" s="474">
        <f t="shared" si="10"/>
        <v>0</v>
      </c>
      <c r="X63" s="478">
        <f t="shared" si="11"/>
        <v>0</v>
      </c>
    </row>
    <row r="64" spans="1:24" x14ac:dyDescent="0.2">
      <c r="A64" s="115">
        <f t="shared" si="0"/>
        <v>55</v>
      </c>
      <c r="B64" s="723"/>
      <c r="C64" s="727" t="s">
        <v>9</v>
      </c>
      <c r="D64" s="466">
        <f>'WA Volumes &amp; Revenues'!E62</f>
        <v>0</v>
      </c>
      <c r="E64" s="463">
        <f>'Allocation = % of Margin'!E61</f>
        <v>1.8790000000000001E-2</v>
      </c>
      <c r="F64" s="467">
        <f>'Allocation = % of Margin'!H61</f>
        <v>0</v>
      </c>
      <c r="G64" s="467">
        <f>'Allocation = % of Margin'!K61</f>
        <v>0</v>
      </c>
      <c r="H64" s="760"/>
      <c r="I64" s="535">
        <v>1</v>
      </c>
      <c r="J64" s="533">
        <f t="shared" si="1"/>
        <v>0</v>
      </c>
      <c r="K64" s="470">
        <f t="shared" si="2"/>
        <v>0</v>
      </c>
      <c r="L64" s="536">
        <v>1</v>
      </c>
      <c r="M64" s="533">
        <f t="shared" si="3"/>
        <v>0</v>
      </c>
      <c r="N64" s="467">
        <f t="shared" si="4"/>
        <v>0</v>
      </c>
      <c r="O64" s="469">
        <f t="shared" si="5"/>
        <v>0</v>
      </c>
      <c r="P64" s="470">
        <f t="shared" si="6"/>
        <v>0</v>
      </c>
      <c r="Q64" s="535">
        <v>1</v>
      </c>
      <c r="R64" s="533">
        <f t="shared" si="7"/>
        <v>0</v>
      </c>
      <c r="S64" s="467">
        <f t="shared" si="8"/>
        <v>0</v>
      </c>
      <c r="T64" s="470">
        <f t="shared" si="9"/>
        <v>0</v>
      </c>
      <c r="U64" s="535">
        <v>1</v>
      </c>
      <c r="V64" s="533">
        <f>'WA Volumes &amp; Revenues'!F62*U64</f>
        <v>0</v>
      </c>
      <c r="W64" s="467">
        <f t="shared" si="10"/>
        <v>0</v>
      </c>
      <c r="X64" s="470">
        <f t="shared" si="11"/>
        <v>0</v>
      </c>
    </row>
    <row r="65" spans="1:24" x14ac:dyDescent="0.2">
      <c r="A65" s="115">
        <f t="shared" si="0"/>
        <v>56</v>
      </c>
      <c r="B65" s="725" t="str">
        <f>'WA Volumes &amp; Revenues'!B63</f>
        <v>42I Interr Sales</v>
      </c>
      <c r="C65" s="726" t="s">
        <v>4</v>
      </c>
      <c r="D65" s="479">
        <f>'WA Volumes &amp; Revenues'!E63</f>
        <v>156740</v>
      </c>
      <c r="E65" s="473">
        <f>'Allocation = % of Margin'!E62</f>
        <v>0.14583999999999989</v>
      </c>
      <c r="F65" s="474">
        <f>'Allocation = % of Margin'!H62</f>
        <v>22859</v>
      </c>
      <c r="G65" s="474">
        <f>'Allocation = % of Margin'!K62</f>
        <v>81130.543495991747</v>
      </c>
      <c r="H65" s="760"/>
      <c r="I65" s="537">
        <v>1</v>
      </c>
      <c r="J65" s="529">
        <f t="shared" si="1"/>
        <v>156740</v>
      </c>
      <c r="K65" s="478">
        <f t="shared" si="2"/>
        <v>0</v>
      </c>
      <c r="L65" s="538">
        <v>1</v>
      </c>
      <c r="M65" s="529">
        <f t="shared" si="3"/>
        <v>156740</v>
      </c>
      <c r="N65" s="474">
        <f t="shared" si="4"/>
        <v>0</v>
      </c>
      <c r="O65" s="471">
        <f t="shared" si="5"/>
        <v>0</v>
      </c>
      <c r="P65" s="478">
        <f t="shared" si="6"/>
        <v>0</v>
      </c>
      <c r="Q65" s="537">
        <v>1</v>
      </c>
      <c r="R65" s="529">
        <f t="shared" si="7"/>
        <v>156740</v>
      </c>
      <c r="S65" s="474">
        <f t="shared" si="8"/>
        <v>0</v>
      </c>
      <c r="T65" s="478">
        <f t="shared" si="9"/>
        <v>0</v>
      </c>
      <c r="U65" s="537">
        <v>1</v>
      </c>
      <c r="V65" s="529">
        <f>'WA Volumes &amp; Revenues'!F63*U65</f>
        <v>160966</v>
      </c>
      <c r="W65" s="474">
        <f t="shared" si="10"/>
        <v>0</v>
      </c>
      <c r="X65" s="478">
        <f t="shared" si="11"/>
        <v>0</v>
      </c>
    </row>
    <row r="66" spans="1:24" x14ac:dyDescent="0.2">
      <c r="A66" s="115">
        <f t="shared" si="0"/>
        <v>57</v>
      </c>
      <c r="B66" s="725"/>
      <c r="C66" s="726" t="s">
        <v>5</v>
      </c>
      <c r="D66" s="479">
        <f>'WA Volumes &amp; Revenues'!E64</f>
        <v>159690</v>
      </c>
      <c r="E66" s="473">
        <f>'Allocation = % of Margin'!E63</f>
        <v>0.13054999999999992</v>
      </c>
      <c r="F66" s="474">
        <f>'Allocation = % of Margin'!H63</f>
        <v>20848</v>
      </c>
      <c r="G66" s="474">
        <f>'Allocation = % of Margin'!K63</f>
        <v>0</v>
      </c>
      <c r="H66" s="760"/>
      <c r="I66" s="537">
        <v>1</v>
      </c>
      <c r="J66" s="529">
        <f t="shared" si="1"/>
        <v>159690</v>
      </c>
      <c r="K66" s="478">
        <f t="shared" si="2"/>
        <v>0</v>
      </c>
      <c r="L66" s="538">
        <v>1</v>
      </c>
      <c r="M66" s="529">
        <f t="shared" si="3"/>
        <v>159690</v>
      </c>
      <c r="N66" s="474">
        <f t="shared" si="4"/>
        <v>0</v>
      </c>
      <c r="O66" s="471">
        <f t="shared" si="5"/>
        <v>0</v>
      </c>
      <c r="P66" s="478">
        <f t="shared" si="6"/>
        <v>0</v>
      </c>
      <c r="Q66" s="537">
        <v>1</v>
      </c>
      <c r="R66" s="529">
        <f t="shared" si="7"/>
        <v>159690</v>
      </c>
      <c r="S66" s="474">
        <f t="shared" si="8"/>
        <v>0</v>
      </c>
      <c r="T66" s="478">
        <f t="shared" si="9"/>
        <v>0</v>
      </c>
      <c r="U66" s="537">
        <v>1</v>
      </c>
      <c r="V66" s="529">
        <f>'WA Volumes &amp; Revenues'!F64*U66</f>
        <v>145741</v>
      </c>
      <c r="W66" s="474">
        <f t="shared" si="10"/>
        <v>0</v>
      </c>
      <c r="X66" s="478">
        <f t="shared" si="11"/>
        <v>0</v>
      </c>
    </row>
    <row r="67" spans="1:24" x14ac:dyDescent="0.2">
      <c r="A67" s="115">
        <f t="shared" si="0"/>
        <v>58</v>
      </c>
      <c r="B67" s="725"/>
      <c r="C67" s="726" t="s">
        <v>6</v>
      </c>
      <c r="D67" s="479">
        <f>'WA Volumes &amp; Revenues'!E65</f>
        <v>0</v>
      </c>
      <c r="E67" s="473">
        <f>'Allocation = % of Margin'!E64</f>
        <v>0.10011</v>
      </c>
      <c r="F67" s="474">
        <f>'Allocation = % of Margin'!H64</f>
        <v>0</v>
      </c>
      <c r="G67" s="474">
        <f>'Allocation = % of Margin'!K64</f>
        <v>0</v>
      </c>
      <c r="H67" s="760"/>
      <c r="I67" s="537">
        <v>1</v>
      </c>
      <c r="J67" s="529">
        <f t="shared" si="1"/>
        <v>0</v>
      </c>
      <c r="K67" s="478">
        <f t="shared" si="2"/>
        <v>0</v>
      </c>
      <c r="L67" s="538">
        <v>1</v>
      </c>
      <c r="M67" s="529">
        <f t="shared" si="3"/>
        <v>0</v>
      </c>
      <c r="N67" s="474">
        <f t="shared" si="4"/>
        <v>0</v>
      </c>
      <c r="O67" s="471">
        <f t="shared" si="5"/>
        <v>0</v>
      </c>
      <c r="P67" s="478">
        <f t="shared" si="6"/>
        <v>0</v>
      </c>
      <c r="Q67" s="537">
        <v>1</v>
      </c>
      <c r="R67" s="529">
        <f t="shared" si="7"/>
        <v>0</v>
      </c>
      <c r="S67" s="474">
        <f t="shared" si="8"/>
        <v>0</v>
      </c>
      <c r="T67" s="478">
        <f t="shared" si="9"/>
        <v>0</v>
      </c>
      <c r="U67" s="537">
        <v>1</v>
      </c>
      <c r="V67" s="529">
        <f>'WA Volumes &amp; Revenues'!F65*U67</f>
        <v>0</v>
      </c>
      <c r="W67" s="474">
        <f t="shared" si="10"/>
        <v>0</v>
      </c>
      <c r="X67" s="478">
        <f t="shared" si="11"/>
        <v>0</v>
      </c>
    </row>
    <row r="68" spans="1:24" x14ac:dyDescent="0.2">
      <c r="A68" s="115">
        <f t="shared" si="0"/>
        <v>59</v>
      </c>
      <c r="B68" s="725"/>
      <c r="C68" s="726" t="s">
        <v>7</v>
      </c>
      <c r="D68" s="479">
        <f>'WA Volumes &amp; Revenues'!E66</f>
        <v>0</v>
      </c>
      <c r="E68" s="473">
        <f>'Allocation = % of Margin'!E65</f>
        <v>8.0089999999999995E-2</v>
      </c>
      <c r="F68" s="474">
        <f>'Allocation = % of Margin'!H65</f>
        <v>0</v>
      </c>
      <c r="G68" s="474">
        <f>'Allocation = % of Margin'!K65</f>
        <v>0</v>
      </c>
      <c r="H68" s="760"/>
      <c r="I68" s="537">
        <v>1</v>
      </c>
      <c r="J68" s="529">
        <f t="shared" si="1"/>
        <v>0</v>
      </c>
      <c r="K68" s="478">
        <f t="shared" si="2"/>
        <v>0</v>
      </c>
      <c r="L68" s="538">
        <v>1</v>
      </c>
      <c r="M68" s="529">
        <f t="shared" si="3"/>
        <v>0</v>
      </c>
      <c r="N68" s="474">
        <f t="shared" si="4"/>
        <v>0</v>
      </c>
      <c r="O68" s="471">
        <f t="shared" si="5"/>
        <v>0</v>
      </c>
      <c r="P68" s="478">
        <f t="shared" si="6"/>
        <v>0</v>
      </c>
      <c r="Q68" s="537">
        <v>1</v>
      </c>
      <c r="R68" s="529">
        <f t="shared" si="7"/>
        <v>0</v>
      </c>
      <c r="S68" s="474">
        <f t="shared" si="8"/>
        <v>0</v>
      </c>
      <c r="T68" s="478">
        <f t="shared" si="9"/>
        <v>0</v>
      </c>
      <c r="U68" s="537">
        <v>1</v>
      </c>
      <c r="V68" s="529">
        <f>'WA Volumes &amp; Revenues'!F66*U68</f>
        <v>0</v>
      </c>
      <c r="W68" s="474">
        <f t="shared" si="10"/>
        <v>0</v>
      </c>
      <c r="X68" s="478">
        <f t="shared" si="11"/>
        <v>0</v>
      </c>
    </row>
    <row r="69" spans="1:24" x14ac:dyDescent="0.2">
      <c r="A69" s="115">
        <f t="shared" si="0"/>
        <v>60</v>
      </c>
      <c r="B69" s="725"/>
      <c r="C69" s="726" t="s">
        <v>8</v>
      </c>
      <c r="D69" s="479">
        <f>'WA Volumes &amp; Revenues'!E67</f>
        <v>0</v>
      </c>
      <c r="E69" s="473">
        <f>'Allocation = % of Margin'!E66</f>
        <v>5.339E-2</v>
      </c>
      <c r="F69" s="474">
        <f>'Allocation = % of Margin'!H66</f>
        <v>0</v>
      </c>
      <c r="G69" s="474">
        <f>'Allocation = % of Margin'!K66</f>
        <v>0</v>
      </c>
      <c r="H69" s="760"/>
      <c r="I69" s="537">
        <v>1</v>
      </c>
      <c r="J69" s="529">
        <f t="shared" si="1"/>
        <v>0</v>
      </c>
      <c r="K69" s="478">
        <f t="shared" si="2"/>
        <v>0</v>
      </c>
      <c r="L69" s="538">
        <v>1</v>
      </c>
      <c r="M69" s="529">
        <f t="shared" si="3"/>
        <v>0</v>
      </c>
      <c r="N69" s="474">
        <f t="shared" si="4"/>
        <v>0</v>
      </c>
      <c r="O69" s="471">
        <f t="shared" si="5"/>
        <v>0</v>
      </c>
      <c r="P69" s="478">
        <f t="shared" si="6"/>
        <v>0</v>
      </c>
      <c r="Q69" s="537">
        <v>1</v>
      </c>
      <c r="R69" s="529">
        <f t="shared" si="7"/>
        <v>0</v>
      </c>
      <c r="S69" s="474">
        <f t="shared" si="8"/>
        <v>0</v>
      </c>
      <c r="T69" s="478">
        <f t="shared" si="9"/>
        <v>0</v>
      </c>
      <c r="U69" s="537">
        <v>1</v>
      </c>
      <c r="V69" s="529">
        <f>'WA Volumes &amp; Revenues'!F67*U69</f>
        <v>0</v>
      </c>
      <c r="W69" s="474">
        <f t="shared" si="10"/>
        <v>0</v>
      </c>
      <c r="X69" s="478">
        <f t="shared" si="11"/>
        <v>0</v>
      </c>
    </row>
    <row r="70" spans="1:24" x14ac:dyDescent="0.2">
      <c r="A70" s="115">
        <f t="shared" si="0"/>
        <v>61</v>
      </c>
      <c r="B70" s="723"/>
      <c r="C70" s="727" t="s">
        <v>9</v>
      </c>
      <c r="D70" s="466">
        <f>'WA Volumes &amp; Revenues'!E68</f>
        <v>0</v>
      </c>
      <c r="E70" s="463">
        <f>'Allocation = % of Margin'!E67</f>
        <v>2.002E-2</v>
      </c>
      <c r="F70" s="467">
        <f>'Allocation = % of Margin'!H67</f>
        <v>0</v>
      </c>
      <c r="G70" s="467">
        <f>'Allocation = % of Margin'!K67</f>
        <v>0</v>
      </c>
      <c r="H70" s="760"/>
      <c r="I70" s="535">
        <v>1</v>
      </c>
      <c r="J70" s="533">
        <f t="shared" si="1"/>
        <v>0</v>
      </c>
      <c r="K70" s="470">
        <f t="shared" si="2"/>
        <v>0</v>
      </c>
      <c r="L70" s="536">
        <v>1</v>
      </c>
      <c r="M70" s="533">
        <f t="shared" si="3"/>
        <v>0</v>
      </c>
      <c r="N70" s="467">
        <f t="shared" si="4"/>
        <v>0</v>
      </c>
      <c r="O70" s="469">
        <f t="shared" si="5"/>
        <v>0</v>
      </c>
      <c r="P70" s="470">
        <f t="shared" si="6"/>
        <v>0</v>
      </c>
      <c r="Q70" s="535">
        <v>1</v>
      </c>
      <c r="R70" s="533">
        <f t="shared" si="7"/>
        <v>0</v>
      </c>
      <c r="S70" s="467">
        <f t="shared" si="8"/>
        <v>0</v>
      </c>
      <c r="T70" s="470">
        <f t="shared" si="9"/>
        <v>0</v>
      </c>
      <c r="U70" s="535">
        <v>1</v>
      </c>
      <c r="V70" s="533">
        <f>'WA Volumes &amp; Revenues'!F68*U70</f>
        <v>0</v>
      </c>
      <c r="W70" s="467">
        <f t="shared" si="10"/>
        <v>0</v>
      </c>
      <c r="X70" s="470">
        <f t="shared" si="11"/>
        <v>0</v>
      </c>
    </row>
    <row r="71" spans="1:24" x14ac:dyDescent="0.2">
      <c r="A71" s="115">
        <f t="shared" si="0"/>
        <v>62</v>
      </c>
      <c r="B71" s="725" t="str">
        <f>'WA Volumes &amp; Revenues'!B69</f>
        <v>42C Inter Transpt</v>
      </c>
      <c r="C71" s="726" t="s">
        <v>4</v>
      </c>
      <c r="D71" s="479">
        <f>'WA Volumes &amp; Revenues'!E69</f>
        <v>0</v>
      </c>
      <c r="E71" s="481">
        <f>'Allocation = % of Margin'!E68</f>
        <v>0.13402999999999998</v>
      </c>
      <c r="F71" s="474">
        <f>'Allocation = % of Margin'!H68</f>
        <v>0</v>
      </c>
      <c r="G71" s="474">
        <f>'Allocation = % of Margin'!K68</f>
        <v>0</v>
      </c>
      <c r="H71" s="760"/>
      <c r="I71" s="537">
        <v>0</v>
      </c>
      <c r="J71" s="529">
        <f t="shared" si="1"/>
        <v>0</v>
      </c>
      <c r="K71" s="478">
        <f t="shared" si="2"/>
        <v>0</v>
      </c>
      <c r="L71" s="538">
        <v>0</v>
      </c>
      <c r="M71" s="529">
        <f t="shared" si="3"/>
        <v>0</v>
      </c>
      <c r="N71" s="474">
        <f t="shared" si="4"/>
        <v>0</v>
      </c>
      <c r="O71" s="471">
        <f t="shared" si="5"/>
        <v>0</v>
      </c>
      <c r="P71" s="478">
        <f t="shared" si="6"/>
        <v>0</v>
      </c>
      <c r="Q71" s="537">
        <v>0</v>
      </c>
      <c r="R71" s="529">
        <f t="shared" si="7"/>
        <v>0</v>
      </c>
      <c r="S71" s="474">
        <f t="shared" si="8"/>
        <v>0</v>
      </c>
      <c r="T71" s="478">
        <f t="shared" si="9"/>
        <v>0</v>
      </c>
      <c r="U71" s="537">
        <v>0</v>
      </c>
      <c r="V71" s="529">
        <f>'WA Volumes &amp; Revenues'!F69*U71</f>
        <v>0</v>
      </c>
      <c r="W71" s="474">
        <f t="shared" si="10"/>
        <v>0</v>
      </c>
      <c r="X71" s="478">
        <f t="shared" si="11"/>
        <v>0</v>
      </c>
    </row>
    <row r="72" spans="1:24" x14ac:dyDescent="0.2">
      <c r="A72" s="115">
        <f t="shared" si="0"/>
        <v>63</v>
      </c>
      <c r="B72" s="725"/>
      <c r="C72" s="726" t="s">
        <v>5</v>
      </c>
      <c r="D72" s="479">
        <f>'WA Volumes &amp; Revenues'!E70</f>
        <v>0</v>
      </c>
      <c r="E72" s="481">
        <f>'Allocation = % of Margin'!E69</f>
        <v>0.11997999999999999</v>
      </c>
      <c r="F72" s="474">
        <f>'Allocation = % of Margin'!H69</f>
        <v>0</v>
      </c>
      <c r="G72" s="474">
        <f>'Allocation = % of Margin'!K69</f>
        <v>0</v>
      </c>
      <c r="H72" s="760"/>
      <c r="I72" s="537">
        <v>0</v>
      </c>
      <c r="J72" s="529">
        <f t="shared" si="1"/>
        <v>0</v>
      </c>
      <c r="K72" s="478">
        <f t="shared" si="2"/>
        <v>0</v>
      </c>
      <c r="L72" s="538">
        <v>0</v>
      </c>
      <c r="M72" s="529">
        <f t="shared" si="3"/>
        <v>0</v>
      </c>
      <c r="N72" s="474">
        <f t="shared" si="4"/>
        <v>0</v>
      </c>
      <c r="O72" s="471">
        <f t="shared" si="5"/>
        <v>0</v>
      </c>
      <c r="P72" s="478">
        <f t="shared" si="6"/>
        <v>0</v>
      </c>
      <c r="Q72" s="537">
        <v>0</v>
      </c>
      <c r="R72" s="529">
        <f t="shared" si="7"/>
        <v>0</v>
      </c>
      <c r="S72" s="474">
        <f t="shared" si="8"/>
        <v>0</v>
      </c>
      <c r="T72" s="478">
        <f t="shared" si="9"/>
        <v>0</v>
      </c>
      <c r="U72" s="537">
        <v>0</v>
      </c>
      <c r="V72" s="529">
        <f>'WA Volumes &amp; Revenues'!F70*U72</f>
        <v>0</v>
      </c>
      <c r="W72" s="474">
        <f t="shared" si="10"/>
        <v>0</v>
      </c>
      <c r="X72" s="478">
        <f t="shared" si="11"/>
        <v>0</v>
      </c>
    </row>
    <row r="73" spans="1:24" x14ac:dyDescent="0.2">
      <c r="A73" s="115">
        <f t="shared" si="0"/>
        <v>64</v>
      </c>
      <c r="B73" s="725"/>
      <c r="C73" s="726" t="s">
        <v>6</v>
      </c>
      <c r="D73" s="479">
        <f>'WA Volumes &amp; Revenues'!E71</f>
        <v>0</v>
      </c>
      <c r="E73" s="481">
        <f>'Allocation = % of Margin'!E70</f>
        <v>9.1999999999999998E-2</v>
      </c>
      <c r="F73" s="474">
        <f>'Allocation = % of Margin'!H70</f>
        <v>0</v>
      </c>
      <c r="G73" s="474">
        <f>'Allocation = % of Margin'!K70</f>
        <v>0</v>
      </c>
      <c r="H73" s="760"/>
      <c r="I73" s="537">
        <v>0</v>
      </c>
      <c r="J73" s="529">
        <f t="shared" si="1"/>
        <v>0</v>
      </c>
      <c r="K73" s="478">
        <f t="shared" si="2"/>
        <v>0</v>
      </c>
      <c r="L73" s="538">
        <v>0</v>
      </c>
      <c r="M73" s="529">
        <f t="shared" si="3"/>
        <v>0</v>
      </c>
      <c r="N73" s="474">
        <f t="shared" si="4"/>
        <v>0</v>
      </c>
      <c r="O73" s="471">
        <f t="shared" si="5"/>
        <v>0</v>
      </c>
      <c r="P73" s="478">
        <f t="shared" si="6"/>
        <v>0</v>
      </c>
      <c r="Q73" s="537">
        <v>0</v>
      </c>
      <c r="R73" s="529">
        <f t="shared" si="7"/>
        <v>0</v>
      </c>
      <c r="S73" s="474">
        <f t="shared" si="8"/>
        <v>0</v>
      </c>
      <c r="T73" s="478">
        <f t="shared" si="9"/>
        <v>0</v>
      </c>
      <c r="U73" s="537">
        <v>0</v>
      </c>
      <c r="V73" s="529">
        <f>'WA Volumes &amp; Revenues'!F71*U73</f>
        <v>0</v>
      </c>
      <c r="W73" s="474">
        <f t="shared" si="10"/>
        <v>0</v>
      </c>
      <c r="X73" s="478">
        <f t="shared" si="11"/>
        <v>0</v>
      </c>
    </row>
    <row r="74" spans="1:24" x14ac:dyDescent="0.2">
      <c r="A74" s="115">
        <f t="shared" si="0"/>
        <v>65</v>
      </c>
      <c r="B74" s="725"/>
      <c r="C74" s="726" t="s">
        <v>7</v>
      </c>
      <c r="D74" s="479">
        <f>'WA Volumes &amp; Revenues'!E72</f>
        <v>0</v>
      </c>
      <c r="E74" s="481">
        <f>'Allocation = % of Margin'!E71</f>
        <v>7.3609999999999995E-2</v>
      </c>
      <c r="F74" s="474">
        <f>'Allocation = % of Margin'!H71</f>
        <v>0</v>
      </c>
      <c r="G74" s="474">
        <f>'Allocation = % of Margin'!K71</f>
        <v>0</v>
      </c>
      <c r="H74" s="760"/>
      <c r="I74" s="537">
        <v>0</v>
      </c>
      <c r="J74" s="529">
        <f t="shared" si="1"/>
        <v>0</v>
      </c>
      <c r="K74" s="478">
        <f t="shared" si="2"/>
        <v>0</v>
      </c>
      <c r="L74" s="538">
        <v>0</v>
      </c>
      <c r="M74" s="529">
        <f t="shared" si="3"/>
        <v>0</v>
      </c>
      <c r="N74" s="474">
        <f t="shared" si="4"/>
        <v>0</v>
      </c>
      <c r="O74" s="471">
        <f t="shared" si="5"/>
        <v>0</v>
      </c>
      <c r="P74" s="478">
        <f t="shared" si="6"/>
        <v>0</v>
      </c>
      <c r="Q74" s="537">
        <v>0</v>
      </c>
      <c r="R74" s="529">
        <f t="shared" si="7"/>
        <v>0</v>
      </c>
      <c r="S74" s="474">
        <f t="shared" si="8"/>
        <v>0</v>
      </c>
      <c r="T74" s="478">
        <f t="shared" si="9"/>
        <v>0</v>
      </c>
      <c r="U74" s="537">
        <v>0</v>
      </c>
      <c r="V74" s="529">
        <f>'WA Volumes &amp; Revenues'!F72*U74</f>
        <v>0</v>
      </c>
      <c r="W74" s="474">
        <f t="shared" si="10"/>
        <v>0</v>
      </c>
      <c r="X74" s="478">
        <f t="shared" si="11"/>
        <v>0</v>
      </c>
    </row>
    <row r="75" spans="1:24" x14ac:dyDescent="0.2">
      <c r="A75" s="115">
        <f t="shared" si="0"/>
        <v>66</v>
      </c>
      <c r="B75" s="725"/>
      <c r="C75" s="726" t="s">
        <v>8</v>
      </c>
      <c r="D75" s="479">
        <f>'WA Volumes &amp; Revenues'!E73</f>
        <v>0</v>
      </c>
      <c r="E75" s="481">
        <f>'Allocation = % of Margin'!E72</f>
        <v>4.9079999999999999E-2</v>
      </c>
      <c r="F75" s="474">
        <f>'Allocation = % of Margin'!H72</f>
        <v>0</v>
      </c>
      <c r="G75" s="474">
        <f>'Allocation = % of Margin'!K72</f>
        <v>0</v>
      </c>
      <c r="H75" s="760"/>
      <c r="I75" s="537">
        <v>0</v>
      </c>
      <c r="J75" s="529">
        <f t="shared" si="1"/>
        <v>0</v>
      </c>
      <c r="K75" s="478">
        <f t="shared" si="2"/>
        <v>0</v>
      </c>
      <c r="L75" s="538">
        <v>0</v>
      </c>
      <c r="M75" s="529">
        <f t="shared" si="3"/>
        <v>0</v>
      </c>
      <c r="N75" s="474">
        <f t="shared" si="4"/>
        <v>0</v>
      </c>
      <c r="O75" s="471">
        <f t="shared" si="5"/>
        <v>0</v>
      </c>
      <c r="P75" s="478">
        <f t="shared" si="6"/>
        <v>0</v>
      </c>
      <c r="Q75" s="537">
        <v>0</v>
      </c>
      <c r="R75" s="529">
        <f t="shared" si="7"/>
        <v>0</v>
      </c>
      <c r="S75" s="474">
        <f t="shared" si="8"/>
        <v>0</v>
      </c>
      <c r="T75" s="478">
        <f t="shared" si="9"/>
        <v>0</v>
      </c>
      <c r="U75" s="537">
        <v>0</v>
      </c>
      <c r="V75" s="529">
        <f>'WA Volumes &amp; Revenues'!F73*U75</f>
        <v>0</v>
      </c>
      <c r="W75" s="474">
        <f t="shared" si="10"/>
        <v>0</v>
      </c>
      <c r="X75" s="478">
        <f t="shared" si="11"/>
        <v>0</v>
      </c>
    </row>
    <row r="76" spans="1:24" x14ac:dyDescent="0.2">
      <c r="A76" s="115">
        <f t="shared" si="0"/>
        <v>67</v>
      </c>
      <c r="B76" s="723"/>
      <c r="C76" s="727" t="s">
        <v>9</v>
      </c>
      <c r="D76" s="466">
        <f>'WA Volumes &amp; Revenues'!E74</f>
        <v>0</v>
      </c>
      <c r="E76" s="483">
        <f>'Allocation = % of Margin'!E73</f>
        <v>1.839E-2</v>
      </c>
      <c r="F76" s="467">
        <f>'Allocation = % of Margin'!H73</f>
        <v>0</v>
      </c>
      <c r="G76" s="467">
        <f>'Allocation = % of Margin'!K73</f>
        <v>0</v>
      </c>
      <c r="H76" s="760"/>
      <c r="I76" s="535">
        <v>0</v>
      </c>
      <c r="J76" s="533">
        <f t="shared" si="1"/>
        <v>0</v>
      </c>
      <c r="K76" s="470">
        <f t="shared" si="2"/>
        <v>0</v>
      </c>
      <c r="L76" s="536">
        <v>0</v>
      </c>
      <c r="M76" s="533">
        <f t="shared" si="3"/>
        <v>0</v>
      </c>
      <c r="N76" s="467">
        <f t="shared" si="4"/>
        <v>0</v>
      </c>
      <c r="O76" s="469">
        <f t="shared" si="5"/>
        <v>0</v>
      </c>
      <c r="P76" s="470">
        <f t="shared" si="6"/>
        <v>0</v>
      </c>
      <c r="Q76" s="535">
        <v>0</v>
      </c>
      <c r="R76" s="533">
        <f t="shared" si="7"/>
        <v>0</v>
      </c>
      <c r="S76" s="467">
        <f t="shared" si="8"/>
        <v>0</v>
      </c>
      <c r="T76" s="470">
        <f t="shared" si="9"/>
        <v>0</v>
      </c>
      <c r="U76" s="535">
        <v>0</v>
      </c>
      <c r="V76" s="533">
        <f>'WA Volumes &amp; Revenues'!F74*U76</f>
        <v>0</v>
      </c>
      <c r="W76" s="467">
        <f t="shared" si="10"/>
        <v>0</v>
      </c>
      <c r="X76" s="470">
        <f t="shared" si="11"/>
        <v>0</v>
      </c>
    </row>
    <row r="77" spans="1:24" x14ac:dyDescent="0.2">
      <c r="A77" s="115">
        <f t="shared" si="0"/>
        <v>68</v>
      </c>
      <c r="B77" s="725" t="str">
        <f>'WA Volumes &amp; Revenues'!B75</f>
        <v>42I Inter Transpt</v>
      </c>
      <c r="C77" s="726" t="s">
        <v>4</v>
      </c>
      <c r="D77" s="479">
        <f>'WA Volumes &amp; Revenues'!E75</f>
        <v>844078</v>
      </c>
      <c r="E77" s="481">
        <f>'Allocation = % of Margin'!E74</f>
        <v>0.13402999999999998</v>
      </c>
      <c r="F77" s="474">
        <f>'Allocation = % of Margin'!H74</f>
        <v>113132</v>
      </c>
      <c r="G77" s="474">
        <f>'Allocation = % of Margin'!K74</f>
        <v>825480</v>
      </c>
      <c r="H77" s="760"/>
      <c r="I77" s="537">
        <v>0</v>
      </c>
      <c r="J77" s="529">
        <f t="shared" si="1"/>
        <v>0</v>
      </c>
      <c r="K77" s="478">
        <f t="shared" si="2"/>
        <v>0</v>
      </c>
      <c r="L77" s="538">
        <v>0</v>
      </c>
      <c r="M77" s="529">
        <f t="shared" si="3"/>
        <v>0</v>
      </c>
      <c r="N77" s="474">
        <f t="shared" si="4"/>
        <v>0</v>
      </c>
      <c r="O77" s="471">
        <f t="shared" si="5"/>
        <v>0</v>
      </c>
      <c r="P77" s="478">
        <f t="shared" si="6"/>
        <v>0</v>
      </c>
      <c r="Q77" s="537">
        <v>0</v>
      </c>
      <c r="R77" s="529">
        <f t="shared" si="7"/>
        <v>0</v>
      </c>
      <c r="S77" s="474">
        <f t="shared" si="8"/>
        <v>0</v>
      </c>
      <c r="T77" s="478">
        <f t="shared" si="9"/>
        <v>0</v>
      </c>
      <c r="U77" s="537">
        <v>0</v>
      </c>
      <c r="V77" s="529">
        <f>'WA Volumes &amp; Revenues'!F75*U77</f>
        <v>0</v>
      </c>
      <c r="W77" s="474">
        <f t="shared" si="10"/>
        <v>0</v>
      </c>
      <c r="X77" s="478">
        <f t="shared" si="11"/>
        <v>0</v>
      </c>
    </row>
    <row r="78" spans="1:24" x14ac:dyDescent="0.2">
      <c r="A78" s="115">
        <f t="shared" si="0"/>
        <v>69</v>
      </c>
      <c r="B78" s="725"/>
      <c r="C78" s="726" t="s">
        <v>5</v>
      </c>
      <c r="D78" s="479">
        <f>'WA Volumes &amp; Revenues'!E76</f>
        <v>1445175</v>
      </c>
      <c r="E78" s="481">
        <f>'Allocation = % of Margin'!E75</f>
        <v>0.11997999999999999</v>
      </c>
      <c r="F78" s="474">
        <f>'Allocation = % of Margin'!H75</f>
        <v>173392</v>
      </c>
      <c r="G78" s="474">
        <f>'Allocation = % of Margin'!K75</f>
        <v>0</v>
      </c>
      <c r="H78" s="760"/>
      <c r="I78" s="537">
        <v>0</v>
      </c>
      <c r="J78" s="529">
        <f t="shared" si="1"/>
        <v>0</v>
      </c>
      <c r="K78" s="478">
        <f t="shared" si="2"/>
        <v>0</v>
      </c>
      <c r="L78" s="538">
        <v>0</v>
      </c>
      <c r="M78" s="529">
        <f t="shared" si="3"/>
        <v>0</v>
      </c>
      <c r="N78" s="474">
        <f t="shared" si="4"/>
        <v>0</v>
      </c>
      <c r="O78" s="471">
        <f t="shared" si="5"/>
        <v>0</v>
      </c>
      <c r="P78" s="478">
        <f t="shared" si="6"/>
        <v>0</v>
      </c>
      <c r="Q78" s="537">
        <v>0</v>
      </c>
      <c r="R78" s="529">
        <f t="shared" si="7"/>
        <v>0</v>
      </c>
      <c r="S78" s="474">
        <f t="shared" si="8"/>
        <v>0</v>
      </c>
      <c r="T78" s="478">
        <f t="shared" si="9"/>
        <v>0</v>
      </c>
      <c r="U78" s="537">
        <v>0</v>
      </c>
      <c r="V78" s="529">
        <f>'WA Volumes &amp; Revenues'!F76*U78</f>
        <v>0</v>
      </c>
      <c r="W78" s="474">
        <f t="shared" si="10"/>
        <v>0</v>
      </c>
      <c r="X78" s="478">
        <f t="shared" si="11"/>
        <v>0</v>
      </c>
    </row>
    <row r="79" spans="1:24" x14ac:dyDescent="0.2">
      <c r="A79" s="115">
        <f t="shared" si="0"/>
        <v>70</v>
      </c>
      <c r="B79" s="725"/>
      <c r="C79" s="726" t="s">
        <v>6</v>
      </c>
      <c r="D79" s="479">
        <f>'WA Volumes &amp; Revenues'!E77</f>
        <v>1034978</v>
      </c>
      <c r="E79" s="481">
        <f>'Allocation = % of Margin'!E76</f>
        <v>9.1999999999999998E-2</v>
      </c>
      <c r="F79" s="474">
        <f>'Allocation = % of Margin'!H76</f>
        <v>95218</v>
      </c>
      <c r="G79" s="474">
        <f>'Allocation = % of Margin'!K76</f>
        <v>0</v>
      </c>
      <c r="H79" s="760"/>
      <c r="I79" s="537">
        <v>0</v>
      </c>
      <c r="J79" s="529">
        <f t="shared" si="1"/>
        <v>0</v>
      </c>
      <c r="K79" s="478">
        <f t="shared" si="2"/>
        <v>0</v>
      </c>
      <c r="L79" s="538">
        <v>0</v>
      </c>
      <c r="M79" s="529">
        <f t="shared" si="3"/>
        <v>0</v>
      </c>
      <c r="N79" s="474">
        <f t="shared" si="4"/>
        <v>0</v>
      </c>
      <c r="O79" s="471">
        <f t="shared" si="5"/>
        <v>0</v>
      </c>
      <c r="P79" s="478">
        <f t="shared" si="6"/>
        <v>0</v>
      </c>
      <c r="Q79" s="537">
        <v>0</v>
      </c>
      <c r="R79" s="529">
        <f t="shared" si="7"/>
        <v>0</v>
      </c>
      <c r="S79" s="474">
        <f t="shared" si="8"/>
        <v>0</v>
      </c>
      <c r="T79" s="478">
        <f t="shared" si="9"/>
        <v>0</v>
      </c>
      <c r="U79" s="537">
        <v>0</v>
      </c>
      <c r="V79" s="529">
        <f>'WA Volumes &amp; Revenues'!F77*U79</f>
        <v>0</v>
      </c>
      <c r="W79" s="474">
        <f t="shared" si="10"/>
        <v>0</v>
      </c>
      <c r="X79" s="478">
        <f t="shared" si="11"/>
        <v>0</v>
      </c>
    </row>
    <row r="80" spans="1:24" x14ac:dyDescent="0.2">
      <c r="A80" s="115">
        <f t="shared" si="0"/>
        <v>71</v>
      </c>
      <c r="B80" s="725"/>
      <c r="C80" s="726" t="s">
        <v>7</v>
      </c>
      <c r="D80" s="479">
        <f>'WA Volumes &amp; Revenues'!E78</f>
        <v>3359916</v>
      </c>
      <c r="E80" s="481">
        <f>'Allocation = % of Margin'!E77</f>
        <v>7.3609999999999995E-2</v>
      </c>
      <c r="F80" s="474">
        <f>'Allocation = % of Margin'!H77</f>
        <v>247323</v>
      </c>
      <c r="G80" s="474">
        <f>'Allocation = % of Margin'!K77</f>
        <v>0</v>
      </c>
      <c r="H80" s="760"/>
      <c r="I80" s="537">
        <v>0</v>
      </c>
      <c r="J80" s="529">
        <f t="shared" si="1"/>
        <v>0</v>
      </c>
      <c r="K80" s="478">
        <f t="shared" si="2"/>
        <v>0</v>
      </c>
      <c r="L80" s="538">
        <v>0</v>
      </c>
      <c r="M80" s="529">
        <f t="shared" si="3"/>
        <v>0</v>
      </c>
      <c r="N80" s="474">
        <f t="shared" si="4"/>
        <v>0</v>
      </c>
      <c r="O80" s="471">
        <f t="shared" si="5"/>
        <v>0</v>
      </c>
      <c r="P80" s="478">
        <f t="shared" si="6"/>
        <v>0</v>
      </c>
      <c r="Q80" s="537">
        <v>0</v>
      </c>
      <c r="R80" s="529">
        <f t="shared" si="7"/>
        <v>0</v>
      </c>
      <c r="S80" s="474">
        <f t="shared" si="8"/>
        <v>0</v>
      </c>
      <c r="T80" s="478">
        <f t="shared" si="9"/>
        <v>0</v>
      </c>
      <c r="U80" s="537">
        <v>0</v>
      </c>
      <c r="V80" s="529">
        <f>'WA Volumes &amp; Revenues'!F78*U80</f>
        <v>0</v>
      </c>
      <c r="W80" s="474">
        <f t="shared" si="10"/>
        <v>0</v>
      </c>
      <c r="X80" s="478">
        <f t="shared" si="11"/>
        <v>0</v>
      </c>
    </row>
    <row r="81" spans="1:24" x14ac:dyDescent="0.2">
      <c r="A81" s="115">
        <f t="shared" si="0"/>
        <v>72</v>
      </c>
      <c r="B81" s="725"/>
      <c r="C81" s="726" t="s">
        <v>8</v>
      </c>
      <c r="D81" s="479">
        <f>'WA Volumes &amp; Revenues'!E79</f>
        <v>1349120</v>
      </c>
      <c r="E81" s="481">
        <f>'Allocation = % of Margin'!E78</f>
        <v>4.9079999999999999E-2</v>
      </c>
      <c r="F81" s="474">
        <f>'Allocation = % of Margin'!H78</f>
        <v>66215</v>
      </c>
      <c r="G81" s="474">
        <f>'Allocation = % of Margin'!K78</f>
        <v>0</v>
      </c>
      <c r="H81" s="760"/>
      <c r="I81" s="537">
        <v>0</v>
      </c>
      <c r="J81" s="529">
        <f>+$D81*I81</f>
        <v>0</v>
      </c>
      <c r="K81" s="478">
        <f t="shared" si="2"/>
        <v>0</v>
      </c>
      <c r="L81" s="538">
        <v>0</v>
      </c>
      <c r="M81" s="529">
        <f t="shared" si="3"/>
        <v>0</v>
      </c>
      <c r="N81" s="474">
        <f t="shared" si="4"/>
        <v>0</v>
      </c>
      <c r="O81" s="471">
        <f t="shared" si="5"/>
        <v>0</v>
      </c>
      <c r="P81" s="478">
        <f t="shared" si="6"/>
        <v>0</v>
      </c>
      <c r="Q81" s="537">
        <v>0</v>
      </c>
      <c r="R81" s="529">
        <f t="shared" si="7"/>
        <v>0</v>
      </c>
      <c r="S81" s="474">
        <f t="shared" si="8"/>
        <v>0</v>
      </c>
      <c r="T81" s="478">
        <f t="shared" si="9"/>
        <v>0</v>
      </c>
      <c r="U81" s="537">
        <v>0</v>
      </c>
      <c r="V81" s="529">
        <f>'WA Volumes &amp; Revenues'!F79*U81</f>
        <v>0</v>
      </c>
      <c r="W81" s="474">
        <f t="shared" si="10"/>
        <v>0</v>
      </c>
      <c r="X81" s="478">
        <f t="shared" si="11"/>
        <v>0</v>
      </c>
    </row>
    <row r="82" spans="1:24" x14ac:dyDescent="0.2">
      <c r="A82" s="115">
        <f t="shared" si="0"/>
        <v>73</v>
      </c>
      <c r="B82" s="723"/>
      <c r="C82" s="727" t="s">
        <v>9</v>
      </c>
      <c r="D82" s="466">
        <f>'WA Volumes &amp; Revenues'!E80</f>
        <v>0</v>
      </c>
      <c r="E82" s="483">
        <f>'Allocation = % of Margin'!E79</f>
        <v>1.839E-2</v>
      </c>
      <c r="F82" s="467">
        <f>'Allocation = % of Margin'!H79</f>
        <v>0</v>
      </c>
      <c r="G82" s="467">
        <f>'Allocation = % of Margin'!K79</f>
        <v>0</v>
      </c>
      <c r="H82" s="760"/>
      <c r="I82" s="535">
        <v>0</v>
      </c>
      <c r="J82" s="533">
        <f t="shared" ref="J82:J85" si="12">+$D82*I82</f>
        <v>0</v>
      </c>
      <c r="K82" s="470">
        <f t="shared" ref="K82:K85" si="13">+I82*$K$87</f>
        <v>0</v>
      </c>
      <c r="L82" s="536">
        <v>0</v>
      </c>
      <c r="M82" s="533">
        <f t="shared" ref="M82:M85" si="14">+$D82*L82</f>
        <v>0</v>
      </c>
      <c r="N82" s="467">
        <f t="shared" ref="N82:N85" si="15">M82*O82</f>
        <v>0</v>
      </c>
      <c r="O82" s="469">
        <f t="shared" ref="O82:O85" si="16">+$O$87*L82</f>
        <v>0</v>
      </c>
      <c r="P82" s="470">
        <f t="shared" ref="P82:P85" si="17">O82</f>
        <v>0</v>
      </c>
      <c r="Q82" s="535">
        <v>0</v>
      </c>
      <c r="R82" s="533">
        <f t="shared" ref="R82:R85" si="18">+$D82*Q82</f>
        <v>0</v>
      </c>
      <c r="S82" s="467">
        <f t="shared" ref="S82:S85" si="19">R82*T82</f>
        <v>0</v>
      </c>
      <c r="T82" s="470">
        <f t="shared" ref="T82:T85" si="20">+$T$87*Q82</f>
        <v>0</v>
      </c>
      <c r="U82" s="535">
        <v>0</v>
      </c>
      <c r="V82" s="533">
        <f>'WA Volumes &amp; Revenues'!F80*U82</f>
        <v>0</v>
      </c>
      <c r="W82" s="467">
        <f t="shared" ref="W82:W85" si="21">V82*X82</f>
        <v>0</v>
      </c>
      <c r="X82" s="470">
        <f t="shared" ref="X82:X85" si="22">+$X$86*U82</f>
        <v>0</v>
      </c>
    </row>
    <row r="83" spans="1:24" x14ac:dyDescent="0.2">
      <c r="A83" s="115">
        <f t="shared" si="0"/>
        <v>74</v>
      </c>
      <c r="B83" s="723" t="str">
        <f>'WA Volumes &amp; Revenues'!B81</f>
        <v>43 Firm Transpt</v>
      </c>
      <c r="C83" s="727" t="s">
        <v>283</v>
      </c>
      <c r="D83" s="466">
        <f>'WA Volumes &amp; Revenues'!E81</f>
        <v>0</v>
      </c>
      <c r="E83" s="485">
        <f>'Allocation = % of Margin'!E80</f>
        <v>4.9099999999999994E-3</v>
      </c>
      <c r="F83" s="467">
        <f>'Allocation = % of Margin'!H80</f>
        <v>0</v>
      </c>
      <c r="G83" s="467">
        <f>'Allocation = % of Margin'!K80</f>
        <v>0</v>
      </c>
      <c r="H83" s="760"/>
      <c r="I83" s="535">
        <v>0</v>
      </c>
      <c r="J83" s="533">
        <f t="shared" si="12"/>
        <v>0</v>
      </c>
      <c r="K83" s="470">
        <f t="shared" si="13"/>
        <v>0</v>
      </c>
      <c r="L83" s="536">
        <v>0</v>
      </c>
      <c r="M83" s="533">
        <f t="shared" si="14"/>
        <v>0</v>
      </c>
      <c r="N83" s="467">
        <f t="shared" si="15"/>
        <v>0</v>
      </c>
      <c r="O83" s="469">
        <f t="shared" si="16"/>
        <v>0</v>
      </c>
      <c r="P83" s="470">
        <f t="shared" si="17"/>
        <v>0</v>
      </c>
      <c r="Q83" s="535">
        <v>0</v>
      </c>
      <c r="R83" s="533">
        <f t="shared" si="18"/>
        <v>0</v>
      </c>
      <c r="S83" s="467">
        <f t="shared" si="19"/>
        <v>0</v>
      </c>
      <c r="T83" s="470">
        <f t="shared" si="20"/>
        <v>0</v>
      </c>
      <c r="U83" s="535">
        <v>0</v>
      </c>
      <c r="V83" s="533">
        <f>'WA Volumes &amp; Revenues'!F81*U83</f>
        <v>0</v>
      </c>
      <c r="W83" s="467">
        <f t="shared" si="21"/>
        <v>0</v>
      </c>
      <c r="X83" s="470">
        <f t="shared" si="22"/>
        <v>0</v>
      </c>
    </row>
    <row r="84" spans="1:24" x14ac:dyDescent="0.2">
      <c r="A84" s="115">
        <f t="shared" si="0"/>
        <v>75</v>
      </c>
      <c r="B84" s="724" t="str">
        <f>'WA Volumes &amp; Revenues'!B82</f>
        <v>43 Interr Transpt</v>
      </c>
      <c r="C84" s="727" t="s">
        <v>283</v>
      </c>
      <c r="D84" s="466">
        <f>'WA Volumes &amp; Revenues'!E82</f>
        <v>0</v>
      </c>
      <c r="E84" s="485">
        <f>'Allocation = % of Margin'!E81</f>
        <v>4.9099999999999994E-3</v>
      </c>
      <c r="F84" s="467">
        <f>'Allocation = % of Margin'!H81</f>
        <v>0</v>
      </c>
      <c r="G84" s="756">
        <f>'Allocation = % of Margin'!K81</f>
        <v>0</v>
      </c>
      <c r="H84" s="762"/>
      <c r="I84" s="532">
        <v>0</v>
      </c>
      <c r="J84" s="364">
        <f t="shared" si="12"/>
        <v>0</v>
      </c>
      <c r="K84" s="470">
        <f t="shared" si="13"/>
        <v>0</v>
      </c>
      <c r="L84" s="536">
        <v>0</v>
      </c>
      <c r="M84" s="364">
        <f t="shared" si="14"/>
        <v>0</v>
      </c>
      <c r="N84" s="467">
        <f t="shared" si="15"/>
        <v>0</v>
      </c>
      <c r="O84" s="469">
        <f t="shared" si="16"/>
        <v>0</v>
      </c>
      <c r="P84" s="470">
        <f t="shared" si="17"/>
        <v>0</v>
      </c>
      <c r="Q84" s="535">
        <v>0</v>
      </c>
      <c r="R84" s="533">
        <f t="shared" si="18"/>
        <v>0</v>
      </c>
      <c r="S84" s="467">
        <f t="shared" si="19"/>
        <v>0</v>
      </c>
      <c r="T84" s="470">
        <f t="shared" si="20"/>
        <v>0</v>
      </c>
      <c r="U84" s="535">
        <v>0</v>
      </c>
      <c r="V84" s="539">
        <f>'WA Volumes &amp; Revenues'!F82*U84</f>
        <v>0</v>
      </c>
      <c r="W84" s="467">
        <f t="shared" si="21"/>
        <v>0</v>
      </c>
      <c r="X84" s="470">
        <f t="shared" si="22"/>
        <v>0</v>
      </c>
    </row>
    <row r="85" spans="1:24" x14ac:dyDescent="0.2">
      <c r="A85" s="115">
        <f t="shared" si="0"/>
        <v>76</v>
      </c>
      <c r="B85" s="724" t="str">
        <f>'WA Volumes &amp; Revenues'!B83</f>
        <v>Special Contract</v>
      </c>
      <c r="C85" s="727" t="s">
        <v>283</v>
      </c>
      <c r="D85" s="466">
        <f>'WA Volumes &amp; Revenues'!E83</f>
        <v>2895114</v>
      </c>
      <c r="E85" s="485">
        <f>'Allocation = % of Margin'!E82</f>
        <v>0</v>
      </c>
      <c r="F85" s="467">
        <f>'Allocation = % of Margin'!H82</f>
        <v>0</v>
      </c>
      <c r="G85" s="467">
        <f>'Allocation = % of Margin'!K82</f>
        <v>242994.60207180592</v>
      </c>
      <c r="H85" s="763"/>
      <c r="I85" s="535">
        <v>0</v>
      </c>
      <c r="J85" s="364">
        <f t="shared" si="12"/>
        <v>0</v>
      </c>
      <c r="K85" s="470">
        <f t="shared" si="13"/>
        <v>0</v>
      </c>
      <c r="L85" s="536">
        <v>0</v>
      </c>
      <c r="M85" s="364">
        <f t="shared" si="14"/>
        <v>0</v>
      </c>
      <c r="N85" s="467">
        <f t="shared" si="15"/>
        <v>0</v>
      </c>
      <c r="O85" s="469">
        <f t="shared" si="16"/>
        <v>0</v>
      </c>
      <c r="P85" s="470">
        <f t="shared" si="17"/>
        <v>0</v>
      </c>
      <c r="Q85" s="535">
        <v>0</v>
      </c>
      <c r="R85" s="533">
        <f t="shared" si="18"/>
        <v>0</v>
      </c>
      <c r="S85" s="467">
        <f t="shared" si="19"/>
        <v>0</v>
      </c>
      <c r="T85" s="470">
        <f t="shared" si="20"/>
        <v>0</v>
      </c>
      <c r="U85" s="535">
        <v>0</v>
      </c>
      <c r="V85" s="364">
        <f>'WA Volumes &amp; Revenues'!F83*U85</f>
        <v>0</v>
      </c>
      <c r="W85" s="467">
        <f t="shared" si="21"/>
        <v>0</v>
      </c>
      <c r="X85" s="470">
        <f t="shared" si="22"/>
        <v>0</v>
      </c>
    </row>
    <row r="86" spans="1:24" s="713" customFormat="1" x14ac:dyDescent="0.2">
      <c r="A86" s="115">
        <f t="shared" si="0"/>
        <v>77</v>
      </c>
      <c r="B86" s="707"/>
      <c r="C86" s="708"/>
      <c r="D86" s="707"/>
      <c r="E86" s="709"/>
      <c r="F86" s="709"/>
      <c r="G86" s="709"/>
      <c r="H86" s="710"/>
      <c r="I86" s="711"/>
      <c r="J86" s="712"/>
      <c r="L86" s="711"/>
      <c r="M86" s="712"/>
      <c r="O86" s="714"/>
      <c r="Q86" s="711"/>
      <c r="R86" s="712"/>
      <c r="T86" s="714"/>
      <c r="U86" s="711"/>
      <c r="V86" s="712"/>
      <c r="X86" s="714"/>
    </row>
    <row r="87" spans="1:24" x14ac:dyDescent="0.2">
      <c r="A87" s="115">
        <f t="shared" si="0"/>
        <v>78</v>
      </c>
      <c r="B87" s="707" t="s">
        <v>181</v>
      </c>
      <c r="D87" s="753">
        <f>SUM(D17:D85)</f>
        <v>103032055.6009268</v>
      </c>
      <c r="E87" s="272"/>
      <c r="F87" s="611">
        <f t="shared" ref="F87:G87" si="23">SUM(F17:F85)</f>
        <v>37287358</v>
      </c>
      <c r="G87" s="611">
        <f t="shared" si="23"/>
        <v>49604903.243273698</v>
      </c>
      <c r="H87" s="504"/>
      <c r="I87" s="538"/>
      <c r="J87" s="753">
        <f>SUM(J17:J85)</f>
        <v>82410548.600926802</v>
      </c>
      <c r="K87" s="1014">
        <f>ROUND(I13/J87,5)</f>
        <v>0</v>
      </c>
      <c r="L87" s="538"/>
      <c r="M87" s="753">
        <f t="shared" ref="M87" si="24">SUM(M17:M85)</f>
        <v>82852135.600926802</v>
      </c>
      <c r="N87" s="671">
        <f>L13-(N17+N20+N22)</f>
        <v>0</v>
      </c>
      <c r="O87" s="714">
        <f>ROUND(L13/M87,5)</f>
        <v>0</v>
      </c>
      <c r="P87" s="754">
        <f>N87/G87</f>
        <v>0</v>
      </c>
      <c r="Q87" s="538"/>
      <c r="R87" s="753">
        <f t="shared" ref="R87" si="25">SUM(R17:R85)</f>
        <v>82852135.600926802</v>
      </c>
      <c r="S87" s="474">
        <f>Q13-(S17+S20+S22)</f>
        <v>0</v>
      </c>
      <c r="T87" s="714">
        <f>ROUND(Q13/R87,5)</f>
        <v>0</v>
      </c>
      <c r="U87" s="538"/>
      <c r="V87" s="753">
        <f t="shared" ref="V87" si="26">SUM(V17:V85)</f>
        <v>84276831.300000012</v>
      </c>
      <c r="W87" s="671">
        <f>U13-(W17+W20+W22)</f>
        <v>0</v>
      </c>
      <c r="X87" s="714">
        <f>ROUND(U13/V87,5)</f>
        <v>0</v>
      </c>
    </row>
    <row r="88" spans="1:24" x14ac:dyDescent="0.2">
      <c r="A88" s="115">
        <f t="shared" si="0"/>
        <v>79</v>
      </c>
      <c r="D88" s="540"/>
      <c r="E88" s="540"/>
      <c r="F88" s="540"/>
      <c r="G88" s="540"/>
      <c r="I88" s="538"/>
      <c r="L88" s="538"/>
      <c r="Q88" s="538"/>
      <c r="U88" s="538"/>
    </row>
    <row r="89" spans="1:24" x14ac:dyDescent="0.2">
      <c r="A89" s="115">
        <f t="shared" ref="A89:A92" si="27">+A88+1</f>
        <v>80</v>
      </c>
      <c r="B89" s="168" t="s">
        <v>79</v>
      </c>
      <c r="C89" s="56"/>
      <c r="D89" s="429"/>
      <c r="E89" s="56"/>
      <c r="F89" s="56"/>
      <c r="G89" s="56"/>
      <c r="H89" s="429"/>
      <c r="I89" s="56"/>
      <c r="J89" s="429"/>
      <c r="K89" s="56"/>
      <c r="L89" s="56"/>
      <c r="M89" s="140"/>
      <c r="Q89" s="506"/>
      <c r="U89" s="506"/>
    </row>
    <row r="90" spans="1:24" x14ac:dyDescent="0.2">
      <c r="A90" s="115">
        <f t="shared" si="27"/>
        <v>81</v>
      </c>
      <c r="B90" s="764" t="s">
        <v>80</v>
      </c>
      <c r="C90" s="765"/>
      <c r="D90" s="765"/>
      <c r="E90" s="765"/>
      <c r="F90" s="765"/>
      <c r="G90" s="765"/>
      <c r="H90" s="765"/>
      <c r="I90" s="765"/>
      <c r="J90" s="765"/>
      <c r="K90" s="765"/>
      <c r="L90" s="765"/>
      <c r="M90" s="766"/>
      <c r="N90" s="766"/>
      <c r="O90" s="766"/>
      <c r="P90" s="766"/>
      <c r="Q90" s="766"/>
      <c r="R90" s="766"/>
      <c r="S90" s="766"/>
      <c r="T90" s="766"/>
      <c r="U90" s="766"/>
      <c r="V90" s="766"/>
      <c r="W90" s="766"/>
      <c r="X90" s="767"/>
    </row>
    <row r="91" spans="1:24" x14ac:dyDescent="0.2">
      <c r="A91" s="115">
        <f t="shared" si="27"/>
        <v>82</v>
      </c>
      <c r="B91" s="168" t="s">
        <v>95</v>
      </c>
      <c r="C91" s="56"/>
      <c r="D91" s="429"/>
      <c r="E91" s="56"/>
      <c r="F91" s="56"/>
      <c r="G91" s="56"/>
      <c r="H91" s="429"/>
      <c r="I91" s="56"/>
      <c r="J91" s="429"/>
      <c r="K91" s="56"/>
      <c r="L91" s="56"/>
      <c r="M91" s="140"/>
      <c r="Q91" s="506"/>
      <c r="U91" s="506"/>
    </row>
    <row r="92" spans="1:24" x14ac:dyDescent="0.2">
      <c r="A92" s="115">
        <f t="shared" si="27"/>
        <v>83</v>
      </c>
      <c r="B92" s="764" t="s">
        <v>96</v>
      </c>
      <c r="C92" s="765"/>
      <c r="D92" s="765"/>
      <c r="E92" s="765"/>
      <c r="F92" s="765"/>
      <c r="G92" s="765"/>
      <c r="H92" s="765"/>
      <c r="I92" s="765"/>
      <c r="J92" s="765"/>
      <c r="K92" s="765"/>
      <c r="L92" s="765"/>
      <c r="M92" s="766"/>
      <c r="N92" s="766"/>
      <c r="O92" s="766"/>
      <c r="P92" s="766"/>
      <c r="Q92" s="766"/>
      <c r="R92" s="766"/>
      <c r="S92" s="766"/>
      <c r="T92" s="766"/>
      <c r="U92" s="766"/>
      <c r="V92" s="766"/>
      <c r="W92" s="766"/>
      <c r="X92" s="767"/>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AR105"/>
  <sheetViews>
    <sheetView zoomScale="95" zoomScaleNormal="95" workbookViewId="0">
      <pane xSplit="3" ySplit="13" topLeftCell="D14" activePane="bottomRight" state="frozen"/>
      <selection pane="topRight" activeCell="D1" sqref="D1"/>
      <selection pane="bottomLeft" activeCell="A15" sqref="A15"/>
      <selection pane="bottomRight" activeCell="G4" sqref="G4"/>
    </sheetView>
  </sheetViews>
  <sheetFormatPr defaultColWidth="9.33203125" defaultRowHeight="12.75" x14ac:dyDescent="0.2"/>
  <cols>
    <col min="1" max="1" width="5.6640625" style="55" customWidth="1"/>
    <col min="2" max="2" width="17.83203125" style="56" customWidth="1"/>
    <col min="3" max="3" width="8.33203125" style="56" customWidth="1"/>
    <col min="4" max="4" width="17.83203125" style="429" customWidth="1"/>
    <col min="5" max="6" width="12.6640625" style="429" bestFit="1" customWidth="1"/>
    <col min="7" max="7" width="12.5" style="429" customWidth="1"/>
    <col min="8" max="8" width="17.83203125" style="429" bestFit="1" customWidth="1"/>
    <col min="9" max="9" width="15" style="429" customWidth="1"/>
    <col min="10" max="10" width="11.33203125" style="429" customWidth="1"/>
    <col min="11" max="11" width="19.83203125" style="429" bestFit="1" customWidth="1"/>
    <col min="12" max="12" width="27.1640625" style="429" customWidth="1"/>
    <col min="13" max="13" width="16.33203125" style="430" customWidth="1"/>
    <col min="14" max="14" width="15.6640625" style="56" customWidth="1"/>
    <col min="15" max="15" width="15.6640625" style="140" customWidth="1"/>
    <col min="16" max="16" width="16.33203125" style="430" customWidth="1"/>
    <col min="17" max="17" width="15.6640625" style="56" customWidth="1"/>
    <col min="18" max="18" width="15.6640625" style="140" customWidth="1"/>
    <col min="19" max="19" width="16.33203125" style="430" customWidth="1"/>
    <col min="20" max="20" width="15.6640625" style="56" customWidth="1"/>
    <col min="21" max="21" width="15.6640625" style="140" customWidth="1"/>
    <col min="22" max="22" width="16.33203125" style="430" customWidth="1"/>
    <col min="23" max="23" width="15.6640625" style="56" customWidth="1"/>
    <col min="24" max="24" width="15.6640625" style="140" customWidth="1"/>
    <col min="25" max="25" width="16.5" style="154" customWidth="1"/>
    <col min="26" max="26" width="15.6640625" style="55" bestFit="1" customWidth="1"/>
    <col min="27" max="27" width="23.1640625" style="55" bestFit="1" customWidth="1"/>
    <col min="28" max="28" width="14.33203125" style="55" bestFit="1" customWidth="1"/>
    <col min="29" max="16384" width="9.33203125" style="55"/>
  </cols>
  <sheetData>
    <row r="1" spans="1:44" ht="14.1" customHeight="1" x14ac:dyDescent="0.2">
      <c r="A1" s="139" t="str">
        <f>+'WA Volumes &amp; Revenues'!A1</f>
        <v>NW Natural</v>
      </c>
      <c r="F1" s="1548"/>
      <c r="G1" s="1548"/>
      <c r="H1" s="1548"/>
    </row>
    <row r="2" spans="1:44" ht="14.1" customHeight="1" x14ac:dyDescent="0.2">
      <c r="A2" s="139" t="str">
        <f>+'WA Volumes &amp; Revenues'!A2</f>
        <v>Rates &amp; Regulatory Affairs</v>
      </c>
      <c r="F2" s="1550"/>
      <c r="G2" s="1550"/>
      <c r="H2" s="1550"/>
      <c r="K2" s="431"/>
    </row>
    <row r="3" spans="1:44" ht="14.1" customHeight="1" x14ac:dyDescent="0.2">
      <c r="A3" s="139" t="str">
        <f>+'WA Volumes &amp; Revenues'!A3</f>
        <v>Test Year Ending September 30, 2020</v>
      </c>
      <c r="M3" s="429"/>
      <c r="P3" s="429"/>
      <c r="S3" s="429"/>
      <c r="V3" s="429"/>
    </row>
    <row r="4" spans="1:44" ht="14.1" customHeight="1" x14ac:dyDescent="0.2">
      <c r="A4" s="435" t="s">
        <v>195</v>
      </c>
      <c r="D4" s="56"/>
      <c r="E4" s="56"/>
      <c r="F4" s="56"/>
      <c r="G4" s="56"/>
      <c r="H4" s="56"/>
      <c r="I4" s="1548"/>
      <c r="J4" s="1548"/>
      <c r="K4" s="1548"/>
      <c r="L4" s="56"/>
      <c r="M4" s="56"/>
      <c r="N4" s="130"/>
      <c r="P4" s="56"/>
      <c r="S4" s="56"/>
      <c r="V4" s="56"/>
    </row>
    <row r="5" spans="1:44" ht="14.1" customHeight="1" thickBot="1" x14ac:dyDescent="0.25">
      <c r="D5" s="56"/>
      <c r="E5" s="56"/>
      <c r="F5" s="56"/>
      <c r="G5" s="56"/>
      <c r="H5" s="56"/>
      <c r="I5" s="1550"/>
      <c r="J5" s="1550"/>
      <c r="K5" s="1550"/>
      <c r="L5" s="56"/>
      <c r="M5" s="56"/>
      <c r="P5" s="56"/>
      <c r="S5" s="56"/>
      <c r="V5" s="56"/>
    </row>
    <row r="6" spans="1:44" ht="14.1" customHeight="1" thickBot="1" x14ac:dyDescent="0.25">
      <c r="D6" s="56"/>
      <c r="E6" s="56"/>
      <c r="G6" s="56"/>
      <c r="H6" s="56"/>
      <c r="I6" s="56"/>
      <c r="J6" s="56"/>
      <c r="K6" s="56"/>
      <c r="L6" s="56"/>
      <c r="M6" s="1563" t="s">
        <v>422</v>
      </c>
      <c r="N6" s="1564"/>
      <c r="O6" s="1564"/>
      <c r="P6" s="1564"/>
      <c r="Q6" s="1564"/>
      <c r="R6" s="1564"/>
      <c r="S6" s="1564"/>
      <c r="T6" s="1564"/>
      <c r="U6" s="1565"/>
      <c r="V6" s="1573" t="s">
        <v>417</v>
      </c>
      <c r="W6" s="1574"/>
      <c r="X6" s="1575"/>
    </row>
    <row r="7" spans="1:44" s="56" customFormat="1" ht="15" customHeight="1" thickBot="1" x14ac:dyDescent="0.25">
      <c r="A7" s="86">
        <v>1</v>
      </c>
      <c r="D7" s="429"/>
      <c r="E7" s="353"/>
      <c r="F7" s="441">
        <f>'Avg Bill by RS'!AS9</f>
        <v>44866</v>
      </c>
      <c r="G7" s="441">
        <f>F7</f>
        <v>44866</v>
      </c>
      <c r="H7" s="61"/>
      <c r="I7" s="429"/>
      <c r="J7" s="61"/>
      <c r="K7" s="61"/>
      <c r="M7" s="1566" t="s">
        <v>401</v>
      </c>
      <c r="N7" s="1567"/>
      <c r="O7" s="1568"/>
      <c r="P7" s="1566" t="s">
        <v>407</v>
      </c>
      <c r="Q7" s="1567"/>
      <c r="R7" s="1568"/>
      <c r="S7" s="1566" t="s">
        <v>479</v>
      </c>
      <c r="T7" s="1567"/>
      <c r="U7" s="1568"/>
      <c r="V7" s="1569" t="s">
        <v>482</v>
      </c>
      <c r="W7" s="1570"/>
      <c r="X7" s="1571"/>
      <c r="Y7" s="899"/>
      <c r="Z7" s="55"/>
    </row>
    <row r="8" spans="1:44" s="56" customFormat="1" ht="15" customHeight="1" thickBot="1" x14ac:dyDescent="0.25">
      <c r="A8" s="86">
        <f t="shared" ref="A8:A82" si="0">+A7+1</f>
        <v>2</v>
      </c>
      <c r="D8" s="442" t="s">
        <v>557</v>
      </c>
      <c r="E8" s="61" t="s">
        <v>18</v>
      </c>
      <c r="F8" s="518" t="str">
        <f>D8</f>
        <v>UG-20XXXX</v>
      </c>
      <c r="G8" s="518" t="str">
        <f>F8</f>
        <v>UG-20XXXX</v>
      </c>
      <c r="H8" s="518" t="str">
        <f>G8</f>
        <v>UG-20XXXX</v>
      </c>
      <c r="I8" s="518" t="str">
        <f>H8</f>
        <v>UG-20XXXX</v>
      </c>
      <c r="J8" s="518" t="str">
        <f>I8</f>
        <v>UG-20XXXX</v>
      </c>
      <c r="K8" s="518" t="str">
        <f>G8</f>
        <v>UG-20XXXX</v>
      </c>
      <c r="L8" s="607" t="s">
        <v>29</v>
      </c>
      <c r="M8" s="443">
        <v>-1416284.97</v>
      </c>
      <c r="N8" s="927" t="s">
        <v>180</v>
      </c>
      <c r="O8" s="445"/>
      <c r="P8" s="592">
        <v>-839327</v>
      </c>
      <c r="Q8" s="927" t="s">
        <v>180</v>
      </c>
      <c r="R8" s="445"/>
      <c r="S8" s="443">
        <v>-462252</v>
      </c>
      <c r="T8" s="521" t="s">
        <v>90</v>
      </c>
      <c r="U8" s="445"/>
      <c r="V8" s="443">
        <v>-42692</v>
      </c>
      <c r="W8" s="927" t="s">
        <v>180</v>
      </c>
      <c r="X8" s="445"/>
      <c r="Y8" s="899"/>
      <c r="Z8" s="1572"/>
    </row>
    <row r="9" spans="1:44" s="56" customFormat="1" ht="15" customHeight="1" thickBot="1" x14ac:dyDescent="0.25">
      <c r="A9" s="86">
        <f t="shared" si="0"/>
        <v>3</v>
      </c>
      <c r="D9" s="61" t="str">
        <f>'Allocation = ¢ per Therm'!D12</f>
        <v>WA GRC</v>
      </c>
      <c r="E9" s="59" t="s">
        <v>27</v>
      </c>
      <c r="F9" s="446" t="s">
        <v>27</v>
      </c>
      <c r="G9" s="144" t="s">
        <v>27</v>
      </c>
      <c r="H9" s="61" t="s">
        <v>86</v>
      </c>
      <c r="I9" s="86" t="s">
        <v>83</v>
      </c>
      <c r="J9" s="61" t="s">
        <v>83</v>
      </c>
      <c r="K9" s="59" t="s">
        <v>32</v>
      </c>
      <c r="L9" s="607" t="s">
        <v>24</v>
      </c>
      <c r="M9" s="447">
        <v>4.1579999999999999E-2</v>
      </c>
      <c r="N9" s="448" t="str">
        <f>IF(M9="&lt; n/a &gt;","rev sensitive factor is built in","add revenue sensitive factor")</f>
        <v>add revenue sensitive factor</v>
      </c>
      <c r="O9" s="449"/>
      <c r="P9" s="447">
        <v>4.1579999999999999E-2</v>
      </c>
      <c r="Q9" s="448" t="str">
        <f>IF(P9="&lt; n/a &gt;","rev sensitive factor is built in","add revenue sensitive factor")</f>
        <v>add revenue sensitive factor</v>
      </c>
      <c r="R9" s="449"/>
      <c r="S9" s="1133" t="s">
        <v>408</v>
      </c>
      <c r="T9" s="448" t="str">
        <f>IF(S9="&lt; n/a &gt;","rev sensitive factor is built in","add revenue sensitive factor")</f>
        <v>rev sensitive factor is built in</v>
      </c>
      <c r="U9" s="449"/>
      <c r="V9" s="447">
        <f>P9</f>
        <v>4.1579999999999999E-2</v>
      </c>
      <c r="W9" s="448" t="str">
        <f>IF(V9="&lt; n/a &gt;","rev sensitive factor is built in","add revenue sensitive factor")</f>
        <v>add revenue sensitive factor</v>
      </c>
      <c r="X9" s="449"/>
      <c r="Y9" s="899"/>
      <c r="Z9" s="1572"/>
    </row>
    <row r="10" spans="1:44" s="57" customFormat="1" ht="15" customHeight="1" thickBot="1" x14ac:dyDescent="0.25">
      <c r="A10" s="86">
        <f t="shared" si="0"/>
        <v>4</v>
      </c>
      <c r="B10" s="56"/>
      <c r="C10" s="56"/>
      <c r="D10" s="358" t="s">
        <v>174</v>
      </c>
      <c r="E10" s="172" t="s">
        <v>28</v>
      </c>
      <c r="F10" s="450" t="s">
        <v>98</v>
      </c>
      <c r="G10" s="451" t="s">
        <v>28</v>
      </c>
      <c r="H10" s="358" t="s">
        <v>31</v>
      </c>
      <c r="I10" s="358" t="s">
        <v>71</v>
      </c>
      <c r="J10" s="358" t="s">
        <v>374</v>
      </c>
      <c r="K10" s="172" t="s">
        <v>31</v>
      </c>
      <c r="L10" s="608" t="s">
        <v>25</v>
      </c>
      <c r="M10" s="452">
        <f>IF(M9&lt;&gt;"&lt; n/a &gt;",ROUND(+M8/(1-M9),0),M8)</f>
        <v>-1477729</v>
      </c>
      <c r="N10" s="928" t="s">
        <v>404</v>
      </c>
      <c r="O10" s="453"/>
      <c r="P10" s="452">
        <f>IF(P9&lt;&gt;"&lt; n/a &gt;",ROUND(+P8/(1-P9),0),P8)</f>
        <v>-875740</v>
      </c>
      <c r="Q10" s="929" t="s">
        <v>406</v>
      </c>
      <c r="R10" s="453"/>
      <c r="S10" s="452">
        <f>IF(S9&lt;&gt;"&lt; n/a &gt;",ROUND(+S8/(1-S9),0),S8)</f>
        <v>-462252</v>
      </c>
      <c r="T10" s="929" t="s">
        <v>448</v>
      </c>
      <c r="U10" s="453"/>
      <c r="V10" s="452">
        <f>IF(V9&lt;&gt;"&lt; n/a &gt;",ROUND(+V8/(1-V9),0),V8)</f>
        <v>-44544</v>
      </c>
      <c r="W10" s="929" t="s">
        <v>406</v>
      </c>
      <c r="X10" s="453"/>
      <c r="Y10" s="1248"/>
      <c r="Z10" s="1572"/>
    </row>
    <row r="11" spans="1:44" s="57" customFormat="1" ht="13.5" thickBot="1" x14ac:dyDescent="0.25">
      <c r="A11" s="86">
        <f t="shared" si="0"/>
        <v>5</v>
      </c>
      <c r="B11" s="56"/>
      <c r="C11" s="56"/>
      <c r="D11" s="150"/>
      <c r="E11" s="59"/>
      <c r="F11" s="59"/>
      <c r="G11" s="59" t="s">
        <v>175</v>
      </c>
      <c r="H11" s="1136" t="s">
        <v>176</v>
      </c>
      <c r="I11" s="59"/>
      <c r="J11" s="150"/>
      <c r="K11" s="1143" t="s">
        <v>177</v>
      </c>
      <c r="L11" s="455"/>
      <c r="M11" s="498" t="s">
        <v>22</v>
      </c>
      <c r="N11" s="86" t="s">
        <v>87</v>
      </c>
      <c r="O11" s="499" t="s">
        <v>23</v>
      </c>
      <c r="P11" s="498" t="s">
        <v>22</v>
      </c>
      <c r="Q11" s="86" t="s">
        <v>87</v>
      </c>
      <c r="R11" s="499" t="s">
        <v>23</v>
      </c>
      <c r="S11" s="498" t="s">
        <v>22</v>
      </c>
      <c r="T11" s="86" t="s">
        <v>87</v>
      </c>
      <c r="U11" s="499" t="s">
        <v>23</v>
      </c>
      <c r="V11" s="498" t="s">
        <v>22</v>
      </c>
      <c r="W11" s="86" t="s">
        <v>87</v>
      </c>
      <c r="X11" s="499" t="s">
        <v>23</v>
      </c>
      <c r="Y11" s="1248"/>
      <c r="Z11" s="1572"/>
      <c r="AC11" s="1559" t="s">
        <v>401</v>
      </c>
      <c r="AD11" s="1555"/>
      <c r="AE11" s="1555"/>
      <c r="AF11" s="1556"/>
      <c r="AG11" s="1559" t="s">
        <v>407</v>
      </c>
      <c r="AH11" s="1555"/>
      <c r="AI11" s="1555"/>
      <c r="AJ11" s="1556"/>
      <c r="AK11" s="1554" t="s">
        <v>405</v>
      </c>
      <c r="AL11" s="1555"/>
      <c r="AM11" s="1555"/>
      <c r="AN11" s="1556"/>
      <c r="AO11" s="1554" t="s">
        <v>418</v>
      </c>
      <c r="AP11" s="1555"/>
      <c r="AQ11" s="1555"/>
      <c r="AR11" s="1558"/>
    </row>
    <row r="12" spans="1:44" s="57" customFormat="1" ht="12.6" customHeight="1" x14ac:dyDescent="0.2">
      <c r="A12" s="86">
        <f t="shared" si="0"/>
        <v>6</v>
      </c>
      <c r="B12" s="741" t="s">
        <v>2</v>
      </c>
      <c r="C12" s="741" t="s">
        <v>3</v>
      </c>
      <c r="D12" s="124" t="s">
        <v>35</v>
      </c>
      <c r="E12" s="124" t="s">
        <v>36</v>
      </c>
      <c r="F12" s="124" t="s">
        <v>13</v>
      </c>
      <c r="G12" s="124" t="s">
        <v>37</v>
      </c>
      <c r="H12" s="58" t="s">
        <v>38</v>
      </c>
      <c r="I12" s="124" t="s">
        <v>39</v>
      </c>
      <c r="J12" s="124" t="s">
        <v>40</v>
      </c>
      <c r="K12" s="124" t="s">
        <v>41</v>
      </c>
      <c r="L12" s="458"/>
      <c r="M12" s="459" t="s">
        <v>42</v>
      </c>
      <c r="N12" s="722" t="s">
        <v>129</v>
      </c>
      <c r="O12" s="500" t="s">
        <v>130</v>
      </c>
      <c r="P12" s="459" t="s">
        <v>42</v>
      </c>
      <c r="Q12" s="124" t="s">
        <v>129</v>
      </c>
      <c r="R12" s="500" t="s">
        <v>130</v>
      </c>
      <c r="S12" s="459" t="s">
        <v>42</v>
      </c>
      <c r="T12" s="722" t="s">
        <v>129</v>
      </c>
      <c r="U12" s="500" t="s">
        <v>130</v>
      </c>
      <c r="V12" s="459" t="s">
        <v>42</v>
      </c>
      <c r="W12" s="722" t="s">
        <v>129</v>
      </c>
      <c r="X12" s="500" t="s">
        <v>130</v>
      </c>
      <c r="Y12" s="1248"/>
      <c r="Z12" s="1211"/>
      <c r="AC12" s="1557" t="s">
        <v>465</v>
      </c>
      <c r="AD12" s="1557"/>
      <c r="AE12" s="1557"/>
      <c r="AF12" s="1557"/>
      <c r="AG12" s="1557" t="s">
        <v>465</v>
      </c>
      <c r="AH12" s="1557"/>
      <c r="AI12" s="1557"/>
      <c r="AJ12" s="1557"/>
      <c r="AK12" s="1557" t="s">
        <v>465</v>
      </c>
      <c r="AL12" s="1557"/>
      <c r="AM12" s="1557"/>
      <c r="AN12" s="1557"/>
      <c r="AO12" s="1557" t="s">
        <v>465</v>
      </c>
      <c r="AP12" s="1557"/>
      <c r="AQ12" s="1557"/>
      <c r="AR12" s="1557"/>
    </row>
    <row r="13" spans="1:44" s="57" customFormat="1" ht="12.6" customHeight="1" x14ac:dyDescent="0.2">
      <c r="A13" s="86">
        <f t="shared" si="0"/>
        <v>7</v>
      </c>
      <c r="B13" s="734"/>
      <c r="C13" s="734"/>
      <c r="D13" s="124"/>
      <c r="E13" s="124"/>
      <c r="F13" s="1141"/>
      <c r="G13" s="1141"/>
      <c r="H13" s="501"/>
      <c r="I13" s="124"/>
      <c r="J13" s="161"/>
      <c r="K13" s="124"/>
      <c r="L13" s="458"/>
      <c r="M13" s="459"/>
      <c r="N13" s="722"/>
      <c r="O13" s="500"/>
      <c r="P13" s="459"/>
      <c r="Q13" s="124"/>
      <c r="R13" s="500"/>
      <c r="S13" s="459"/>
      <c r="T13" s="722"/>
      <c r="U13" s="500"/>
      <c r="V13" s="459"/>
      <c r="W13" s="722"/>
      <c r="X13" s="500"/>
      <c r="Y13" s="1248"/>
      <c r="AD13" s="58" t="s">
        <v>265</v>
      </c>
      <c r="AE13" s="58" t="s">
        <v>86</v>
      </c>
      <c r="AH13" s="58" t="s">
        <v>265</v>
      </c>
      <c r="AI13" s="58" t="s">
        <v>86</v>
      </c>
      <c r="AL13" s="58" t="s">
        <v>265</v>
      </c>
      <c r="AM13" s="58" t="s">
        <v>86</v>
      </c>
      <c r="AP13" s="58" t="s">
        <v>265</v>
      </c>
      <c r="AQ13" s="58" t="s">
        <v>86</v>
      </c>
    </row>
    <row r="14" spans="1:44" s="56" customFormat="1" x14ac:dyDescent="0.2">
      <c r="A14" s="86">
        <f t="shared" si="0"/>
        <v>8</v>
      </c>
      <c r="B14" s="733" t="str">
        <f>'WA Volumes &amp; Revenues'!B15</f>
        <v>1R</v>
      </c>
      <c r="C14" s="733" t="s">
        <v>283</v>
      </c>
      <c r="D14" s="364">
        <f>'WA Volumes &amp; Revenues'!E15</f>
        <v>214704.20066131229</v>
      </c>
      <c r="E14" s="463">
        <f>'Rates in Detail'!E13</f>
        <v>0.67652999999999996</v>
      </c>
      <c r="F14" s="770">
        <f>'Rates in Detail'!L13+SUM('Rates in Detail'!P13:Q13)</f>
        <v>0.12315000000000001</v>
      </c>
      <c r="G14" s="463">
        <f>E14+F14</f>
        <v>0.79967999999999995</v>
      </c>
      <c r="H14" s="49">
        <f>ROUND(E14*D14,0)</f>
        <v>145254</v>
      </c>
      <c r="I14" s="621">
        <f>'WA Volumes &amp; Revenues'!N15</f>
        <v>5.5</v>
      </c>
      <c r="J14" s="740">
        <f>'WA Volumes &amp; Revenues'!H15</f>
        <v>911</v>
      </c>
      <c r="K14" s="49">
        <f>ROUND((I14*J14*12)+H14,0)+'Rev Req Proof Yr1'!Z14</f>
        <v>208635.2992440185</v>
      </c>
      <c r="L14" s="462"/>
      <c r="M14" s="923">
        <v>1</v>
      </c>
      <c r="N14" s="465">
        <f>ROUND(+$M$10*(($K14*M14)/M$84),0)</f>
        <v>-6697</v>
      </c>
      <c r="O14" s="470">
        <f>ROUND(E14*AE14,5)</f>
        <v>-3.1189999999999999E-2</v>
      </c>
      <c r="P14" s="464">
        <v>1</v>
      </c>
      <c r="Q14" s="465">
        <f>ROUND(+$P$10*(($K14*P14)/P$84),0)</f>
        <v>-3701</v>
      </c>
      <c r="R14" s="470">
        <f>ROUND(E14*AI14,5)</f>
        <v>-1.7239999999999998E-2</v>
      </c>
      <c r="S14" s="464">
        <v>1</v>
      </c>
      <c r="T14" s="465">
        <f t="shared" ref="T14:T20" si="1">ROUND(+$S$10*(($K14*S14)/S$84),0)</f>
        <v>-1954</v>
      </c>
      <c r="U14" s="470">
        <f>ROUND(E14*AM14,5)</f>
        <v>-9.1000000000000004E-3</v>
      </c>
      <c r="V14" s="464">
        <v>1</v>
      </c>
      <c r="W14" s="465">
        <f t="shared" ref="W14:W20" si="2">ROUND(+$V$10*(($K14*V14)/V$84),0)</f>
        <v>-188</v>
      </c>
      <c r="X14" s="470">
        <f>ROUND(E14*AQ14,5)</f>
        <v>-8.8000000000000003E-4</v>
      </c>
      <c r="Y14" s="899"/>
      <c r="Z14" s="899"/>
      <c r="AA14" s="899"/>
      <c r="AB14" s="899"/>
      <c r="AD14" s="433">
        <f>N14/K14</f>
        <v>-3.2099074434030608E-2</v>
      </c>
      <c r="AE14" s="433">
        <f>N14/H14</f>
        <v>-4.6105442879369934E-2</v>
      </c>
      <c r="AH14" s="433">
        <f>Q14/K14</f>
        <v>-1.7739088320195204E-2</v>
      </c>
      <c r="AI14" s="433">
        <f>Q14/H14</f>
        <v>-2.5479504867335839E-2</v>
      </c>
      <c r="AL14" s="433">
        <f>T14/K14</f>
        <v>-9.3656251223078711E-3</v>
      </c>
      <c r="AM14" s="433">
        <f>T14/H14</f>
        <v>-1.3452297354978176E-2</v>
      </c>
      <c r="AP14" s="433">
        <f>W14/K14</f>
        <v>-9.0109392169594662E-4</v>
      </c>
      <c r="AQ14" s="433">
        <f>W14/H14</f>
        <v>-1.2942844947471325E-3</v>
      </c>
    </row>
    <row r="15" spans="1:44" s="56" customFormat="1" x14ac:dyDescent="0.2">
      <c r="A15" s="86">
        <f t="shared" si="0"/>
        <v>9</v>
      </c>
      <c r="B15" s="733" t="str">
        <f>'WA Volumes &amp; Revenues'!B16</f>
        <v>1C</v>
      </c>
      <c r="C15" s="733" t="s">
        <v>283</v>
      </c>
      <c r="D15" s="364">
        <f>'WA Volumes &amp; Revenues'!E16</f>
        <v>46539.057144390383</v>
      </c>
      <c r="E15" s="463">
        <f>'Rates in Detail'!E14</f>
        <v>0.73148999999999997</v>
      </c>
      <c r="F15" s="463">
        <f>'Rates in Detail'!L14+SUM('Rates in Detail'!P14:Q14)</f>
        <v>0.10241</v>
      </c>
      <c r="G15" s="463">
        <f t="shared" ref="G15" si="3">E15+F15</f>
        <v>0.83389999999999997</v>
      </c>
      <c r="H15" s="49">
        <f t="shared" ref="H15:H78" si="4">ROUND(E15*D15,0)</f>
        <v>34043</v>
      </c>
      <c r="I15" s="621">
        <f>'WA Volumes &amp; Revenues'!N16</f>
        <v>7</v>
      </c>
      <c r="J15" s="740">
        <f>'WA Volumes &amp; Revenues'!H16</f>
        <v>34</v>
      </c>
      <c r="K15" s="49">
        <f>ROUND((I15*J15*12)+H15,0)+'Rev Req Proof Yr1'!Z15</f>
        <v>37604.525911352161</v>
      </c>
      <c r="L15" s="462"/>
      <c r="M15" s="923">
        <v>1</v>
      </c>
      <c r="N15" s="465">
        <f t="shared" ref="N15:N32" si="5">ROUND(+$M$10*(($K15*M15)/M$84),0)</f>
        <v>-1207</v>
      </c>
      <c r="O15" s="470">
        <f t="shared" ref="O15:O19" si="6">ROUND(E15*AE15,5)</f>
        <v>-2.5940000000000001E-2</v>
      </c>
      <c r="P15" s="464">
        <v>1</v>
      </c>
      <c r="Q15" s="465">
        <f t="shared" ref="Q15" si="7">ROUND(+$P$10*(($K15*P15)/P$84),0)</f>
        <v>-667</v>
      </c>
      <c r="R15" s="470">
        <f t="shared" ref="R15:R19" si="8">ROUND(E15*AI15,5)</f>
        <v>-1.4330000000000001E-2</v>
      </c>
      <c r="S15" s="464">
        <v>1</v>
      </c>
      <c r="T15" s="465">
        <f t="shared" si="1"/>
        <v>-352</v>
      </c>
      <c r="U15" s="470">
        <f t="shared" ref="U15:U19" si="9">ROUND(E15*AM15,5)</f>
        <v>-7.5599999999999999E-3</v>
      </c>
      <c r="V15" s="464">
        <v>1</v>
      </c>
      <c r="W15" s="465">
        <f t="shared" si="2"/>
        <v>-34</v>
      </c>
      <c r="X15" s="470">
        <f t="shared" ref="X15:X19" si="10">ROUND(E15*AQ15,5)</f>
        <v>-7.2999999999999996E-4</v>
      </c>
      <c r="Y15" s="899"/>
      <c r="Z15" s="899"/>
      <c r="AA15" s="899"/>
      <c r="AB15" s="899"/>
      <c r="AD15" s="433">
        <f t="shared" ref="AD15:AD20" si="11">N15/K15</f>
        <v>-3.2097200290341313E-2</v>
      </c>
      <c r="AE15" s="433">
        <f t="shared" ref="AE15:AE19" si="12">N15/H15</f>
        <v>-3.5455159651029577E-2</v>
      </c>
      <c r="AH15" s="433">
        <f t="shared" ref="AH15:AH22" si="13">Q15/K15</f>
        <v>-1.7737226672458705E-2</v>
      </c>
      <c r="AI15" s="433">
        <f t="shared" ref="AI15:AI19" si="14">Q15/H15</f>
        <v>-1.9592867843609554E-2</v>
      </c>
      <c r="AL15" s="433">
        <f t="shared" ref="AL15:AL32" si="15">T15/K15</f>
        <v>-9.3605753953605163E-3</v>
      </c>
      <c r="AM15" s="433">
        <f t="shared" ref="AM15:AM19" si="16">T15/H15</f>
        <v>-1.0339864289281204E-2</v>
      </c>
      <c r="AP15" s="433">
        <f t="shared" ref="AP15:AP32" si="17">W15/K15</f>
        <v>-9.0414648705186801E-4</v>
      </c>
      <c r="AQ15" s="433">
        <f t="shared" ref="AQ15:AQ19" si="18">W15/H15</f>
        <v>-9.9873689157829802E-4</v>
      </c>
    </row>
    <row r="16" spans="1:44" s="56" customFormat="1" x14ac:dyDescent="0.2">
      <c r="A16" s="86">
        <f t="shared" si="0"/>
        <v>10</v>
      </c>
      <c r="B16" s="733" t="str">
        <f>'WA Volumes &amp; Revenues'!B17</f>
        <v>2R</v>
      </c>
      <c r="C16" s="733" t="s">
        <v>283</v>
      </c>
      <c r="D16" s="466">
        <f>'WA Volumes &amp; Revenues'!E17</f>
        <v>54953515.785084128</v>
      </c>
      <c r="E16" s="463">
        <f>'Rates in Detail'!E15</f>
        <v>0.45815999999999979</v>
      </c>
      <c r="F16" s="463">
        <f>'Rates in Detail'!L15+SUM('Rates in Detail'!P15:Q15)</f>
        <v>7.7939999999999995E-2</v>
      </c>
      <c r="G16" s="463">
        <f>E16+F16</f>
        <v>0.5360999999999998</v>
      </c>
      <c r="H16" s="49">
        <f t="shared" si="4"/>
        <v>25177503</v>
      </c>
      <c r="I16" s="621">
        <f>'WA Volumes &amp; Revenues'!N17</f>
        <v>8</v>
      </c>
      <c r="J16" s="740">
        <f>'WA Volumes &amp; Revenues'!H17</f>
        <v>81119</v>
      </c>
      <c r="K16" s="49">
        <f>ROUND((I16*J16*12)+H16,0)+'Rev Req Proof Yr1'!Z16</f>
        <v>33798099.797603399</v>
      </c>
      <c r="L16" s="462"/>
      <c r="M16" s="923">
        <v>1</v>
      </c>
      <c r="N16" s="465">
        <f t="shared" si="5"/>
        <v>-1084926</v>
      </c>
      <c r="O16" s="470">
        <f t="shared" si="6"/>
        <v>-1.9740000000000001E-2</v>
      </c>
      <c r="P16" s="464">
        <v>1</v>
      </c>
      <c r="Q16" s="465">
        <f>ROUND(+$P$10*(($K16*P16)/P$84),0)</f>
        <v>-599619</v>
      </c>
      <c r="R16" s="470">
        <f t="shared" si="8"/>
        <v>-1.091E-2</v>
      </c>
      <c r="S16" s="464">
        <v>1</v>
      </c>
      <c r="T16" s="465">
        <f t="shared" si="1"/>
        <v>-316504</v>
      </c>
      <c r="U16" s="470">
        <f t="shared" si="9"/>
        <v>-5.7600000000000004E-3</v>
      </c>
      <c r="V16" s="464">
        <v>1</v>
      </c>
      <c r="W16" s="465">
        <f t="shared" si="2"/>
        <v>-30499</v>
      </c>
      <c r="X16" s="470">
        <f t="shared" si="10"/>
        <v>-5.5000000000000003E-4</v>
      </c>
      <c r="Y16" s="899"/>
      <c r="Z16" s="899"/>
      <c r="AA16" s="899"/>
      <c r="AB16" s="899"/>
      <c r="AD16" s="433">
        <f t="shared" si="11"/>
        <v>-3.2100207008588434E-2</v>
      </c>
      <c r="AE16" s="433">
        <f t="shared" si="12"/>
        <v>-4.3091088103534333E-2</v>
      </c>
      <c r="AH16" s="433">
        <f t="shared" si="13"/>
        <v>-1.7741204493470327E-2</v>
      </c>
      <c r="AI16" s="433">
        <f t="shared" si="14"/>
        <v>-2.3815665914129768E-2</v>
      </c>
      <c r="AL16" s="433">
        <f t="shared" si="15"/>
        <v>-9.3645501343375247E-3</v>
      </c>
      <c r="AM16" s="433">
        <f t="shared" si="16"/>
        <v>-1.2570905065526156E-2</v>
      </c>
      <c r="AP16" s="433">
        <f t="shared" si="17"/>
        <v>-9.0238800946326172E-4</v>
      </c>
      <c r="AQ16" s="433">
        <f t="shared" si="18"/>
        <v>-1.2113592042864616E-3</v>
      </c>
    </row>
    <row r="17" spans="1:43" s="56" customFormat="1" x14ac:dyDescent="0.2">
      <c r="A17" s="86">
        <f t="shared" si="0"/>
        <v>11</v>
      </c>
      <c r="B17" s="733" t="str">
        <f>'WA Volumes &amp; Revenues'!B18</f>
        <v>3 CFS</v>
      </c>
      <c r="C17" s="733" t="s">
        <v>283</v>
      </c>
      <c r="D17" s="466">
        <f>'WA Volumes &amp; Revenues'!E18</f>
        <v>17867210.60654201</v>
      </c>
      <c r="E17" s="463">
        <f>'Rates in Detail'!E16</f>
        <v>0.44368000000000019</v>
      </c>
      <c r="F17" s="463">
        <f>'Rates in Detail'!L16+SUM('Rates in Detail'!P16:Q16)</f>
        <v>6.9980000000000001E-2</v>
      </c>
      <c r="G17" s="463">
        <f t="shared" ref="G17:G80" si="19">E17+F17</f>
        <v>0.51366000000000023</v>
      </c>
      <c r="H17" s="49">
        <f t="shared" si="4"/>
        <v>7927324</v>
      </c>
      <c r="I17" s="621">
        <f>'WA Volumes &amp; Revenues'!N18</f>
        <v>22</v>
      </c>
      <c r="J17" s="740">
        <f>'WA Volumes &amp; Revenues'!H18</f>
        <v>6318</v>
      </c>
      <c r="K17" s="49">
        <f>ROUND((I17*J17*12)+H17,0)+'Rev Req Proof Yr1'!Z17</f>
        <v>9866168.066922849</v>
      </c>
      <c r="L17" s="462"/>
      <c r="M17" s="923">
        <v>1</v>
      </c>
      <c r="N17" s="465">
        <f t="shared" si="5"/>
        <v>-316706</v>
      </c>
      <c r="O17" s="470">
        <f t="shared" si="6"/>
        <v>-1.7729999999999999E-2</v>
      </c>
      <c r="P17" s="464">
        <v>1</v>
      </c>
      <c r="Q17" s="465">
        <f>ROUND(+$P$10*(($K17*P17)/P$84),0)</f>
        <v>-175038</v>
      </c>
      <c r="R17" s="470">
        <f t="shared" si="8"/>
        <v>-9.7999999999999997E-3</v>
      </c>
      <c r="S17" s="464">
        <v>1</v>
      </c>
      <c r="T17" s="465">
        <f t="shared" si="1"/>
        <v>-92392</v>
      </c>
      <c r="U17" s="470">
        <f t="shared" si="9"/>
        <v>-5.1700000000000001E-3</v>
      </c>
      <c r="V17" s="464">
        <v>1</v>
      </c>
      <c r="W17" s="465">
        <f t="shared" si="2"/>
        <v>-8903</v>
      </c>
      <c r="X17" s="470">
        <f t="shared" si="10"/>
        <v>-5.0000000000000001E-4</v>
      </c>
      <c r="Y17" s="899"/>
      <c r="Z17" s="899"/>
      <c r="AA17" s="899"/>
      <c r="AB17" s="899"/>
      <c r="AD17" s="433">
        <f t="shared" si="11"/>
        <v>-3.2100203224976802E-2</v>
      </c>
      <c r="AE17" s="433">
        <f t="shared" si="12"/>
        <v>-3.9951186554252102E-2</v>
      </c>
      <c r="AH17" s="433">
        <f t="shared" si="13"/>
        <v>-1.7741234369078863E-2</v>
      </c>
      <c r="AI17" s="433">
        <f t="shared" si="14"/>
        <v>-2.2080338838175406E-2</v>
      </c>
      <c r="AL17" s="433">
        <f t="shared" si="15"/>
        <v>-9.3645272788076533E-3</v>
      </c>
      <c r="AM17" s="433">
        <f t="shared" si="16"/>
        <v>-1.1654878745967745E-2</v>
      </c>
      <c r="AP17" s="433">
        <f t="shared" si="17"/>
        <v>-9.0237668156576919E-4</v>
      </c>
      <c r="AQ17" s="433">
        <f t="shared" si="18"/>
        <v>-1.1230775984430558E-3</v>
      </c>
    </row>
    <row r="18" spans="1:43" s="56" customFormat="1" x14ac:dyDescent="0.2">
      <c r="A18" s="86">
        <f t="shared" si="0"/>
        <v>12</v>
      </c>
      <c r="B18" s="733" t="str">
        <f>'WA Volumes &amp; Revenues'!B19</f>
        <v>3 IFS</v>
      </c>
      <c r="C18" s="733" t="s">
        <v>283</v>
      </c>
      <c r="D18" s="466">
        <f>'WA Volumes &amp; Revenues'!E19</f>
        <v>283651.99999999994</v>
      </c>
      <c r="E18" s="463">
        <f>'Rates in Detail'!E17</f>
        <v>0.46249000000000001</v>
      </c>
      <c r="F18" s="463">
        <f>'Rates in Detail'!L17+SUM('Rates in Detail'!P17:Q17)</f>
        <v>6.3390000000000002E-2</v>
      </c>
      <c r="G18" s="463">
        <f t="shared" si="19"/>
        <v>0.52588000000000001</v>
      </c>
      <c r="H18" s="49">
        <f t="shared" si="4"/>
        <v>131186</v>
      </c>
      <c r="I18" s="621">
        <f>'WA Volumes &amp; Revenues'!N19</f>
        <v>22</v>
      </c>
      <c r="J18" s="740">
        <f>'WA Volumes &amp; Revenues'!H19</f>
        <v>24.25</v>
      </c>
      <c r="K18" s="49">
        <f>ROUND((I18*J18*12)+H18,0)+'Rev Req Proof Yr1'!Z18</f>
        <v>141888.51157190159</v>
      </c>
      <c r="L18" s="462"/>
      <c r="M18" s="923">
        <v>0</v>
      </c>
      <c r="N18" s="465">
        <f t="shared" si="5"/>
        <v>0</v>
      </c>
      <c r="O18" s="470">
        <f t="shared" si="6"/>
        <v>0</v>
      </c>
      <c r="P18" s="464">
        <v>1</v>
      </c>
      <c r="Q18" s="465">
        <f>ROUND(+$P$10*(($K18*P18)/P$84),0)</f>
        <v>-2517</v>
      </c>
      <c r="R18" s="470">
        <f t="shared" si="8"/>
        <v>-8.8699999999999994E-3</v>
      </c>
      <c r="S18" s="464">
        <v>1</v>
      </c>
      <c r="T18" s="465">
        <f t="shared" si="1"/>
        <v>-1329</v>
      </c>
      <c r="U18" s="470">
        <f t="shared" si="9"/>
        <v>-4.6899999999999997E-3</v>
      </c>
      <c r="V18" s="464">
        <v>1</v>
      </c>
      <c r="W18" s="465">
        <f t="shared" si="2"/>
        <v>-128</v>
      </c>
      <c r="X18" s="470">
        <f t="shared" si="10"/>
        <v>-4.4999999999999999E-4</v>
      </c>
      <c r="Y18" s="899"/>
      <c r="Z18" s="899"/>
      <c r="AA18" s="899"/>
      <c r="AB18" s="899"/>
      <c r="AD18" s="433">
        <f t="shared" si="11"/>
        <v>0</v>
      </c>
      <c r="AE18" s="433">
        <f t="shared" si="12"/>
        <v>0</v>
      </c>
      <c r="AH18" s="433">
        <f t="shared" si="13"/>
        <v>-1.7739279749400413E-2</v>
      </c>
      <c r="AI18" s="433">
        <f t="shared" si="14"/>
        <v>-1.9186498559297487E-2</v>
      </c>
      <c r="AL18" s="433">
        <f t="shared" si="15"/>
        <v>-9.3665088545701828E-3</v>
      </c>
      <c r="AM18" s="433">
        <f t="shared" si="16"/>
        <v>-1.0130654185660054E-2</v>
      </c>
      <c r="AP18" s="433">
        <f t="shared" si="17"/>
        <v>-9.0211672940931778E-4</v>
      </c>
      <c r="AQ18" s="433">
        <f t="shared" si="18"/>
        <v>-9.7571387190706327E-4</v>
      </c>
    </row>
    <row r="19" spans="1:43" s="56" customFormat="1" x14ac:dyDescent="0.2">
      <c r="A19" s="86">
        <f t="shared" si="0"/>
        <v>13</v>
      </c>
      <c r="B19" s="724" t="str">
        <f>'WA Volumes &amp; Revenues'!B20</f>
        <v>27R</v>
      </c>
      <c r="C19" s="724" t="s">
        <v>283</v>
      </c>
      <c r="D19" s="466">
        <f>'WA Volumes &amp; Revenues'!E20</f>
        <v>461371.76933137607</v>
      </c>
      <c r="E19" s="463">
        <f>'Rates in Detail'!E18</f>
        <v>0.24087999999999973</v>
      </c>
      <c r="F19" s="770">
        <f>'Rates in Detail'!L18+SUM('Rates in Detail'!P18:Q18)</f>
        <v>5.5469999999999998E-2</v>
      </c>
      <c r="G19" s="770">
        <f t="shared" si="19"/>
        <v>0.29634999999999972</v>
      </c>
      <c r="H19" s="467">
        <f t="shared" si="4"/>
        <v>111135</v>
      </c>
      <c r="I19" s="621">
        <f>'WA Volumes &amp; Revenues'!N20</f>
        <v>9</v>
      </c>
      <c r="J19" s="740">
        <f>'WA Volumes &amp; Revenues'!H20</f>
        <v>776</v>
      </c>
      <c r="K19" s="467">
        <f>ROUND((I19*J19*12)+H19,0)+'Rev Req Proof Yr1'!Z19</f>
        <v>201937.97258147644</v>
      </c>
      <c r="L19" s="462"/>
      <c r="M19" s="923">
        <v>1</v>
      </c>
      <c r="N19" s="465">
        <f t="shared" si="5"/>
        <v>-6482</v>
      </c>
      <c r="O19" s="470">
        <f t="shared" si="6"/>
        <v>-1.405E-2</v>
      </c>
      <c r="P19" s="464">
        <v>1</v>
      </c>
      <c r="Q19" s="465">
        <f>ROUND(+$P$10*(($K19*P19)/P$84),0)</f>
        <v>-3583</v>
      </c>
      <c r="R19" s="470">
        <f t="shared" si="8"/>
        <v>-7.77E-3</v>
      </c>
      <c r="S19" s="464">
        <v>1</v>
      </c>
      <c r="T19" s="465">
        <f t="shared" si="1"/>
        <v>-1891</v>
      </c>
      <c r="U19" s="470">
        <f t="shared" si="9"/>
        <v>-4.1000000000000003E-3</v>
      </c>
      <c r="V19" s="464">
        <v>1</v>
      </c>
      <c r="W19" s="465">
        <f t="shared" si="2"/>
        <v>-182</v>
      </c>
      <c r="X19" s="470">
        <f t="shared" si="10"/>
        <v>-3.8999999999999999E-4</v>
      </c>
      <c r="Y19" s="899"/>
      <c r="Z19" s="899"/>
      <c r="AA19" s="899"/>
      <c r="AB19" s="899"/>
      <c r="AD19" s="433">
        <f t="shared" si="11"/>
        <v>-3.2098965425557548E-2</v>
      </c>
      <c r="AE19" s="433">
        <f t="shared" si="12"/>
        <v>-5.8325460026094393E-2</v>
      </c>
      <c r="AH19" s="433">
        <f t="shared" si="13"/>
        <v>-1.7743072064142655E-2</v>
      </c>
      <c r="AI19" s="433">
        <f t="shared" si="14"/>
        <v>-3.2240068385297159E-2</v>
      </c>
      <c r="AL19" s="433">
        <f t="shared" si="15"/>
        <v>-9.3642615889739777E-3</v>
      </c>
      <c r="AM19" s="433">
        <f t="shared" si="16"/>
        <v>-1.7015341701534171E-2</v>
      </c>
      <c r="AP19" s="433">
        <f t="shared" si="17"/>
        <v>-9.0126684780183174E-4</v>
      </c>
      <c r="AQ19" s="433">
        <f t="shared" si="18"/>
        <v>-1.6376479057002744E-3</v>
      </c>
    </row>
    <row r="20" spans="1:43" s="56" customFormat="1" x14ac:dyDescent="0.2">
      <c r="A20" s="86">
        <f t="shared" si="0"/>
        <v>14</v>
      </c>
      <c r="B20" s="725" t="str">
        <f>'WA Volumes &amp; Revenues'!B21</f>
        <v>41C Firm Sales</v>
      </c>
      <c r="C20" s="726" t="s">
        <v>4</v>
      </c>
      <c r="D20" s="472">
        <f>'WA Volumes &amp; Revenues'!E21</f>
        <v>1777065.1510316674</v>
      </c>
      <c r="E20" s="473">
        <f>'Rates in Detail'!E19</f>
        <v>0.34474000000000016</v>
      </c>
      <c r="F20" s="473">
        <f>'Rates in Detail'!L19+SUM('Rates in Detail'!P19:Q19)</f>
        <v>5.5569999999999994E-2</v>
      </c>
      <c r="G20" s="473">
        <f t="shared" si="19"/>
        <v>0.40031000000000017</v>
      </c>
      <c r="H20" s="281">
        <f>ROUND(E20*D20,0)</f>
        <v>612625</v>
      </c>
      <c r="I20" s="154">
        <f>'WA Volumes &amp; Revenues'!N21</f>
        <v>250</v>
      </c>
      <c r="J20" s="371">
        <f>'WA Volumes &amp; Revenues'!H21</f>
        <v>91</v>
      </c>
      <c r="K20" s="474">
        <f>ROUND((I20*J20*12)+H20+H21,0)+'Rev Req Proof Yr1'!Z22</f>
        <v>1542347.3405315941</v>
      </c>
      <c r="L20" s="475"/>
      <c r="M20" s="925">
        <v>1</v>
      </c>
      <c r="N20" s="477">
        <f t="shared" si="5"/>
        <v>-49510</v>
      </c>
      <c r="O20" s="478">
        <f>ROUND(E20*$AE$20,5)</f>
        <v>-1.4080000000000001E-2</v>
      </c>
      <c r="P20" s="476">
        <v>1</v>
      </c>
      <c r="Q20" s="477">
        <f>ROUND(+$P$10*(($K20*P20)/P$84),0)</f>
        <v>-27363</v>
      </c>
      <c r="R20" s="478">
        <f>ROUND(E20*$AI$20,5)</f>
        <v>-7.7799999999999996E-3</v>
      </c>
      <c r="S20" s="476">
        <v>1</v>
      </c>
      <c r="T20" s="477">
        <f t="shared" si="1"/>
        <v>-14443</v>
      </c>
      <c r="U20" s="478">
        <f>ROUND(E20*$AM$20,5)</f>
        <v>-4.1099999999999999E-3</v>
      </c>
      <c r="V20" s="476">
        <v>1</v>
      </c>
      <c r="W20" s="477">
        <f t="shared" si="2"/>
        <v>-1392</v>
      </c>
      <c r="X20" s="478">
        <f>ROUND(E20*$AQ$20,5)</f>
        <v>-4.0000000000000002E-4</v>
      </c>
      <c r="Y20" s="899"/>
      <c r="Z20" s="899"/>
      <c r="AA20" s="899"/>
      <c r="AB20" s="899"/>
      <c r="AD20" s="433">
        <f t="shared" si="11"/>
        <v>-3.2100421674754277E-2</v>
      </c>
      <c r="AE20" s="433">
        <f>N20/SUM($H$20:$H$21)</f>
        <v>-4.0834134730375941E-2</v>
      </c>
      <c r="AH20" s="433">
        <f t="shared" si="13"/>
        <v>-1.7741139937109702E-2</v>
      </c>
      <c r="AI20" s="433">
        <f>Q20/SUM($H$20:$H$21)</f>
        <v>-2.2568055516608301E-2</v>
      </c>
      <c r="AJ20" s="433"/>
      <c r="AL20" s="433">
        <f t="shared" si="15"/>
        <v>-9.3642979246309037E-3</v>
      </c>
      <c r="AM20" s="433">
        <f>T20/SUM($H$20:$H$21)</f>
        <v>-1.1912086606964649E-2</v>
      </c>
      <c r="AP20" s="433">
        <f t="shared" si="17"/>
        <v>-9.0252043973455777E-4</v>
      </c>
      <c r="AQ20" s="433">
        <f>W20/SUM($H$20:$H$21)</f>
        <v>-1.1480734305126907E-3</v>
      </c>
    </row>
    <row r="21" spans="1:43" s="56" customFormat="1" x14ac:dyDescent="0.2">
      <c r="A21" s="86">
        <f t="shared" si="0"/>
        <v>15</v>
      </c>
      <c r="B21" s="723"/>
      <c r="C21" s="727" t="s">
        <v>5</v>
      </c>
      <c r="D21" s="466">
        <f>'WA Volumes &amp; Revenues'!E22</f>
        <v>1974656.4658023661</v>
      </c>
      <c r="E21" s="463">
        <f>'Rates in Detail'!E20</f>
        <v>0.30376999999999998</v>
      </c>
      <c r="F21" s="463">
        <f>'Rates in Detail'!L20+SUM('Rates in Detail'!P20:Q20)</f>
        <v>4.897E-2</v>
      </c>
      <c r="G21" s="463">
        <f t="shared" si="19"/>
        <v>0.35274</v>
      </c>
      <c r="H21" s="467">
        <f t="shared" si="4"/>
        <v>599841</v>
      </c>
      <c r="I21" s="468"/>
      <c r="J21" s="740"/>
      <c r="K21" s="467"/>
      <c r="L21" s="462"/>
      <c r="M21" s="923">
        <v>1</v>
      </c>
      <c r="N21" s="465"/>
      <c r="O21" s="470">
        <f>ROUND(E21*$AE$20,5)</f>
        <v>-1.24E-2</v>
      </c>
      <c r="P21" s="464">
        <v>1</v>
      </c>
      <c r="Q21" s="465"/>
      <c r="R21" s="470">
        <f>ROUND(E21*$AI$20,5)</f>
        <v>-6.8599999999999998E-3</v>
      </c>
      <c r="S21" s="464">
        <v>1</v>
      </c>
      <c r="T21" s="465"/>
      <c r="U21" s="470">
        <f>ROUND(E21*$AM$20,5)</f>
        <v>-3.62E-3</v>
      </c>
      <c r="V21" s="464">
        <v>1</v>
      </c>
      <c r="W21" s="465"/>
      <c r="X21" s="470">
        <f>ROUND(E21*$AQ$20,5)</f>
        <v>-3.5E-4</v>
      </c>
      <c r="Y21" s="899"/>
      <c r="Z21" s="899"/>
      <c r="AA21" s="899"/>
      <c r="AB21" s="899"/>
      <c r="AH21" s="433"/>
      <c r="AI21" s="433"/>
      <c r="AJ21" s="433"/>
    </row>
    <row r="22" spans="1:43" s="56" customFormat="1" x14ac:dyDescent="0.2">
      <c r="A22" s="86">
        <f t="shared" si="0"/>
        <v>16</v>
      </c>
      <c r="B22" s="725" t="str">
        <f>'WA Volumes &amp; Revenues'!B23</f>
        <v>41I Firm Sales</v>
      </c>
      <c r="C22" s="726" t="s">
        <v>4</v>
      </c>
      <c r="D22" s="472">
        <f>'WA Volumes &amp; Revenues'!E23</f>
        <v>392890.20000000007</v>
      </c>
      <c r="E22" s="473">
        <f>'Rates in Detail'!E21</f>
        <v>0.34416000000000024</v>
      </c>
      <c r="F22" s="473">
        <f>'Rates in Detail'!L21+SUM('Rates in Detail'!P21:Q21)</f>
        <v>5.2900000000000003E-2</v>
      </c>
      <c r="G22" s="473">
        <f t="shared" si="19"/>
        <v>0.39706000000000025</v>
      </c>
      <c r="H22" s="281">
        <f t="shared" si="4"/>
        <v>135217</v>
      </c>
      <c r="I22" s="154">
        <f>'WA Volumes &amp; Revenues'!N23</f>
        <v>250</v>
      </c>
      <c r="J22" s="371">
        <f>'WA Volumes &amp; Revenues'!H23</f>
        <v>17.833333333333332</v>
      </c>
      <c r="K22" s="474">
        <f>ROUND((I22*J22*12)+H22+H23,0)+'Rev Req Proof Yr1'!Z25</f>
        <v>392613.82673589932</v>
      </c>
      <c r="L22" s="475"/>
      <c r="M22" s="925">
        <v>0</v>
      </c>
      <c r="N22" s="477">
        <f t="shared" si="5"/>
        <v>0</v>
      </c>
      <c r="O22" s="478">
        <f>ROUND(E22*$AE$22,5)</f>
        <v>0</v>
      </c>
      <c r="P22" s="476">
        <v>1</v>
      </c>
      <c r="Q22" s="477">
        <f>ROUND(+$P$10*(($K22*P22)/P$84),0)</f>
        <v>-6965</v>
      </c>
      <c r="R22" s="478">
        <f>ROUND(E22*$AI$22,5)</f>
        <v>-7.4000000000000003E-3</v>
      </c>
      <c r="S22" s="476">
        <v>1</v>
      </c>
      <c r="T22" s="477">
        <f>ROUND(+$S$10*(($K22*S22)/S$84),0)</f>
        <v>-3677</v>
      </c>
      <c r="U22" s="478">
        <f>ROUND(E22*$AM$22,5)</f>
        <v>-3.9100000000000003E-3</v>
      </c>
      <c r="V22" s="476">
        <v>1</v>
      </c>
      <c r="W22" s="477">
        <f>ROUND(+$V$10*(($K22*V22)/V$84),0)</f>
        <v>-354</v>
      </c>
      <c r="X22" s="478">
        <f>ROUND(E22*$AQ$22,5)</f>
        <v>-3.8000000000000002E-4</v>
      </c>
      <c r="Y22" s="899"/>
      <c r="Z22" s="899"/>
      <c r="AA22" s="899"/>
      <c r="AB22" s="899"/>
      <c r="AD22" s="433">
        <f t="shared" ref="AD22" si="20">N22/K22</f>
        <v>0</v>
      </c>
      <c r="AE22" s="433">
        <f>N22/SUM($H$22:$H$23)</f>
        <v>0</v>
      </c>
      <c r="AH22" s="433">
        <f t="shared" si="13"/>
        <v>-1.7740078228791385E-2</v>
      </c>
      <c r="AI22" s="433">
        <f>Q22/SUM($H$22:$H$23)</f>
        <v>-2.1514709698145378E-2</v>
      </c>
      <c r="AJ22" s="1135"/>
      <c r="AL22" s="433">
        <f t="shared" si="15"/>
        <v>-9.3654368481358094E-3</v>
      </c>
      <c r="AM22" s="433">
        <f>T22/SUM($H$22:$H$23)</f>
        <v>-1.1358160453708624E-2</v>
      </c>
      <c r="AP22" s="433">
        <f t="shared" si="17"/>
        <v>-9.0164934572751609E-4</v>
      </c>
      <c r="AQ22" s="433">
        <f>W22/SUM($H$22:$H$23)</f>
        <v>-1.0934970901857091E-3</v>
      </c>
    </row>
    <row r="23" spans="1:43" s="56" customFormat="1" x14ac:dyDescent="0.2">
      <c r="A23" s="86">
        <f t="shared" si="0"/>
        <v>17</v>
      </c>
      <c r="B23" s="723"/>
      <c r="C23" s="727" t="s">
        <v>5</v>
      </c>
      <c r="D23" s="466">
        <f>'WA Volumes &amp; Revenues'!E24</f>
        <v>621650.00000000012</v>
      </c>
      <c r="E23" s="463">
        <f>'Rates in Detail'!E22</f>
        <v>0.30325000000000002</v>
      </c>
      <c r="F23" s="463">
        <f>'Rates in Detail'!L22+SUM('Rates in Detail'!P22:Q22)</f>
        <v>4.6609999999999999E-2</v>
      </c>
      <c r="G23" s="463">
        <f t="shared" si="19"/>
        <v>0.34986</v>
      </c>
      <c r="H23" s="467">
        <f t="shared" si="4"/>
        <v>188515</v>
      </c>
      <c r="I23" s="468"/>
      <c r="J23" s="740"/>
      <c r="K23" s="467"/>
      <c r="L23" s="462"/>
      <c r="M23" s="923">
        <v>0</v>
      </c>
      <c r="N23" s="465"/>
      <c r="O23" s="470">
        <f>ROUND(E23*$AE$22,5)</f>
        <v>0</v>
      </c>
      <c r="P23" s="464">
        <v>1</v>
      </c>
      <c r="Q23" s="465"/>
      <c r="R23" s="470">
        <f>ROUND(E23*$AI$22,5)</f>
        <v>-6.5199999999999998E-3</v>
      </c>
      <c r="S23" s="464">
        <v>1</v>
      </c>
      <c r="T23" s="465"/>
      <c r="U23" s="470">
        <f>ROUND(E23*$AM$22,5)</f>
        <v>-3.4399999999999999E-3</v>
      </c>
      <c r="V23" s="464">
        <v>1</v>
      </c>
      <c r="W23" s="465"/>
      <c r="X23" s="470">
        <f>ROUND(E23*$AQ$22,5)</f>
        <v>-3.3E-4</v>
      </c>
      <c r="Y23" s="899"/>
      <c r="Z23" s="899"/>
      <c r="AA23" s="899"/>
      <c r="AB23" s="899"/>
    </row>
    <row r="24" spans="1:43" s="56" customFormat="1" x14ac:dyDescent="0.2">
      <c r="A24" s="86">
        <f t="shared" si="0"/>
        <v>18</v>
      </c>
      <c r="B24" s="725" t="str">
        <f>'WA Volumes &amp; Revenues'!B25</f>
        <v>41C Interr Sales</v>
      </c>
      <c r="C24" s="726" t="s">
        <v>4</v>
      </c>
      <c r="D24" s="479">
        <f>'WA Volumes &amp; Revenues'!E25</f>
        <v>0</v>
      </c>
      <c r="E24" s="473">
        <f>'Rates in Detail'!E23</f>
        <v>0.34372999999999987</v>
      </c>
      <c r="F24" s="473">
        <f>'Rates in Detail'!L23+SUM('Rates in Detail'!P23:Q23)</f>
        <v>4.0340000000000001E-2</v>
      </c>
      <c r="G24" s="473">
        <f t="shared" si="19"/>
        <v>0.38406999999999986</v>
      </c>
      <c r="H24" s="474">
        <f t="shared" si="4"/>
        <v>0</v>
      </c>
      <c r="I24" s="154">
        <f>'WA Volumes &amp; Revenues'!N25</f>
        <v>250</v>
      </c>
      <c r="J24" s="371">
        <f>'WA Volumes &amp; Revenues'!H25</f>
        <v>0</v>
      </c>
      <c r="K24" s="474">
        <f>ROUND((I24*J24*12)+H24+H25,0)+'Rev Req Proof Yr1'!Z28</f>
        <v>0</v>
      </c>
      <c r="L24" s="475"/>
      <c r="M24" s="925">
        <v>1</v>
      </c>
      <c r="N24" s="477">
        <f t="shared" si="5"/>
        <v>0</v>
      </c>
      <c r="O24" s="478">
        <f>ROUND(E24*$AE$24,5)</f>
        <v>-1.404E-2</v>
      </c>
      <c r="P24" s="476">
        <v>1</v>
      </c>
      <c r="Q24" s="477">
        <f>ROUND(+$P$10*(($K24*P24)/P$84),0)</f>
        <v>0</v>
      </c>
      <c r="R24" s="478">
        <f>ROUND(E24*$AI$24,5)</f>
        <v>-6.1000000000000004E-3</v>
      </c>
      <c r="S24" s="476">
        <v>1</v>
      </c>
      <c r="T24" s="477">
        <f>ROUND(+$S$10*(($K24*S24)/S$84),0)</f>
        <v>0</v>
      </c>
      <c r="U24" s="478">
        <f>ROUND(E24*$AM$24,5)</f>
        <v>-3.2200000000000002E-3</v>
      </c>
      <c r="V24" s="476">
        <v>1</v>
      </c>
      <c r="W24" s="477">
        <f>ROUND(+$V$10*(($K24*V24)/V$84),0)</f>
        <v>0</v>
      </c>
      <c r="X24" s="478">
        <f>ROUND(E24*$AQ$24,5)</f>
        <v>-3.1E-4</v>
      </c>
      <c r="Y24" s="899"/>
      <c r="Z24" s="899"/>
      <c r="AA24" s="899"/>
      <c r="AB24" s="899"/>
      <c r="AD24" s="433">
        <f>AD20</f>
        <v>-3.2100421674754277E-2</v>
      </c>
      <c r="AE24" s="433">
        <f>AE20</f>
        <v>-4.0834134730375941E-2</v>
      </c>
      <c r="AH24" s="433">
        <f>$AH$22</f>
        <v>-1.7740078228791385E-2</v>
      </c>
      <c r="AI24" s="433">
        <f>AH24</f>
        <v>-1.7740078228791385E-2</v>
      </c>
      <c r="AL24" s="433">
        <f>$AL$22</f>
        <v>-9.3654368481358094E-3</v>
      </c>
      <c r="AM24" s="1138">
        <f>AL24</f>
        <v>-9.3654368481358094E-3</v>
      </c>
      <c r="AP24" s="433">
        <f>$AP$22</f>
        <v>-9.0164934572751609E-4</v>
      </c>
      <c r="AQ24" s="1138">
        <f>AP24</f>
        <v>-9.0164934572751609E-4</v>
      </c>
    </row>
    <row r="25" spans="1:43" s="56" customFormat="1" x14ac:dyDescent="0.2">
      <c r="A25" s="86">
        <f t="shared" si="0"/>
        <v>19</v>
      </c>
      <c r="B25" s="723"/>
      <c r="C25" s="727" t="s">
        <v>5</v>
      </c>
      <c r="D25" s="466">
        <f>'WA Volumes &amp; Revenues'!E26</f>
        <v>0</v>
      </c>
      <c r="E25" s="463">
        <f>'Rates in Detail'!E24</f>
        <v>0.30284999999999984</v>
      </c>
      <c r="F25" s="463">
        <f>'Rates in Detail'!L24+SUM('Rates in Detail'!P24:Q24)</f>
        <v>3.5539999999999995E-2</v>
      </c>
      <c r="G25" s="463">
        <f t="shared" si="19"/>
        <v>0.33838999999999986</v>
      </c>
      <c r="H25" s="467">
        <f t="shared" si="4"/>
        <v>0</v>
      </c>
      <c r="I25" s="468"/>
      <c r="J25" s="740"/>
      <c r="K25" s="467"/>
      <c r="L25" s="462"/>
      <c r="M25" s="923">
        <v>1</v>
      </c>
      <c r="N25" s="465"/>
      <c r="O25" s="470">
        <f>ROUND(E25*$AE$24,5)</f>
        <v>-1.2370000000000001E-2</v>
      </c>
      <c r="P25" s="464">
        <v>1</v>
      </c>
      <c r="Q25" s="465"/>
      <c r="R25" s="470">
        <f>ROUND(E25*$AI$24,5)</f>
        <v>-5.3699999999999998E-3</v>
      </c>
      <c r="S25" s="464">
        <v>1</v>
      </c>
      <c r="T25" s="465"/>
      <c r="U25" s="470">
        <f>ROUND(E25*$AM$24,5)</f>
        <v>-2.8400000000000001E-3</v>
      </c>
      <c r="V25" s="464">
        <v>1</v>
      </c>
      <c r="W25" s="465"/>
      <c r="X25" s="470">
        <f>ROUND(E25*$AQ$24,5)</f>
        <v>-2.7E-4</v>
      </c>
      <c r="Y25" s="899"/>
      <c r="Z25" s="899"/>
      <c r="AA25" s="899"/>
      <c r="AB25" s="899"/>
    </row>
    <row r="26" spans="1:43" s="56" customFormat="1" x14ac:dyDescent="0.2">
      <c r="A26" s="86">
        <f t="shared" si="0"/>
        <v>20</v>
      </c>
      <c r="B26" s="725" t="str">
        <f>'WA Volumes &amp; Revenues'!B27</f>
        <v>41I Interr Sales</v>
      </c>
      <c r="C26" s="726" t="s">
        <v>4</v>
      </c>
      <c r="D26" s="479">
        <f>'WA Volumes &amp; Revenues'!E27</f>
        <v>0</v>
      </c>
      <c r="E26" s="473">
        <f>'Rates in Detail'!E25</f>
        <v>0.34372999999999987</v>
      </c>
      <c r="F26" s="473">
        <f>'Rates in Detail'!L25+SUM('Rates in Detail'!P25:Q25)</f>
        <v>4.0340000000000001E-2</v>
      </c>
      <c r="G26" s="473">
        <f t="shared" si="19"/>
        <v>0.38406999999999986</v>
      </c>
      <c r="H26" s="474">
        <f t="shared" si="4"/>
        <v>0</v>
      </c>
      <c r="I26" s="154">
        <f>'WA Volumes &amp; Revenues'!N27</f>
        <v>250</v>
      </c>
      <c r="J26" s="371">
        <f>'WA Volumes &amp; Revenues'!H27</f>
        <v>0</v>
      </c>
      <c r="K26" s="474">
        <f>ROUND((I26*J26*12)+H26+H27,0)+'Rev Req Proof Yr1'!Z31</f>
        <v>0</v>
      </c>
      <c r="L26" s="475"/>
      <c r="M26" s="925">
        <v>0</v>
      </c>
      <c r="N26" s="477">
        <f t="shared" si="5"/>
        <v>0</v>
      </c>
      <c r="O26" s="478">
        <f>ROUND(E26*$AE$26,5)</f>
        <v>0</v>
      </c>
      <c r="P26" s="476">
        <v>1</v>
      </c>
      <c r="Q26" s="477">
        <f>ROUND(+$P$10*(($K26*P26)/P$84),0)</f>
        <v>0</v>
      </c>
      <c r="R26" s="478">
        <f>ROUND(E26*$AI$26,5)</f>
        <v>-6.1000000000000004E-3</v>
      </c>
      <c r="S26" s="476">
        <v>1</v>
      </c>
      <c r="T26" s="477">
        <f>ROUND(+$S$10*(($K26*S26)/S$84),0)</f>
        <v>0</v>
      </c>
      <c r="U26" s="478">
        <f>ROUND(E26*$AM$26,5)</f>
        <v>-3.2200000000000002E-3</v>
      </c>
      <c r="V26" s="476">
        <v>1</v>
      </c>
      <c r="W26" s="477">
        <f>ROUND(+$V$10*(($K26*V26)/V$84),0)</f>
        <v>0</v>
      </c>
      <c r="X26" s="478">
        <f>ROUND(E26*$AQ$26,5)</f>
        <v>-3.1E-4</v>
      </c>
      <c r="Y26" s="899"/>
      <c r="Z26" s="899"/>
      <c r="AA26" s="899"/>
      <c r="AB26" s="899"/>
      <c r="AD26" s="433">
        <f>$AD$22</f>
        <v>0</v>
      </c>
      <c r="AE26" s="433">
        <f>$AE$22</f>
        <v>0</v>
      </c>
      <c r="AH26" s="433">
        <f>$AH$22</f>
        <v>-1.7740078228791385E-2</v>
      </c>
      <c r="AI26" s="433">
        <f>AH26</f>
        <v>-1.7740078228791385E-2</v>
      </c>
      <c r="AL26" s="433">
        <f>$AL$22</f>
        <v>-9.3654368481358094E-3</v>
      </c>
      <c r="AM26" s="1138">
        <f>AL26</f>
        <v>-9.3654368481358094E-3</v>
      </c>
      <c r="AP26" s="433">
        <f>$AP$22</f>
        <v>-9.0164934572751609E-4</v>
      </c>
      <c r="AQ26" s="1138">
        <f>AP26</f>
        <v>-9.0164934572751609E-4</v>
      </c>
    </row>
    <row r="27" spans="1:43" s="56" customFormat="1" x14ac:dyDescent="0.2">
      <c r="A27" s="86">
        <f t="shared" si="0"/>
        <v>21</v>
      </c>
      <c r="B27" s="723"/>
      <c r="C27" s="727" t="s">
        <v>5</v>
      </c>
      <c r="D27" s="466">
        <f>'WA Volumes &amp; Revenues'!E28</f>
        <v>0</v>
      </c>
      <c r="E27" s="463">
        <f>'Rates in Detail'!E26</f>
        <v>0.30284999999999984</v>
      </c>
      <c r="F27" s="463">
        <f>'Rates in Detail'!L26+SUM('Rates in Detail'!P26:Q26)</f>
        <v>3.5539999999999995E-2</v>
      </c>
      <c r="G27" s="463">
        <f t="shared" si="19"/>
        <v>0.33838999999999986</v>
      </c>
      <c r="H27" s="467">
        <f t="shared" si="4"/>
        <v>0</v>
      </c>
      <c r="I27" s="468"/>
      <c r="J27" s="740"/>
      <c r="K27" s="467"/>
      <c r="L27" s="462"/>
      <c r="M27" s="923">
        <v>0</v>
      </c>
      <c r="N27" s="465"/>
      <c r="O27" s="470">
        <f>ROUND(E27*$AE$26,5)</f>
        <v>0</v>
      </c>
      <c r="P27" s="464">
        <v>1</v>
      </c>
      <c r="Q27" s="465"/>
      <c r="R27" s="470">
        <f>ROUND(E27*$AI$26,5)</f>
        <v>-5.3699999999999998E-3</v>
      </c>
      <c r="S27" s="464">
        <v>1</v>
      </c>
      <c r="T27" s="465"/>
      <c r="U27" s="470">
        <f>ROUND(E27*$AM$26,5)</f>
        <v>-2.8400000000000001E-3</v>
      </c>
      <c r="V27" s="464">
        <v>1</v>
      </c>
      <c r="W27" s="465"/>
      <c r="X27" s="470">
        <f>ROUND(E27*$AQ$26,5)</f>
        <v>-2.7E-4</v>
      </c>
      <c r="Y27" s="899"/>
      <c r="Z27" s="899"/>
      <c r="AA27" s="899"/>
      <c r="AB27" s="899"/>
    </row>
    <row r="28" spans="1:43" s="56" customFormat="1" x14ac:dyDescent="0.2">
      <c r="A28" s="86">
        <f t="shared" si="0"/>
        <v>22</v>
      </c>
      <c r="B28" s="725" t="str">
        <f>'WA Volumes &amp; Revenues'!B29</f>
        <v>41C Firm Transpt</v>
      </c>
      <c r="C28" s="726" t="s">
        <v>4</v>
      </c>
      <c r="D28" s="479">
        <f>'WA Volumes &amp; Revenues'!E29</f>
        <v>168721</v>
      </c>
      <c r="E28" s="473">
        <f>'Rates in Detail'!E27</f>
        <v>0.34791</v>
      </c>
      <c r="F28" s="473">
        <f>'Rates in Detail'!L27+SUM('Rates in Detail'!P27:Q27)</f>
        <v>5.8799999999999998E-2</v>
      </c>
      <c r="G28" s="473">
        <f t="shared" si="19"/>
        <v>0.40671000000000002</v>
      </c>
      <c r="H28" s="474">
        <f t="shared" si="4"/>
        <v>58700</v>
      </c>
      <c r="I28" s="154">
        <f>'WA Volumes &amp; Revenues'!N29</f>
        <v>500</v>
      </c>
      <c r="J28" s="371">
        <f>'WA Volumes &amp; Revenues'!H29</f>
        <v>7.916666666666667</v>
      </c>
      <c r="K28" s="474">
        <f>ROUND((I28*J28*12)+H28+H29,0)+'Rev Req Proof Yr1'!Z34</f>
        <v>189842</v>
      </c>
      <c r="L28" s="475"/>
      <c r="M28" s="925">
        <v>0</v>
      </c>
      <c r="N28" s="477">
        <f t="shared" si="5"/>
        <v>0</v>
      </c>
      <c r="O28" s="478">
        <f>ROUND(E28*$AE$28,5)</f>
        <v>0</v>
      </c>
      <c r="P28" s="476">
        <v>1</v>
      </c>
      <c r="Q28" s="477">
        <f>ROUND(+$P$10*(($K28*P28)/P$84),0)</f>
        <v>-3368</v>
      </c>
      <c r="R28" s="478">
        <f>ROUND(E28*$AI$28,5)</f>
        <v>-8.2299999999999995E-3</v>
      </c>
      <c r="S28" s="476">
        <v>1</v>
      </c>
      <c r="T28" s="477">
        <f>ROUND(+$S$10*(($K28*S28)/S$84),0)</f>
        <v>-1778</v>
      </c>
      <c r="U28" s="478">
        <f>ROUND(E28*$AM$28,5)</f>
        <v>-4.3499999999999997E-3</v>
      </c>
      <c r="V28" s="476">
        <v>1</v>
      </c>
      <c r="W28" s="477">
        <f>ROUND(+$V$10*(($K28*V28)/V$84),0)</f>
        <v>-171</v>
      </c>
      <c r="X28" s="478">
        <f>ROUND(E28*$AQ$28,5)</f>
        <v>-4.2000000000000002E-4</v>
      </c>
      <c r="Y28" s="899"/>
      <c r="Z28" s="899"/>
      <c r="AA28" s="899"/>
      <c r="AB28" s="899"/>
      <c r="AD28" s="433">
        <f t="shared" ref="AD28" si="21">N28/K28</f>
        <v>0</v>
      </c>
      <c r="AE28" s="433">
        <f>N28/SUM($H$28:$H$29)</f>
        <v>0</v>
      </c>
      <c r="AH28" s="433">
        <f t="shared" ref="AH28:AH32" si="22">Q28/K28</f>
        <v>-1.7741068888865476E-2</v>
      </c>
      <c r="AI28" s="433">
        <f>Q28/SUM($H$28:$H$29)</f>
        <v>-2.3661322729763526E-2</v>
      </c>
      <c r="AL28" s="433">
        <f t="shared" si="15"/>
        <v>-9.3656830416872974E-3</v>
      </c>
      <c r="AM28" s="433">
        <f>T28/SUM($H$28:$H$29)</f>
        <v>-1.2491042699976114E-2</v>
      </c>
      <c r="AP28" s="433">
        <f t="shared" si="17"/>
        <v>-9.0074904394180425E-4</v>
      </c>
      <c r="AQ28" s="433">
        <f>W28/SUM($H$28:$H$29)</f>
        <v>-1.2013320032035521E-3</v>
      </c>
    </row>
    <row r="29" spans="1:43" s="56" customFormat="1" x14ac:dyDescent="0.2">
      <c r="A29" s="86">
        <f t="shared" si="0"/>
        <v>23</v>
      </c>
      <c r="B29" s="723"/>
      <c r="C29" s="727" t="s">
        <v>5</v>
      </c>
      <c r="D29" s="466">
        <f>'WA Volumes &amp; Revenues'!E30</f>
        <v>272866</v>
      </c>
      <c r="E29" s="463">
        <f>'Rates in Detail'!E28</f>
        <v>0.30653000000000008</v>
      </c>
      <c r="F29" s="463">
        <f>'Rates in Detail'!L28+SUM('Rates in Detail'!P28:Q28)</f>
        <v>5.1810000000000002E-2</v>
      </c>
      <c r="G29" s="463">
        <f t="shared" si="19"/>
        <v>0.3583400000000001</v>
      </c>
      <c r="H29" s="467">
        <f t="shared" si="4"/>
        <v>83642</v>
      </c>
      <c r="I29" s="468"/>
      <c r="J29" s="740"/>
      <c r="K29" s="467"/>
      <c r="L29" s="462"/>
      <c r="M29" s="923">
        <v>0</v>
      </c>
      <c r="N29" s="465"/>
      <c r="O29" s="470">
        <f>ROUND(E29*$AE$28,5)</f>
        <v>0</v>
      </c>
      <c r="P29" s="464">
        <v>1</v>
      </c>
      <c r="Q29" s="465"/>
      <c r="R29" s="470">
        <f>ROUND(E29*$AI$28,5)</f>
        <v>-7.2500000000000004E-3</v>
      </c>
      <c r="S29" s="464">
        <v>1</v>
      </c>
      <c r="T29" s="465"/>
      <c r="U29" s="470">
        <f>ROUND(E29*$AM$28,5)</f>
        <v>-3.8300000000000001E-3</v>
      </c>
      <c r="V29" s="464">
        <v>1</v>
      </c>
      <c r="W29" s="465"/>
      <c r="X29" s="470">
        <f>ROUND(E29*$AQ$28,5)</f>
        <v>-3.6999999999999999E-4</v>
      </c>
      <c r="Y29" s="899"/>
      <c r="Z29" s="899"/>
      <c r="AA29" s="899"/>
      <c r="AB29" s="899"/>
    </row>
    <row r="30" spans="1:43" s="56" customFormat="1" x14ac:dyDescent="0.2">
      <c r="A30" s="86">
        <f t="shared" si="0"/>
        <v>24</v>
      </c>
      <c r="B30" s="725" t="str">
        <f>'WA Volumes &amp; Revenues'!B31</f>
        <v>41I Firm Transpt</v>
      </c>
      <c r="C30" s="726" t="s">
        <v>4</v>
      </c>
      <c r="D30" s="479">
        <f>'WA Volumes &amp; Revenues'!E31</f>
        <v>0</v>
      </c>
      <c r="E30" s="473">
        <f>'Rates in Detail'!E29</f>
        <v>0.34791</v>
      </c>
      <c r="F30" s="473">
        <f>'Rates in Detail'!L29+SUM('Rates in Detail'!P29:Q29)</f>
        <v>4.0829999999999998E-2</v>
      </c>
      <c r="G30" s="473">
        <f t="shared" si="19"/>
        <v>0.38873999999999997</v>
      </c>
      <c r="H30" s="474">
        <f t="shared" si="4"/>
        <v>0</v>
      </c>
      <c r="I30" s="154">
        <f>'WA Volumes &amp; Revenues'!N31</f>
        <v>500</v>
      </c>
      <c r="J30" s="371">
        <f>'WA Volumes &amp; Revenues'!H31</f>
        <v>0</v>
      </c>
      <c r="K30" s="474">
        <f>ROUND((I30*J30*12)+H30+H31,0)+'Rev Req Proof Yr1'!Z37</f>
        <v>0</v>
      </c>
      <c r="L30" s="475"/>
      <c r="M30" s="925">
        <v>0</v>
      </c>
      <c r="N30" s="477">
        <f t="shared" si="5"/>
        <v>0</v>
      </c>
      <c r="O30" s="478">
        <f>ROUND(E30*$AE$30,5)</f>
        <v>0</v>
      </c>
      <c r="P30" s="476">
        <v>1</v>
      </c>
      <c r="Q30" s="477">
        <f>ROUND(+$P$10*(($K30*P30)/P$84),0)</f>
        <v>0</v>
      </c>
      <c r="R30" s="478">
        <f>ROUND(E30*$AI$30,5)</f>
        <v>-6.1700000000000001E-3</v>
      </c>
      <c r="S30" s="476">
        <v>1</v>
      </c>
      <c r="T30" s="477">
        <f>ROUND(+$S$10*(($K30*S30)/S$84),0)</f>
        <v>0</v>
      </c>
      <c r="U30" s="478">
        <f>ROUND(E30*$AM$30,5)</f>
        <v>-3.2599999999999999E-3</v>
      </c>
      <c r="V30" s="476">
        <v>1</v>
      </c>
      <c r="W30" s="477">
        <f>ROUND(+$V$10*(($K30*V30)/V$84),0)</f>
        <v>0</v>
      </c>
      <c r="X30" s="478">
        <f>ROUND(E30*$AQ$30,5)</f>
        <v>-3.1E-4</v>
      </c>
      <c r="Y30" s="899"/>
      <c r="Z30" s="899"/>
      <c r="AA30" s="899"/>
      <c r="AB30" s="899"/>
      <c r="AD30" s="433">
        <f>$AD$22</f>
        <v>0</v>
      </c>
      <c r="AE30" s="433">
        <f>$AE$22</f>
        <v>0</v>
      </c>
      <c r="AH30" s="433">
        <f>$AH$22</f>
        <v>-1.7740078228791385E-2</v>
      </c>
      <c r="AI30" s="433">
        <f>AH30</f>
        <v>-1.7740078228791385E-2</v>
      </c>
      <c r="AL30" s="433">
        <f>$AL$22</f>
        <v>-9.3654368481358094E-3</v>
      </c>
      <c r="AM30" s="1138">
        <f>AL30</f>
        <v>-9.3654368481358094E-3</v>
      </c>
      <c r="AP30" s="433">
        <f>$AP$22</f>
        <v>-9.0164934572751609E-4</v>
      </c>
      <c r="AQ30" s="1138">
        <f>AP30</f>
        <v>-9.0164934572751609E-4</v>
      </c>
    </row>
    <row r="31" spans="1:43" s="56" customFormat="1" x14ac:dyDescent="0.2">
      <c r="A31" s="86">
        <f t="shared" si="0"/>
        <v>25</v>
      </c>
      <c r="B31" s="723"/>
      <c r="C31" s="727" t="s">
        <v>5</v>
      </c>
      <c r="D31" s="466">
        <f>'WA Volumes &amp; Revenues'!E32</f>
        <v>0</v>
      </c>
      <c r="E31" s="463">
        <f>'Rates in Detail'!E30</f>
        <v>0.30653000000000008</v>
      </c>
      <c r="F31" s="463">
        <f>'Rates in Detail'!L30+SUM('Rates in Detail'!P30:Q30)</f>
        <v>3.5980000000000005E-2</v>
      </c>
      <c r="G31" s="463">
        <f t="shared" si="19"/>
        <v>0.34251000000000009</v>
      </c>
      <c r="H31" s="467">
        <f t="shared" si="4"/>
        <v>0</v>
      </c>
      <c r="I31" s="468"/>
      <c r="J31" s="740"/>
      <c r="K31" s="467"/>
      <c r="L31" s="462"/>
      <c r="M31" s="923">
        <v>0</v>
      </c>
      <c r="N31" s="465"/>
      <c r="O31" s="470">
        <f>ROUND(E31*$AE$30,5)</f>
        <v>0</v>
      </c>
      <c r="P31" s="464">
        <v>1</v>
      </c>
      <c r="Q31" s="465"/>
      <c r="R31" s="470">
        <f>ROUND(E31*$AI$30,5)</f>
        <v>-5.4400000000000004E-3</v>
      </c>
      <c r="S31" s="464">
        <v>1</v>
      </c>
      <c r="T31" s="465"/>
      <c r="U31" s="470">
        <f>ROUND(E31*$AM$30,5)</f>
        <v>-2.8700000000000002E-3</v>
      </c>
      <c r="V31" s="464">
        <v>1</v>
      </c>
      <c r="W31" s="465"/>
      <c r="X31" s="470">
        <f>ROUND(E31*$AQ$30,5)</f>
        <v>-2.7999999999999998E-4</v>
      </c>
      <c r="Y31" s="899"/>
      <c r="Z31" s="899"/>
      <c r="AA31" s="899"/>
      <c r="AB31" s="899"/>
    </row>
    <row r="32" spans="1:43" s="56" customFormat="1" x14ac:dyDescent="0.2">
      <c r="A32" s="86">
        <f t="shared" si="0"/>
        <v>26</v>
      </c>
      <c r="B32" s="725" t="str">
        <f>'WA Volumes &amp; Revenues'!B33</f>
        <v>42C Firm Sales</v>
      </c>
      <c r="C32" s="726" t="s">
        <v>4</v>
      </c>
      <c r="D32" s="479">
        <f>'WA Volumes &amp; Revenues'!E33</f>
        <v>350769.66174469434</v>
      </c>
      <c r="E32" s="473">
        <f>'Rates in Detail'!E31</f>
        <v>0.15245999999999996</v>
      </c>
      <c r="F32" s="473">
        <f>'Rates in Detail'!L31+SUM('Rates in Detail'!P31:Q31)</f>
        <v>4.1859999999999994E-2</v>
      </c>
      <c r="G32" s="473">
        <f t="shared" si="19"/>
        <v>0.19431999999999994</v>
      </c>
      <c r="H32" s="474">
        <f t="shared" si="4"/>
        <v>53478</v>
      </c>
      <c r="I32" s="154">
        <f>'WA Volumes &amp; Revenues'!N33</f>
        <v>1300</v>
      </c>
      <c r="J32" s="371">
        <f>'WA Volumes &amp; Revenues'!H33</f>
        <v>5</v>
      </c>
      <c r="K32" s="474">
        <f>ROUND((I32*J32*12)+H32+H33+H34+H35+H36+H37,0)+'Rev Req Proof Yr1'!Y44+'Rev Req Proof Yr1'!Z44</f>
        <v>219575.29677293496</v>
      </c>
      <c r="L32" s="475"/>
      <c r="M32" s="925">
        <v>1</v>
      </c>
      <c r="N32" s="480">
        <f t="shared" si="5"/>
        <v>-7048</v>
      </c>
      <c r="O32" s="478">
        <f>ROUND(E32*$AE$32,5)</f>
        <v>-1.06E-2</v>
      </c>
      <c r="P32" s="476">
        <v>1</v>
      </c>
      <c r="Q32" s="480">
        <f>ROUND(+$P$10*(($K32*P32)/P$84),0)</f>
        <v>-3896</v>
      </c>
      <c r="R32" s="478">
        <f>ROUND(E32*$AI$32,5)</f>
        <v>-5.8599999999999998E-3</v>
      </c>
      <c r="S32" s="476">
        <v>1</v>
      </c>
      <c r="T32" s="480">
        <f>ROUND(+$S$10*(($K32*S32)/S$84),0)</f>
        <v>-2056</v>
      </c>
      <c r="U32" s="478">
        <f>ROUND(E32*$AM$32,5)</f>
        <v>-3.0899999999999999E-3</v>
      </c>
      <c r="V32" s="476">
        <v>1</v>
      </c>
      <c r="W32" s="480">
        <f>ROUND(+$V$10*(($K32*V32)/V$84),0)</f>
        <v>-198</v>
      </c>
      <c r="X32" s="478">
        <f>ROUND(E32*$AQ$32,5)</f>
        <v>-2.9999999999999997E-4</v>
      </c>
      <c r="Y32" s="899"/>
      <c r="Z32" s="899"/>
      <c r="AA32" s="899"/>
      <c r="AB32" s="899"/>
      <c r="AD32" s="433">
        <f t="shared" ref="AD32" si="23">N32/K32</f>
        <v>-3.209832847129615E-2</v>
      </c>
      <c r="AE32" s="433">
        <f>N32/SUM($H$32:$H$37)</f>
        <v>-6.9530217232602651E-2</v>
      </c>
      <c r="AH32" s="433">
        <f t="shared" si="22"/>
        <v>-1.7743343888219326E-2</v>
      </c>
      <c r="AI32" s="433">
        <f>Q32/SUM($H$32:$H$37)</f>
        <v>-3.8434978197817805E-2</v>
      </c>
      <c r="AL32" s="433">
        <f t="shared" si="15"/>
        <v>-9.3635305529206712E-3</v>
      </c>
      <c r="AM32" s="433">
        <f>T32/SUM($H$32:$H$37)</f>
        <v>-2.0282935106445948E-2</v>
      </c>
      <c r="AP32" s="433">
        <f t="shared" si="17"/>
        <v>-9.0174078282018134E-4</v>
      </c>
      <c r="AQ32" s="433">
        <f>W32/SUM($H$32:$H$37)</f>
        <v>-1.9533176804845806E-3</v>
      </c>
    </row>
    <row r="33" spans="1:43" s="56" customFormat="1" x14ac:dyDescent="0.2">
      <c r="A33" s="86">
        <f t="shared" si="0"/>
        <v>27</v>
      </c>
      <c r="B33" s="725"/>
      <c r="C33" s="726" t="s">
        <v>5</v>
      </c>
      <c r="D33" s="479">
        <f>'WA Volumes &amp; Revenues'!E34</f>
        <v>303088.75426472601</v>
      </c>
      <c r="E33" s="473">
        <f>'Rates in Detail'!E32</f>
        <v>0.1364699999999997</v>
      </c>
      <c r="F33" s="473">
        <f>'Rates in Detail'!L32+SUM('Rates in Detail'!P32:Q32)</f>
        <v>3.746E-2</v>
      </c>
      <c r="G33" s="473">
        <f t="shared" si="19"/>
        <v>0.1739299999999997</v>
      </c>
      <c r="H33" s="474">
        <f t="shared" si="4"/>
        <v>41363</v>
      </c>
      <c r="I33" s="154"/>
      <c r="J33" s="371"/>
      <c r="K33" s="474"/>
      <c r="L33" s="475"/>
      <c r="M33" s="925">
        <v>1</v>
      </c>
      <c r="N33" s="270"/>
      <c r="O33" s="478">
        <f t="shared" ref="O33:O37" si="24">ROUND(E33*$AE$32,5)</f>
        <v>-9.4900000000000002E-3</v>
      </c>
      <c r="P33" s="476">
        <v>1</v>
      </c>
      <c r="Q33" s="270"/>
      <c r="R33" s="478">
        <f t="shared" ref="R33:R37" si="25">ROUND(E33*$AI$32,5)</f>
        <v>-5.2500000000000003E-3</v>
      </c>
      <c r="S33" s="476">
        <v>1</v>
      </c>
      <c r="T33" s="270"/>
      <c r="U33" s="478">
        <f t="shared" ref="U33:U37" si="26">ROUND(E33*$AM$32,5)</f>
        <v>-2.7699999999999999E-3</v>
      </c>
      <c r="V33" s="476">
        <v>1</v>
      </c>
      <c r="W33" s="270"/>
      <c r="X33" s="478">
        <f t="shared" ref="X33:X37" si="27">ROUND(E33*$AQ$32,5)</f>
        <v>-2.7E-4</v>
      </c>
      <c r="Y33" s="899"/>
      <c r="Z33" s="899"/>
      <c r="AA33" s="899"/>
      <c r="AB33" s="899"/>
      <c r="AD33" s="433"/>
      <c r="AE33" s="433"/>
    </row>
    <row r="34" spans="1:43" s="56" customFormat="1" x14ac:dyDescent="0.2">
      <c r="A34" s="86">
        <f t="shared" si="0"/>
        <v>28</v>
      </c>
      <c r="B34" s="725"/>
      <c r="C34" s="726" t="s">
        <v>6</v>
      </c>
      <c r="D34" s="479">
        <f>'WA Volumes &amp; Revenues'!E35</f>
        <v>59441.942130257296</v>
      </c>
      <c r="E34" s="473">
        <f>'Rates in Detail'!E33</f>
        <v>0.1046699999999999</v>
      </c>
      <c r="F34" s="473">
        <f>'Rates in Detail'!L33+SUM('Rates in Detail'!P33:Q33)</f>
        <v>2.8739999999999998E-2</v>
      </c>
      <c r="G34" s="473">
        <f t="shared" si="19"/>
        <v>0.13340999999999989</v>
      </c>
      <c r="H34" s="474">
        <f t="shared" si="4"/>
        <v>6222</v>
      </c>
      <c r="I34" s="154"/>
      <c r="J34" s="371"/>
      <c r="K34" s="474"/>
      <c r="L34" s="475"/>
      <c r="M34" s="925">
        <v>1</v>
      </c>
      <c r="N34" s="270"/>
      <c r="O34" s="478">
        <f t="shared" si="24"/>
        <v>-7.28E-3</v>
      </c>
      <c r="P34" s="476">
        <v>1</v>
      </c>
      <c r="Q34" s="270"/>
      <c r="R34" s="478">
        <f t="shared" si="25"/>
        <v>-4.0200000000000001E-3</v>
      </c>
      <c r="S34" s="476">
        <v>1</v>
      </c>
      <c r="T34" s="270"/>
      <c r="U34" s="478">
        <f t="shared" si="26"/>
        <v>-2.1199999999999999E-3</v>
      </c>
      <c r="V34" s="476">
        <v>1</v>
      </c>
      <c r="W34" s="270"/>
      <c r="X34" s="478">
        <f t="shared" si="27"/>
        <v>-2.0000000000000001E-4</v>
      </c>
      <c r="Y34" s="899"/>
      <c r="Z34" s="899"/>
      <c r="AA34" s="899"/>
      <c r="AB34" s="899"/>
    </row>
    <row r="35" spans="1:43" s="56" customFormat="1" x14ac:dyDescent="0.2">
      <c r="A35" s="86">
        <f t="shared" si="0"/>
        <v>29</v>
      </c>
      <c r="B35" s="725"/>
      <c r="C35" s="726" t="s">
        <v>7</v>
      </c>
      <c r="D35" s="479">
        <f>'WA Volumes &amp; Revenues'!E36</f>
        <v>3614.6071898605187</v>
      </c>
      <c r="E35" s="473">
        <f>'Rates in Detail'!E34</f>
        <v>8.3729999999999999E-2</v>
      </c>
      <c r="F35" s="1176">
        <f>'Rates in Detail'!L34+SUM('Rates in Detail'!P34:Q34)</f>
        <v>2.298E-2</v>
      </c>
      <c r="G35" s="473">
        <f t="shared" si="19"/>
        <v>0.10671</v>
      </c>
      <c r="H35" s="474">
        <f t="shared" si="4"/>
        <v>303</v>
      </c>
      <c r="I35" s="154"/>
      <c r="J35" s="371"/>
      <c r="K35" s="474"/>
      <c r="L35" s="475"/>
      <c r="M35" s="925">
        <v>1</v>
      </c>
      <c r="N35" s="270"/>
      <c r="O35" s="478">
        <f t="shared" si="24"/>
        <v>-5.8199999999999997E-3</v>
      </c>
      <c r="P35" s="476">
        <v>1</v>
      </c>
      <c r="Q35" s="270"/>
      <c r="R35" s="478">
        <f t="shared" si="25"/>
        <v>-3.2200000000000002E-3</v>
      </c>
      <c r="S35" s="476">
        <v>1</v>
      </c>
      <c r="T35" s="270"/>
      <c r="U35" s="478">
        <f t="shared" si="26"/>
        <v>-1.6999999999999999E-3</v>
      </c>
      <c r="V35" s="476">
        <v>1</v>
      </c>
      <c r="W35" s="270"/>
      <c r="X35" s="478">
        <f t="shared" si="27"/>
        <v>-1.6000000000000001E-4</v>
      </c>
      <c r="Y35" s="899"/>
      <c r="Z35" s="899"/>
      <c r="AA35" s="899"/>
      <c r="AB35" s="899"/>
    </row>
    <row r="36" spans="1:43" s="56" customFormat="1" x14ac:dyDescent="0.2">
      <c r="A36" s="86">
        <f t="shared" si="0"/>
        <v>30</v>
      </c>
      <c r="B36" s="725"/>
      <c r="C36" s="726" t="s">
        <v>8</v>
      </c>
      <c r="D36" s="479">
        <f>'WA Volumes &amp; Revenues'!E37</f>
        <v>0</v>
      </c>
      <c r="E36" s="473">
        <f>'Rates in Detail'!E35</f>
        <v>5.5809999999999992E-2</v>
      </c>
      <c r="F36" s="1176">
        <f>'Rates in Detail'!L35+SUM('Rates in Detail'!P35:Q35)</f>
        <v>1.532E-2</v>
      </c>
      <c r="G36" s="473">
        <f t="shared" si="19"/>
        <v>7.1129999999999999E-2</v>
      </c>
      <c r="H36" s="474">
        <f t="shared" si="4"/>
        <v>0</v>
      </c>
      <c r="I36" s="154"/>
      <c r="J36" s="371"/>
      <c r="K36" s="474"/>
      <c r="L36" s="475"/>
      <c r="M36" s="925">
        <v>1</v>
      </c>
      <c r="N36" s="270"/>
      <c r="O36" s="478">
        <f t="shared" si="24"/>
        <v>-3.8800000000000002E-3</v>
      </c>
      <c r="P36" s="476">
        <v>1</v>
      </c>
      <c r="Q36" s="270"/>
      <c r="R36" s="478">
        <f t="shared" si="25"/>
        <v>-2.15E-3</v>
      </c>
      <c r="S36" s="476">
        <v>1</v>
      </c>
      <c r="T36" s="270"/>
      <c r="U36" s="478">
        <f t="shared" si="26"/>
        <v>-1.1299999999999999E-3</v>
      </c>
      <c r="V36" s="476">
        <v>1</v>
      </c>
      <c r="W36" s="270"/>
      <c r="X36" s="478">
        <f t="shared" si="27"/>
        <v>-1.1E-4</v>
      </c>
      <c r="Y36" s="899"/>
      <c r="Z36" s="899"/>
      <c r="AA36" s="899"/>
      <c r="AB36" s="899"/>
    </row>
    <row r="37" spans="1:43" s="56" customFormat="1" x14ac:dyDescent="0.2">
      <c r="A37" s="86">
        <f t="shared" si="0"/>
        <v>31</v>
      </c>
      <c r="B37" s="723"/>
      <c r="C37" s="727" t="s">
        <v>9</v>
      </c>
      <c r="D37" s="466">
        <f>'WA Volumes &amp; Revenues'!E38</f>
        <v>0</v>
      </c>
      <c r="E37" s="463">
        <f>'Rates in Detail'!E36</f>
        <v>2.0920000000000029E-2</v>
      </c>
      <c r="F37" s="770">
        <f>'Rates in Detail'!L36+SUM('Rates in Detail'!P36:Q36)</f>
        <v>5.7499999999999999E-3</v>
      </c>
      <c r="G37" s="463">
        <f t="shared" si="19"/>
        <v>2.6670000000000027E-2</v>
      </c>
      <c r="H37" s="467">
        <f t="shared" si="4"/>
        <v>0</v>
      </c>
      <c r="I37" s="468"/>
      <c r="J37" s="740"/>
      <c r="K37" s="467"/>
      <c r="L37" s="462"/>
      <c r="M37" s="923">
        <v>1</v>
      </c>
      <c r="N37" s="465"/>
      <c r="O37" s="470">
        <f t="shared" si="24"/>
        <v>-1.4499999999999999E-3</v>
      </c>
      <c r="P37" s="464">
        <v>1</v>
      </c>
      <c r="Q37" s="465"/>
      <c r="R37" s="470">
        <f t="shared" si="25"/>
        <v>-8.0000000000000004E-4</v>
      </c>
      <c r="S37" s="464">
        <v>1</v>
      </c>
      <c r="T37" s="465"/>
      <c r="U37" s="470">
        <f t="shared" si="26"/>
        <v>-4.2000000000000002E-4</v>
      </c>
      <c r="V37" s="464">
        <v>1</v>
      </c>
      <c r="W37" s="465"/>
      <c r="X37" s="470">
        <f t="shared" si="27"/>
        <v>-4.0000000000000003E-5</v>
      </c>
      <c r="Y37" s="899"/>
      <c r="Z37" s="899"/>
      <c r="AA37" s="899"/>
      <c r="AB37" s="899"/>
    </row>
    <row r="38" spans="1:43" s="56" customFormat="1" x14ac:dyDescent="0.2">
      <c r="A38" s="86">
        <f t="shared" si="0"/>
        <v>32</v>
      </c>
      <c r="B38" s="725" t="str">
        <f>'WA Volumes &amp; Revenues'!B39</f>
        <v>42I Firm Sales</v>
      </c>
      <c r="C38" s="726" t="s">
        <v>4</v>
      </c>
      <c r="D38" s="479">
        <f>'WA Volumes &amp; Revenues'!E39</f>
        <v>1093724.2000000002</v>
      </c>
      <c r="E38" s="473">
        <f>'Rates in Detail'!E37</f>
        <v>0.14721000000000001</v>
      </c>
      <c r="F38" s="1176">
        <f>'Rates in Detail'!L37+SUM('Rates in Detail'!P37:Q37)</f>
        <v>3.7229999999999999E-2</v>
      </c>
      <c r="G38" s="473">
        <f t="shared" si="19"/>
        <v>0.18443999999999999</v>
      </c>
      <c r="H38" s="474">
        <f t="shared" si="4"/>
        <v>161007</v>
      </c>
      <c r="I38" s="154">
        <f>'WA Volumes &amp; Revenues'!N39</f>
        <v>1300</v>
      </c>
      <c r="J38" s="371">
        <f>'WA Volumes &amp; Revenues'!H39</f>
        <v>11.916666666666666</v>
      </c>
      <c r="K38" s="474">
        <f>ROUND((I38*J38*12)+H38+H39+H40+H41+H42+H43,0)+'Rev Req Proof Yr1'!Y51+'Rev Req Proof Yr1'!Z51</f>
        <v>511671.18216089124</v>
      </c>
      <c r="L38" s="475"/>
      <c r="M38" s="925">
        <v>0</v>
      </c>
      <c r="N38" s="480">
        <f t="shared" ref="N38" si="28">ROUND(+$M$10*(($K38*M38)/M$84),0)</f>
        <v>0</v>
      </c>
      <c r="O38" s="478">
        <f>ROUND(E38*$AE$38,5)</f>
        <v>0</v>
      </c>
      <c r="P38" s="476">
        <v>1</v>
      </c>
      <c r="Q38" s="480">
        <f>ROUND(+$P$10*(($K38*P38)/P$84),0)</f>
        <v>-9078</v>
      </c>
      <c r="R38" s="478">
        <f>ROUND(E38*$AI$38,5)</f>
        <v>-5.2100000000000002E-3</v>
      </c>
      <c r="S38" s="476">
        <v>1</v>
      </c>
      <c r="T38" s="480">
        <f>ROUND(+$S$10*(($K38*S38)/S$84),0)</f>
        <v>-4792</v>
      </c>
      <c r="U38" s="478">
        <f>ROUND(E38*$AM$38,5)</f>
        <v>-2.7499999999999998E-3</v>
      </c>
      <c r="V38" s="476">
        <v>1</v>
      </c>
      <c r="W38" s="480">
        <f>ROUND(+$V$10*(($K38*V38)/V$84),0)</f>
        <v>-462</v>
      </c>
      <c r="X38" s="478">
        <f>ROUND(E38*$AQ$38,5)</f>
        <v>-2.7E-4</v>
      </c>
      <c r="Y38" s="899"/>
      <c r="Z38" s="899"/>
      <c r="AA38" s="899"/>
      <c r="AB38" s="899"/>
      <c r="AD38" s="433">
        <f t="shared" ref="AD38" si="29">N38/K38</f>
        <v>0</v>
      </c>
      <c r="AE38" s="433">
        <f>N38/SUM($H$38:$H$43)</f>
        <v>0</v>
      </c>
      <c r="AH38" s="433">
        <f t="shared" ref="AH38" si="30">Q38/K38</f>
        <v>-1.7741862970788707E-2</v>
      </c>
      <c r="AI38" s="433">
        <f>Q38/SUM($H$38:$H$43)</f>
        <v>-3.5405340051949674E-2</v>
      </c>
      <c r="AL38" s="433">
        <f t="shared" ref="AL38" si="31">T38/K38</f>
        <v>-9.3653896624828689E-3</v>
      </c>
      <c r="AM38" s="433">
        <f>T38/SUM($H$38:$H$43)</f>
        <v>-1.8689401798737921E-2</v>
      </c>
      <c r="AP38" s="433">
        <f t="shared" ref="AP38" si="32">W38/K38</f>
        <v>-9.0292362772685425E-4</v>
      </c>
      <c r="AQ38" s="433">
        <f>W38/SUM($H$38:$H$43)</f>
        <v>-1.8018580198282384E-3</v>
      </c>
    </row>
    <row r="39" spans="1:43" s="56" customFormat="1" x14ac:dyDescent="0.2">
      <c r="A39" s="86">
        <f t="shared" si="0"/>
        <v>33</v>
      </c>
      <c r="B39" s="725"/>
      <c r="C39" s="726" t="s">
        <v>5</v>
      </c>
      <c r="D39" s="479">
        <f>'WA Volumes &amp; Revenues'!E40</f>
        <v>655939.80000000005</v>
      </c>
      <c r="E39" s="473">
        <f>'Rates in Detail'!E38</f>
        <v>0.13177</v>
      </c>
      <c r="F39" s="1176">
        <f>'Rates in Detail'!L38+SUM('Rates in Detail'!P38:Q38)</f>
        <v>3.3330000000000005E-2</v>
      </c>
      <c r="G39" s="473">
        <f t="shared" si="19"/>
        <v>0.1651</v>
      </c>
      <c r="H39" s="474">
        <f t="shared" si="4"/>
        <v>86433</v>
      </c>
      <c r="I39" s="154"/>
      <c r="J39" s="371"/>
      <c r="K39" s="474"/>
      <c r="L39" s="475"/>
      <c r="M39" s="925">
        <v>0</v>
      </c>
      <c r="N39" s="270"/>
      <c r="O39" s="478">
        <f t="shared" ref="O39:O43" si="33">ROUND(E39*$AE$38,5)</f>
        <v>0</v>
      </c>
      <c r="P39" s="476">
        <v>1</v>
      </c>
      <c r="Q39" s="270"/>
      <c r="R39" s="478">
        <f t="shared" ref="R39:R43" si="34">ROUND(E39*$AI$38,5)</f>
        <v>-4.6699999999999997E-3</v>
      </c>
      <c r="S39" s="476">
        <v>1</v>
      </c>
      <c r="T39" s="270"/>
      <c r="U39" s="478">
        <f t="shared" ref="U39:U43" si="35">ROUND(E39*$AM$38,5)</f>
        <v>-2.4599999999999999E-3</v>
      </c>
      <c r="V39" s="476">
        <v>1</v>
      </c>
      <c r="W39" s="270"/>
      <c r="X39" s="478">
        <f t="shared" ref="X39:X43" si="36">ROUND(E39*$AQ$38,5)</f>
        <v>-2.4000000000000001E-4</v>
      </c>
      <c r="Y39" s="899"/>
      <c r="Z39" s="899"/>
      <c r="AA39" s="899"/>
      <c r="AB39" s="899"/>
    </row>
    <row r="40" spans="1:43" s="56" customFormat="1" x14ac:dyDescent="0.2">
      <c r="A40" s="86">
        <f t="shared" si="0"/>
        <v>34</v>
      </c>
      <c r="B40" s="725"/>
      <c r="C40" s="726" t="s">
        <v>6</v>
      </c>
      <c r="D40" s="479">
        <f>'WA Volumes &amp; Revenues'!E41</f>
        <v>81241.3</v>
      </c>
      <c r="E40" s="473">
        <f>'Rates in Detail'!E39</f>
        <v>0.10104999999999985</v>
      </c>
      <c r="F40" s="1176">
        <f>'Rates in Detail'!L39+SUM('Rates in Detail'!P39:Q39)</f>
        <v>2.555E-2</v>
      </c>
      <c r="G40" s="473">
        <f t="shared" si="19"/>
        <v>0.12659999999999985</v>
      </c>
      <c r="H40" s="474">
        <f t="shared" si="4"/>
        <v>8209</v>
      </c>
      <c r="I40" s="154"/>
      <c r="J40" s="371"/>
      <c r="K40" s="474"/>
      <c r="L40" s="475"/>
      <c r="M40" s="925">
        <v>0</v>
      </c>
      <c r="N40" s="270"/>
      <c r="O40" s="478">
        <f t="shared" si="33"/>
        <v>0</v>
      </c>
      <c r="P40" s="476">
        <v>1</v>
      </c>
      <c r="Q40" s="270"/>
      <c r="R40" s="478">
        <f t="shared" si="34"/>
        <v>-3.5799999999999998E-3</v>
      </c>
      <c r="S40" s="476">
        <v>1</v>
      </c>
      <c r="T40" s="270"/>
      <c r="U40" s="478">
        <f t="shared" si="35"/>
        <v>-1.89E-3</v>
      </c>
      <c r="V40" s="476">
        <v>1</v>
      </c>
      <c r="W40" s="270"/>
      <c r="X40" s="478">
        <f t="shared" si="36"/>
        <v>-1.8000000000000001E-4</v>
      </c>
      <c r="Y40" s="899"/>
      <c r="Z40" s="899"/>
      <c r="AA40" s="899"/>
      <c r="AB40" s="899"/>
    </row>
    <row r="41" spans="1:43" s="56" customFormat="1" x14ac:dyDescent="0.2">
      <c r="A41" s="86">
        <f t="shared" si="0"/>
        <v>35</v>
      </c>
      <c r="B41" s="725"/>
      <c r="C41" s="726" t="s">
        <v>7</v>
      </c>
      <c r="D41" s="479">
        <f>'WA Volumes &amp; Revenues'!E42</f>
        <v>9320.1</v>
      </c>
      <c r="E41" s="473">
        <f>'Rates in Detail'!E40</f>
        <v>8.0839999999999995E-2</v>
      </c>
      <c r="F41" s="1176">
        <f>'Rates in Detail'!L40+SUM('Rates in Detail'!P40:Q40)</f>
        <v>2.0449999999999999E-2</v>
      </c>
      <c r="G41" s="473">
        <f t="shared" si="19"/>
        <v>0.10128999999999999</v>
      </c>
      <c r="H41" s="474">
        <f t="shared" si="4"/>
        <v>753</v>
      </c>
      <c r="I41" s="154"/>
      <c r="J41" s="371"/>
      <c r="K41" s="474"/>
      <c r="L41" s="475"/>
      <c r="M41" s="925">
        <v>0</v>
      </c>
      <c r="N41" s="270"/>
      <c r="O41" s="478">
        <f t="shared" si="33"/>
        <v>0</v>
      </c>
      <c r="P41" s="476">
        <v>1</v>
      </c>
      <c r="Q41" s="270"/>
      <c r="R41" s="478">
        <f t="shared" si="34"/>
        <v>-2.8600000000000001E-3</v>
      </c>
      <c r="S41" s="476">
        <v>1</v>
      </c>
      <c r="T41" s="270"/>
      <c r="U41" s="478">
        <f t="shared" si="35"/>
        <v>-1.5100000000000001E-3</v>
      </c>
      <c r="V41" s="476">
        <v>1</v>
      </c>
      <c r="W41" s="270"/>
      <c r="X41" s="478">
        <f t="shared" si="36"/>
        <v>-1.4999999999999999E-4</v>
      </c>
      <c r="Y41" s="899"/>
      <c r="Z41" s="899"/>
      <c r="AA41" s="899"/>
      <c r="AB41" s="899"/>
    </row>
    <row r="42" spans="1:43" s="56" customFormat="1" x14ac:dyDescent="0.2">
      <c r="A42" s="86">
        <f t="shared" si="0"/>
        <v>36</v>
      </c>
      <c r="B42" s="725"/>
      <c r="C42" s="726" t="s">
        <v>8</v>
      </c>
      <c r="D42" s="479">
        <f>'WA Volumes &amp; Revenues'!E43</f>
        <v>0</v>
      </c>
      <c r="E42" s="473">
        <f>'Rates in Detail'!E41</f>
        <v>5.391E-2</v>
      </c>
      <c r="F42" s="473">
        <f>'Rates in Detail'!L41+SUM('Rates in Detail'!P41:Q41)</f>
        <v>1.363E-2</v>
      </c>
      <c r="G42" s="473">
        <f t="shared" si="19"/>
        <v>6.7540000000000003E-2</v>
      </c>
      <c r="H42" s="474">
        <f t="shared" si="4"/>
        <v>0</v>
      </c>
      <c r="I42" s="154"/>
      <c r="J42" s="371"/>
      <c r="K42" s="474"/>
      <c r="L42" s="475"/>
      <c r="M42" s="925">
        <v>0</v>
      </c>
      <c r="N42" s="270"/>
      <c r="O42" s="478">
        <f t="shared" si="33"/>
        <v>0</v>
      </c>
      <c r="P42" s="476">
        <v>1</v>
      </c>
      <c r="Q42" s="270"/>
      <c r="R42" s="478">
        <f t="shared" si="34"/>
        <v>-1.91E-3</v>
      </c>
      <c r="S42" s="476">
        <v>1</v>
      </c>
      <c r="T42" s="270"/>
      <c r="U42" s="478">
        <f t="shared" si="35"/>
        <v>-1.01E-3</v>
      </c>
      <c r="V42" s="476">
        <v>1</v>
      </c>
      <c r="W42" s="270"/>
      <c r="X42" s="478">
        <f t="shared" si="36"/>
        <v>-1E-4</v>
      </c>
      <c r="Y42" s="899"/>
      <c r="Z42" s="899"/>
      <c r="AA42" s="899"/>
      <c r="AB42" s="899"/>
    </row>
    <row r="43" spans="1:43" s="56" customFormat="1" x14ac:dyDescent="0.2">
      <c r="A43" s="86">
        <f t="shared" si="0"/>
        <v>37</v>
      </c>
      <c r="B43" s="723"/>
      <c r="C43" s="727" t="s">
        <v>9</v>
      </c>
      <c r="D43" s="466">
        <f>'WA Volumes &amp; Revenues'!E44</f>
        <v>0</v>
      </c>
      <c r="E43" s="463">
        <f>'Rates in Detail'!E42</f>
        <v>2.0199999999999999E-2</v>
      </c>
      <c r="F43" s="463">
        <f>'Rates in Detail'!L42+SUM('Rates in Detail'!P42:Q42)</f>
        <v>5.11E-3</v>
      </c>
      <c r="G43" s="463">
        <f t="shared" si="19"/>
        <v>2.5309999999999999E-2</v>
      </c>
      <c r="H43" s="467">
        <f t="shared" si="4"/>
        <v>0</v>
      </c>
      <c r="I43" s="468"/>
      <c r="J43" s="740"/>
      <c r="K43" s="467"/>
      <c r="L43" s="462"/>
      <c r="M43" s="923">
        <v>0</v>
      </c>
      <c r="N43" s="465"/>
      <c r="O43" s="470">
        <f t="shared" si="33"/>
        <v>0</v>
      </c>
      <c r="P43" s="464">
        <v>1</v>
      </c>
      <c r="Q43" s="465"/>
      <c r="R43" s="470">
        <f t="shared" si="34"/>
        <v>-7.2000000000000005E-4</v>
      </c>
      <c r="S43" s="464">
        <v>1</v>
      </c>
      <c r="T43" s="465"/>
      <c r="U43" s="470">
        <f t="shared" si="35"/>
        <v>-3.8000000000000002E-4</v>
      </c>
      <c r="V43" s="464">
        <v>1</v>
      </c>
      <c r="W43" s="465"/>
      <c r="X43" s="470">
        <f t="shared" si="36"/>
        <v>-4.0000000000000003E-5</v>
      </c>
      <c r="Y43" s="899"/>
      <c r="Z43" s="899"/>
      <c r="AA43" s="899"/>
      <c r="AB43" s="899"/>
    </row>
    <row r="44" spans="1:43" s="56" customFormat="1" x14ac:dyDescent="0.2">
      <c r="A44" s="86">
        <f t="shared" si="0"/>
        <v>38</v>
      </c>
      <c r="B44" s="725" t="str">
        <f>'WA Volumes &amp; Revenues'!B45</f>
        <v>42C Firm Transpt</v>
      </c>
      <c r="C44" s="726" t="s">
        <v>4</v>
      </c>
      <c r="D44" s="479">
        <f>'WA Volumes &amp; Revenues'!E45</f>
        <v>480000</v>
      </c>
      <c r="E44" s="473">
        <f>'Rates in Detail'!E43</f>
        <v>0.13791999999999999</v>
      </c>
      <c r="F44" s="473">
        <f>'Rates in Detail'!L43+SUM('Rates in Detail'!P43:Q43)</f>
        <v>2.3649999999999997E-2</v>
      </c>
      <c r="G44" s="473">
        <f t="shared" si="19"/>
        <v>0.16156999999999999</v>
      </c>
      <c r="H44" s="474">
        <f t="shared" si="4"/>
        <v>66202</v>
      </c>
      <c r="I44" s="154">
        <f>'WA Volumes &amp; Revenues'!N45</f>
        <v>1550</v>
      </c>
      <c r="J44" s="371">
        <f>'WA Volumes &amp; Revenues'!H45</f>
        <v>4</v>
      </c>
      <c r="K44" s="474">
        <f>ROUND((I44*J44*12)+H44+H45+H46+H47+H48+H49,0)+'Rev Req Proof Yr1'!Y58+'Rev Req Proof Yr1'!Z58</f>
        <v>360784.79504</v>
      </c>
      <c r="L44" s="475"/>
      <c r="M44" s="925">
        <v>0</v>
      </c>
      <c r="N44" s="480">
        <f t="shared" ref="N44" si="37">ROUND(+$M$10*(($K44*M44)/M$84),0)</f>
        <v>0</v>
      </c>
      <c r="O44" s="478">
        <f>ROUND(E44*$AE$44,5)</f>
        <v>0</v>
      </c>
      <c r="P44" s="476">
        <v>1</v>
      </c>
      <c r="Q44" s="480">
        <f>ROUND(+$P$10*(($K44*P44)/P$84),0)</f>
        <v>-6401</v>
      </c>
      <c r="R44" s="478">
        <f>ROUND(E44*$AI$44,5)</f>
        <v>-3.31E-3</v>
      </c>
      <c r="S44" s="476">
        <v>1</v>
      </c>
      <c r="T44" s="480">
        <f>ROUND(+$S$10*(($K44*S44)/S$84),0)</f>
        <v>-3379</v>
      </c>
      <c r="U44" s="478">
        <f>ROUND(E44*$AM$44,5)</f>
        <v>-1.75E-3</v>
      </c>
      <c r="V44" s="476">
        <v>1</v>
      </c>
      <c r="W44" s="480">
        <f>ROUND(+$V$10*(($K44*V44)/V$84),0)</f>
        <v>-326</v>
      </c>
      <c r="X44" s="478">
        <f>ROUND(E44*$AQ$44,5)</f>
        <v>-1.7000000000000001E-4</v>
      </c>
      <c r="Y44" s="899"/>
      <c r="Z44" s="899"/>
      <c r="AA44" s="899"/>
      <c r="AB44" s="899"/>
      <c r="AD44" s="433">
        <f t="shared" ref="AD44" si="38">N44/K44</f>
        <v>0</v>
      </c>
      <c r="AE44" s="433">
        <f>N44/SUM($H$44:$H$49)</f>
        <v>0</v>
      </c>
      <c r="AH44" s="433">
        <f t="shared" ref="AH44" si="39">Q44/K44</f>
        <v>-1.7741878504858623E-2</v>
      </c>
      <c r="AI44" s="433">
        <f>Q44/SUM($H$44:$H$49)</f>
        <v>-2.4011373611121531E-2</v>
      </c>
      <c r="AL44" s="433">
        <f t="shared" ref="AL44" si="40">T44/K44</f>
        <v>-9.365694027170331E-3</v>
      </c>
      <c r="AM44" s="433">
        <f>T44/SUM($H$44:$H$49)</f>
        <v>-1.2675274399621879E-2</v>
      </c>
      <c r="AP44" s="433">
        <f t="shared" ref="AP44" si="41">W44/K44</f>
        <v>-9.0358575106763185E-4</v>
      </c>
      <c r="AQ44" s="433">
        <f>W44/SUM($H$44:$H$49)</f>
        <v>-1.2228882670247804E-3</v>
      </c>
    </row>
    <row r="45" spans="1:43" s="56" customFormat="1" x14ac:dyDescent="0.2">
      <c r="A45" s="86">
        <f t="shared" si="0"/>
        <v>39</v>
      </c>
      <c r="B45" s="725"/>
      <c r="C45" s="726" t="s">
        <v>5</v>
      </c>
      <c r="D45" s="479">
        <f>'WA Volumes &amp; Revenues'!E46</f>
        <v>807846</v>
      </c>
      <c r="E45" s="473">
        <f>'Rates in Detail'!E44</f>
        <v>0.12346999999999998</v>
      </c>
      <c r="F45" s="473">
        <f>'Rates in Detail'!L44+SUM('Rates in Detail'!P44:Q44)</f>
        <v>2.1170000000000001E-2</v>
      </c>
      <c r="G45" s="473">
        <f t="shared" si="19"/>
        <v>0.14463999999999999</v>
      </c>
      <c r="H45" s="474">
        <f t="shared" si="4"/>
        <v>99745</v>
      </c>
      <c r="I45" s="154"/>
      <c r="J45" s="371"/>
      <c r="K45" s="474"/>
      <c r="L45" s="475"/>
      <c r="M45" s="925">
        <v>0</v>
      </c>
      <c r="N45" s="270"/>
      <c r="O45" s="478">
        <f t="shared" ref="O45:O49" si="42">ROUND(E45*$AE$44,5)</f>
        <v>0</v>
      </c>
      <c r="P45" s="476">
        <v>1</v>
      </c>
      <c r="Q45" s="270"/>
      <c r="R45" s="478">
        <f t="shared" ref="R45:R49" si="43">ROUND(E45*$AI$44,5)</f>
        <v>-2.96E-3</v>
      </c>
      <c r="S45" s="476">
        <v>1</v>
      </c>
      <c r="T45" s="270"/>
      <c r="U45" s="478">
        <f t="shared" ref="U45:U49" si="44">ROUND(E45*$AM$44,5)</f>
        <v>-1.57E-3</v>
      </c>
      <c r="V45" s="476">
        <v>1</v>
      </c>
      <c r="W45" s="270"/>
      <c r="X45" s="478">
        <f t="shared" ref="X45:X49" si="45">ROUND(E45*$AQ$44,5)</f>
        <v>-1.4999999999999999E-4</v>
      </c>
      <c r="Y45" s="899"/>
      <c r="Z45" s="899"/>
      <c r="AA45" s="899"/>
      <c r="AB45" s="899"/>
    </row>
    <row r="46" spans="1:43" s="56" customFormat="1" x14ac:dyDescent="0.2">
      <c r="A46" s="86">
        <f t="shared" si="0"/>
        <v>40</v>
      </c>
      <c r="B46" s="725"/>
      <c r="C46" s="726" t="s">
        <v>6</v>
      </c>
      <c r="D46" s="479">
        <f>'WA Volumes &amp; Revenues'!E47</f>
        <v>583779</v>
      </c>
      <c r="E46" s="473">
        <f>'Rates in Detail'!E45</f>
        <v>9.4670000000000004E-2</v>
      </c>
      <c r="F46" s="473">
        <f>'Rates in Detail'!L45+SUM('Rates in Detail'!P45:Q45)</f>
        <v>1.6240000000000001E-2</v>
      </c>
      <c r="G46" s="473">
        <f t="shared" si="19"/>
        <v>0.11091000000000001</v>
      </c>
      <c r="H46" s="474">
        <f t="shared" si="4"/>
        <v>55266</v>
      </c>
      <c r="I46" s="154"/>
      <c r="J46" s="371"/>
      <c r="K46" s="474"/>
      <c r="L46" s="475"/>
      <c r="M46" s="925">
        <v>0</v>
      </c>
      <c r="N46" s="270"/>
      <c r="O46" s="478">
        <f t="shared" si="42"/>
        <v>0</v>
      </c>
      <c r="P46" s="476">
        <v>1</v>
      </c>
      <c r="Q46" s="270"/>
      <c r="R46" s="478">
        <f t="shared" si="43"/>
        <v>-2.2699999999999999E-3</v>
      </c>
      <c r="S46" s="476">
        <v>1</v>
      </c>
      <c r="T46" s="270"/>
      <c r="U46" s="478">
        <f t="shared" si="44"/>
        <v>-1.1999999999999999E-3</v>
      </c>
      <c r="V46" s="476">
        <v>1</v>
      </c>
      <c r="W46" s="270"/>
      <c r="X46" s="478">
        <f t="shared" si="45"/>
        <v>-1.2E-4</v>
      </c>
      <c r="Y46" s="899"/>
      <c r="Z46" s="899"/>
      <c r="AA46" s="899"/>
      <c r="AB46" s="899"/>
    </row>
    <row r="47" spans="1:43" s="56" customFormat="1" x14ac:dyDescent="0.2">
      <c r="A47" s="86">
        <f t="shared" si="0"/>
        <v>41</v>
      </c>
      <c r="B47" s="725"/>
      <c r="C47" s="726" t="s">
        <v>7</v>
      </c>
      <c r="D47" s="479">
        <f>'WA Volumes &amp; Revenues'!E48</f>
        <v>598933</v>
      </c>
      <c r="E47" s="473">
        <f>'Rates in Detail'!E46</f>
        <v>7.5750000000000012E-2</v>
      </c>
      <c r="F47" s="473">
        <f>'Rates in Detail'!L46+SUM('Rates in Detail'!P46:Q46)</f>
        <v>1.299E-2</v>
      </c>
      <c r="G47" s="473">
        <f t="shared" si="19"/>
        <v>8.8740000000000013E-2</v>
      </c>
      <c r="H47" s="474">
        <f t="shared" si="4"/>
        <v>45369</v>
      </c>
      <c r="I47" s="154"/>
      <c r="J47" s="371"/>
      <c r="K47" s="474"/>
      <c r="L47" s="475"/>
      <c r="M47" s="925">
        <v>0</v>
      </c>
      <c r="N47" s="270"/>
      <c r="O47" s="478">
        <f t="shared" si="42"/>
        <v>0</v>
      </c>
      <c r="P47" s="476">
        <v>1</v>
      </c>
      <c r="Q47" s="270"/>
      <c r="R47" s="478">
        <f t="shared" si="43"/>
        <v>-1.82E-3</v>
      </c>
      <c r="S47" s="476">
        <v>1</v>
      </c>
      <c r="T47" s="270"/>
      <c r="U47" s="478">
        <f t="shared" si="44"/>
        <v>-9.6000000000000002E-4</v>
      </c>
      <c r="V47" s="476">
        <v>1</v>
      </c>
      <c r="W47" s="270"/>
      <c r="X47" s="478">
        <f t="shared" si="45"/>
        <v>-9.0000000000000006E-5</v>
      </c>
      <c r="Y47" s="899"/>
      <c r="Z47" s="899"/>
      <c r="AA47" s="899"/>
      <c r="AB47" s="899"/>
    </row>
    <row r="48" spans="1:43" s="56" customFormat="1" x14ac:dyDescent="0.2">
      <c r="A48" s="86">
        <f t="shared" si="0"/>
        <v>42</v>
      </c>
      <c r="B48" s="725"/>
      <c r="C48" s="726" t="s">
        <v>8</v>
      </c>
      <c r="D48" s="479">
        <f>'WA Volumes &amp; Revenues'!E49</f>
        <v>0</v>
      </c>
      <c r="E48" s="473">
        <f>'Rates in Detail'!E47</f>
        <v>5.0500000000000003E-2</v>
      </c>
      <c r="F48" s="473">
        <f>'Rates in Detail'!L47+SUM('Rates in Detail'!P47:Q47)</f>
        <v>8.6599999999999993E-3</v>
      </c>
      <c r="G48" s="473">
        <f t="shared" si="19"/>
        <v>5.9160000000000004E-2</v>
      </c>
      <c r="H48" s="474">
        <f t="shared" si="4"/>
        <v>0</v>
      </c>
      <c r="I48" s="154"/>
      <c r="J48" s="371"/>
      <c r="K48" s="474"/>
      <c r="L48" s="475"/>
      <c r="M48" s="925">
        <v>0</v>
      </c>
      <c r="N48" s="270"/>
      <c r="O48" s="478">
        <f t="shared" si="42"/>
        <v>0</v>
      </c>
      <c r="P48" s="476">
        <v>1</v>
      </c>
      <c r="Q48" s="270"/>
      <c r="R48" s="478">
        <f t="shared" si="43"/>
        <v>-1.2099999999999999E-3</v>
      </c>
      <c r="S48" s="476">
        <v>1</v>
      </c>
      <c r="T48" s="270"/>
      <c r="U48" s="478">
        <f t="shared" si="44"/>
        <v>-6.4000000000000005E-4</v>
      </c>
      <c r="V48" s="476">
        <v>1</v>
      </c>
      <c r="W48" s="270"/>
      <c r="X48" s="478">
        <f t="shared" si="45"/>
        <v>-6.0000000000000002E-5</v>
      </c>
      <c r="Y48" s="899"/>
      <c r="Z48" s="899"/>
      <c r="AA48" s="899"/>
      <c r="AB48" s="899"/>
    </row>
    <row r="49" spans="1:43" s="56" customFormat="1" x14ac:dyDescent="0.2">
      <c r="A49" s="86">
        <f t="shared" si="0"/>
        <v>43</v>
      </c>
      <c r="B49" s="723"/>
      <c r="C49" s="727" t="s">
        <v>9</v>
      </c>
      <c r="D49" s="466">
        <f>'WA Volumes &amp; Revenues'!E50</f>
        <v>0</v>
      </c>
      <c r="E49" s="463">
        <f>'Rates in Detail'!E48</f>
        <v>1.8929999999999999E-2</v>
      </c>
      <c r="F49" s="463">
        <f>'Rates in Detail'!L48+SUM('Rates in Detail'!P48:Q48)</f>
        <v>3.2499999999999999E-3</v>
      </c>
      <c r="G49" s="463">
        <f t="shared" si="19"/>
        <v>2.2179999999999998E-2</v>
      </c>
      <c r="H49" s="467">
        <f t="shared" si="4"/>
        <v>0</v>
      </c>
      <c r="I49" s="468"/>
      <c r="J49" s="740"/>
      <c r="K49" s="467"/>
      <c r="L49" s="462"/>
      <c r="M49" s="923">
        <v>0</v>
      </c>
      <c r="N49" s="465"/>
      <c r="O49" s="470">
        <f t="shared" si="42"/>
        <v>0</v>
      </c>
      <c r="P49" s="464">
        <v>1</v>
      </c>
      <c r="Q49" s="465"/>
      <c r="R49" s="470">
        <f t="shared" si="43"/>
        <v>-4.4999999999999999E-4</v>
      </c>
      <c r="S49" s="464">
        <v>1</v>
      </c>
      <c r="T49" s="465"/>
      <c r="U49" s="470">
        <f t="shared" si="44"/>
        <v>-2.4000000000000001E-4</v>
      </c>
      <c r="V49" s="464">
        <v>1</v>
      </c>
      <c r="W49" s="465"/>
      <c r="X49" s="470">
        <f t="shared" si="45"/>
        <v>-2.0000000000000002E-5</v>
      </c>
      <c r="Y49" s="899"/>
      <c r="Z49" s="899"/>
      <c r="AA49" s="899"/>
      <c r="AB49" s="899"/>
    </row>
    <row r="50" spans="1:43" s="56" customFormat="1" x14ac:dyDescent="0.2">
      <c r="A50" s="86">
        <f t="shared" si="0"/>
        <v>44</v>
      </c>
      <c r="B50" s="725" t="str">
        <f>'WA Volumes &amp; Revenues'!B51</f>
        <v>42I Firm Transpt</v>
      </c>
      <c r="C50" s="726" t="s">
        <v>4</v>
      </c>
      <c r="D50" s="479">
        <f>'WA Volumes &amp; Revenues'!E51</f>
        <v>924395</v>
      </c>
      <c r="E50" s="473">
        <f>'Rates in Detail'!E49</f>
        <v>0.13941000000000001</v>
      </c>
      <c r="F50" s="473">
        <f>'Rates in Detail'!L49+SUM('Rates in Detail'!P49:Q49)</f>
        <v>2.3969999999999998E-2</v>
      </c>
      <c r="G50" s="473">
        <f t="shared" si="19"/>
        <v>0.16338</v>
      </c>
      <c r="H50" s="474">
        <f t="shared" si="4"/>
        <v>128870</v>
      </c>
      <c r="I50" s="154">
        <f>'WA Volumes &amp; Revenues'!N51</f>
        <v>1550</v>
      </c>
      <c r="J50" s="371">
        <f>'WA Volumes &amp; Revenues'!H51</f>
        <v>8.9166666666666661</v>
      </c>
      <c r="K50" s="474">
        <f>ROUND((I50*J50*12)+H50+H51+H52+H53+H54+H55,0)+'Rev Req Proof Yr1'!Y65+'Rev Req Proof Yr1'!Z65</f>
        <v>823616.4656</v>
      </c>
      <c r="L50" s="475"/>
      <c r="M50" s="925">
        <v>0</v>
      </c>
      <c r="N50" s="480">
        <f t="shared" ref="N50" si="46">ROUND(+$M$10*(($K50*M50)/M$84),0)</f>
        <v>0</v>
      </c>
      <c r="O50" s="478">
        <f>ROUND(E50*$AE$50,5)</f>
        <v>0</v>
      </c>
      <c r="P50" s="476">
        <v>1</v>
      </c>
      <c r="Q50" s="480">
        <f>ROUND(+$P$10*(($K50*P50)/P$84),0)</f>
        <v>-14612</v>
      </c>
      <c r="R50" s="478">
        <f>ROUND(E50*$AI$50,5)</f>
        <v>-3.3600000000000001E-3</v>
      </c>
      <c r="S50" s="476">
        <v>1</v>
      </c>
      <c r="T50" s="480">
        <f>ROUND(+$S$10*(($K50*S50)/S$84),0)</f>
        <v>-7713</v>
      </c>
      <c r="U50" s="478">
        <f>ROUND(E50*$AM$50,5)</f>
        <v>-1.7700000000000001E-3</v>
      </c>
      <c r="V50" s="476">
        <v>1</v>
      </c>
      <c r="W50" s="480">
        <f>ROUND(+$V$10*(($K50*V50)/V$84),0)</f>
        <v>-743</v>
      </c>
      <c r="X50" s="478">
        <f>ROUND(E50*$AQ$50,5)</f>
        <v>-1.7000000000000001E-4</v>
      </c>
      <c r="Y50" s="899"/>
      <c r="Z50" s="899"/>
      <c r="AA50" s="899"/>
      <c r="AB50" s="899"/>
      <c r="AD50" s="433">
        <f t="shared" ref="AD50" si="47">N50/K50</f>
        <v>0</v>
      </c>
      <c r="AE50" s="433">
        <f>N50/SUM($H$50:$H$55)</f>
        <v>0</v>
      </c>
      <c r="AH50" s="433">
        <f t="shared" ref="AH50" si="48">Q50/K50</f>
        <v>-1.7741267459187134E-2</v>
      </c>
      <c r="AI50" s="433">
        <f>Q50/SUM($H$50:$H$55)</f>
        <v>-2.4068443194059649E-2</v>
      </c>
      <c r="AL50" s="433">
        <f t="shared" ref="AL50" si="49">T50/K50</f>
        <v>-9.364795778313055E-3</v>
      </c>
      <c r="AM50" s="433">
        <f>T50/SUM($H$50:$H$55)</f>
        <v>-1.270461965205188E-2</v>
      </c>
      <c r="AP50" s="433">
        <f t="shared" ref="AP50" si="50">W50/K50</f>
        <v>-9.0211892432083497E-4</v>
      </c>
      <c r="AQ50" s="433">
        <f>W50/SUM($H$50:$H$55)</f>
        <v>-1.2238470635906322E-3</v>
      </c>
    </row>
    <row r="51" spans="1:43" s="56" customFormat="1" x14ac:dyDescent="0.2">
      <c r="A51" s="86">
        <f t="shared" si="0"/>
        <v>45</v>
      </c>
      <c r="B51" s="725"/>
      <c r="C51" s="726" t="s">
        <v>5</v>
      </c>
      <c r="D51" s="479">
        <f>'WA Volumes &amp; Revenues'!E52</f>
        <v>1036796</v>
      </c>
      <c r="E51" s="473">
        <f>'Rates in Detail'!E50</f>
        <v>0.12478999999999997</v>
      </c>
      <c r="F51" s="473">
        <f>'Rates in Detail'!L50+SUM('Rates in Detail'!P50:Q50)</f>
        <v>2.145E-2</v>
      </c>
      <c r="G51" s="473">
        <f t="shared" si="19"/>
        <v>0.14623999999999998</v>
      </c>
      <c r="H51" s="474">
        <f t="shared" si="4"/>
        <v>129382</v>
      </c>
      <c r="I51" s="154"/>
      <c r="J51" s="371"/>
      <c r="K51" s="474"/>
      <c r="L51" s="475"/>
      <c r="M51" s="925">
        <v>0</v>
      </c>
      <c r="N51" s="270"/>
      <c r="O51" s="478">
        <f t="shared" ref="O51:O55" si="51">ROUND(E51*$AE$50,5)</f>
        <v>0</v>
      </c>
      <c r="P51" s="476">
        <v>1</v>
      </c>
      <c r="Q51" s="270"/>
      <c r="R51" s="478">
        <f t="shared" ref="R51:R55" si="52">ROUND(E51*$AI$50,5)</f>
        <v>-3.0000000000000001E-3</v>
      </c>
      <c r="S51" s="476">
        <v>1</v>
      </c>
      <c r="T51" s="270"/>
      <c r="U51" s="478">
        <f t="shared" ref="U51:U55" si="53">ROUND(E51*$AM$50,5)</f>
        <v>-1.5900000000000001E-3</v>
      </c>
      <c r="V51" s="476">
        <v>1</v>
      </c>
      <c r="W51" s="270"/>
      <c r="X51" s="478">
        <f t="shared" ref="X51:X55" si="54">ROUND(E51*$AQ$50,5)</f>
        <v>-1.4999999999999999E-4</v>
      </c>
      <c r="Y51" s="899"/>
      <c r="Z51" s="899"/>
      <c r="AA51" s="899"/>
      <c r="AB51" s="899"/>
    </row>
    <row r="52" spans="1:43" s="56" customFormat="1" x14ac:dyDescent="0.2">
      <c r="A52" s="86">
        <f t="shared" si="0"/>
        <v>46</v>
      </c>
      <c r="B52" s="725"/>
      <c r="C52" s="726" t="s">
        <v>6</v>
      </c>
      <c r="D52" s="479">
        <f>'WA Volumes &amp; Revenues'!E53</f>
        <v>937215</v>
      </c>
      <c r="E52" s="473">
        <f>'Rates in Detail'!E51</f>
        <v>9.5690000000000011E-2</v>
      </c>
      <c r="F52" s="473">
        <f>'Rates in Detail'!L51+SUM('Rates in Detail'!P51:Q51)</f>
        <v>1.6450000000000003E-2</v>
      </c>
      <c r="G52" s="473">
        <f t="shared" si="19"/>
        <v>0.11214000000000002</v>
      </c>
      <c r="H52" s="474">
        <f t="shared" si="4"/>
        <v>89682</v>
      </c>
      <c r="I52" s="154"/>
      <c r="J52" s="371"/>
      <c r="K52" s="474"/>
      <c r="L52" s="475"/>
      <c r="M52" s="925">
        <v>0</v>
      </c>
      <c r="N52" s="270"/>
      <c r="O52" s="478">
        <f t="shared" si="51"/>
        <v>0</v>
      </c>
      <c r="P52" s="476">
        <v>1</v>
      </c>
      <c r="Q52" s="270"/>
      <c r="R52" s="478">
        <f t="shared" si="52"/>
        <v>-2.3E-3</v>
      </c>
      <c r="S52" s="476">
        <v>1</v>
      </c>
      <c r="T52" s="270"/>
      <c r="U52" s="478">
        <f t="shared" si="53"/>
        <v>-1.2199999999999999E-3</v>
      </c>
      <c r="V52" s="476">
        <v>1</v>
      </c>
      <c r="W52" s="270"/>
      <c r="X52" s="478">
        <f t="shared" si="54"/>
        <v>-1.2E-4</v>
      </c>
      <c r="Y52" s="899"/>
      <c r="Z52" s="899"/>
      <c r="AA52" s="899"/>
      <c r="AB52" s="899"/>
    </row>
    <row r="53" spans="1:43" s="56" customFormat="1" x14ac:dyDescent="0.2">
      <c r="A53" s="86">
        <f t="shared" si="0"/>
        <v>47</v>
      </c>
      <c r="B53" s="725"/>
      <c r="C53" s="726" t="s">
        <v>7</v>
      </c>
      <c r="D53" s="479">
        <f>'WA Volumes &amp; Revenues'!E54</f>
        <v>2390318</v>
      </c>
      <c r="E53" s="473">
        <f>'Rates in Detail'!E52</f>
        <v>7.6560000000000017E-2</v>
      </c>
      <c r="F53" s="473">
        <f>'Rates in Detail'!L52+SUM('Rates in Detail'!P52:Q52)</f>
        <v>1.3169999999999999E-2</v>
      </c>
      <c r="G53" s="473">
        <f t="shared" si="19"/>
        <v>8.9730000000000018E-2</v>
      </c>
      <c r="H53" s="474">
        <f t="shared" si="4"/>
        <v>183003</v>
      </c>
      <c r="I53" s="154"/>
      <c r="J53" s="371"/>
      <c r="K53" s="474"/>
      <c r="L53" s="475"/>
      <c r="M53" s="925">
        <v>0</v>
      </c>
      <c r="N53" s="270"/>
      <c r="O53" s="478">
        <f t="shared" si="51"/>
        <v>0</v>
      </c>
      <c r="P53" s="476">
        <v>1</v>
      </c>
      <c r="Q53" s="270"/>
      <c r="R53" s="478">
        <f t="shared" si="52"/>
        <v>-1.8400000000000001E-3</v>
      </c>
      <c r="S53" s="476">
        <v>1</v>
      </c>
      <c r="T53" s="270"/>
      <c r="U53" s="478">
        <f t="shared" si="53"/>
        <v>-9.7000000000000005E-4</v>
      </c>
      <c r="V53" s="476">
        <v>1</v>
      </c>
      <c r="W53" s="270"/>
      <c r="X53" s="478">
        <f t="shared" si="54"/>
        <v>-9.0000000000000006E-5</v>
      </c>
      <c r="Y53" s="899"/>
      <c r="Z53" s="899"/>
      <c r="AA53" s="899"/>
      <c r="AB53" s="899"/>
    </row>
    <row r="54" spans="1:43" s="56" customFormat="1" x14ac:dyDescent="0.2">
      <c r="A54" s="86">
        <f t="shared" si="0"/>
        <v>48</v>
      </c>
      <c r="B54" s="725"/>
      <c r="C54" s="726" t="s">
        <v>8</v>
      </c>
      <c r="D54" s="479">
        <f>'WA Volumes &amp; Revenues'!E55</f>
        <v>1492257</v>
      </c>
      <c r="E54" s="473">
        <f>'Rates in Detail'!E53</f>
        <v>5.1040000000000002E-2</v>
      </c>
      <c r="F54" s="473">
        <f>'Rates in Detail'!L53+SUM('Rates in Detail'!P53:Q53)</f>
        <v>8.77E-3</v>
      </c>
      <c r="G54" s="473">
        <f t="shared" si="19"/>
        <v>5.9810000000000002E-2</v>
      </c>
      <c r="H54" s="474">
        <f t="shared" si="4"/>
        <v>76165</v>
      </c>
      <c r="I54" s="154"/>
      <c r="J54" s="371"/>
      <c r="K54" s="474"/>
      <c r="L54" s="475"/>
      <c r="M54" s="925">
        <v>0</v>
      </c>
      <c r="N54" s="270"/>
      <c r="O54" s="478">
        <f t="shared" si="51"/>
        <v>0</v>
      </c>
      <c r="P54" s="476">
        <v>1</v>
      </c>
      <c r="Q54" s="270"/>
      <c r="R54" s="478">
        <f t="shared" si="52"/>
        <v>-1.23E-3</v>
      </c>
      <c r="S54" s="476">
        <v>1</v>
      </c>
      <c r="T54" s="270"/>
      <c r="U54" s="478">
        <f t="shared" si="53"/>
        <v>-6.4999999999999997E-4</v>
      </c>
      <c r="V54" s="476">
        <v>1</v>
      </c>
      <c r="W54" s="270"/>
      <c r="X54" s="478">
        <f t="shared" si="54"/>
        <v>-6.0000000000000002E-5</v>
      </c>
      <c r="Y54" s="899"/>
      <c r="Z54" s="899"/>
      <c r="AA54" s="899"/>
      <c r="AB54" s="899"/>
    </row>
    <row r="55" spans="1:43" s="56" customFormat="1" x14ac:dyDescent="0.2">
      <c r="A55" s="86">
        <f t="shared" si="0"/>
        <v>49</v>
      </c>
      <c r="B55" s="723"/>
      <c r="C55" s="727" t="s">
        <v>9</v>
      </c>
      <c r="D55" s="466">
        <f>'WA Volumes &amp; Revenues'!E56</f>
        <v>0</v>
      </c>
      <c r="E55" s="463">
        <f>'Rates in Detail'!E54</f>
        <v>1.9140000000000001E-2</v>
      </c>
      <c r="F55" s="463">
        <f>'Rates in Detail'!L54+SUM('Rates in Detail'!P54:Q54)</f>
        <v>3.29E-3</v>
      </c>
      <c r="G55" s="463">
        <f t="shared" si="19"/>
        <v>2.2430000000000002E-2</v>
      </c>
      <c r="H55" s="467">
        <f t="shared" si="4"/>
        <v>0</v>
      </c>
      <c r="I55" s="468"/>
      <c r="J55" s="740"/>
      <c r="K55" s="467"/>
      <c r="L55" s="462"/>
      <c r="M55" s="923">
        <v>0</v>
      </c>
      <c r="N55" s="465"/>
      <c r="O55" s="470">
        <f t="shared" si="51"/>
        <v>0</v>
      </c>
      <c r="P55" s="464">
        <v>1</v>
      </c>
      <c r="Q55" s="465"/>
      <c r="R55" s="470">
        <f t="shared" si="52"/>
        <v>-4.6000000000000001E-4</v>
      </c>
      <c r="S55" s="464">
        <v>1</v>
      </c>
      <c r="T55" s="465"/>
      <c r="U55" s="470">
        <f t="shared" si="53"/>
        <v>-2.4000000000000001E-4</v>
      </c>
      <c r="V55" s="464">
        <v>1</v>
      </c>
      <c r="W55" s="465"/>
      <c r="X55" s="470">
        <f t="shared" si="54"/>
        <v>-2.0000000000000002E-5</v>
      </c>
      <c r="Y55" s="899"/>
      <c r="Z55" s="899"/>
      <c r="AA55" s="899"/>
      <c r="AB55" s="899"/>
    </row>
    <row r="56" spans="1:43" s="56" customFormat="1" x14ac:dyDescent="0.2">
      <c r="A56" s="86">
        <f t="shared" si="0"/>
        <v>50</v>
      </c>
      <c r="B56" s="725" t="str">
        <f>'WA Volumes &amp; Revenues'!B57</f>
        <v>42C Interr Sales</v>
      </c>
      <c r="C56" s="726" t="s">
        <v>4</v>
      </c>
      <c r="D56" s="479">
        <f>'WA Volumes &amp; Revenues'!E57</f>
        <v>240000</v>
      </c>
      <c r="E56" s="473">
        <f>'Rates in Detail'!E55</f>
        <v>0.13682000000000002</v>
      </c>
      <c r="F56" s="473">
        <f>'Rates in Detail'!L55+SUM('Rates in Detail'!P55:Q55)</f>
        <v>2.486E-2</v>
      </c>
      <c r="G56" s="473">
        <f t="shared" si="19"/>
        <v>0.16168000000000002</v>
      </c>
      <c r="H56" s="474">
        <f t="shared" si="4"/>
        <v>32837</v>
      </c>
      <c r="I56" s="154">
        <f>'WA Volumes &amp; Revenues'!N57</f>
        <v>1300</v>
      </c>
      <c r="J56" s="371">
        <f>'WA Volumes &amp; Revenues'!H57</f>
        <v>2</v>
      </c>
      <c r="K56" s="474">
        <f>ROUND((I56*J56*12)+H56+H57+H58+H59+H60+H61,0)+'Rev Req Proof Yr1'!Z72</f>
        <v>160513.01702958997</v>
      </c>
      <c r="L56" s="475"/>
      <c r="M56" s="925">
        <v>1</v>
      </c>
      <c r="N56" s="480">
        <f t="shared" ref="N56" si="55">ROUND(+$M$10*(($K56*M56)/M$84),0)</f>
        <v>-5153</v>
      </c>
      <c r="O56" s="478">
        <f>ROUND(E56*$AE$56,5)</f>
        <v>-6.3E-3</v>
      </c>
      <c r="P56" s="476">
        <v>1</v>
      </c>
      <c r="Q56" s="480">
        <f>ROUND(+$P$10*(($K56*P56)/P$84),0)</f>
        <v>-2848</v>
      </c>
      <c r="R56" s="478">
        <f>ROUND(E56*$AI$56,5)</f>
        <v>-3.48E-3</v>
      </c>
      <c r="S56" s="476">
        <v>1</v>
      </c>
      <c r="T56" s="480">
        <f>ROUND(+$S$10*(($K56*S56)/S$84),0)</f>
        <v>-1503</v>
      </c>
      <c r="U56" s="478">
        <f>ROUND(E56*$AM$56,5)</f>
        <v>-1.8400000000000001E-3</v>
      </c>
      <c r="V56" s="476">
        <v>1</v>
      </c>
      <c r="W56" s="480">
        <f>ROUND(+$V$10*(($K56*V56)/V$84),0)</f>
        <v>-145</v>
      </c>
      <c r="X56" s="478">
        <f>ROUND(E56*$AQ$56,5)</f>
        <v>-1.8000000000000001E-4</v>
      </c>
      <c r="Y56" s="899"/>
      <c r="Z56" s="899"/>
      <c r="AA56" s="899"/>
      <c r="AB56" s="899"/>
      <c r="AD56" s="433">
        <f t="shared" ref="AD56" si="56">N56/K56</f>
        <v>-3.2103315328314237E-2</v>
      </c>
      <c r="AE56" s="433">
        <f>N56/SUM($H$56:$H$61)</f>
        <v>-4.6036056962138402E-2</v>
      </c>
      <c r="AH56" s="433">
        <f t="shared" ref="AH56" si="57">Q56/K56</f>
        <v>-1.7743109267424596E-2</v>
      </c>
      <c r="AI56" s="433">
        <f>Q56/SUM($H$56:$H$61)</f>
        <v>-2.5443564957921633E-2</v>
      </c>
      <c r="AL56" s="433">
        <f t="shared" ref="AL56" si="58">T56/K56</f>
        <v>-9.3637265551050446E-3</v>
      </c>
      <c r="AM56" s="433">
        <f>T56/SUM($H$56:$H$61)</f>
        <v>-1.3427555523790805E-2</v>
      </c>
      <c r="AP56" s="433">
        <f t="shared" ref="AP56" si="59">W56/K56</f>
        <v>-9.0335352660694053E-4</v>
      </c>
      <c r="AQ56" s="433">
        <f>W56/SUM($H$56:$H$61)</f>
        <v>-1.2954062215233977E-3</v>
      </c>
    </row>
    <row r="57" spans="1:43" s="56" customFormat="1" x14ac:dyDescent="0.2">
      <c r="A57" s="86">
        <f t="shared" si="0"/>
        <v>51</v>
      </c>
      <c r="B57" s="725"/>
      <c r="C57" s="726" t="s">
        <v>5</v>
      </c>
      <c r="D57" s="479">
        <f>'WA Volumes &amp; Revenues'!E58</f>
        <v>467511</v>
      </c>
      <c r="E57" s="473">
        <f>'Rates in Detail'!E56</f>
        <v>0.12246999999999988</v>
      </c>
      <c r="F57" s="473">
        <f>'Rates in Detail'!L56+SUM('Rates in Detail'!P56:Q56)</f>
        <v>2.2260000000000002E-2</v>
      </c>
      <c r="G57" s="473">
        <f t="shared" si="19"/>
        <v>0.14472999999999989</v>
      </c>
      <c r="H57" s="474">
        <f t="shared" si="4"/>
        <v>57256</v>
      </c>
      <c r="I57" s="154"/>
      <c r="J57" s="371"/>
      <c r="K57" s="474"/>
      <c r="L57" s="475"/>
      <c r="M57" s="925">
        <v>1</v>
      </c>
      <c r="N57" s="270"/>
      <c r="O57" s="478">
        <f t="shared" ref="O57:O61" si="60">ROUND(E57*$AE$56,5)</f>
        <v>-5.64E-3</v>
      </c>
      <c r="P57" s="476">
        <v>1</v>
      </c>
      <c r="Q57" s="270"/>
      <c r="R57" s="478">
        <f t="shared" ref="R57:R61" si="61">ROUND(E57*$AI$56,5)</f>
        <v>-3.1199999999999999E-3</v>
      </c>
      <c r="S57" s="476">
        <v>1</v>
      </c>
      <c r="T57" s="270"/>
      <c r="U57" s="478">
        <f t="shared" ref="U57:U61" si="62">ROUND(E57*$AM$56,5)</f>
        <v>-1.64E-3</v>
      </c>
      <c r="V57" s="476">
        <v>1</v>
      </c>
      <c r="W57" s="270"/>
      <c r="X57" s="478">
        <f t="shared" ref="X57:X61" si="63">ROUND(E57*$AQ$56,5)</f>
        <v>-1.6000000000000001E-4</v>
      </c>
      <c r="Y57" s="899"/>
      <c r="Z57" s="899"/>
      <c r="AA57" s="899"/>
      <c r="AB57" s="899"/>
      <c r="AD57" s="433"/>
    </row>
    <row r="58" spans="1:43" s="56" customFormat="1" x14ac:dyDescent="0.2">
      <c r="A58" s="86">
        <f t="shared" si="0"/>
        <v>52</v>
      </c>
      <c r="B58" s="725"/>
      <c r="C58" s="726" t="s">
        <v>6</v>
      </c>
      <c r="D58" s="479">
        <f>'WA Volumes &amp; Revenues'!E59</f>
        <v>218004</v>
      </c>
      <c r="E58" s="473">
        <f>'Rates in Detail'!E57</f>
        <v>9.3909999999999993E-2</v>
      </c>
      <c r="F58" s="473">
        <f>'Rates in Detail'!L57+SUM('Rates in Detail'!P57:Q57)</f>
        <v>1.7069999999999998E-2</v>
      </c>
      <c r="G58" s="473">
        <f t="shared" si="19"/>
        <v>0.11098</v>
      </c>
      <c r="H58" s="474">
        <f t="shared" si="4"/>
        <v>20473</v>
      </c>
      <c r="I58" s="154"/>
      <c r="J58" s="371"/>
      <c r="K58" s="474"/>
      <c r="L58" s="475"/>
      <c r="M58" s="925">
        <v>1</v>
      </c>
      <c r="N58" s="270"/>
      <c r="O58" s="478">
        <f t="shared" si="60"/>
        <v>-4.3200000000000001E-3</v>
      </c>
      <c r="P58" s="476">
        <v>1</v>
      </c>
      <c r="Q58" s="270"/>
      <c r="R58" s="478">
        <f t="shared" si="61"/>
        <v>-2.3900000000000002E-3</v>
      </c>
      <c r="S58" s="476">
        <v>1</v>
      </c>
      <c r="T58" s="270"/>
      <c r="U58" s="478">
        <f t="shared" si="62"/>
        <v>-1.2600000000000001E-3</v>
      </c>
      <c r="V58" s="476">
        <v>1</v>
      </c>
      <c r="W58" s="270"/>
      <c r="X58" s="478">
        <f t="shared" si="63"/>
        <v>-1.2E-4</v>
      </c>
      <c r="Y58" s="899"/>
      <c r="Z58" s="899"/>
      <c r="AA58" s="899"/>
      <c r="AB58" s="899"/>
    </row>
    <row r="59" spans="1:43" s="56" customFormat="1" x14ac:dyDescent="0.2">
      <c r="A59" s="86">
        <f t="shared" si="0"/>
        <v>53</v>
      </c>
      <c r="B59" s="725"/>
      <c r="C59" s="726" t="s">
        <v>7</v>
      </c>
      <c r="D59" s="479">
        <f>'WA Volumes &amp; Revenues'!E60</f>
        <v>18208</v>
      </c>
      <c r="E59" s="473">
        <f>'Rates in Detail'!E58</f>
        <v>7.5130000000000044E-2</v>
      </c>
      <c r="F59" s="473">
        <f>'Rates in Detail'!L58+SUM('Rates in Detail'!P58:Q58)</f>
        <v>1.3649999999999999E-2</v>
      </c>
      <c r="G59" s="473">
        <f t="shared" si="19"/>
        <v>8.8780000000000039E-2</v>
      </c>
      <c r="H59" s="474">
        <f t="shared" si="4"/>
        <v>1368</v>
      </c>
      <c r="I59" s="154"/>
      <c r="J59" s="371"/>
      <c r="K59" s="474"/>
      <c r="L59" s="475"/>
      <c r="M59" s="925">
        <v>1</v>
      </c>
      <c r="N59" s="270"/>
      <c r="O59" s="478">
        <f t="shared" si="60"/>
        <v>-3.46E-3</v>
      </c>
      <c r="P59" s="476">
        <v>1</v>
      </c>
      <c r="Q59" s="270"/>
      <c r="R59" s="478">
        <f t="shared" si="61"/>
        <v>-1.91E-3</v>
      </c>
      <c r="S59" s="476">
        <v>1</v>
      </c>
      <c r="T59" s="270"/>
      <c r="U59" s="478">
        <f t="shared" si="62"/>
        <v>-1.01E-3</v>
      </c>
      <c r="V59" s="476">
        <v>1</v>
      </c>
      <c r="W59" s="270"/>
      <c r="X59" s="478">
        <f t="shared" si="63"/>
        <v>-1E-4</v>
      </c>
      <c r="Y59" s="899"/>
      <c r="Z59" s="899"/>
      <c r="AA59" s="899"/>
      <c r="AB59" s="899"/>
    </row>
    <row r="60" spans="1:43" s="56" customFormat="1" x14ac:dyDescent="0.2">
      <c r="A60" s="86">
        <f t="shared" si="0"/>
        <v>54</v>
      </c>
      <c r="B60" s="725"/>
      <c r="C60" s="726" t="s">
        <v>8</v>
      </c>
      <c r="D60" s="479">
        <f>'WA Volumes &amp; Revenues'!E61</f>
        <v>0</v>
      </c>
      <c r="E60" s="473">
        <f>'Rates in Detail'!E59</f>
        <v>5.0089999999999968E-2</v>
      </c>
      <c r="F60" s="473">
        <f>'Rates in Detail'!L59+SUM('Rates in Detail'!P59:Q59)</f>
        <v>9.11E-3</v>
      </c>
      <c r="G60" s="473">
        <f t="shared" si="19"/>
        <v>5.9199999999999968E-2</v>
      </c>
      <c r="H60" s="474">
        <f t="shared" si="4"/>
        <v>0</v>
      </c>
      <c r="I60" s="154"/>
      <c r="J60" s="371"/>
      <c r="K60" s="474"/>
      <c r="L60" s="475"/>
      <c r="M60" s="925">
        <v>1</v>
      </c>
      <c r="N60" s="270"/>
      <c r="O60" s="478">
        <f t="shared" si="60"/>
        <v>-2.31E-3</v>
      </c>
      <c r="P60" s="476">
        <v>1</v>
      </c>
      <c r="Q60" s="270"/>
      <c r="R60" s="478">
        <f t="shared" si="61"/>
        <v>-1.2700000000000001E-3</v>
      </c>
      <c r="S60" s="476">
        <v>1</v>
      </c>
      <c r="T60" s="270"/>
      <c r="U60" s="478">
        <f t="shared" si="62"/>
        <v>-6.7000000000000002E-4</v>
      </c>
      <c r="V60" s="476">
        <v>1</v>
      </c>
      <c r="W60" s="270"/>
      <c r="X60" s="478">
        <f t="shared" si="63"/>
        <v>-6.0000000000000002E-5</v>
      </c>
      <c r="Y60" s="899"/>
      <c r="Z60" s="899"/>
      <c r="AA60" s="899"/>
      <c r="AB60" s="899"/>
    </row>
    <row r="61" spans="1:43" s="56" customFormat="1" x14ac:dyDescent="0.2">
      <c r="A61" s="86">
        <f t="shared" si="0"/>
        <v>55</v>
      </c>
      <c r="B61" s="723"/>
      <c r="C61" s="727" t="s">
        <v>9</v>
      </c>
      <c r="D61" s="466">
        <f>'WA Volumes &amp; Revenues'!E62</f>
        <v>0</v>
      </c>
      <c r="E61" s="463">
        <f>'Rates in Detail'!E60</f>
        <v>1.8790000000000001E-2</v>
      </c>
      <c r="F61" s="463">
        <f>'Rates in Detail'!L60+SUM('Rates in Detail'!P60:Q60)</f>
        <v>3.4200000000000003E-3</v>
      </c>
      <c r="G61" s="463">
        <f t="shared" si="19"/>
        <v>2.2210000000000001E-2</v>
      </c>
      <c r="H61" s="467">
        <f t="shared" si="4"/>
        <v>0</v>
      </c>
      <c r="I61" s="468"/>
      <c r="J61" s="740"/>
      <c r="K61" s="467"/>
      <c r="L61" s="462"/>
      <c r="M61" s="923">
        <v>1</v>
      </c>
      <c r="N61" s="465"/>
      <c r="O61" s="470">
        <f t="shared" si="60"/>
        <v>-8.7000000000000001E-4</v>
      </c>
      <c r="P61" s="464">
        <v>1</v>
      </c>
      <c r="Q61" s="465"/>
      <c r="R61" s="470">
        <f t="shared" si="61"/>
        <v>-4.8000000000000001E-4</v>
      </c>
      <c r="S61" s="464">
        <v>1</v>
      </c>
      <c r="T61" s="465"/>
      <c r="U61" s="470">
        <f t="shared" si="62"/>
        <v>-2.5000000000000001E-4</v>
      </c>
      <c r="V61" s="464">
        <v>1</v>
      </c>
      <c r="W61" s="465"/>
      <c r="X61" s="470">
        <f t="shared" si="63"/>
        <v>-2.0000000000000002E-5</v>
      </c>
      <c r="Y61" s="899"/>
      <c r="Z61" s="899"/>
      <c r="AA61" s="899"/>
      <c r="AB61" s="899"/>
    </row>
    <row r="62" spans="1:43" s="56" customFormat="1" x14ac:dyDescent="0.2">
      <c r="A62" s="86">
        <f t="shared" si="0"/>
        <v>56</v>
      </c>
      <c r="B62" s="725" t="str">
        <f>'WA Volumes &amp; Revenues'!B63</f>
        <v>42I Interr Sales</v>
      </c>
      <c r="C62" s="726" t="s">
        <v>4</v>
      </c>
      <c r="D62" s="479">
        <f>'WA Volumes &amp; Revenues'!E63</f>
        <v>156740</v>
      </c>
      <c r="E62" s="473">
        <f>'Rates in Detail'!E61</f>
        <v>0.14583999999999989</v>
      </c>
      <c r="F62" s="473">
        <f>'Rates in Detail'!L61+SUM('Rates in Detail'!P61:Q61)</f>
        <v>3.4299999999999997E-2</v>
      </c>
      <c r="G62" s="473">
        <f t="shared" si="19"/>
        <v>0.18013999999999988</v>
      </c>
      <c r="H62" s="474">
        <f t="shared" si="4"/>
        <v>22859</v>
      </c>
      <c r="I62" s="154">
        <f>'WA Volumes &amp; Revenues'!N63</f>
        <v>1300</v>
      </c>
      <c r="J62" s="371">
        <f>'WA Volumes &amp; Revenues'!H63</f>
        <v>1.9166666666666701</v>
      </c>
      <c r="K62" s="474">
        <f>ROUND((I62*J62*12)+H62+H63+H64+H65+H66+H67,0)+'Rev Req Proof Yr1'!Z79</f>
        <v>81130.543495991747</v>
      </c>
      <c r="L62" s="475"/>
      <c r="M62" s="925">
        <v>0</v>
      </c>
      <c r="N62" s="480">
        <f t="shared" ref="N62" si="64">ROUND(+$M$10*(($K62*M62)/M$84),0)</f>
        <v>0</v>
      </c>
      <c r="O62" s="478">
        <f>ROUND(E62*$AE$62,5)</f>
        <v>0</v>
      </c>
      <c r="P62" s="476">
        <v>1</v>
      </c>
      <c r="Q62" s="480">
        <f>ROUND(+$P$10*(($K62*P62)/P$84),0)</f>
        <v>-1439</v>
      </c>
      <c r="R62" s="478">
        <f>ROUND(E62*$AI$62,5)</f>
        <v>-4.7999999999999996E-3</v>
      </c>
      <c r="S62" s="476">
        <v>1</v>
      </c>
      <c r="T62" s="480">
        <f>ROUND(+$S$10*(($K62*S62)/S$84),0)</f>
        <v>-760</v>
      </c>
      <c r="U62" s="478">
        <f>ROUND(E62*$AM$62,5)</f>
        <v>-2.5400000000000002E-3</v>
      </c>
      <c r="V62" s="476">
        <v>1</v>
      </c>
      <c r="W62" s="480">
        <f>ROUND(+$V$10*(($K62*V62)/V$84),0)</f>
        <v>-73</v>
      </c>
      <c r="X62" s="478">
        <f>ROUND(E62*$AQ$62,5)</f>
        <v>-2.4000000000000001E-4</v>
      </c>
      <c r="Y62" s="899"/>
      <c r="Z62" s="899"/>
      <c r="AA62" s="899"/>
      <c r="AB62" s="899"/>
      <c r="AD62" s="433">
        <f t="shared" ref="AD62" si="65">N62/K62</f>
        <v>0</v>
      </c>
      <c r="AE62" s="433">
        <f>N62/SUM($H$62:$H$67)</f>
        <v>0</v>
      </c>
      <c r="AH62" s="433">
        <f t="shared" ref="AH62" si="66">Q62/K62</f>
        <v>-1.7736846543756898E-2</v>
      </c>
      <c r="AI62" s="433">
        <f>Q62/SUM($H$62:$H$67)</f>
        <v>-3.2923787951586701E-2</v>
      </c>
      <c r="AL62" s="433">
        <f t="shared" ref="AL62" si="67">T62/K62</f>
        <v>-9.3676187444442279E-3</v>
      </c>
      <c r="AM62" s="433">
        <f>T62/SUM($H$62:$H$67)</f>
        <v>-1.7388519001532935E-2</v>
      </c>
      <c r="AP62" s="433">
        <f t="shared" ref="AP62" si="68">W62/K62</f>
        <v>-8.9978443203214285E-4</v>
      </c>
      <c r="AQ62" s="433">
        <f>W62/SUM($H$62:$H$67)</f>
        <v>-1.6702130093577687E-3</v>
      </c>
    </row>
    <row r="63" spans="1:43" s="56" customFormat="1" x14ac:dyDescent="0.2">
      <c r="A63" s="86">
        <f t="shared" si="0"/>
        <v>57</v>
      </c>
      <c r="B63" s="725"/>
      <c r="C63" s="726" t="s">
        <v>5</v>
      </c>
      <c r="D63" s="479">
        <f>'WA Volumes &amp; Revenues'!E64</f>
        <v>159690</v>
      </c>
      <c r="E63" s="473">
        <f>'Rates in Detail'!E62</f>
        <v>0.13054999999999992</v>
      </c>
      <c r="F63" s="473">
        <f>'Rates in Detail'!L62+SUM('Rates in Detail'!P62:Q62)</f>
        <v>3.0710000000000001E-2</v>
      </c>
      <c r="G63" s="473">
        <f t="shared" si="19"/>
        <v>0.1612599999999999</v>
      </c>
      <c r="H63" s="474">
        <f t="shared" si="4"/>
        <v>20848</v>
      </c>
      <c r="I63" s="154"/>
      <c r="J63" s="371"/>
      <c r="K63" s="474"/>
      <c r="L63" s="475"/>
      <c r="M63" s="925">
        <v>0</v>
      </c>
      <c r="N63" s="270"/>
      <c r="O63" s="478">
        <f t="shared" ref="O63:O67" si="69">ROUND(E63*$AE$62,5)</f>
        <v>0</v>
      </c>
      <c r="P63" s="476">
        <v>1</v>
      </c>
      <c r="Q63" s="270"/>
      <c r="R63" s="478">
        <f t="shared" ref="R63:R67" si="70">ROUND(E63*$AI$62,5)</f>
        <v>-4.3E-3</v>
      </c>
      <c r="S63" s="476">
        <v>1</v>
      </c>
      <c r="T63" s="270"/>
      <c r="U63" s="478">
        <f t="shared" ref="U63:U67" si="71">ROUND(E63*$AM$62,5)</f>
        <v>-2.2699999999999999E-3</v>
      </c>
      <c r="V63" s="476">
        <v>1</v>
      </c>
      <c r="W63" s="270"/>
      <c r="X63" s="478">
        <f t="shared" ref="X63:X67" si="72">ROUND(E63*$AQ$62,5)</f>
        <v>-2.2000000000000001E-4</v>
      </c>
      <c r="Y63" s="899"/>
      <c r="Z63" s="899"/>
      <c r="AA63" s="899"/>
      <c r="AB63" s="899"/>
    </row>
    <row r="64" spans="1:43" s="56" customFormat="1" x14ac:dyDescent="0.2">
      <c r="A64" s="86">
        <f t="shared" si="0"/>
        <v>58</v>
      </c>
      <c r="B64" s="725"/>
      <c r="C64" s="726" t="s">
        <v>6</v>
      </c>
      <c r="D64" s="479">
        <f>'WA Volumes &amp; Revenues'!E65</f>
        <v>0</v>
      </c>
      <c r="E64" s="473">
        <f>'Rates in Detail'!E63</f>
        <v>0.10011</v>
      </c>
      <c r="F64" s="473">
        <f>'Rates in Detail'!L63+SUM('Rates in Detail'!P63:Q63)</f>
        <v>2.3550000000000001E-2</v>
      </c>
      <c r="G64" s="473">
        <f t="shared" si="19"/>
        <v>0.12366000000000001</v>
      </c>
      <c r="H64" s="474">
        <f t="shared" si="4"/>
        <v>0</v>
      </c>
      <c r="I64" s="154"/>
      <c r="J64" s="371"/>
      <c r="K64" s="474"/>
      <c r="L64" s="475"/>
      <c r="M64" s="925">
        <v>0</v>
      </c>
      <c r="N64" s="270"/>
      <c r="O64" s="478">
        <f t="shared" si="69"/>
        <v>0</v>
      </c>
      <c r="P64" s="476">
        <v>1</v>
      </c>
      <c r="Q64" s="270"/>
      <c r="R64" s="478">
        <f t="shared" si="70"/>
        <v>-3.3E-3</v>
      </c>
      <c r="S64" s="476">
        <v>1</v>
      </c>
      <c r="T64" s="270"/>
      <c r="U64" s="478">
        <f t="shared" si="71"/>
        <v>-1.74E-3</v>
      </c>
      <c r="V64" s="476">
        <v>1</v>
      </c>
      <c r="W64" s="270"/>
      <c r="X64" s="478">
        <f t="shared" si="72"/>
        <v>-1.7000000000000001E-4</v>
      </c>
      <c r="Y64" s="899"/>
      <c r="Z64" s="899"/>
      <c r="AA64" s="899"/>
      <c r="AB64" s="899"/>
    </row>
    <row r="65" spans="1:43" s="56" customFormat="1" x14ac:dyDescent="0.2">
      <c r="A65" s="86">
        <f t="shared" si="0"/>
        <v>59</v>
      </c>
      <c r="B65" s="725"/>
      <c r="C65" s="726" t="s">
        <v>7</v>
      </c>
      <c r="D65" s="479">
        <f>'WA Volumes &amp; Revenues'!E66</f>
        <v>0</v>
      </c>
      <c r="E65" s="473">
        <f>'Rates in Detail'!E64</f>
        <v>8.0089999999999995E-2</v>
      </c>
      <c r="F65" s="473">
        <f>'Rates in Detail'!L64+SUM('Rates in Detail'!P64:Q64)</f>
        <v>1.8840000000000003E-2</v>
      </c>
      <c r="G65" s="473">
        <f t="shared" si="19"/>
        <v>9.892999999999999E-2</v>
      </c>
      <c r="H65" s="474">
        <f t="shared" si="4"/>
        <v>0</v>
      </c>
      <c r="I65" s="154"/>
      <c r="J65" s="371"/>
      <c r="K65" s="474"/>
      <c r="L65" s="475"/>
      <c r="M65" s="925">
        <v>0</v>
      </c>
      <c r="N65" s="270"/>
      <c r="O65" s="478">
        <f t="shared" si="69"/>
        <v>0</v>
      </c>
      <c r="P65" s="476">
        <v>1</v>
      </c>
      <c r="Q65" s="270"/>
      <c r="R65" s="478">
        <f t="shared" si="70"/>
        <v>-2.64E-3</v>
      </c>
      <c r="S65" s="476">
        <v>1</v>
      </c>
      <c r="T65" s="270"/>
      <c r="U65" s="478">
        <f t="shared" si="71"/>
        <v>-1.39E-3</v>
      </c>
      <c r="V65" s="476">
        <v>1</v>
      </c>
      <c r="W65" s="270"/>
      <c r="X65" s="478">
        <f t="shared" si="72"/>
        <v>-1.2999999999999999E-4</v>
      </c>
      <c r="Y65" s="899"/>
      <c r="Z65" s="899"/>
      <c r="AA65" s="899"/>
      <c r="AB65" s="899"/>
    </row>
    <row r="66" spans="1:43" s="56" customFormat="1" x14ac:dyDescent="0.2">
      <c r="A66" s="86">
        <f t="shared" si="0"/>
        <v>60</v>
      </c>
      <c r="B66" s="725"/>
      <c r="C66" s="726" t="s">
        <v>8</v>
      </c>
      <c r="D66" s="479">
        <f>'WA Volumes &amp; Revenues'!E67</f>
        <v>0</v>
      </c>
      <c r="E66" s="473">
        <f>'Rates in Detail'!E65</f>
        <v>5.339E-2</v>
      </c>
      <c r="F66" s="473">
        <f>'Rates in Detail'!L65+SUM('Rates in Detail'!P65:Q65)</f>
        <v>1.256E-2</v>
      </c>
      <c r="G66" s="473">
        <f t="shared" si="19"/>
        <v>6.5949999999999995E-2</v>
      </c>
      <c r="H66" s="474">
        <f t="shared" si="4"/>
        <v>0</v>
      </c>
      <c r="I66" s="154"/>
      <c r="J66" s="371"/>
      <c r="K66" s="474"/>
      <c r="L66" s="475"/>
      <c r="M66" s="925">
        <v>0</v>
      </c>
      <c r="N66" s="270"/>
      <c r="O66" s="478">
        <f t="shared" si="69"/>
        <v>0</v>
      </c>
      <c r="P66" s="476">
        <v>1</v>
      </c>
      <c r="Q66" s="270"/>
      <c r="R66" s="478">
        <f t="shared" si="70"/>
        <v>-1.7600000000000001E-3</v>
      </c>
      <c r="S66" s="476">
        <v>1</v>
      </c>
      <c r="T66" s="270"/>
      <c r="U66" s="478">
        <f t="shared" si="71"/>
        <v>-9.3000000000000005E-4</v>
      </c>
      <c r="V66" s="476">
        <v>1</v>
      </c>
      <c r="W66" s="270"/>
      <c r="X66" s="478">
        <f t="shared" si="72"/>
        <v>-9.0000000000000006E-5</v>
      </c>
      <c r="Y66" s="899"/>
      <c r="Z66" s="899"/>
      <c r="AA66" s="899"/>
      <c r="AB66" s="899"/>
    </row>
    <row r="67" spans="1:43" s="56" customFormat="1" x14ac:dyDescent="0.2">
      <c r="A67" s="86">
        <f t="shared" si="0"/>
        <v>61</v>
      </c>
      <c r="B67" s="723"/>
      <c r="C67" s="727" t="s">
        <v>9</v>
      </c>
      <c r="D67" s="466">
        <f>'WA Volumes &amp; Revenues'!E68</f>
        <v>0</v>
      </c>
      <c r="E67" s="463">
        <f>'Rates in Detail'!E66</f>
        <v>2.002E-2</v>
      </c>
      <c r="F67" s="463">
        <f>'Rates in Detail'!L66+SUM('Rates in Detail'!P66:Q66)</f>
        <v>4.7100000000000006E-3</v>
      </c>
      <c r="G67" s="463">
        <f t="shared" si="19"/>
        <v>2.4730000000000002E-2</v>
      </c>
      <c r="H67" s="467">
        <f t="shared" si="4"/>
        <v>0</v>
      </c>
      <c r="I67" s="468"/>
      <c r="J67" s="740"/>
      <c r="K67" s="467"/>
      <c r="L67" s="462"/>
      <c r="M67" s="923">
        <v>0</v>
      </c>
      <c r="N67" s="465"/>
      <c r="O67" s="470">
        <f t="shared" si="69"/>
        <v>0</v>
      </c>
      <c r="P67" s="464">
        <v>1</v>
      </c>
      <c r="Q67" s="465"/>
      <c r="R67" s="470">
        <f t="shared" si="70"/>
        <v>-6.6E-4</v>
      </c>
      <c r="S67" s="464">
        <v>1</v>
      </c>
      <c r="T67" s="465"/>
      <c r="U67" s="470">
        <f t="shared" si="71"/>
        <v>-3.5E-4</v>
      </c>
      <c r="V67" s="464">
        <v>1</v>
      </c>
      <c r="W67" s="465"/>
      <c r="X67" s="470">
        <f t="shared" si="72"/>
        <v>-3.0000000000000001E-5</v>
      </c>
      <c r="Y67" s="899"/>
      <c r="Z67" s="899"/>
      <c r="AA67" s="899"/>
      <c r="AB67" s="899"/>
    </row>
    <row r="68" spans="1:43" s="56" customFormat="1" x14ac:dyDescent="0.2">
      <c r="A68" s="86">
        <f t="shared" si="0"/>
        <v>62</v>
      </c>
      <c r="B68" s="725" t="str">
        <f>'WA Volumes &amp; Revenues'!B69</f>
        <v>42C Inter Transpt</v>
      </c>
      <c r="C68" s="726" t="s">
        <v>4</v>
      </c>
      <c r="D68" s="479">
        <f>'WA Volumes &amp; Revenues'!E69</f>
        <v>0</v>
      </c>
      <c r="E68" s="481">
        <f>'Rates in Detail'!E67</f>
        <v>0.13402999999999998</v>
      </c>
      <c r="F68" s="481">
        <f>'Rates in Detail'!L67+SUM('Rates in Detail'!P67:Q67)</f>
        <v>1.5730000000000001E-2</v>
      </c>
      <c r="G68" s="481">
        <f t="shared" si="19"/>
        <v>0.14975999999999998</v>
      </c>
      <c r="H68" s="474">
        <f t="shared" si="4"/>
        <v>0</v>
      </c>
      <c r="I68" s="154">
        <f>'WA Volumes &amp; Revenues'!N69</f>
        <v>1550</v>
      </c>
      <c r="J68" s="371">
        <f>'WA Volumes &amp; Revenues'!H69</f>
        <v>0</v>
      </c>
      <c r="K68" s="474">
        <f>ROUND((I68*J68*12)+H68+H69+H70+H71+H72+H73,0)+'Rev Req Proof Yr1'!Z86</f>
        <v>0</v>
      </c>
      <c r="L68" s="482"/>
      <c r="M68" s="925">
        <v>0</v>
      </c>
      <c r="N68" s="480">
        <f t="shared" ref="N68" si="73">ROUND(+$M$10*(($K68*M68)/M$84),0)</f>
        <v>0</v>
      </c>
      <c r="O68" s="478">
        <f>ROUND(E68*$AE$68,5)</f>
        <v>0</v>
      </c>
      <c r="P68" s="476">
        <v>1</v>
      </c>
      <c r="Q68" s="480">
        <f>ROUND(+$P$10*(($K68*P68)/P$84),0)</f>
        <v>0</v>
      </c>
      <c r="R68" s="478">
        <f>ROUND(E68*$AI$68,5)</f>
        <v>-2.3800000000000002E-3</v>
      </c>
      <c r="S68" s="476">
        <v>1</v>
      </c>
      <c r="T68" s="480">
        <f>ROUND(+$S$10*(($K68*S68)/S$84),0)</f>
        <v>0</v>
      </c>
      <c r="U68" s="478">
        <f>ROUND(E68*$AM$68,5)</f>
        <v>-1.2600000000000001E-3</v>
      </c>
      <c r="V68" s="476">
        <v>1</v>
      </c>
      <c r="W68" s="480">
        <f>ROUND(+$V$10*(($K68*V68)/V$84),0)</f>
        <v>0</v>
      </c>
      <c r="X68" s="478">
        <f>ROUND(E68*$AQ$68,5)</f>
        <v>-1.2E-4</v>
      </c>
      <c r="Y68" s="899"/>
      <c r="Z68" s="899"/>
      <c r="AA68" s="899"/>
      <c r="AB68" s="899"/>
      <c r="AD68" s="433">
        <f>$AD$22</f>
        <v>0</v>
      </c>
      <c r="AE68" s="433">
        <f>$AE$22</f>
        <v>0</v>
      </c>
      <c r="AH68" s="433">
        <f>$AH$22</f>
        <v>-1.7740078228791385E-2</v>
      </c>
      <c r="AI68" s="433">
        <f>AH68</f>
        <v>-1.7740078228791385E-2</v>
      </c>
      <c r="AL68" s="433">
        <f>$AL$22</f>
        <v>-9.3654368481358094E-3</v>
      </c>
      <c r="AM68" s="1138">
        <f>AL68</f>
        <v>-9.3654368481358094E-3</v>
      </c>
      <c r="AP68" s="433">
        <f>$AP$22</f>
        <v>-9.0164934572751609E-4</v>
      </c>
      <c r="AQ68" s="1138">
        <f>AP68</f>
        <v>-9.0164934572751609E-4</v>
      </c>
    </row>
    <row r="69" spans="1:43" s="56" customFormat="1" x14ac:dyDescent="0.2">
      <c r="A69" s="86">
        <f t="shared" si="0"/>
        <v>63</v>
      </c>
      <c r="B69" s="725"/>
      <c r="C69" s="726" t="s">
        <v>5</v>
      </c>
      <c r="D69" s="479">
        <f>'WA Volumes &amp; Revenues'!E70</f>
        <v>0</v>
      </c>
      <c r="E69" s="481">
        <f>'Rates in Detail'!E68</f>
        <v>0.11997999999999999</v>
      </c>
      <c r="F69" s="481">
        <f>'Rates in Detail'!L68+SUM('Rates in Detail'!P68:Q68)</f>
        <v>1.409E-2</v>
      </c>
      <c r="G69" s="481">
        <f t="shared" si="19"/>
        <v>0.13406999999999999</v>
      </c>
      <c r="H69" s="474">
        <f t="shared" si="4"/>
        <v>0</v>
      </c>
      <c r="I69" s="154"/>
      <c r="J69" s="371"/>
      <c r="K69" s="474"/>
      <c r="L69" s="482"/>
      <c r="M69" s="925">
        <v>0</v>
      </c>
      <c r="N69" s="270"/>
      <c r="O69" s="478">
        <f t="shared" ref="O69:O73" si="74">ROUND(E69*$AE$68,5)</f>
        <v>0</v>
      </c>
      <c r="P69" s="476">
        <v>1</v>
      </c>
      <c r="Q69" s="270"/>
      <c r="R69" s="478">
        <f t="shared" ref="R69:R73" si="75">ROUND(E69*$AI$68,5)</f>
        <v>-2.1299999999999999E-3</v>
      </c>
      <c r="S69" s="476">
        <v>1</v>
      </c>
      <c r="T69" s="270"/>
      <c r="U69" s="478">
        <f t="shared" ref="U69:U73" si="76">ROUND(E69*$AM$68,5)</f>
        <v>-1.1199999999999999E-3</v>
      </c>
      <c r="V69" s="476">
        <v>1</v>
      </c>
      <c r="W69" s="270"/>
      <c r="X69" s="478">
        <f t="shared" ref="X69:X73" si="77">ROUND(E69*$AQ$68,5)</f>
        <v>-1.1E-4</v>
      </c>
      <c r="Y69" s="899"/>
      <c r="Z69" s="899"/>
      <c r="AA69" s="899"/>
      <c r="AB69" s="899"/>
    </row>
    <row r="70" spans="1:43" s="56" customFormat="1" x14ac:dyDescent="0.2">
      <c r="A70" s="86">
        <f t="shared" si="0"/>
        <v>64</v>
      </c>
      <c r="B70" s="725"/>
      <c r="C70" s="726" t="s">
        <v>6</v>
      </c>
      <c r="D70" s="479">
        <f>'WA Volumes &amp; Revenues'!E71</f>
        <v>0</v>
      </c>
      <c r="E70" s="481">
        <f>'Rates in Detail'!E69</f>
        <v>9.1999999999999998E-2</v>
      </c>
      <c r="F70" s="481">
        <f>'Rates in Detail'!L69+SUM('Rates in Detail'!P69:Q69)</f>
        <v>1.0800000000000001E-2</v>
      </c>
      <c r="G70" s="481">
        <f t="shared" si="19"/>
        <v>0.1028</v>
      </c>
      <c r="H70" s="474">
        <f t="shared" si="4"/>
        <v>0</v>
      </c>
      <c r="I70" s="154"/>
      <c r="J70" s="371"/>
      <c r="K70" s="474"/>
      <c r="L70" s="482"/>
      <c r="M70" s="925">
        <v>0</v>
      </c>
      <c r="N70" s="270"/>
      <c r="O70" s="478">
        <f t="shared" si="74"/>
        <v>0</v>
      </c>
      <c r="P70" s="476">
        <v>1</v>
      </c>
      <c r="Q70" s="270"/>
      <c r="R70" s="478">
        <f t="shared" si="75"/>
        <v>-1.6299999999999999E-3</v>
      </c>
      <c r="S70" s="476">
        <v>1</v>
      </c>
      <c r="T70" s="270"/>
      <c r="U70" s="478">
        <f t="shared" si="76"/>
        <v>-8.5999999999999998E-4</v>
      </c>
      <c r="V70" s="476">
        <v>1</v>
      </c>
      <c r="W70" s="270"/>
      <c r="X70" s="478">
        <f t="shared" si="77"/>
        <v>-8.0000000000000007E-5</v>
      </c>
      <c r="Y70" s="899"/>
      <c r="Z70" s="899"/>
      <c r="AA70" s="899"/>
      <c r="AB70" s="899"/>
    </row>
    <row r="71" spans="1:43" s="56" customFormat="1" x14ac:dyDescent="0.2">
      <c r="A71" s="86">
        <f t="shared" si="0"/>
        <v>65</v>
      </c>
      <c r="B71" s="725"/>
      <c r="C71" s="726" t="s">
        <v>7</v>
      </c>
      <c r="D71" s="479">
        <f>'WA Volumes &amp; Revenues'!E72</f>
        <v>0</v>
      </c>
      <c r="E71" s="481">
        <f>'Rates in Detail'!E70</f>
        <v>7.3609999999999995E-2</v>
      </c>
      <c r="F71" s="481">
        <f>'Rates in Detail'!L70+SUM('Rates in Detail'!P70:Q70)</f>
        <v>8.6400000000000001E-3</v>
      </c>
      <c r="G71" s="481">
        <f t="shared" si="19"/>
        <v>8.224999999999999E-2</v>
      </c>
      <c r="H71" s="474">
        <f t="shared" si="4"/>
        <v>0</v>
      </c>
      <c r="I71" s="154"/>
      <c r="J71" s="371"/>
      <c r="K71" s="474"/>
      <c r="L71" s="482"/>
      <c r="M71" s="925">
        <v>0</v>
      </c>
      <c r="N71" s="270"/>
      <c r="O71" s="478">
        <f t="shared" si="74"/>
        <v>0</v>
      </c>
      <c r="P71" s="476">
        <v>1</v>
      </c>
      <c r="Q71" s="270"/>
      <c r="R71" s="478">
        <f t="shared" si="75"/>
        <v>-1.31E-3</v>
      </c>
      <c r="S71" s="476">
        <v>1</v>
      </c>
      <c r="T71" s="270"/>
      <c r="U71" s="478">
        <f t="shared" si="76"/>
        <v>-6.8999999999999997E-4</v>
      </c>
      <c r="V71" s="476">
        <v>1</v>
      </c>
      <c r="W71" s="270"/>
      <c r="X71" s="478">
        <f t="shared" si="77"/>
        <v>-6.9999999999999994E-5</v>
      </c>
      <c r="Y71" s="899"/>
      <c r="Z71" s="899"/>
      <c r="AA71" s="899"/>
      <c r="AB71" s="899"/>
    </row>
    <row r="72" spans="1:43" s="56" customFormat="1" x14ac:dyDescent="0.2">
      <c r="A72" s="86">
        <f t="shared" si="0"/>
        <v>66</v>
      </c>
      <c r="B72" s="725"/>
      <c r="C72" s="726" t="s">
        <v>8</v>
      </c>
      <c r="D72" s="479">
        <f>'WA Volumes &amp; Revenues'!E73</f>
        <v>0</v>
      </c>
      <c r="E72" s="481">
        <f>'Rates in Detail'!E71</f>
        <v>4.9079999999999999E-2</v>
      </c>
      <c r="F72" s="481">
        <f>'Rates in Detail'!L71+SUM('Rates in Detail'!P71:Q71)</f>
        <v>5.7599999999999995E-3</v>
      </c>
      <c r="G72" s="481">
        <f t="shared" si="19"/>
        <v>5.484E-2</v>
      </c>
      <c r="H72" s="474">
        <f t="shared" si="4"/>
        <v>0</v>
      </c>
      <c r="I72" s="154"/>
      <c r="J72" s="371"/>
      <c r="K72" s="474"/>
      <c r="L72" s="482"/>
      <c r="M72" s="925">
        <v>0</v>
      </c>
      <c r="N72" s="270"/>
      <c r="O72" s="478">
        <f t="shared" si="74"/>
        <v>0</v>
      </c>
      <c r="P72" s="476">
        <v>1</v>
      </c>
      <c r="Q72" s="270"/>
      <c r="R72" s="478">
        <f t="shared" si="75"/>
        <v>-8.7000000000000001E-4</v>
      </c>
      <c r="S72" s="476">
        <v>1</v>
      </c>
      <c r="T72" s="270"/>
      <c r="U72" s="478">
        <f t="shared" si="76"/>
        <v>-4.6000000000000001E-4</v>
      </c>
      <c r="V72" s="476">
        <v>1</v>
      </c>
      <c r="W72" s="270"/>
      <c r="X72" s="478">
        <f t="shared" si="77"/>
        <v>-4.0000000000000003E-5</v>
      </c>
      <c r="Y72" s="899"/>
      <c r="Z72" s="899"/>
      <c r="AA72" s="899"/>
      <c r="AB72" s="899"/>
    </row>
    <row r="73" spans="1:43" s="56" customFormat="1" x14ac:dyDescent="0.2">
      <c r="A73" s="86">
        <f t="shared" si="0"/>
        <v>67</v>
      </c>
      <c r="B73" s="723"/>
      <c r="C73" s="727" t="s">
        <v>9</v>
      </c>
      <c r="D73" s="466">
        <f>'WA Volumes &amp; Revenues'!E74</f>
        <v>0</v>
      </c>
      <c r="E73" s="483">
        <f>'Rates in Detail'!E72</f>
        <v>1.839E-2</v>
      </c>
      <c r="F73" s="483">
        <f>'Rates in Detail'!L72+SUM('Rates in Detail'!P72:Q72)</f>
        <v>2.16E-3</v>
      </c>
      <c r="G73" s="483">
        <f t="shared" si="19"/>
        <v>2.0549999999999999E-2</v>
      </c>
      <c r="H73" s="467">
        <f t="shared" si="4"/>
        <v>0</v>
      </c>
      <c r="I73" s="468"/>
      <c r="J73" s="740"/>
      <c r="K73" s="467"/>
      <c r="L73" s="484"/>
      <c r="M73" s="923">
        <v>0</v>
      </c>
      <c r="N73" s="465"/>
      <c r="O73" s="470">
        <f t="shared" si="74"/>
        <v>0</v>
      </c>
      <c r="P73" s="464">
        <v>1</v>
      </c>
      <c r="Q73" s="465"/>
      <c r="R73" s="470">
        <f t="shared" si="75"/>
        <v>-3.3E-4</v>
      </c>
      <c r="S73" s="464">
        <v>1</v>
      </c>
      <c r="T73" s="465"/>
      <c r="U73" s="470">
        <f t="shared" si="76"/>
        <v>-1.7000000000000001E-4</v>
      </c>
      <c r="V73" s="464">
        <v>1</v>
      </c>
      <c r="W73" s="465"/>
      <c r="X73" s="470">
        <f t="shared" si="77"/>
        <v>-2.0000000000000002E-5</v>
      </c>
      <c r="Y73" s="899"/>
      <c r="Z73" s="899"/>
      <c r="AA73" s="899"/>
      <c r="AB73" s="899"/>
    </row>
    <row r="74" spans="1:43" s="56" customFormat="1" x14ac:dyDescent="0.2">
      <c r="A74" s="86">
        <f t="shared" si="0"/>
        <v>68</v>
      </c>
      <c r="B74" s="725" t="str">
        <f>'WA Volumes &amp; Revenues'!B75</f>
        <v>42I Inter Transpt</v>
      </c>
      <c r="C74" s="726" t="s">
        <v>4</v>
      </c>
      <c r="D74" s="479">
        <f>'WA Volumes &amp; Revenues'!E75</f>
        <v>844078</v>
      </c>
      <c r="E74" s="481">
        <f>'Rates in Detail'!E73</f>
        <v>0.13402999999999998</v>
      </c>
      <c r="F74" s="481">
        <f>'Rates in Detail'!L73+SUM('Rates in Detail'!P73:Q73)</f>
        <v>2.017E-2</v>
      </c>
      <c r="G74" s="481">
        <f t="shared" si="19"/>
        <v>0.15419999999999998</v>
      </c>
      <c r="H74" s="474">
        <f t="shared" si="4"/>
        <v>113132</v>
      </c>
      <c r="I74" s="154">
        <f>'WA Volumes &amp; Revenues'!N75</f>
        <v>1550</v>
      </c>
      <c r="J74" s="371">
        <f>'WA Volumes &amp; Revenues'!H75</f>
        <v>7</v>
      </c>
      <c r="K74" s="474">
        <f>ROUND((I74*J74*12)+H74+H75+H76+H77+H78+H79,0)+'Rev Req Proof Yr1'!Z93</f>
        <v>825480</v>
      </c>
      <c r="L74" s="482"/>
      <c r="M74" s="925">
        <v>0</v>
      </c>
      <c r="N74" s="480">
        <f t="shared" ref="N74" si="78">ROUND(+$M$10*(($K74*M74)/M$84),0)</f>
        <v>0</v>
      </c>
      <c r="O74" s="478">
        <f>ROUND(E74*$AE$74,5)</f>
        <v>0</v>
      </c>
      <c r="P74" s="476">
        <v>1</v>
      </c>
      <c r="Q74" s="480">
        <f>ROUND(+$P$10*(($K74*P74)/P$84),0)</f>
        <v>-14645</v>
      </c>
      <c r="R74" s="478">
        <f>ROUND(E74*$AI$74,5)</f>
        <v>-2.82E-3</v>
      </c>
      <c r="S74" s="476">
        <v>1</v>
      </c>
      <c r="T74" s="480">
        <f>ROUND(+$S$10*(($K74*S74)/S$84),0)</f>
        <v>-7730</v>
      </c>
      <c r="U74" s="478">
        <f>ROUND(E74*$AM$74,5)</f>
        <v>-1.49E-3</v>
      </c>
      <c r="V74" s="476">
        <v>1</v>
      </c>
      <c r="W74" s="480">
        <f>ROUND(+$V$10*(($K74*V74)/V$84),0)</f>
        <v>-745</v>
      </c>
      <c r="X74" s="478">
        <f>ROUND(E74*$AQ$74,5)</f>
        <v>-1.3999999999999999E-4</v>
      </c>
      <c r="Y74" s="899"/>
      <c r="Z74" s="899"/>
      <c r="AA74" s="899"/>
      <c r="AB74" s="899"/>
      <c r="AD74" s="433">
        <f t="shared" ref="AD74" si="79">N74/K74</f>
        <v>0</v>
      </c>
      <c r="AE74" s="433">
        <f>M74/SUM($H$74:$H$79)</f>
        <v>0</v>
      </c>
      <c r="AH74" s="433">
        <f t="shared" ref="AH74" si="80">Q74/K74</f>
        <v>-1.7741193002858941E-2</v>
      </c>
      <c r="AI74" s="433">
        <f>Q74/SUM($H$74:$H$79)</f>
        <v>-2.1063456449200321E-2</v>
      </c>
      <c r="AL74" s="433">
        <f t="shared" ref="AL74" si="81">T74/K74</f>
        <v>-9.3642486795561374E-3</v>
      </c>
      <c r="AM74" s="433">
        <f>T74/SUM($H$74:$H$79)</f>
        <v>-1.1117823035323899E-2</v>
      </c>
      <c r="AP74" s="433">
        <f t="shared" ref="AP74" si="82">W74/K74</f>
        <v>-9.0250520909046852E-4</v>
      </c>
      <c r="AQ74" s="433">
        <f>W74/SUM($H$74:$H$79)</f>
        <v>-1.0715107582556667E-3</v>
      </c>
    </row>
    <row r="75" spans="1:43" s="56" customFormat="1" x14ac:dyDescent="0.2">
      <c r="A75" s="86">
        <f t="shared" si="0"/>
        <v>69</v>
      </c>
      <c r="B75" s="725"/>
      <c r="C75" s="726" t="s">
        <v>5</v>
      </c>
      <c r="D75" s="479">
        <f>'WA Volumes &amp; Revenues'!E76</f>
        <v>1445175</v>
      </c>
      <c r="E75" s="481">
        <f>'Rates in Detail'!E74</f>
        <v>0.11997999999999999</v>
      </c>
      <c r="F75" s="481">
        <f>'Rates in Detail'!L74+SUM('Rates in Detail'!P74:Q74)</f>
        <v>1.806E-2</v>
      </c>
      <c r="G75" s="481">
        <f t="shared" si="19"/>
        <v>0.13804</v>
      </c>
      <c r="H75" s="474">
        <f t="shared" si="4"/>
        <v>173392</v>
      </c>
      <c r="I75" s="154"/>
      <c r="J75" s="371"/>
      <c r="K75" s="474"/>
      <c r="L75" s="482"/>
      <c r="M75" s="925">
        <v>0</v>
      </c>
      <c r="N75" s="270"/>
      <c r="O75" s="478">
        <f t="shared" ref="O75:O79" si="83">ROUND(E75*$AE$74,5)</f>
        <v>0</v>
      </c>
      <c r="P75" s="476">
        <v>1</v>
      </c>
      <c r="Q75" s="270"/>
      <c r="R75" s="478">
        <f t="shared" ref="R75:R79" si="84">ROUND(E75*$AI$74,5)</f>
        <v>-2.5300000000000001E-3</v>
      </c>
      <c r="S75" s="476">
        <v>1</v>
      </c>
      <c r="T75" s="270"/>
      <c r="U75" s="478">
        <f t="shared" ref="U75:U78" si="85">ROUND(E75*$AM$74,5)</f>
        <v>-1.33E-3</v>
      </c>
      <c r="V75" s="476">
        <v>1</v>
      </c>
      <c r="W75" s="270"/>
      <c r="X75" s="478">
        <f t="shared" ref="X75:X79" si="86">ROUND(E75*$AQ$74,5)</f>
        <v>-1.2999999999999999E-4</v>
      </c>
      <c r="Y75" s="899"/>
      <c r="Z75" s="899"/>
      <c r="AA75" s="899"/>
      <c r="AB75" s="899"/>
    </row>
    <row r="76" spans="1:43" s="56" customFormat="1" x14ac:dyDescent="0.2">
      <c r="A76" s="86">
        <f t="shared" si="0"/>
        <v>70</v>
      </c>
      <c r="B76" s="725"/>
      <c r="C76" s="726" t="s">
        <v>6</v>
      </c>
      <c r="D76" s="479">
        <f>'WA Volumes &amp; Revenues'!E77</f>
        <v>1034978</v>
      </c>
      <c r="E76" s="481">
        <f>'Rates in Detail'!E75</f>
        <v>9.1999999999999998E-2</v>
      </c>
      <c r="F76" s="481">
        <f>'Rates in Detail'!L75+SUM('Rates in Detail'!P75:Q75)</f>
        <v>1.3849999999999999E-2</v>
      </c>
      <c r="G76" s="481">
        <f t="shared" si="19"/>
        <v>0.10585</v>
      </c>
      <c r="H76" s="474">
        <f t="shared" si="4"/>
        <v>95218</v>
      </c>
      <c r="I76" s="154"/>
      <c r="J76" s="371"/>
      <c r="K76" s="474"/>
      <c r="L76" s="482"/>
      <c r="M76" s="925">
        <v>0</v>
      </c>
      <c r="N76" s="270"/>
      <c r="O76" s="478">
        <f t="shared" si="83"/>
        <v>0</v>
      </c>
      <c r="P76" s="476">
        <v>1</v>
      </c>
      <c r="Q76" s="270"/>
      <c r="R76" s="478">
        <f t="shared" si="84"/>
        <v>-1.9400000000000001E-3</v>
      </c>
      <c r="S76" s="476">
        <v>1</v>
      </c>
      <c r="T76" s="270"/>
      <c r="U76" s="478">
        <f t="shared" si="85"/>
        <v>-1.0200000000000001E-3</v>
      </c>
      <c r="V76" s="476">
        <v>1</v>
      </c>
      <c r="W76" s="270"/>
      <c r="X76" s="478">
        <f t="shared" si="86"/>
        <v>-1E-4</v>
      </c>
      <c r="Y76" s="899"/>
      <c r="Z76" s="899"/>
      <c r="AA76" s="899"/>
      <c r="AB76" s="899"/>
    </row>
    <row r="77" spans="1:43" s="56" customFormat="1" x14ac:dyDescent="0.2">
      <c r="A77" s="86">
        <f t="shared" si="0"/>
        <v>71</v>
      </c>
      <c r="B77" s="725"/>
      <c r="C77" s="726" t="s">
        <v>7</v>
      </c>
      <c r="D77" s="479">
        <f>'WA Volumes &amp; Revenues'!E78</f>
        <v>3359916</v>
      </c>
      <c r="E77" s="481">
        <f>'Rates in Detail'!E76</f>
        <v>7.3609999999999995E-2</v>
      </c>
      <c r="F77" s="481">
        <f>'Rates in Detail'!L76+SUM('Rates in Detail'!P76:Q76)</f>
        <v>1.107E-2</v>
      </c>
      <c r="G77" s="481">
        <f t="shared" si="19"/>
        <v>8.4679999999999991E-2</v>
      </c>
      <c r="H77" s="474">
        <f t="shared" si="4"/>
        <v>247323</v>
      </c>
      <c r="I77" s="154"/>
      <c r="J77" s="371"/>
      <c r="K77" s="474"/>
      <c r="L77" s="482"/>
      <c r="M77" s="925">
        <v>0</v>
      </c>
      <c r="N77" s="270"/>
      <c r="O77" s="478">
        <f t="shared" si="83"/>
        <v>0</v>
      </c>
      <c r="P77" s="476">
        <v>1</v>
      </c>
      <c r="Q77" s="270"/>
      <c r="R77" s="478">
        <f t="shared" si="84"/>
        <v>-1.5499999999999999E-3</v>
      </c>
      <c r="S77" s="476">
        <v>1</v>
      </c>
      <c r="T77" s="270"/>
      <c r="U77" s="478">
        <f t="shared" si="85"/>
        <v>-8.1999999999999998E-4</v>
      </c>
      <c r="V77" s="476">
        <v>1</v>
      </c>
      <c r="W77" s="270"/>
      <c r="X77" s="478">
        <f t="shared" si="86"/>
        <v>-8.0000000000000007E-5</v>
      </c>
      <c r="Y77" s="899"/>
      <c r="Z77" s="899"/>
      <c r="AA77" s="899"/>
      <c r="AB77" s="899"/>
    </row>
    <row r="78" spans="1:43" s="56" customFormat="1" x14ac:dyDescent="0.2">
      <c r="A78" s="86">
        <f t="shared" si="0"/>
        <v>72</v>
      </c>
      <c r="B78" s="725"/>
      <c r="C78" s="726" t="s">
        <v>8</v>
      </c>
      <c r="D78" s="479">
        <f>'WA Volumes &amp; Revenues'!E79</f>
        <v>1349120</v>
      </c>
      <c r="E78" s="481">
        <f>'Rates in Detail'!E77</f>
        <v>4.9079999999999999E-2</v>
      </c>
      <c r="F78" s="481">
        <f>'Rates in Detail'!L77+SUM('Rates in Detail'!P77:Q77)</f>
        <v>7.3799999999999994E-3</v>
      </c>
      <c r="G78" s="481">
        <f t="shared" si="19"/>
        <v>5.6459999999999996E-2</v>
      </c>
      <c r="H78" s="474">
        <f t="shared" si="4"/>
        <v>66215</v>
      </c>
      <c r="I78" s="154"/>
      <c r="J78" s="371"/>
      <c r="K78" s="474"/>
      <c r="L78" s="482"/>
      <c r="M78" s="925">
        <v>0</v>
      </c>
      <c r="N78" s="270"/>
      <c r="O78" s="478">
        <f t="shared" si="83"/>
        <v>0</v>
      </c>
      <c r="P78" s="476">
        <v>1</v>
      </c>
      <c r="Q78" s="270"/>
      <c r="R78" s="478">
        <f t="shared" si="84"/>
        <v>-1.0300000000000001E-3</v>
      </c>
      <c r="S78" s="476">
        <v>1</v>
      </c>
      <c r="T78" s="270"/>
      <c r="U78" s="478">
        <f t="shared" si="85"/>
        <v>-5.5000000000000003E-4</v>
      </c>
      <c r="V78" s="476">
        <v>1</v>
      </c>
      <c r="W78" s="270"/>
      <c r="X78" s="478">
        <f t="shared" si="86"/>
        <v>-5.0000000000000002E-5</v>
      </c>
      <c r="Y78" s="899"/>
      <c r="Z78" s="899"/>
      <c r="AA78" s="899"/>
      <c r="AB78" s="899"/>
    </row>
    <row r="79" spans="1:43" s="56" customFormat="1" x14ac:dyDescent="0.2">
      <c r="A79" s="86">
        <f t="shared" si="0"/>
        <v>73</v>
      </c>
      <c r="B79" s="723"/>
      <c r="C79" s="727" t="s">
        <v>9</v>
      </c>
      <c r="D79" s="466">
        <f>'WA Volumes &amp; Revenues'!E80</f>
        <v>0</v>
      </c>
      <c r="E79" s="483">
        <f>'Rates in Detail'!E78</f>
        <v>1.839E-2</v>
      </c>
      <c r="F79" s="483">
        <f>'Rates in Detail'!L78+SUM('Rates in Detail'!P78:Q78)</f>
        <v>2.7699999999999999E-3</v>
      </c>
      <c r="G79" s="483">
        <f t="shared" si="19"/>
        <v>2.1159999999999998E-2</v>
      </c>
      <c r="H79" s="467">
        <f t="shared" ref="H79:H82" si="87">ROUND(E79*D79,0)</f>
        <v>0</v>
      </c>
      <c r="I79" s="468"/>
      <c r="J79" s="740"/>
      <c r="K79" s="467"/>
      <c r="L79" s="484"/>
      <c r="M79" s="923">
        <v>0</v>
      </c>
      <c r="N79" s="465"/>
      <c r="O79" s="470">
        <f t="shared" si="83"/>
        <v>0</v>
      </c>
      <c r="P79" s="464">
        <v>1</v>
      </c>
      <c r="Q79" s="465"/>
      <c r="R79" s="470">
        <f t="shared" si="84"/>
        <v>-3.8999999999999999E-4</v>
      </c>
      <c r="S79" s="464">
        <v>1</v>
      </c>
      <c r="T79" s="465"/>
      <c r="U79" s="470">
        <f>ROUND(E79*$AM$74,5)</f>
        <v>-2.0000000000000001E-4</v>
      </c>
      <c r="V79" s="464">
        <v>1</v>
      </c>
      <c r="W79" s="465"/>
      <c r="X79" s="470">
        <f t="shared" si="86"/>
        <v>-2.0000000000000002E-5</v>
      </c>
      <c r="Y79" s="899"/>
      <c r="Z79" s="899"/>
      <c r="AA79" s="899"/>
      <c r="AB79" s="899"/>
    </row>
    <row r="80" spans="1:43" s="56" customFormat="1" x14ac:dyDescent="0.2">
      <c r="A80" s="86">
        <f t="shared" si="0"/>
        <v>74</v>
      </c>
      <c r="B80" s="723" t="str">
        <f>'WA Volumes &amp; Revenues'!B81</f>
        <v>43 Firm Transpt</v>
      </c>
      <c r="C80" s="723" t="s">
        <v>283</v>
      </c>
      <c r="D80" s="466">
        <f>'WA Volumes &amp; Revenues'!E81</f>
        <v>0</v>
      </c>
      <c r="E80" s="485">
        <f>'Rates in Detail'!E79</f>
        <v>4.9099999999999994E-3</v>
      </c>
      <c r="F80" s="485">
        <f>'Rates in Detail'!L79+SUM('Rates in Detail'!P79:Q79)</f>
        <v>0</v>
      </c>
      <c r="G80" s="485">
        <f t="shared" si="19"/>
        <v>4.9099999999999994E-3</v>
      </c>
      <c r="H80" s="467">
        <f t="shared" si="87"/>
        <v>0</v>
      </c>
      <c r="I80" s="468">
        <f>'WA Volumes &amp; Revenues'!N81</f>
        <v>38000</v>
      </c>
      <c r="J80" s="740">
        <f>'WA Volumes &amp; Revenues'!H81</f>
        <v>0</v>
      </c>
      <c r="K80" s="467">
        <f>ROUND(H80+(I80*J80*12),0)</f>
        <v>0</v>
      </c>
      <c r="L80" s="486"/>
      <c r="M80" s="926">
        <v>0</v>
      </c>
      <c r="N80" s="465">
        <f t="shared" ref="N80:N82" si="88">ROUND(+$M$10*(($K80*M80)/M$84),0)</f>
        <v>0</v>
      </c>
      <c r="O80" s="924">
        <f>AE80</f>
        <v>0</v>
      </c>
      <c r="P80" s="648">
        <v>1</v>
      </c>
      <c r="Q80" s="465">
        <f>ROUND(+$P$10*(($K80*P80)/P$84),0)</f>
        <v>0</v>
      </c>
      <c r="R80" s="924">
        <f>AI80</f>
        <v>0</v>
      </c>
      <c r="S80" s="648">
        <v>1</v>
      </c>
      <c r="T80" s="465">
        <f>ROUND(+$S$10*(($K80*S80)/S$84),0)</f>
        <v>0</v>
      </c>
      <c r="U80" s="924">
        <f>AM80</f>
        <v>0</v>
      </c>
      <c r="V80" s="648">
        <v>1</v>
      </c>
      <c r="W80" s="465">
        <f>ROUND(+$V$10*(($K80*V80)/V$84),0)</f>
        <v>0</v>
      </c>
      <c r="X80" s="924">
        <f>AQ80</f>
        <v>0</v>
      </c>
      <c r="Y80" s="899"/>
      <c r="Z80" s="899"/>
      <c r="AA80" s="899"/>
      <c r="AB80" s="899"/>
      <c r="AD80" s="433">
        <v>0</v>
      </c>
      <c r="AE80" s="433">
        <v>0</v>
      </c>
      <c r="AH80" s="433">
        <v>0</v>
      </c>
      <c r="AI80" s="433">
        <v>0</v>
      </c>
      <c r="AL80" s="433">
        <v>0</v>
      </c>
      <c r="AM80" s="433">
        <v>0</v>
      </c>
      <c r="AP80" s="433">
        <v>0</v>
      </c>
      <c r="AQ80" s="433">
        <v>0</v>
      </c>
    </row>
    <row r="81" spans="1:43" s="56" customFormat="1" x14ac:dyDescent="0.2">
      <c r="A81" s="86">
        <f t="shared" si="0"/>
        <v>75</v>
      </c>
      <c r="B81" s="724" t="str">
        <f>'WA Volumes &amp; Revenues'!B82</f>
        <v>43 Interr Transpt</v>
      </c>
      <c r="C81" s="724" t="s">
        <v>283</v>
      </c>
      <c r="D81" s="364">
        <f>'WA Volumes &amp; Revenues'!E82</f>
        <v>0</v>
      </c>
      <c r="E81" s="483">
        <f>'Rates in Detail'!E80</f>
        <v>4.9099999999999994E-3</v>
      </c>
      <c r="F81" s="463">
        <f>'Rates in Detail'!L80+SUM('Rates in Detail'!P80:Q80)</f>
        <v>0</v>
      </c>
      <c r="G81" s="463">
        <f t="shared" ref="G81:G82" si="89">E81+F81</f>
        <v>4.9099999999999994E-3</v>
      </c>
      <c r="H81" s="467">
        <f t="shared" si="87"/>
        <v>0</v>
      </c>
      <c r="I81" s="468">
        <f>'WA Volumes &amp; Revenues'!N82</f>
        <v>38000</v>
      </c>
      <c r="J81" s="740">
        <f>'WA Volumes &amp; Revenues'!H82</f>
        <v>0</v>
      </c>
      <c r="K81" s="467">
        <f t="shared" ref="K81" si="90">ROUND(H81+(I81*J81*12),0)</f>
        <v>0</v>
      </c>
      <c r="L81" s="484"/>
      <c r="M81" s="926">
        <v>0</v>
      </c>
      <c r="N81" s="465">
        <f t="shared" si="88"/>
        <v>0</v>
      </c>
      <c r="O81" s="924">
        <f t="shared" ref="O81:O82" si="91">AE81</f>
        <v>0</v>
      </c>
      <c r="P81" s="648">
        <v>1</v>
      </c>
      <c r="Q81" s="465">
        <f t="shared" ref="Q81:Q82" si="92">ROUND(+$P$10*(($K81*P81)/P$84),0)</f>
        <v>0</v>
      </c>
      <c r="R81" s="924">
        <f t="shared" ref="R81:R82" si="93">AI81</f>
        <v>0</v>
      </c>
      <c r="S81" s="648">
        <v>1</v>
      </c>
      <c r="T81" s="465">
        <f>ROUND(+$S$10*(($K81*S81)/S$84),0)</f>
        <v>0</v>
      </c>
      <c r="U81" s="924">
        <f t="shared" ref="U81:U82" si="94">AM81</f>
        <v>0</v>
      </c>
      <c r="V81" s="648">
        <v>1</v>
      </c>
      <c r="W81" s="465">
        <f>ROUND(+$V$10*(($K81*V81)/V$84),0)</f>
        <v>0</v>
      </c>
      <c r="X81" s="924">
        <f t="shared" ref="X81:X82" si="95">AQ81</f>
        <v>0</v>
      </c>
      <c r="Y81" s="899"/>
      <c r="Z81" s="899"/>
      <c r="AA81" s="899"/>
      <c r="AB81" s="899"/>
      <c r="AD81" s="433">
        <v>0</v>
      </c>
      <c r="AE81" s="433">
        <v>0</v>
      </c>
      <c r="AH81" s="433">
        <v>0</v>
      </c>
      <c r="AI81" s="433">
        <v>0</v>
      </c>
      <c r="AL81" s="433">
        <v>0</v>
      </c>
      <c r="AM81" s="433">
        <v>0</v>
      </c>
      <c r="AP81" s="433">
        <v>0</v>
      </c>
      <c r="AQ81" s="433">
        <v>0</v>
      </c>
    </row>
    <row r="82" spans="1:43" s="56" customFormat="1" x14ac:dyDescent="0.2">
      <c r="A82" s="86">
        <f t="shared" si="0"/>
        <v>76</v>
      </c>
      <c r="B82" s="724" t="str">
        <f>'WA Volumes &amp; Revenues'!B83</f>
        <v>Special Contract</v>
      </c>
      <c r="C82" s="724" t="s">
        <v>283</v>
      </c>
      <c r="D82" s="364">
        <f>'WA Volumes &amp; Revenues'!E83</f>
        <v>2895114</v>
      </c>
      <c r="E82" s="483">
        <f>'Rates in Detail'!E81</f>
        <v>0</v>
      </c>
      <c r="F82" s="483">
        <f>'Rates in Detail'!L81+SUM('Rates in Detail'!P81:Q81)</f>
        <v>0</v>
      </c>
      <c r="G82" s="483">
        <f t="shared" si="89"/>
        <v>0</v>
      </c>
      <c r="H82" s="467">
        <f t="shared" si="87"/>
        <v>0</v>
      </c>
      <c r="I82" s="468">
        <f>'WA Volumes &amp; Revenues'!N83</f>
        <v>0</v>
      </c>
      <c r="J82" s="740">
        <f>'WA Volumes &amp; Revenues'!H83</f>
        <v>1</v>
      </c>
      <c r="K82" s="467">
        <f>'WA Volumes &amp; Revenues'!R83</f>
        <v>242994.60207180592</v>
      </c>
      <c r="L82" s="484"/>
      <c r="M82" s="926">
        <v>0</v>
      </c>
      <c r="N82" s="1132">
        <f t="shared" si="88"/>
        <v>0</v>
      </c>
      <c r="O82" s="924">
        <f t="shared" si="91"/>
        <v>0</v>
      </c>
      <c r="P82" s="648">
        <v>0</v>
      </c>
      <c r="Q82" s="1132">
        <f t="shared" si="92"/>
        <v>0</v>
      </c>
      <c r="R82" s="924">
        <f t="shared" si="93"/>
        <v>0</v>
      </c>
      <c r="S82" s="648">
        <v>0</v>
      </c>
      <c r="T82" s="465">
        <f>ROUND(+$S$10*(($K82*S82)/S$84),0)</f>
        <v>0</v>
      </c>
      <c r="U82" s="924">
        <f t="shared" si="94"/>
        <v>0</v>
      </c>
      <c r="V82" s="648">
        <v>0</v>
      </c>
      <c r="W82" s="465">
        <f>ROUND(+$V$10*(($K82*V82)/V$84),0)</f>
        <v>0</v>
      </c>
      <c r="X82" s="924">
        <f t="shared" si="95"/>
        <v>0</v>
      </c>
      <c r="Y82" s="899"/>
      <c r="Z82" s="899"/>
      <c r="AA82" s="899"/>
      <c r="AB82" s="899"/>
      <c r="AD82" s="433">
        <v>0</v>
      </c>
      <c r="AE82" s="433">
        <v>0</v>
      </c>
      <c r="AH82" s="433">
        <v>0</v>
      </c>
      <c r="AI82" s="433">
        <v>0</v>
      </c>
      <c r="AL82" s="433">
        <v>0</v>
      </c>
      <c r="AM82" s="433">
        <v>0</v>
      </c>
      <c r="AP82" s="433">
        <v>0</v>
      </c>
      <c r="AQ82" s="433">
        <v>0</v>
      </c>
    </row>
    <row r="83" spans="1:43" s="56" customFormat="1" x14ac:dyDescent="0.2">
      <c r="A83" s="86">
        <f t="shared" ref="A83:A91" si="96">+A82+1</f>
        <v>77</v>
      </c>
      <c r="D83" s="429"/>
      <c r="E83" s="488"/>
      <c r="F83" s="488"/>
      <c r="G83" s="488"/>
      <c r="H83" s="489"/>
      <c r="I83" s="429"/>
      <c r="J83" s="429"/>
      <c r="K83" s="489"/>
      <c r="L83" s="429"/>
      <c r="M83" s="490"/>
      <c r="O83" s="140"/>
      <c r="P83" s="490"/>
      <c r="R83" s="140"/>
      <c r="S83" s="490"/>
      <c r="U83" s="140"/>
      <c r="V83" s="490"/>
      <c r="X83" s="140"/>
      <c r="Y83" s="899"/>
      <c r="Z83" s="899"/>
      <c r="AA83" s="899"/>
      <c r="AB83" s="899"/>
    </row>
    <row r="84" spans="1:43" s="56" customFormat="1" x14ac:dyDescent="0.2">
      <c r="A84" s="86">
        <f t="shared" si="96"/>
        <v>78</v>
      </c>
      <c r="B84" s="60" t="s">
        <v>61</v>
      </c>
      <c r="C84" s="60"/>
      <c r="D84" s="735">
        <f>SUM(D14:D82)</f>
        <v>103032055.6009268</v>
      </c>
      <c r="E84" s="736"/>
      <c r="F84" s="736"/>
      <c r="G84" s="736"/>
      <c r="H84" s="611">
        <f>SUM(H14:H82)</f>
        <v>37287358</v>
      </c>
      <c r="I84" s="611"/>
      <c r="J84" s="735">
        <f>SUM(J14:J82)</f>
        <v>89340.750000000015</v>
      </c>
      <c r="K84" s="611">
        <f>SUM(K14:K82)</f>
        <v>49604903.243273698</v>
      </c>
      <c r="L84" s="737"/>
      <c r="M84" s="930">
        <f>ROUND(($K14*M14)+($K15*M15)+($K16*M16)+($K17*M17)+($K18*M18)+($K19*M19)+($K20*M20)+(K22*M22)+($K24*M24)+($K$26*M26)+($K28*M28)+(K30*M30)+($K32*M32)+($K38*M38)+($K44*M44)+($K50*M50)+($K$56*M56)+($K62*M62)+(K68*M68)+(K74*M74)+($K80*M80)+($K81*M81)+($K82*M82),0)</f>
        <v>46034881</v>
      </c>
      <c r="N84" s="739">
        <f>SUM(N14:N83)</f>
        <v>-1477729</v>
      </c>
      <c r="O84" s="544"/>
      <c r="P84" s="930">
        <f>ROUND(($K14*P14)+($K15*P15)+($K16*P16)+($K17*P17)+($K18*P18)+($K19*P19)+($K20*P20)+(K22*P22)+($K24*P24)+($K$26*P26)+($K28*P28)+(K30*P30)+($K32*P32)+($K38*P38)+($K44*P44)+($K50*P50)+($K$56*P56)+($K62*P62)+(K68*P68)+(K74*P74)+($K80*P80)+($K81*P81)+($K82*P82),0)</f>
        <v>49361909</v>
      </c>
      <c r="Q84" s="739">
        <f>SUM(Q14:Q83)</f>
        <v>-875740</v>
      </c>
      <c r="R84" s="544"/>
      <c r="S84" s="930">
        <f>ROUND(($K14*S14)+($K15*S15)+($K16*S16)+($K17*S17)+($K18*S18)+($K19*S19)+($K20*S20)+(K22*S22)+($K24*S24)+($K$26*S26)+($K28*S28)+(K30*S30)+($K32*S32)+($K38*S38)+($K44*S44)+($K50*S50)+($K$56*S56)+($K62*S62)+(K68*S68)+(K74*S74)+($K80*S80)+($K81*S81)+($K82*S82),0)</f>
        <v>49361909</v>
      </c>
      <c r="T84" s="739">
        <f>SUM(T14:T83)</f>
        <v>-462253</v>
      </c>
      <c r="U84" s="544"/>
      <c r="V84" s="930">
        <f>ROUND(($K14*V14)+($K15*V15)+($K16*V16)+($K17*V17)+($K18*V18)+($K19*V19)+($K20*V20)+($K22*V22)+($K24*V24)+($K26*V26)+($K28*V28)+(K30*V30)+($K32*V32)+($K38*V38)+($K44*V44)+($K50*V50)+($K56*V56)+($K62*V62)+($K68*V68)+($K74*V74)+($K80*V80)+($K81*V81)+($K82*V82),0)</f>
        <v>49361909</v>
      </c>
      <c r="W84" s="739">
        <f>SUM(W14:W83)</f>
        <v>-44543</v>
      </c>
      <c r="X84" s="544"/>
      <c r="Y84" s="899"/>
      <c r="Z84" s="1249"/>
      <c r="AA84" s="901"/>
      <c r="AB84" s="901"/>
    </row>
    <row r="85" spans="1:43" s="56" customFormat="1" x14ac:dyDescent="0.2">
      <c r="A85" s="86">
        <f t="shared" si="96"/>
        <v>79</v>
      </c>
      <c r="D85" s="429"/>
      <c r="E85" s="429"/>
      <c r="F85" s="429"/>
      <c r="G85" s="429"/>
      <c r="H85" s="492"/>
      <c r="I85" s="429"/>
      <c r="J85" s="429"/>
      <c r="K85" s="431"/>
      <c r="L85" s="432"/>
      <c r="M85" s="437"/>
      <c r="O85" s="140"/>
      <c r="P85" s="437"/>
      <c r="R85" s="140"/>
      <c r="S85" s="437"/>
      <c r="U85" s="140"/>
      <c r="V85" s="437"/>
      <c r="X85" s="140"/>
      <c r="Y85" s="899"/>
      <c r="Z85" s="55"/>
    </row>
    <row r="86" spans="1:43" s="56" customFormat="1" x14ac:dyDescent="0.2">
      <c r="A86" s="86">
        <f t="shared" si="96"/>
        <v>80</v>
      </c>
      <c r="B86" s="168" t="s">
        <v>79</v>
      </c>
      <c r="D86" s="429"/>
      <c r="H86" s="429"/>
      <c r="J86" s="429"/>
      <c r="K86" s="431"/>
      <c r="O86" s="140"/>
      <c r="R86" s="140"/>
      <c r="U86" s="140"/>
      <c r="X86" s="140"/>
      <c r="Y86" s="899"/>
      <c r="Z86" s="55"/>
    </row>
    <row r="87" spans="1:43" s="56" customFormat="1" x14ac:dyDescent="0.2">
      <c r="A87" s="86">
        <f t="shared" si="96"/>
        <v>81</v>
      </c>
      <c r="B87" s="1560" t="s">
        <v>80</v>
      </c>
      <c r="C87" s="1561"/>
      <c r="D87" s="1561"/>
      <c r="E87" s="1561"/>
      <c r="F87" s="1561"/>
      <c r="G87" s="1561"/>
      <c r="H87" s="1561"/>
      <c r="I87" s="1561"/>
      <c r="J87" s="1561"/>
      <c r="K87" s="1561"/>
      <c r="L87" s="1561"/>
      <c r="M87" s="1561"/>
      <c r="N87" s="1561"/>
      <c r="O87" s="1561"/>
      <c r="P87" s="1561"/>
      <c r="Q87" s="1561"/>
      <c r="R87" s="1561"/>
      <c r="S87" s="1561"/>
      <c r="T87" s="1561"/>
      <c r="U87" s="1561"/>
      <c r="V87" s="1561"/>
      <c r="W87" s="1561"/>
      <c r="X87" s="1562"/>
      <c r="Y87" s="899"/>
      <c r="Z87" s="55"/>
    </row>
    <row r="88" spans="1:43" s="56" customFormat="1" x14ac:dyDescent="0.2">
      <c r="A88" s="86">
        <f t="shared" si="96"/>
        <v>82</v>
      </c>
      <c r="B88" s="168" t="s">
        <v>95</v>
      </c>
      <c r="D88" s="429"/>
      <c r="H88" s="429"/>
      <c r="J88" s="429"/>
      <c r="K88" s="429"/>
      <c r="O88" s="140"/>
      <c r="R88" s="140"/>
      <c r="U88" s="140"/>
      <c r="X88" s="140"/>
      <c r="Y88" s="899"/>
      <c r="Z88" s="55"/>
    </row>
    <row r="89" spans="1:43" s="56" customFormat="1" x14ac:dyDescent="0.2">
      <c r="A89" s="86">
        <f t="shared" si="96"/>
        <v>83</v>
      </c>
      <c r="B89" s="1560" t="s">
        <v>96</v>
      </c>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2"/>
      <c r="Y89" s="899"/>
      <c r="Z89" s="55"/>
    </row>
    <row r="90" spans="1:43" x14ac:dyDescent="0.2">
      <c r="A90" s="86">
        <f t="shared" si="96"/>
        <v>84</v>
      </c>
      <c r="M90" s="490"/>
      <c r="P90" s="490"/>
      <c r="S90" s="490"/>
      <c r="V90" s="490"/>
    </row>
    <row r="91" spans="1:43" x14ac:dyDescent="0.2">
      <c r="A91" s="86">
        <f t="shared" si="96"/>
        <v>85</v>
      </c>
      <c r="B91" s="56" t="s">
        <v>84</v>
      </c>
      <c r="M91" s="490"/>
      <c r="P91" s="490"/>
      <c r="S91" s="490"/>
      <c r="V91" s="490"/>
    </row>
    <row r="92" spans="1:43" x14ac:dyDescent="0.2">
      <c r="A92" s="86"/>
    </row>
    <row r="95" spans="1:43" x14ac:dyDescent="0.2">
      <c r="N95" s="493"/>
      <c r="Q95" s="493"/>
      <c r="T95" s="493"/>
      <c r="W95" s="493"/>
    </row>
    <row r="96" spans="1:43" x14ac:dyDescent="0.2">
      <c r="B96" s="55"/>
      <c r="C96" s="55"/>
      <c r="D96" s="55"/>
      <c r="E96" s="55"/>
      <c r="F96" s="55"/>
      <c r="G96" s="55"/>
      <c r="H96" s="55"/>
      <c r="I96" s="55"/>
      <c r="J96" s="55"/>
      <c r="K96" s="55"/>
      <c r="L96" s="55"/>
      <c r="N96" s="494"/>
      <c r="O96" s="55"/>
      <c r="Q96" s="494"/>
      <c r="R96" s="55"/>
      <c r="T96" s="494"/>
      <c r="U96" s="55"/>
      <c r="W96" s="494"/>
      <c r="X96" s="55"/>
    </row>
    <row r="97" spans="2:24" x14ac:dyDescent="0.2">
      <c r="B97" s="55"/>
      <c r="C97" s="55"/>
      <c r="D97" s="55"/>
      <c r="E97" s="55"/>
      <c r="F97" s="55"/>
      <c r="G97" s="55"/>
      <c r="H97" s="55"/>
      <c r="I97" s="55"/>
      <c r="J97" s="55"/>
      <c r="K97" s="55"/>
      <c r="L97" s="55"/>
      <c r="N97" s="300"/>
      <c r="O97" s="55"/>
      <c r="Q97" s="300"/>
      <c r="R97" s="55"/>
      <c r="T97" s="300"/>
      <c r="U97" s="55"/>
      <c r="W97" s="300"/>
      <c r="X97" s="55"/>
    </row>
    <row r="98" spans="2:24" x14ac:dyDescent="0.2">
      <c r="B98" s="55"/>
      <c r="C98" s="55"/>
      <c r="D98" s="55"/>
      <c r="E98" s="55"/>
      <c r="F98" s="55"/>
      <c r="G98" s="55"/>
      <c r="H98" s="55"/>
      <c r="I98" s="55"/>
      <c r="J98" s="55"/>
      <c r="K98" s="55"/>
      <c r="L98" s="55"/>
      <c r="N98" s="300"/>
      <c r="O98" s="55"/>
      <c r="Q98" s="300"/>
      <c r="R98" s="55"/>
      <c r="T98" s="300"/>
      <c r="U98" s="55"/>
      <c r="W98" s="300"/>
      <c r="X98" s="55"/>
    </row>
    <row r="99" spans="2:24" x14ac:dyDescent="0.2">
      <c r="B99" s="55"/>
      <c r="C99" s="55"/>
      <c r="D99" s="55"/>
      <c r="E99" s="55"/>
      <c r="F99" s="55"/>
      <c r="G99" s="55"/>
      <c r="H99" s="55"/>
      <c r="I99" s="55"/>
      <c r="J99" s="55"/>
      <c r="K99" s="55"/>
      <c r="L99" s="55"/>
      <c r="N99" s="493"/>
      <c r="O99" s="55"/>
      <c r="Q99" s="493"/>
      <c r="R99" s="55"/>
      <c r="T99" s="493"/>
      <c r="U99" s="55"/>
      <c r="W99" s="493"/>
      <c r="X99" s="55"/>
    </row>
    <row r="100" spans="2:24" x14ac:dyDescent="0.2">
      <c r="B100" s="55"/>
      <c r="C100" s="55"/>
      <c r="D100" s="55"/>
      <c r="E100" s="55"/>
      <c r="F100" s="55"/>
      <c r="G100" s="55"/>
      <c r="H100" s="55"/>
      <c r="I100" s="55"/>
      <c r="J100" s="55"/>
      <c r="K100" s="55"/>
      <c r="L100" s="55"/>
      <c r="N100" s="327"/>
      <c r="O100" s="55"/>
      <c r="Q100" s="327"/>
      <c r="R100" s="55"/>
      <c r="T100" s="327"/>
      <c r="U100" s="55"/>
      <c r="W100" s="327"/>
      <c r="X100" s="55"/>
    </row>
    <row r="102" spans="2:24" x14ac:dyDescent="0.2">
      <c r="B102" s="55"/>
      <c r="C102" s="55"/>
      <c r="D102" s="55"/>
      <c r="E102" s="55"/>
      <c r="F102" s="55"/>
      <c r="G102" s="55"/>
      <c r="H102" s="55"/>
      <c r="I102" s="55"/>
      <c r="J102" s="55"/>
      <c r="K102" s="55"/>
      <c r="L102" s="55"/>
      <c r="N102" s="493"/>
      <c r="O102" s="55"/>
      <c r="Q102" s="493"/>
      <c r="R102" s="55"/>
      <c r="T102" s="493"/>
      <c r="U102" s="55"/>
      <c r="W102" s="493"/>
      <c r="X102" s="55"/>
    </row>
    <row r="103" spans="2:24" x14ac:dyDescent="0.2">
      <c r="B103" s="55"/>
      <c r="C103" s="55"/>
      <c r="D103" s="55"/>
      <c r="E103" s="55"/>
      <c r="F103" s="55"/>
      <c r="G103" s="55"/>
      <c r="H103" s="55"/>
      <c r="I103" s="55"/>
      <c r="J103" s="55"/>
      <c r="K103" s="55"/>
      <c r="L103" s="55"/>
      <c r="N103" s="327"/>
      <c r="O103" s="55"/>
      <c r="Q103" s="327"/>
      <c r="R103" s="55"/>
      <c r="T103" s="327"/>
      <c r="U103" s="55"/>
      <c r="W103" s="327"/>
      <c r="X103" s="55"/>
    </row>
    <row r="104" spans="2:24" x14ac:dyDescent="0.2">
      <c r="B104" s="55"/>
      <c r="C104" s="55"/>
      <c r="D104" s="55"/>
      <c r="E104" s="55"/>
      <c r="F104" s="55"/>
      <c r="G104" s="55"/>
      <c r="H104" s="55"/>
      <c r="I104" s="55"/>
      <c r="J104" s="55"/>
      <c r="K104" s="55"/>
      <c r="L104" s="55"/>
      <c r="N104" s="327"/>
      <c r="O104" s="55"/>
      <c r="Q104" s="327"/>
      <c r="R104" s="55"/>
      <c r="T104" s="327"/>
      <c r="U104" s="55"/>
      <c r="W104" s="327"/>
      <c r="X104" s="55"/>
    </row>
    <row r="105" spans="2:24" x14ac:dyDescent="0.2">
      <c r="B105" s="55"/>
      <c r="C105" s="55"/>
      <c r="D105" s="55"/>
      <c r="E105" s="55"/>
      <c r="F105" s="55"/>
      <c r="G105" s="55"/>
      <c r="H105" s="55"/>
      <c r="I105" s="55"/>
      <c r="J105" s="55"/>
      <c r="K105" s="55"/>
      <c r="L105" s="55"/>
      <c r="N105" s="327"/>
      <c r="O105" s="55"/>
      <c r="Q105" s="327"/>
      <c r="R105" s="55"/>
      <c r="T105" s="327"/>
      <c r="U105" s="55"/>
      <c r="W105" s="327"/>
      <c r="X105" s="55"/>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21">
    <mergeCell ref="AC11:AF11"/>
    <mergeCell ref="AC12:AF12"/>
    <mergeCell ref="Z8:Z11"/>
    <mergeCell ref="V6:X6"/>
    <mergeCell ref="B87:X87"/>
    <mergeCell ref="B89:X89"/>
    <mergeCell ref="M6:U6"/>
    <mergeCell ref="S7:U7"/>
    <mergeCell ref="V7:X7"/>
    <mergeCell ref="F1:H1"/>
    <mergeCell ref="F2:H2"/>
    <mergeCell ref="P7:R7"/>
    <mergeCell ref="I4:K4"/>
    <mergeCell ref="I5:K5"/>
    <mergeCell ref="M7:O7"/>
    <mergeCell ref="AK11:AN11"/>
    <mergeCell ref="AK12:AN12"/>
    <mergeCell ref="AO11:AR11"/>
    <mergeCell ref="AO12:AR12"/>
    <mergeCell ref="AG11:AJ11"/>
    <mergeCell ref="AG12:AJ12"/>
  </mergeCells>
  <printOptions horizontalCentered="1" vertic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33203125" defaultRowHeight="12.75" x14ac:dyDescent="0.2"/>
  <cols>
    <col min="1" max="1" width="5.6640625" style="55" customWidth="1"/>
    <col min="2" max="2" width="16.5" style="56" customWidth="1"/>
    <col min="3" max="3" width="8.33203125" style="56" customWidth="1"/>
    <col min="4" max="4" width="17.6640625" style="429" customWidth="1"/>
    <col min="5" max="6" width="12.6640625" style="429" bestFit="1" customWidth="1"/>
    <col min="7" max="7" width="12.5" style="429" customWidth="1"/>
    <col min="8" max="8" width="17.83203125" style="429" bestFit="1" customWidth="1"/>
    <col min="9" max="9" width="14.6640625" style="429" customWidth="1"/>
    <col min="10" max="10" width="11.33203125" style="429" customWidth="1"/>
    <col min="11" max="11" width="19.83203125" style="429" bestFit="1" customWidth="1"/>
    <col min="12" max="12" width="28.33203125" style="429" customWidth="1"/>
    <col min="13" max="13" width="16.1640625" style="430" customWidth="1"/>
    <col min="14" max="15" width="13.83203125" style="56" customWidth="1"/>
    <col min="16" max="16" width="16.1640625" style="430" customWidth="1"/>
    <col min="17" max="18" width="13.83203125" style="56" customWidth="1"/>
    <col min="19" max="16384" width="9.33203125" style="55"/>
  </cols>
  <sheetData>
    <row r="1" spans="1:18" ht="14.1" customHeight="1" x14ac:dyDescent="0.2">
      <c r="A1" s="139" t="str">
        <f>+'WA Volumes &amp; Revenues'!A1</f>
        <v>NW Natural</v>
      </c>
      <c r="F1" s="1548"/>
      <c r="G1" s="1548"/>
      <c r="H1" s="1548"/>
    </row>
    <row r="2" spans="1:18" ht="14.1" customHeight="1" x14ac:dyDescent="0.2">
      <c r="A2" s="139" t="str">
        <f>+'WA Volumes &amp; Revenues'!A2</f>
        <v>Rates &amp; Regulatory Affairs</v>
      </c>
      <c r="F2" s="1550"/>
      <c r="G2" s="1550"/>
      <c r="H2" s="1550"/>
      <c r="K2" s="431"/>
    </row>
    <row r="3" spans="1:18" ht="14.1" customHeight="1" x14ac:dyDescent="0.2">
      <c r="A3" s="139" t="e">
        <f>+'WA Volumes &amp; Revenues'!#REF!</f>
        <v>#REF!</v>
      </c>
      <c r="M3" s="432"/>
      <c r="P3" s="432"/>
    </row>
    <row r="4" spans="1:18" ht="14.1" customHeight="1" x14ac:dyDescent="0.2">
      <c r="A4" s="139" t="str">
        <f>+'WA Volumes &amp; Revenues'!A3</f>
        <v>Test Year Ending September 30, 2020</v>
      </c>
      <c r="M4" s="429"/>
      <c r="P4" s="429"/>
    </row>
    <row r="5" spans="1:18" ht="14.1" customHeight="1" x14ac:dyDescent="0.2">
      <c r="A5" s="435" t="s">
        <v>212</v>
      </c>
      <c r="D5" s="56"/>
      <c r="E5" s="56"/>
      <c r="F5" s="56"/>
      <c r="G5" s="56"/>
      <c r="H5" s="56"/>
      <c r="I5" s="56"/>
      <c r="J5" s="56"/>
      <c r="K5" s="434"/>
      <c r="L5" s="56"/>
      <c r="M5" s="56"/>
      <c r="P5" s="56"/>
    </row>
    <row r="6" spans="1:18" ht="14.1" customHeight="1" x14ac:dyDescent="0.2">
      <c r="A6" s="55">
        <f>'WA Volumes &amp; Revenues'!A7</f>
        <v>0</v>
      </c>
      <c r="D6" s="56"/>
      <c r="E6" s="56"/>
      <c r="F6" s="56"/>
      <c r="G6" s="56"/>
      <c r="H6" s="56"/>
      <c r="I6" s="56"/>
      <c r="J6" s="56"/>
      <c r="K6" s="434"/>
      <c r="L6" s="56"/>
      <c r="M6" s="56"/>
      <c r="P6" s="56"/>
    </row>
    <row r="7" spans="1:18" ht="14.1" customHeight="1" x14ac:dyDescent="0.2">
      <c r="D7" s="56"/>
      <c r="E7" s="56"/>
      <c r="G7" s="56"/>
      <c r="H7" s="436"/>
      <c r="J7" s="56"/>
      <c r="K7" s="434"/>
      <c r="L7" s="56"/>
      <c r="M7" s="437"/>
      <c r="P7" s="437"/>
    </row>
    <row r="8" spans="1:18" ht="14.1" customHeight="1" x14ac:dyDescent="0.2">
      <c r="A8" s="438"/>
      <c r="B8" s="439"/>
      <c r="C8" s="439"/>
      <c r="D8" s="439"/>
      <c r="E8" s="440"/>
      <c r="H8" s="56"/>
      <c r="I8" s="440"/>
      <c r="J8" s="56"/>
      <c r="K8" s="56"/>
    </row>
    <row r="9" spans="1:18" ht="15" customHeight="1" thickBot="1" x14ac:dyDescent="0.25">
      <c r="A9" s="86">
        <v>1</v>
      </c>
      <c r="E9" s="353"/>
      <c r="F9" s="441">
        <f>'Avg Bill by RS'!Q9</f>
        <v>44501</v>
      </c>
      <c r="G9" s="441">
        <f>F9</f>
        <v>44501</v>
      </c>
      <c r="H9" s="61"/>
      <c r="J9" s="61"/>
      <c r="K9" s="61"/>
      <c r="L9" s="56"/>
      <c r="M9" s="1576" t="s">
        <v>375</v>
      </c>
      <c r="N9" s="1577"/>
      <c r="O9" s="1578"/>
      <c r="P9" s="1576" t="s">
        <v>375</v>
      </c>
      <c r="Q9" s="1577"/>
      <c r="R9" s="1578"/>
    </row>
    <row r="10" spans="1:18" ht="15" customHeight="1" thickBot="1" x14ac:dyDescent="0.25">
      <c r="A10" s="86">
        <f t="shared" ref="A10:A90" si="0">+A9+1</f>
        <v>2</v>
      </c>
      <c r="D10" s="442" t="str">
        <f>'Allocation = ¢ per Therm'!D11</f>
        <v>UG XXXXXX</v>
      </c>
      <c r="E10" s="61" t="s">
        <v>18</v>
      </c>
      <c r="F10" s="518" t="str">
        <f>D10</f>
        <v>UG XXXXXX</v>
      </c>
      <c r="G10" s="518" t="str">
        <f>F10</f>
        <v>UG XXXXXX</v>
      </c>
      <c r="H10" s="518" t="str">
        <f>G10</f>
        <v>UG XXXXXX</v>
      </c>
      <c r="I10" s="518" t="str">
        <f>H10</f>
        <v>UG XXXXXX</v>
      </c>
      <c r="J10" s="518" t="str">
        <f>I10</f>
        <v>UG XXXXXX</v>
      </c>
      <c r="K10" s="518" t="str">
        <f>G10</f>
        <v>UG XXXXXX</v>
      </c>
      <c r="L10" s="607" t="s">
        <v>29</v>
      </c>
      <c r="M10" s="443"/>
      <c r="N10" s="444" t="s">
        <v>180</v>
      </c>
      <c r="O10" s="445"/>
      <c r="P10" s="443"/>
      <c r="Q10" s="444" t="s">
        <v>180</v>
      </c>
      <c r="R10" s="445"/>
    </row>
    <row r="11" spans="1:18" ht="15" customHeight="1" thickBot="1" x14ac:dyDescent="0.25">
      <c r="A11" s="86">
        <f t="shared" si="0"/>
        <v>3</v>
      </c>
      <c r="D11" s="61" t="str">
        <f>'Allocation = ¢ per Therm'!D12</f>
        <v>WA GRC</v>
      </c>
      <c r="E11" s="59" t="s">
        <v>209</v>
      </c>
      <c r="F11" s="446" t="s">
        <v>209</v>
      </c>
      <c r="G11" s="144" t="s">
        <v>209</v>
      </c>
      <c r="H11" s="61" t="s">
        <v>86</v>
      </c>
      <c r="I11" s="86" t="s">
        <v>83</v>
      </c>
      <c r="J11" s="61" t="s">
        <v>83</v>
      </c>
      <c r="K11" s="59" t="s">
        <v>32</v>
      </c>
      <c r="L11" s="607" t="s">
        <v>24</v>
      </c>
      <c r="M11" s="447">
        <v>4.1579999999999999E-2</v>
      </c>
      <c r="N11" s="448" t="str">
        <f>IF(M11="&lt; n/a &gt;","rev sensitive factor is built in","add revenue sensitive factor")</f>
        <v>add revenue sensitive factor</v>
      </c>
      <c r="O11" s="449"/>
      <c r="P11" s="447">
        <v>4.1579999999999999E-2</v>
      </c>
      <c r="Q11" s="448" t="str">
        <f>IF(P11="&lt; n/a &gt;","rev sensitive factor is built in","add revenue sensitive factor")</f>
        <v>add revenue sensitive factor</v>
      </c>
      <c r="R11" s="449"/>
    </row>
    <row r="12" spans="1:18" s="57" customFormat="1" ht="15" customHeight="1" thickBot="1" x14ac:dyDescent="0.25">
      <c r="A12" s="86">
        <f t="shared" si="0"/>
        <v>4</v>
      </c>
      <c r="B12" s="56"/>
      <c r="C12" s="56"/>
      <c r="D12" s="358" t="s">
        <v>174</v>
      </c>
      <c r="E12" s="172" t="s">
        <v>28</v>
      </c>
      <c r="F12" s="450" t="s">
        <v>98</v>
      </c>
      <c r="G12" s="451" t="s">
        <v>28</v>
      </c>
      <c r="H12" s="358" t="s">
        <v>210</v>
      </c>
      <c r="I12" s="358" t="s">
        <v>71</v>
      </c>
      <c r="J12" s="358" t="s">
        <v>374</v>
      </c>
      <c r="K12" s="172" t="s">
        <v>210</v>
      </c>
      <c r="L12" s="608" t="s">
        <v>25</v>
      </c>
      <c r="M12" s="452">
        <f>IF(M11&lt;&gt;"&lt; n/a &gt;",ROUND(+M10/(1-M11),0),M10)</f>
        <v>0</v>
      </c>
      <c r="N12" s="929" t="s">
        <v>406</v>
      </c>
      <c r="O12" s="453"/>
      <c r="P12" s="452">
        <f>IF(P11&lt;&gt;"&lt; n/a &gt;",ROUND(+P10/(1-P11),0),P10)</f>
        <v>0</v>
      </c>
      <c r="Q12" s="929" t="s">
        <v>406</v>
      </c>
      <c r="R12" s="453"/>
    </row>
    <row r="13" spans="1:18" s="57" customFormat="1" x14ac:dyDescent="0.2">
      <c r="A13" s="86">
        <f t="shared" si="0"/>
        <v>5</v>
      </c>
      <c r="B13" s="56"/>
      <c r="C13" s="56"/>
      <c r="D13" s="150"/>
      <c r="E13" s="59"/>
      <c r="F13" s="59"/>
      <c r="G13" s="59" t="s">
        <v>175</v>
      </c>
      <c r="H13" s="361" t="s">
        <v>176</v>
      </c>
      <c r="I13" s="59"/>
      <c r="J13" s="150"/>
      <c r="K13" s="454" t="s">
        <v>177</v>
      </c>
      <c r="L13" s="455"/>
      <c r="M13" s="408"/>
      <c r="N13" s="456" t="s">
        <v>409</v>
      </c>
      <c r="O13" s="457" t="s">
        <v>220</v>
      </c>
      <c r="P13" s="408"/>
      <c r="Q13" s="456" t="s">
        <v>409</v>
      </c>
      <c r="R13" s="457" t="s">
        <v>220</v>
      </c>
    </row>
    <row r="14" spans="1:18" s="57" customFormat="1" ht="12.6" customHeight="1" x14ac:dyDescent="0.2">
      <c r="A14" s="86">
        <f t="shared" si="0"/>
        <v>6</v>
      </c>
      <c r="C14" s="409"/>
      <c r="D14" s="409"/>
      <c r="E14" s="409"/>
      <c r="F14" s="409"/>
      <c r="G14" s="409"/>
      <c r="H14" s="409"/>
      <c r="I14" s="409"/>
      <c r="J14" s="409"/>
      <c r="K14" s="409"/>
      <c r="L14" s="458"/>
      <c r="M14" s="459" t="s">
        <v>22</v>
      </c>
      <c r="N14" s="460" t="s">
        <v>410</v>
      </c>
      <c r="O14" s="461" t="s">
        <v>28</v>
      </c>
      <c r="P14" s="459" t="s">
        <v>22</v>
      </c>
      <c r="Q14" s="460" t="s">
        <v>410</v>
      </c>
      <c r="R14" s="461" t="s">
        <v>28</v>
      </c>
    </row>
    <row r="15" spans="1:18" x14ac:dyDescent="0.2">
      <c r="A15" s="86">
        <f t="shared" si="0"/>
        <v>7</v>
      </c>
      <c r="B15" s="741" t="s">
        <v>2</v>
      </c>
      <c r="C15" s="58" t="s">
        <v>3</v>
      </c>
      <c r="D15" s="124" t="s">
        <v>35</v>
      </c>
      <c r="E15" s="124" t="s">
        <v>36</v>
      </c>
      <c r="F15" s="124" t="s">
        <v>13</v>
      </c>
      <c r="G15" s="124" t="s">
        <v>37</v>
      </c>
      <c r="H15" s="124" t="s">
        <v>38</v>
      </c>
      <c r="I15" s="124" t="s">
        <v>39</v>
      </c>
      <c r="J15" s="124" t="s">
        <v>40</v>
      </c>
      <c r="K15" s="124" t="s">
        <v>41</v>
      </c>
      <c r="L15" s="462"/>
      <c r="M15" s="459" t="s">
        <v>42</v>
      </c>
      <c r="N15" s="124" t="s">
        <v>129</v>
      </c>
      <c r="O15" s="461" t="s">
        <v>43</v>
      </c>
      <c r="P15" s="459" t="s">
        <v>42</v>
      </c>
      <c r="Q15" s="722" t="s">
        <v>129</v>
      </c>
      <c r="R15" s="461" t="s">
        <v>43</v>
      </c>
    </row>
    <row r="16" spans="1:18" x14ac:dyDescent="0.2">
      <c r="A16" s="86">
        <f t="shared" si="0"/>
        <v>8</v>
      </c>
      <c r="B16" s="724" t="str">
        <f>'WA Volumes &amp; Revenues'!B15</f>
        <v>1R</v>
      </c>
      <c r="C16" s="724" t="s">
        <v>283</v>
      </c>
      <c r="D16" s="364">
        <f>'WA Volumes &amp; Revenues'!E15</f>
        <v>214704.20066131229</v>
      </c>
      <c r="E16" s="463">
        <f>'Rates in Detail'!J13</f>
        <v>1.1525299999999998</v>
      </c>
      <c r="F16" s="770">
        <f>'Rates in Detail'!L13+'Rates in Detail'!P13+'Rates in Detail'!S13+'Rates in Detail'!U13</f>
        <v>9.1960000000000014E-2</v>
      </c>
      <c r="G16" s="463">
        <f>E16+F16</f>
        <v>1.2444899999999999</v>
      </c>
      <c r="H16" s="467">
        <f>ROUND(G16*D16,0)</f>
        <v>267197</v>
      </c>
      <c r="I16" s="768">
        <f>'WA Volumes &amp; Revenues'!N15</f>
        <v>5.5</v>
      </c>
      <c r="J16" s="364">
        <f>'WA Volumes &amp; Revenues'!H15</f>
        <v>911</v>
      </c>
      <c r="K16" s="467">
        <f>ROUND((I16*J16*12)+H16,0)</f>
        <v>327323</v>
      </c>
      <c r="L16" s="462"/>
      <c r="M16" s="464">
        <v>1</v>
      </c>
      <c r="N16" s="465">
        <f>ROUND(+$M$12*(($K16*M16)/M$86),0)</f>
        <v>0</v>
      </c>
      <c r="O16" s="470">
        <f>IFERROR(ROUND(N16/D16,5),0)</f>
        <v>0</v>
      </c>
      <c r="P16" s="464">
        <v>1</v>
      </c>
      <c r="Q16" s="465">
        <f>ROUND(+$P$12*(($K16*P16)/P$86),0)</f>
        <v>0</v>
      </c>
      <c r="R16" s="470">
        <f>IFERROR(ROUND(Q16/$D16,5),0)</f>
        <v>0</v>
      </c>
    </row>
    <row r="17" spans="1:18" x14ac:dyDescent="0.2">
      <c r="A17" s="86">
        <f t="shared" si="0"/>
        <v>9</v>
      </c>
      <c r="B17" s="724" t="str">
        <f>'WA Volumes &amp; Revenues'!B16</f>
        <v>1C</v>
      </c>
      <c r="C17" s="724" t="s">
        <v>283</v>
      </c>
      <c r="D17" s="466">
        <f>'WA Volumes &amp; Revenues'!E16</f>
        <v>46539.057144390383</v>
      </c>
      <c r="E17" s="463">
        <f>'Rates in Detail'!J14</f>
        <v>1.18929</v>
      </c>
      <c r="F17" s="770">
        <f>'Rates in Detail'!L14+'Rates in Detail'!P14+'Rates in Detail'!S14+'Rates in Detail'!U14</f>
        <v>7.6469999999999996E-2</v>
      </c>
      <c r="G17" s="463">
        <f t="shared" ref="G17:G80" si="1">E17+F17</f>
        <v>1.26576</v>
      </c>
      <c r="H17" s="467">
        <f t="shared" ref="H17:H80" si="2">ROUND(G17*D17,0)</f>
        <v>58907</v>
      </c>
      <c r="I17" s="468">
        <f>'WA Volumes &amp; Revenues'!N16</f>
        <v>7</v>
      </c>
      <c r="J17" s="364">
        <f>'WA Volumes &amp; Revenues'!H16</f>
        <v>34</v>
      </c>
      <c r="K17" s="467">
        <f t="shared" ref="K17:K21" si="3">ROUND((I17*J17*12)+H17,0)</f>
        <v>61763</v>
      </c>
      <c r="L17" s="462"/>
      <c r="M17" s="464">
        <v>1</v>
      </c>
      <c r="N17" s="465">
        <f t="shared" ref="N17:N21" si="4">ROUND(+$M$12*(($K17*M17)/M$86),0)</f>
        <v>0</v>
      </c>
      <c r="O17" s="470">
        <f t="shared" ref="O17:O21" si="5">IFERROR(ROUND(N17/D17,5),0)</f>
        <v>0</v>
      </c>
      <c r="P17" s="464">
        <v>1</v>
      </c>
      <c r="Q17" s="465">
        <f t="shared" ref="Q17:Q21" si="6">ROUND(+$P$12*(($K17*P17)/P$86),0)</f>
        <v>0</v>
      </c>
      <c r="R17" s="470">
        <f t="shared" ref="R17:R21" si="7">IFERROR(ROUND(Q17/$D17,5),0)</f>
        <v>0</v>
      </c>
    </row>
    <row r="18" spans="1:18" x14ac:dyDescent="0.2">
      <c r="A18" s="86">
        <f t="shared" si="0"/>
        <v>10</v>
      </c>
      <c r="B18" s="724" t="str">
        <f>'WA Volumes &amp; Revenues'!B17</f>
        <v>2R</v>
      </c>
      <c r="C18" s="724" t="s">
        <v>283</v>
      </c>
      <c r="D18" s="466">
        <f>'WA Volumes &amp; Revenues'!E17</f>
        <v>54953515.785084128</v>
      </c>
      <c r="E18" s="463">
        <f>'Rates in Detail'!J15</f>
        <v>0.88947999999999972</v>
      </c>
      <c r="F18" s="770">
        <f>'Rates in Detail'!L15+'Rates in Detail'!P15+'Rates in Detail'!S15+'Rates in Detail'!U15</f>
        <v>5.8199999999999995E-2</v>
      </c>
      <c r="G18" s="463">
        <f t="shared" si="1"/>
        <v>0.94767999999999974</v>
      </c>
      <c r="H18" s="467">
        <f t="shared" si="2"/>
        <v>52078348</v>
      </c>
      <c r="I18" s="468">
        <f>'WA Volumes &amp; Revenues'!N17</f>
        <v>8</v>
      </c>
      <c r="J18" s="364">
        <f>'WA Volumes &amp; Revenues'!H17</f>
        <v>81119</v>
      </c>
      <c r="K18" s="467">
        <f t="shared" si="3"/>
        <v>59865772</v>
      </c>
      <c r="L18" s="462"/>
      <c r="M18" s="464">
        <v>1</v>
      </c>
      <c r="N18" s="465">
        <f t="shared" si="4"/>
        <v>0</v>
      </c>
      <c r="O18" s="470">
        <f t="shared" si="5"/>
        <v>0</v>
      </c>
      <c r="P18" s="464">
        <v>1</v>
      </c>
      <c r="Q18" s="465">
        <f t="shared" si="6"/>
        <v>0</v>
      </c>
      <c r="R18" s="470">
        <f t="shared" si="7"/>
        <v>0</v>
      </c>
    </row>
    <row r="19" spans="1:18" x14ac:dyDescent="0.2">
      <c r="A19" s="86">
        <f t="shared" si="0"/>
        <v>11</v>
      </c>
      <c r="B19" s="724" t="str">
        <f>'WA Volumes &amp; Revenues'!B18</f>
        <v>3 CFS</v>
      </c>
      <c r="C19" s="724" t="s">
        <v>283</v>
      </c>
      <c r="D19" s="466">
        <f>'WA Volumes &amp; Revenues'!E18</f>
        <v>17867210.60654201</v>
      </c>
      <c r="E19" s="463">
        <f>'Rates in Detail'!J16</f>
        <v>0.86690000000000011</v>
      </c>
      <c r="F19" s="770">
        <f>'Rates in Detail'!L16+'Rates in Detail'!P16+'Rates in Detail'!S16+'Rates in Detail'!U16</f>
        <v>5.2250000000000005E-2</v>
      </c>
      <c r="G19" s="463">
        <f t="shared" si="1"/>
        <v>0.91915000000000013</v>
      </c>
      <c r="H19" s="467">
        <f t="shared" si="2"/>
        <v>16422647</v>
      </c>
      <c r="I19" s="468">
        <f>'WA Volumes &amp; Revenues'!N18</f>
        <v>22</v>
      </c>
      <c r="J19" s="364">
        <f>'WA Volumes &amp; Revenues'!H18</f>
        <v>6318</v>
      </c>
      <c r="K19" s="467">
        <f t="shared" si="3"/>
        <v>18090599</v>
      </c>
      <c r="L19" s="462"/>
      <c r="M19" s="464">
        <v>1</v>
      </c>
      <c r="N19" s="465">
        <f t="shared" si="4"/>
        <v>0</v>
      </c>
      <c r="O19" s="470">
        <f t="shared" si="5"/>
        <v>0</v>
      </c>
      <c r="P19" s="464">
        <v>1</v>
      </c>
      <c r="Q19" s="465">
        <f t="shared" si="6"/>
        <v>0</v>
      </c>
      <c r="R19" s="470">
        <f t="shared" si="7"/>
        <v>0</v>
      </c>
    </row>
    <row r="20" spans="1:18" x14ac:dyDescent="0.2">
      <c r="A20" s="86">
        <f t="shared" si="0"/>
        <v>12</v>
      </c>
      <c r="B20" s="724" t="str">
        <f>'WA Volumes &amp; Revenues'!B19</f>
        <v>3 IFS</v>
      </c>
      <c r="C20" s="724" t="s">
        <v>283</v>
      </c>
      <c r="D20" s="466">
        <f>'WA Volumes &amp; Revenues'!E19</f>
        <v>283651.99999999994</v>
      </c>
      <c r="E20" s="463">
        <f>'Rates in Detail'!J17</f>
        <v>0.82713999999999999</v>
      </c>
      <c r="F20" s="463">
        <f>'Rates in Detail'!L17+'Rates in Detail'!P17+'Rates in Detail'!S17+'Rates in Detail'!U17</f>
        <v>6.3390000000000002E-2</v>
      </c>
      <c r="G20" s="463">
        <f t="shared" si="1"/>
        <v>0.89053000000000004</v>
      </c>
      <c r="H20" s="467">
        <f t="shared" si="2"/>
        <v>252601</v>
      </c>
      <c r="I20" s="468">
        <f>'WA Volumes &amp; Revenues'!N19</f>
        <v>22</v>
      </c>
      <c r="J20" s="364">
        <f>'WA Volumes &amp; Revenues'!H19</f>
        <v>24.25</v>
      </c>
      <c r="K20" s="467">
        <f t="shared" si="3"/>
        <v>259003</v>
      </c>
      <c r="L20" s="462"/>
      <c r="M20" s="464">
        <v>1</v>
      </c>
      <c r="N20" s="465">
        <f t="shared" si="4"/>
        <v>0</v>
      </c>
      <c r="O20" s="470">
        <f t="shared" si="5"/>
        <v>0</v>
      </c>
      <c r="P20" s="464">
        <v>1</v>
      </c>
      <c r="Q20" s="465">
        <f t="shared" si="6"/>
        <v>0</v>
      </c>
      <c r="R20" s="470">
        <f t="shared" si="7"/>
        <v>0</v>
      </c>
    </row>
    <row r="21" spans="1:18" x14ac:dyDescent="0.2">
      <c r="A21" s="86">
        <f t="shared" si="0"/>
        <v>13</v>
      </c>
      <c r="B21" s="724" t="str">
        <f>'WA Volumes &amp; Revenues'!B20</f>
        <v>27R</v>
      </c>
      <c r="C21" s="724" t="s">
        <v>283</v>
      </c>
      <c r="D21" s="466">
        <f>'WA Volumes &amp; Revenues'!E20</f>
        <v>461371.76933137607</v>
      </c>
      <c r="E21" s="463">
        <f>'Rates in Detail'!J18</f>
        <v>0.64432999999999974</v>
      </c>
      <c r="F21" s="463">
        <f>'Rates in Detail'!L18+'Rates in Detail'!P18+'Rates in Detail'!S18+'Rates in Detail'!U18</f>
        <v>4.1419999999999998E-2</v>
      </c>
      <c r="G21" s="463">
        <f t="shared" si="1"/>
        <v>0.68574999999999975</v>
      </c>
      <c r="H21" s="467">
        <f t="shared" si="2"/>
        <v>316386</v>
      </c>
      <c r="I21" s="468">
        <f>'WA Volumes &amp; Revenues'!N20</f>
        <v>9</v>
      </c>
      <c r="J21" s="364">
        <f>'WA Volumes &amp; Revenues'!H20</f>
        <v>776</v>
      </c>
      <c r="K21" s="467">
        <f t="shared" si="3"/>
        <v>400194</v>
      </c>
      <c r="L21" s="462"/>
      <c r="M21" s="464">
        <v>1</v>
      </c>
      <c r="N21" s="465">
        <f t="shared" si="4"/>
        <v>0</v>
      </c>
      <c r="O21" s="470">
        <f t="shared" si="5"/>
        <v>0</v>
      </c>
      <c r="P21" s="464">
        <v>1</v>
      </c>
      <c r="Q21" s="465">
        <f t="shared" si="6"/>
        <v>0</v>
      </c>
      <c r="R21" s="470">
        <f t="shared" si="7"/>
        <v>0</v>
      </c>
    </row>
    <row r="22" spans="1:18" x14ac:dyDescent="0.2">
      <c r="A22" s="86">
        <f t="shared" si="0"/>
        <v>14</v>
      </c>
      <c r="B22" s="725" t="str">
        <f>'WA Volumes &amp; Revenues'!B21</f>
        <v>41C Firm Sales</v>
      </c>
      <c r="C22" s="726" t="s">
        <v>4</v>
      </c>
      <c r="D22" s="472">
        <f>'WA Volumes &amp; Revenues'!E21</f>
        <v>1777065.1510316674</v>
      </c>
      <c r="E22" s="473">
        <f>'Rates in Detail'!J19</f>
        <v>0.65150000000000008</v>
      </c>
      <c r="F22" s="473">
        <f>'Rates in Detail'!L19+'Rates in Detail'!P19+'Rates in Detail'!S19+'Rates in Detail'!U19</f>
        <v>4.1489999999999992E-2</v>
      </c>
      <c r="G22" s="473">
        <f t="shared" si="1"/>
        <v>0.69299000000000011</v>
      </c>
      <c r="H22" s="281">
        <f t="shared" si="2"/>
        <v>1231488</v>
      </c>
      <c r="I22" s="154">
        <f>'WA Volumes &amp; Revenues'!N21</f>
        <v>250</v>
      </c>
      <c r="J22" s="299">
        <f>'WA Volumes &amp; Revenues'!H21</f>
        <v>91</v>
      </c>
      <c r="K22" s="474">
        <f>ROUND((I22*J22*12)+H22+H23,0)</f>
        <v>2769927</v>
      </c>
      <c r="L22" s="475"/>
      <c r="M22" s="476">
        <v>1</v>
      </c>
      <c r="N22" s="477">
        <f>ROUND(+$M$12*(($K22*M22)/M$86),0)</f>
        <v>0</v>
      </c>
      <c r="O22" s="478">
        <f>IFERROR(ROUND(($N$22*(D22/SUM($D$22:$D$23)))/D22,5),0)</f>
        <v>0</v>
      </c>
      <c r="P22" s="476">
        <v>1</v>
      </c>
      <c r="Q22" s="477">
        <f>ROUND(+$P$12*(($K22*P22)/P$86),0)</f>
        <v>0</v>
      </c>
      <c r="R22" s="478">
        <f>IFERROR(ROUND(($Q$22*(D22/SUM($D$22:$D$23)))/D22,5),0)</f>
        <v>0</v>
      </c>
    </row>
    <row r="23" spans="1:18" x14ac:dyDescent="0.2">
      <c r="A23" s="86">
        <f t="shared" si="0"/>
        <v>15</v>
      </c>
      <c r="B23" s="723"/>
      <c r="C23" s="727" t="s">
        <v>5</v>
      </c>
      <c r="D23" s="466">
        <f>'WA Volumes &amp; Revenues'!E22</f>
        <v>1974656.4658023661</v>
      </c>
      <c r="E23" s="463">
        <f>'Rates in Detail'!J20</f>
        <v>0.60426999999999997</v>
      </c>
      <c r="F23" s="463">
        <f>'Rates in Detail'!L20+'Rates in Detail'!P20+'Rates in Detail'!S20+'Rates in Detail'!U20</f>
        <v>3.6569999999999998E-2</v>
      </c>
      <c r="G23" s="463">
        <f t="shared" si="1"/>
        <v>0.64083999999999997</v>
      </c>
      <c r="H23" s="467">
        <f t="shared" si="2"/>
        <v>1265439</v>
      </c>
      <c r="I23" s="468"/>
      <c r="J23" s="364"/>
      <c r="K23" s="467"/>
      <c r="L23" s="462"/>
      <c r="M23" s="464">
        <v>1</v>
      </c>
      <c r="N23" s="465"/>
      <c r="O23" s="470">
        <f>IFERROR(ROUND(($N$22*(D23/SUM($D$22:$D$23)))/D23,5),0)</f>
        <v>0</v>
      </c>
      <c r="P23" s="464">
        <v>1</v>
      </c>
      <c r="Q23" s="465"/>
      <c r="R23" s="470">
        <f>IFERROR(ROUND(($Q$22*(D23/SUM($D$22:$D$23)))/D23,5),0)</f>
        <v>0</v>
      </c>
    </row>
    <row r="24" spans="1:18" x14ac:dyDescent="0.2">
      <c r="A24" s="86">
        <f t="shared" si="0"/>
        <v>16</v>
      </c>
      <c r="B24" s="725" t="str">
        <f>'WA Volumes &amp; Revenues'!B23</f>
        <v>41I Firm Sales</v>
      </c>
      <c r="C24" s="726" t="s">
        <v>4</v>
      </c>
      <c r="D24" s="472">
        <f>'WA Volumes &amp; Revenues'!E23</f>
        <v>392890.20000000007</v>
      </c>
      <c r="E24" s="473">
        <f>'Rates in Detail'!J21</f>
        <v>0.60577000000000025</v>
      </c>
      <c r="F24" s="473">
        <f>'Rates in Detail'!L21+'Rates in Detail'!P21+'Rates in Detail'!S21+'Rates in Detail'!U21</f>
        <v>5.2900000000000003E-2</v>
      </c>
      <c r="G24" s="473">
        <f t="shared" si="1"/>
        <v>0.65867000000000031</v>
      </c>
      <c r="H24" s="281">
        <f t="shared" si="2"/>
        <v>258785</v>
      </c>
      <c r="I24" s="154">
        <f>'WA Volumes &amp; Revenues'!N23</f>
        <v>250</v>
      </c>
      <c r="J24" s="299">
        <f>'WA Volumes &amp; Revenues'!H23</f>
        <v>17.833333333333332</v>
      </c>
      <c r="K24" s="474">
        <f>ROUND((I24*J24*12)+H24+H25,0)</f>
        <v>691846</v>
      </c>
      <c r="L24" s="475"/>
      <c r="M24" s="476">
        <v>1</v>
      </c>
      <c r="N24" s="477">
        <f>ROUND(+$M$12*(($K24*M24)/M$86),0)</f>
        <v>0</v>
      </c>
      <c r="O24" s="478">
        <f>IFERROR(ROUND(($N$24*(D24/SUM($D$24:$D$25)))/D24,5),0)</f>
        <v>0</v>
      </c>
      <c r="P24" s="476">
        <v>1</v>
      </c>
      <c r="Q24" s="477">
        <f>ROUND(+$P$12*(($K24*P24)/P$86),0)</f>
        <v>0</v>
      </c>
      <c r="R24" s="478">
        <f>IFERROR(ROUND(($Q$24*(D24/SUM($D$24:$D$25)))/D24,5),0)</f>
        <v>0</v>
      </c>
    </row>
    <row r="25" spans="1:18" x14ac:dyDescent="0.2">
      <c r="A25" s="86">
        <f t="shared" si="0"/>
        <v>17</v>
      </c>
      <c r="B25" s="723"/>
      <c r="C25" s="727" t="s">
        <v>5</v>
      </c>
      <c r="D25" s="466">
        <f>'WA Volumes &amp; Revenues'!E24</f>
        <v>621650.00000000012</v>
      </c>
      <c r="E25" s="463">
        <f>'Rates in Detail'!J22</f>
        <v>0.56396000000000013</v>
      </c>
      <c r="F25" s="463">
        <f>'Rates in Detail'!L22+'Rates in Detail'!P22+'Rates in Detail'!S22+'Rates in Detail'!U22</f>
        <v>4.6609999999999999E-2</v>
      </c>
      <c r="G25" s="463">
        <f t="shared" si="1"/>
        <v>0.61057000000000017</v>
      </c>
      <c r="H25" s="467">
        <f t="shared" si="2"/>
        <v>379561</v>
      </c>
      <c r="I25" s="468"/>
      <c r="J25" s="364"/>
      <c r="K25" s="467"/>
      <c r="L25" s="462"/>
      <c r="M25" s="464">
        <v>1</v>
      </c>
      <c r="N25" s="465"/>
      <c r="O25" s="470">
        <f>IFERROR(ROUND(($N$24*(D25/SUM($D$24:$D$25)))/D25,5),0)</f>
        <v>0</v>
      </c>
      <c r="P25" s="464">
        <v>1</v>
      </c>
      <c r="Q25" s="465"/>
      <c r="R25" s="470">
        <f>IFERROR(ROUND(($Q$24*(D25/SUM($D$24:$D$25)))/D25,5),0)</f>
        <v>0</v>
      </c>
    </row>
    <row r="26" spans="1:18" x14ac:dyDescent="0.2">
      <c r="A26" s="86">
        <f t="shared" si="0"/>
        <v>18</v>
      </c>
      <c r="B26" s="725" t="str">
        <f>'WA Volumes &amp; Revenues'!B25</f>
        <v>41C Interr Sales</v>
      </c>
      <c r="C26" s="726" t="s">
        <v>4</v>
      </c>
      <c r="D26" s="479">
        <f>'WA Volumes &amp; Revenues'!E25</f>
        <v>0</v>
      </c>
      <c r="E26" s="473">
        <f>'Rates in Detail'!J23</f>
        <v>0.66024999999999989</v>
      </c>
      <c r="F26" s="473">
        <f>'Rates in Detail'!L23+'Rates in Detail'!P23+'Rates in Detail'!S23+'Rates in Detail'!U23</f>
        <v>2.63E-2</v>
      </c>
      <c r="G26" s="473">
        <f t="shared" si="1"/>
        <v>0.68654999999999988</v>
      </c>
      <c r="H26" s="474">
        <f t="shared" si="2"/>
        <v>0</v>
      </c>
      <c r="I26" s="154">
        <f>'WA Volumes &amp; Revenues'!N25</f>
        <v>250</v>
      </c>
      <c r="J26" s="299">
        <f>'WA Volumes &amp; Revenues'!H25</f>
        <v>0</v>
      </c>
      <c r="K26" s="474">
        <f>ROUND((I26*J26*12)+H26+H27,0)</f>
        <v>0</v>
      </c>
      <c r="L26" s="475"/>
      <c r="M26" s="476">
        <v>1</v>
      </c>
      <c r="N26" s="477">
        <f>ROUND(+$M$12*(($K26*M26)/M$86),0)</f>
        <v>0</v>
      </c>
      <c r="O26" s="478">
        <f>IFERROR(ROUND(($N$26*(D26/SUM($D$26:$D$27)))/D26,5),0)</f>
        <v>0</v>
      </c>
      <c r="P26" s="476">
        <v>1</v>
      </c>
      <c r="Q26" s="477">
        <f>ROUND(+$P$12*(($K26*P26)/P$86),0)</f>
        <v>0</v>
      </c>
      <c r="R26" s="478">
        <f>IFERROR(ROUND(($Q$26*(D26/SUM($D$26:$D$27)))/D26,5),0)</f>
        <v>0</v>
      </c>
    </row>
    <row r="27" spans="1:18" x14ac:dyDescent="0.2">
      <c r="A27" s="86">
        <f t="shared" si="0"/>
        <v>19</v>
      </c>
      <c r="B27" s="723"/>
      <c r="C27" s="727" t="s">
        <v>5</v>
      </c>
      <c r="D27" s="466">
        <f>'WA Volumes &amp; Revenues'!E26</f>
        <v>0</v>
      </c>
      <c r="E27" s="463">
        <f>'Rates in Detail'!J24</f>
        <v>0.61316999999999988</v>
      </c>
      <c r="F27" s="463">
        <f>'Rates in Detail'!L24+'Rates in Detail'!P24+'Rates in Detail'!S24+'Rates in Detail'!U24</f>
        <v>2.3169999999999996E-2</v>
      </c>
      <c r="G27" s="463">
        <f t="shared" si="1"/>
        <v>0.63633999999999991</v>
      </c>
      <c r="H27" s="467">
        <f t="shared" si="2"/>
        <v>0</v>
      </c>
      <c r="I27" s="468"/>
      <c r="J27" s="364"/>
      <c r="K27" s="467"/>
      <c r="L27" s="462"/>
      <c r="M27" s="464">
        <v>1</v>
      </c>
      <c r="N27" s="465"/>
      <c r="O27" s="470">
        <f>IFERROR(ROUND(($N$26*(D27/SUM($D$26:$D$27)))/D27,5),0)</f>
        <v>0</v>
      </c>
      <c r="P27" s="464">
        <v>1</v>
      </c>
      <c r="Q27" s="465"/>
      <c r="R27" s="470">
        <f>IFERROR(ROUND(($Q$26*(D27/SUM($D$26:$D$27)))/D27,5),0)</f>
        <v>0</v>
      </c>
    </row>
    <row r="28" spans="1:18" x14ac:dyDescent="0.2">
      <c r="A28" s="86">
        <f t="shared" si="0"/>
        <v>20</v>
      </c>
      <c r="B28" s="725" t="str">
        <f>'WA Volumes &amp; Revenues'!B27</f>
        <v>41I Interr Sales</v>
      </c>
      <c r="C28" s="726" t="s">
        <v>4</v>
      </c>
      <c r="D28" s="479">
        <f>'WA Volumes &amp; Revenues'!E27</f>
        <v>0</v>
      </c>
      <c r="E28" s="473">
        <f>'Rates in Detail'!J25</f>
        <v>0.61580999999999997</v>
      </c>
      <c r="F28" s="473">
        <f>'Rates in Detail'!L25+'Rates in Detail'!P25+'Rates in Detail'!S25+'Rates in Detail'!U25</f>
        <v>4.0340000000000001E-2</v>
      </c>
      <c r="G28" s="473">
        <f t="shared" si="1"/>
        <v>0.65615000000000001</v>
      </c>
      <c r="H28" s="474">
        <f t="shared" si="2"/>
        <v>0</v>
      </c>
      <c r="I28" s="154">
        <f>'WA Volumes &amp; Revenues'!N27</f>
        <v>250</v>
      </c>
      <c r="J28" s="299">
        <f>'WA Volumes &amp; Revenues'!H27</f>
        <v>0</v>
      </c>
      <c r="K28" s="474">
        <f>ROUND((I28*J28*12)+H28+H29,0)</f>
        <v>0</v>
      </c>
      <c r="L28" s="475"/>
      <c r="M28" s="476">
        <v>1</v>
      </c>
      <c r="N28" s="477">
        <f>ROUND(+$M$12*(($K28*M28)/M$86),0)</f>
        <v>0</v>
      </c>
      <c r="O28" s="478">
        <f>IFERROR(ROUND(($N$28*(D28/SUM($D$28:$D$29)))/D28,5),0)</f>
        <v>0</v>
      </c>
      <c r="P28" s="476">
        <v>1</v>
      </c>
      <c r="Q28" s="477">
        <f>ROUND(+$P$12*(($K28*P28)/P$86),0)</f>
        <v>0</v>
      </c>
      <c r="R28" s="478">
        <f>IFERROR(ROUND(($Q$28*(D28/SUM($D$28:$D$29)))/D28,5),0)</f>
        <v>0</v>
      </c>
    </row>
    <row r="29" spans="1:18" x14ac:dyDescent="0.2">
      <c r="A29" s="86">
        <f t="shared" si="0"/>
        <v>21</v>
      </c>
      <c r="B29" s="723"/>
      <c r="C29" s="727" t="s">
        <v>5</v>
      </c>
      <c r="D29" s="466">
        <f>'WA Volumes &amp; Revenues'!E28</f>
        <v>0</v>
      </c>
      <c r="E29" s="463">
        <f>'Rates in Detail'!J26</f>
        <v>0.57401999999999986</v>
      </c>
      <c r="F29" s="463">
        <f>'Rates in Detail'!L26+'Rates in Detail'!P26+'Rates in Detail'!S26+'Rates in Detail'!U26</f>
        <v>3.5539999999999995E-2</v>
      </c>
      <c r="G29" s="463">
        <f t="shared" si="1"/>
        <v>0.60955999999999988</v>
      </c>
      <c r="H29" s="467">
        <f t="shared" si="2"/>
        <v>0</v>
      </c>
      <c r="I29" s="468"/>
      <c r="J29" s="364"/>
      <c r="K29" s="467"/>
      <c r="L29" s="462"/>
      <c r="M29" s="464">
        <v>1</v>
      </c>
      <c r="N29" s="465"/>
      <c r="O29" s="470">
        <f>IFERROR(ROUND(($N$28*(D29/SUM($D$28:$D$29)))/D29,5),0)</f>
        <v>0</v>
      </c>
      <c r="P29" s="464">
        <v>1</v>
      </c>
      <c r="Q29" s="465"/>
      <c r="R29" s="470">
        <f>IFERROR(ROUND(($Q$28*(D29/SUM($D$28:$D$29)))/D29,5),0)</f>
        <v>0</v>
      </c>
    </row>
    <row r="30" spans="1:18" x14ac:dyDescent="0.2">
      <c r="A30" s="86">
        <f t="shared" si="0"/>
        <v>22</v>
      </c>
      <c r="B30" s="725" t="str">
        <f>'WA Volumes &amp; Revenues'!B29</f>
        <v>41C Firm Transpt</v>
      </c>
      <c r="C30" s="726" t="s">
        <v>4</v>
      </c>
      <c r="D30" s="479">
        <f>'WA Volumes &amp; Revenues'!E29</f>
        <v>168721</v>
      </c>
      <c r="E30" s="473">
        <f>'Rates in Detail'!J27</f>
        <v>0.34945999999999999</v>
      </c>
      <c r="F30" s="473">
        <f>'Rates in Detail'!L27+'Rates in Detail'!P27+'Rates in Detail'!S27+'Rates in Detail'!U27</f>
        <v>5.8799999999999998E-2</v>
      </c>
      <c r="G30" s="473">
        <f t="shared" si="1"/>
        <v>0.40826000000000001</v>
      </c>
      <c r="H30" s="474">
        <f t="shared" si="2"/>
        <v>68882</v>
      </c>
      <c r="I30" s="154">
        <f>'WA Volumes &amp; Revenues'!N29</f>
        <v>500</v>
      </c>
      <c r="J30" s="299">
        <f>'WA Volumes &amp; Revenues'!H29</f>
        <v>7.916666666666667</v>
      </c>
      <c r="K30" s="474">
        <f>ROUND((I30*J30*12)+H30+H31,0)</f>
        <v>214532</v>
      </c>
      <c r="L30" s="475"/>
      <c r="M30" s="476">
        <v>1</v>
      </c>
      <c r="N30" s="477">
        <f>ROUND(+$M$12*(($K30*M30)/M$86),0)</f>
        <v>0</v>
      </c>
      <c r="O30" s="478">
        <f>IFERROR(ROUND(($N$30*(D30/SUM($D$30:$D$31)))/D30,5),0)</f>
        <v>0</v>
      </c>
      <c r="P30" s="476">
        <v>1</v>
      </c>
      <c r="Q30" s="477">
        <f>ROUND(+$P$12*(($K30*P30)/P$86),0)</f>
        <v>0</v>
      </c>
      <c r="R30" s="478">
        <f>IFERROR(ROUND(($Q$30*(D30/SUM($D$30:$D$31)))/D30,5),0)</f>
        <v>0</v>
      </c>
    </row>
    <row r="31" spans="1:18" x14ac:dyDescent="0.2">
      <c r="A31" s="86">
        <f t="shared" si="0"/>
        <v>23</v>
      </c>
      <c r="B31" s="723"/>
      <c r="C31" s="727" t="s">
        <v>5</v>
      </c>
      <c r="D31" s="466">
        <f>'WA Volumes &amp; Revenues'!E30</f>
        <v>272866</v>
      </c>
      <c r="E31" s="463">
        <f>'Rates in Detail'!J28</f>
        <v>0.30789000000000011</v>
      </c>
      <c r="F31" s="463">
        <f>'Rates in Detail'!L28+'Rates in Detail'!P28+'Rates in Detail'!S28+'Rates in Detail'!U28</f>
        <v>5.1810000000000002E-2</v>
      </c>
      <c r="G31" s="463">
        <f t="shared" si="1"/>
        <v>0.35970000000000013</v>
      </c>
      <c r="H31" s="467">
        <f t="shared" si="2"/>
        <v>98150</v>
      </c>
      <c r="I31" s="468"/>
      <c r="J31" s="364"/>
      <c r="K31" s="467"/>
      <c r="L31" s="462"/>
      <c r="M31" s="464">
        <v>1</v>
      </c>
      <c r="N31" s="465"/>
      <c r="O31" s="470">
        <f>IFERROR(ROUND(($N$30*(D31/SUM($D$30:$D$31)))/D31,5),0)</f>
        <v>0</v>
      </c>
      <c r="P31" s="464">
        <v>1</v>
      </c>
      <c r="Q31" s="465"/>
      <c r="R31" s="470">
        <f>IFERROR(ROUND(($Q$30*(D31/SUM($D$30:$D$31)))/D31,5),0)</f>
        <v>0</v>
      </c>
    </row>
    <row r="32" spans="1:18" x14ac:dyDescent="0.2">
      <c r="A32" s="86">
        <f t="shared" si="0"/>
        <v>24</v>
      </c>
      <c r="B32" s="725" t="str">
        <f>'WA Volumes &amp; Revenues'!B31</f>
        <v>41I Firm Transpt</v>
      </c>
      <c r="C32" s="726" t="s">
        <v>4</v>
      </c>
      <c r="D32" s="479">
        <f>'WA Volumes &amp; Revenues'!E31</f>
        <v>0</v>
      </c>
      <c r="E32" s="473">
        <f>'Rates in Detail'!J29</f>
        <v>0.34945999999999999</v>
      </c>
      <c r="F32" s="473">
        <f>'Rates in Detail'!L29+'Rates in Detail'!P29+'Rates in Detail'!S29+'Rates in Detail'!U29</f>
        <v>4.0829999999999998E-2</v>
      </c>
      <c r="G32" s="473">
        <f t="shared" si="1"/>
        <v>0.39028999999999997</v>
      </c>
      <c r="H32" s="474">
        <f t="shared" si="2"/>
        <v>0</v>
      </c>
      <c r="I32" s="154">
        <f>'WA Volumes &amp; Revenues'!N31</f>
        <v>500</v>
      </c>
      <c r="J32" s="299">
        <f>'WA Volumes &amp; Revenues'!H31</f>
        <v>0</v>
      </c>
      <c r="K32" s="474">
        <f>ROUND((I32*J32*12)+H32+H33,0)</f>
        <v>0</v>
      </c>
      <c r="L32" s="475"/>
      <c r="M32" s="476">
        <v>1</v>
      </c>
      <c r="N32" s="477">
        <f>ROUND(+$M$12*(($K32*M32)/M$86),0)</f>
        <v>0</v>
      </c>
      <c r="O32" s="478">
        <f>IFERROR(ROUND(($N$32*(D32/SUM($D$31:$D$32)))/D32,5),0)</f>
        <v>0</v>
      </c>
      <c r="P32" s="476">
        <v>1</v>
      </c>
      <c r="Q32" s="477">
        <f>ROUND(+$P$12*(($K32*P32)/P$86),0)</f>
        <v>0</v>
      </c>
      <c r="R32" s="478">
        <f>IFERROR(ROUND(($Q$32*(D32/SUM($D$32:$D$33)))/D32,5),0)</f>
        <v>0</v>
      </c>
    </row>
    <row r="33" spans="1:18" x14ac:dyDescent="0.2">
      <c r="A33" s="86">
        <f t="shared" si="0"/>
        <v>25</v>
      </c>
      <c r="B33" s="723"/>
      <c r="C33" s="727" t="s">
        <v>5</v>
      </c>
      <c r="D33" s="466">
        <f>'WA Volumes &amp; Revenues'!E32</f>
        <v>0</v>
      </c>
      <c r="E33" s="463">
        <f>'Rates in Detail'!J30</f>
        <v>0.30789000000000011</v>
      </c>
      <c r="F33" s="463">
        <f>'Rates in Detail'!L30+'Rates in Detail'!P30+'Rates in Detail'!S30+'Rates in Detail'!U30</f>
        <v>3.5980000000000005E-2</v>
      </c>
      <c r="G33" s="463">
        <f t="shared" si="1"/>
        <v>0.34387000000000012</v>
      </c>
      <c r="H33" s="467">
        <f t="shared" si="2"/>
        <v>0</v>
      </c>
      <c r="I33" s="468"/>
      <c r="J33" s="364"/>
      <c r="K33" s="467"/>
      <c r="L33" s="462"/>
      <c r="M33" s="464">
        <v>1</v>
      </c>
      <c r="N33" s="465"/>
      <c r="O33" s="470">
        <f>IFERROR(ROUND(($N$32*(D33/SUM($D$32:$D$33)))/D33,5),0)</f>
        <v>0</v>
      </c>
      <c r="P33" s="464">
        <v>1</v>
      </c>
      <c r="Q33" s="465"/>
      <c r="R33" s="470">
        <f>IFERROR(ROUND(($Q$32*(D33/SUM($D$32:$D$33)))/D33,5),0)</f>
        <v>0</v>
      </c>
    </row>
    <row r="34" spans="1:18" x14ac:dyDescent="0.2">
      <c r="A34" s="86">
        <f t="shared" si="0"/>
        <v>26</v>
      </c>
      <c r="B34" s="725" t="str">
        <f>'WA Volumes &amp; Revenues'!B33</f>
        <v>42C Firm Sales</v>
      </c>
      <c r="C34" s="726" t="s">
        <v>4</v>
      </c>
      <c r="D34" s="479">
        <f>'WA Volumes &amp; Revenues'!E33</f>
        <v>350769.66174469434</v>
      </c>
      <c r="E34" s="473">
        <f>'Rates in Detail'!J31</f>
        <v>0.43535000000000001</v>
      </c>
      <c r="F34" s="473">
        <f>'Rates in Detail'!L31+'Rates in Detail'!P31+'Rates in Detail'!S31+'Rates in Detail'!U31</f>
        <v>3.1259999999999996E-2</v>
      </c>
      <c r="G34" s="473">
        <f t="shared" si="1"/>
        <v>0.46661000000000002</v>
      </c>
      <c r="H34" s="474">
        <f t="shared" si="2"/>
        <v>163673</v>
      </c>
      <c r="I34" s="154">
        <f>'WA Volumes &amp; Revenues'!N33</f>
        <v>1300</v>
      </c>
      <c r="J34" s="299">
        <f>'WA Volumes &amp; Revenues'!H33</f>
        <v>5</v>
      </c>
      <c r="K34" s="474">
        <f>ROUND((I34*J34*12)+H34+H35+H36+H37+H38+H39,0)+'Rev Req Proof Yr1'!AD38</f>
        <v>430793.76516000001</v>
      </c>
      <c r="L34" s="475"/>
      <c r="M34" s="476">
        <v>1</v>
      </c>
      <c r="N34" s="480">
        <f>ROUND(+$M$12*(($K34*M34)/M$86),0)</f>
        <v>0</v>
      </c>
      <c r="O34" s="478">
        <f>IFERROR(ROUND(($N$34*(D34/SUM($D$34:$D$39)))/D34,5),0)</f>
        <v>0</v>
      </c>
      <c r="P34" s="476">
        <v>1</v>
      </c>
      <c r="Q34" s="480">
        <f>ROUND(+$P$12*(($K34*P34)/P$86),0)</f>
        <v>0</v>
      </c>
      <c r="R34" s="478">
        <f>IFERROR(ROUND(($Q$34*(D34/SUM($D$34:$D$39)))/D34,5),0)</f>
        <v>0</v>
      </c>
    </row>
    <row r="35" spans="1:18" x14ac:dyDescent="0.2">
      <c r="A35" s="86">
        <f t="shared" si="0"/>
        <v>27</v>
      </c>
      <c r="B35" s="725"/>
      <c r="C35" s="726" t="s">
        <v>5</v>
      </c>
      <c r="D35" s="479">
        <f>'WA Volumes &amp; Revenues'!E34</f>
        <v>303088.75426472601</v>
      </c>
      <c r="E35" s="473">
        <f>'Rates in Detail'!J32</f>
        <v>0.41633999999999971</v>
      </c>
      <c r="F35" s="473">
        <f>'Rates in Detail'!L32+'Rates in Detail'!P32+'Rates in Detail'!S32+'Rates in Detail'!U32</f>
        <v>2.7970000000000002E-2</v>
      </c>
      <c r="G35" s="473">
        <f t="shared" si="1"/>
        <v>0.44430999999999971</v>
      </c>
      <c r="H35" s="474">
        <f t="shared" si="2"/>
        <v>134665</v>
      </c>
      <c r="I35" s="154"/>
      <c r="J35" s="299"/>
      <c r="K35" s="474"/>
      <c r="L35" s="475"/>
      <c r="M35" s="476">
        <v>1</v>
      </c>
      <c r="N35" s="270"/>
      <c r="O35" s="478">
        <f t="shared" ref="O35:O39" si="8">IFERROR(ROUND(($N$34*(D35/SUM($D$34:$D$39)))/D35,5),0)</f>
        <v>0</v>
      </c>
      <c r="P35" s="476">
        <v>1</v>
      </c>
      <c r="Q35" s="270"/>
      <c r="R35" s="478">
        <f t="shared" ref="R35:R39" si="9">IFERROR(ROUND(($Q$34*(D35/SUM($D$34:$D$39)))/D35,5),0)</f>
        <v>0</v>
      </c>
    </row>
    <row r="36" spans="1:18" x14ac:dyDescent="0.2">
      <c r="A36" s="86">
        <f t="shared" si="0"/>
        <v>28</v>
      </c>
      <c r="B36" s="725"/>
      <c r="C36" s="726" t="s">
        <v>6</v>
      </c>
      <c r="D36" s="479">
        <f>'WA Volumes &amp; Revenues'!E35</f>
        <v>59441.942130257296</v>
      </c>
      <c r="E36" s="473">
        <f>'Rates in Detail'!J33</f>
        <v>0.37851999999999986</v>
      </c>
      <c r="F36" s="473">
        <f>'Rates in Detail'!L33+'Rates in Detail'!P33+'Rates in Detail'!S33+'Rates in Detail'!U33</f>
        <v>2.146E-2</v>
      </c>
      <c r="G36" s="473">
        <f t="shared" si="1"/>
        <v>0.39997999999999984</v>
      </c>
      <c r="H36" s="474">
        <f t="shared" si="2"/>
        <v>23776</v>
      </c>
      <c r="I36" s="154"/>
      <c r="J36" s="299"/>
      <c r="K36" s="474"/>
      <c r="L36" s="475"/>
      <c r="M36" s="476">
        <v>1</v>
      </c>
      <c r="N36" s="270"/>
      <c r="O36" s="478">
        <f t="shared" si="8"/>
        <v>0</v>
      </c>
      <c r="P36" s="476">
        <v>1</v>
      </c>
      <c r="Q36" s="270"/>
      <c r="R36" s="478">
        <f t="shared" si="9"/>
        <v>0</v>
      </c>
    </row>
    <row r="37" spans="1:18" x14ac:dyDescent="0.2">
      <c r="A37" s="86">
        <f t="shared" si="0"/>
        <v>29</v>
      </c>
      <c r="B37" s="725"/>
      <c r="C37" s="726" t="s">
        <v>7</v>
      </c>
      <c r="D37" s="479">
        <f>'WA Volumes &amp; Revenues'!E36</f>
        <v>3614.6071898605187</v>
      </c>
      <c r="E37" s="473">
        <f>'Rates in Detail'!J34</f>
        <v>0.35361000000000004</v>
      </c>
      <c r="F37" s="473">
        <f>'Rates in Detail'!L34+'Rates in Detail'!P34+'Rates in Detail'!S34+'Rates in Detail'!U34</f>
        <v>1.7160000000000002E-2</v>
      </c>
      <c r="G37" s="473">
        <f t="shared" si="1"/>
        <v>0.37077000000000004</v>
      </c>
      <c r="H37" s="474">
        <f t="shared" si="2"/>
        <v>1340</v>
      </c>
      <c r="I37" s="154"/>
      <c r="J37" s="299"/>
      <c r="K37" s="474"/>
      <c r="L37" s="475"/>
      <c r="M37" s="476">
        <v>1</v>
      </c>
      <c r="N37" s="270"/>
      <c r="O37" s="478">
        <f t="shared" si="8"/>
        <v>0</v>
      </c>
      <c r="P37" s="476">
        <v>1</v>
      </c>
      <c r="Q37" s="270"/>
      <c r="R37" s="478">
        <f t="shared" si="9"/>
        <v>0</v>
      </c>
    </row>
    <row r="38" spans="1:18" x14ac:dyDescent="0.2">
      <c r="A38" s="86">
        <f t="shared" si="0"/>
        <v>30</v>
      </c>
      <c r="B38" s="725"/>
      <c r="C38" s="726" t="s">
        <v>8</v>
      </c>
      <c r="D38" s="479">
        <f>'WA Volumes &amp; Revenues'!E37</f>
        <v>0</v>
      </c>
      <c r="E38" s="473">
        <f>'Rates in Detail'!J35</f>
        <v>0.32038</v>
      </c>
      <c r="F38" s="473">
        <f>'Rates in Detail'!L35+'Rates in Detail'!P35+'Rates in Detail'!S35+'Rates in Detail'!U35</f>
        <v>1.1440000000000001E-2</v>
      </c>
      <c r="G38" s="473">
        <f t="shared" si="1"/>
        <v>0.33182</v>
      </c>
      <c r="H38" s="474">
        <f t="shared" si="2"/>
        <v>0</v>
      </c>
      <c r="I38" s="154"/>
      <c r="J38" s="299"/>
      <c r="K38" s="474"/>
      <c r="L38" s="475"/>
      <c r="M38" s="476">
        <v>1</v>
      </c>
      <c r="N38" s="270"/>
      <c r="O38" s="478">
        <f t="shared" si="8"/>
        <v>0</v>
      </c>
      <c r="P38" s="476">
        <v>1</v>
      </c>
      <c r="Q38" s="270"/>
      <c r="R38" s="478">
        <f t="shared" si="9"/>
        <v>0</v>
      </c>
    </row>
    <row r="39" spans="1:18" x14ac:dyDescent="0.2">
      <c r="A39" s="86">
        <f t="shared" si="0"/>
        <v>31</v>
      </c>
      <c r="B39" s="723"/>
      <c r="C39" s="727" t="s">
        <v>9</v>
      </c>
      <c r="D39" s="466">
        <f>'WA Volumes &amp; Revenues'!E38</f>
        <v>0</v>
      </c>
      <c r="E39" s="463">
        <f>'Rates in Detail'!J36</f>
        <v>0.27890000000000004</v>
      </c>
      <c r="F39" s="463">
        <f>'Rates in Detail'!L36+'Rates in Detail'!P36+'Rates in Detail'!S36+'Rates in Detail'!U36</f>
        <v>4.3E-3</v>
      </c>
      <c r="G39" s="463">
        <f t="shared" si="1"/>
        <v>0.28320000000000006</v>
      </c>
      <c r="H39" s="467">
        <f t="shared" si="2"/>
        <v>0</v>
      </c>
      <c r="I39" s="468"/>
      <c r="J39" s="364"/>
      <c r="K39" s="467"/>
      <c r="L39" s="462"/>
      <c r="M39" s="464">
        <v>1</v>
      </c>
      <c r="N39" s="465"/>
      <c r="O39" s="470">
        <f t="shared" si="8"/>
        <v>0</v>
      </c>
      <c r="P39" s="464">
        <v>1</v>
      </c>
      <c r="Q39" s="465"/>
      <c r="R39" s="470">
        <f t="shared" si="9"/>
        <v>0</v>
      </c>
    </row>
    <row r="40" spans="1:18" x14ac:dyDescent="0.2">
      <c r="A40" s="86">
        <f t="shared" si="0"/>
        <v>32</v>
      </c>
      <c r="B40" s="725" t="str">
        <f>'WA Volumes &amp; Revenues'!B39</f>
        <v>42I Firm Sales</v>
      </c>
      <c r="C40" s="726" t="s">
        <v>4</v>
      </c>
      <c r="D40" s="479">
        <f>'WA Volumes &amp; Revenues'!E39</f>
        <v>1093724.2000000002</v>
      </c>
      <c r="E40" s="473">
        <f>'Rates in Detail'!J37</f>
        <v>0.40593000000000001</v>
      </c>
      <c r="F40" s="473">
        <f>'Rates in Detail'!L37+'Rates in Detail'!P37+'Rates in Detail'!S37+'Rates in Detail'!U37</f>
        <v>3.7229999999999999E-2</v>
      </c>
      <c r="G40" s="473">
        <f t="shared" si="1"/>
        <v>0.44316</v>
      </c>
      <c r="H40" s="474">
        <f t="shared" si="2"/>
        <v>484695</v>
      </c>
      <c r="I40" s="154">
        <f>'WA Volumes &amp; Revenues'!N39</f>
        <v>1300</v>
      </c>
      <c r="J40" s="299">
        <f>'WA Volumes &amp; Revenues'!H39</f>
        <v>11.916666666666666</v>
      </c>
      <c r="K40" s="474">
        <f>ROUND((I40*J40*12)+H40+H41+H42+H43+H44+H45,0)+'Rev Req Proof Yr1'!AD45</f>
        <v>1024256.83536</v>
      </c>
      <c r="L40" s="475"/>
      <c r="M40" s="476">
        <v>1</v>
      </c>
      <c r="N40" s="480">
        <f>ROUND(+$M$12*(($K40*M40)/M$86),0)</f>
        <v>0</v>
      </c>
      <c r="O40" s="478">
        <f>IFERROR(ROUND(($N$40*(D40/SUM($D$40:$D$45)))/D40,5),0)</f>
        <v>0</v>
      </c>
      <c r="P40" s="476">
        <v>1</v>
      </c>
      <c r="Q40" s="480">
        <f>ROUND(+$P$12*(($K40*P40)/P$86),0)</f>
        <v>0</v>
      </c>
      <c r="R40" s="478">
        <f>IFERROR(ROUND(($Q$40*(D40/SUM($D$40:$D$45)))/D40,5),0)</f>
        <v>0</v>
      </c>
    </row>
    <row r="41" spans="1:18" x14ac:dyDescent="0.2">
      <c r="A41" s="86">
        <f t="shared" si="0"/>
        <v>33</v>
      </c>
      <c r="B41" s="725"/>
      <c r="C41" s="726" t="s">
        <v>5</v>
      </c>
      <c r="D41" s="479">
        <f>'WA Volumes &amp; Revenues'!E40</f>
        <v>655939.80000000005</v>
      </c>
      <c r="E41" s="473">
        <f>'Rates in Detail'!J38</f>
        <v>0.38999</v>
      </c>
      <c r="F41" s="473">
        <f>'Rates in Detail'!L38+'Rates in Detail'!P38+'Rates in Detail'!S38+'Rates in Detail'!U38</f>
        <v>3.3330000000000005E-2</v>
      </c>
      <c r="G41" s="473">
        <f t="shared" si="1"/>
        <v>0.42332000000000003</v>
      </c>
      <c r="H41" s="474">
        <f t="shared" si="2"/>
        <v>277672</v>
      </c>
      <c r="I41" s="154"/>
      <c r="J41" s="299"/>
      <c r="K41" s="474"/>
      <c r="L41" s="475"/>
      <c r="M41" s="476">
        <v>1</v>
      </c>
      <c r="N41" s="270"/>
      <c r="O41" s="478">
        <f t="shared" ref="O41:O45" si="10">IFERROR(ROUND(($N$40*(D41/SUM($D$40:$D$45)))/D41,5),0)</f>
        <v>0</v>
      </c>
      <c r="P41" s="476">
        <v>1</v>
      </c>
      <c r="Q41" s="270"/>
      <c r="R41" s="478">
        <f t="shared" ref="R41:R45" si="11">IFERROR(ROUND(($Q$40*(D41/SUM($D$40:$D$45)))/D41,5),0)</f>
        <v>0</v>
      </c>
    </row>
    <row r="42" spans="1:18" x14ac:dyDescent="0.2">
      <c r="A42" s="86">
        <f t="shared" si="0"/>
        <v>34</v>
      </c>
      <c r="B42" s="725"/>
      <c r="C42" s="726" t="s">
        <v>6</v>
      </c>
      <c r="D42" s="479">
        <f>'WA Volumes &amp; Revenues'!E41</f>
        <v>81241.3</v>
      </c>
      <c r="E42" s="473">
        <f>'Rates in Detail'!J39</f>
        <v>0.35830999999999985</v>
      </c>
      <c r="F42" s="473">
        <f>'Rates in Detail'!L39+'Rates in Detail'!P39+'Rates in Detail'!S39+'Rates in Detail'!U39</f>
        <v>2.555E-2</v>
      </c>
      <c r="G42" s="473">
        <f t="shared" si="1"/>
        <v>0.38385999999999987</v>
      </c>
      <c r="H42" s="474">
        <f t="shared" si="2"/>
        <v>31185</v>
      </c>
      <c r="I42" s="154"/>
      <c r="J42" s="299"/>
      <c r="K42" s="474"/>
      <c r="L42" s="475"/>
      <c r="M42" s="476">
        <v>1</v>
      </c>
      <c r="N42" s="270"/>
      <c r="O42" s="478">
        <f t="shared" si="10"/>
        <v>0</v>
      </c>
      <c r="P42" s="476">
        <v>1</v>
      </c>
      <c r="Q42" s="270"/>
      <c r="R42" s="478">
        <f t="shared" si="11"/>
        <v>0</v>
      </c>
    </row>
    <row r="43" spans="1:18" x14ac:dyDescent="0.2">
      <c r="A43" s="86">
        <f t="shared" si="0"/>
        <v>35</v>
      </c>
      <c r="B43" s="725"/>
      <c r="C43" s="726" t="s">
        <v>7</v>
      </c>
      <c r="D43" s="479">
        <f>'WA Volumes &amp; Revenues'!E42</f>
        <v>9320.1</v>
      </c>
      <c r="E43" s="473">
        <f>'Rates in Detail'!J40</f>
        <v>0.33743999999999996</v>
      </c>
      <c r="F43" s="473">
        <f>'Rates in Detail'!L40+'Rates in Detail'!P40+'Rates in Detail'!S40+'Rates in Detail'!U40</f>
        <v>2.0449999999999999E-2</v>
      </c>
      <c r="G43" s="473">
        <f t="shared" si="1"/>
        <v>0.35788999999999999</v>
      </c>
      <c r="H43" s="474">
        <f t="shared" si="2"/>
        <v>3336</v>
      </c>
      <c r="I43" s="154"/>
      <c r="J43" s="299"/>
      <c r="K43" s="474"/>
      <c r="L43" s="475"/>
      <c r="M43" s="476">
        <v>1</v>
      </c>
      <c r="N43" s="270"/>
      <c r="O43" s="478">
        <f t="shared" si="10"/>
        <v>0</v>
      </c>
      <c r="P43" s="476">
        <v>1</v>
      </c>
      <c r="Q43" s="270"/>
      <c r="R43" s="478">
        <f t="shared" si="11"/>
        <v>0</v>
      </c>
    </row>
    <row r="44" spans="1:18" x14ac:dyDescent="0.2">
      <c r="A44" s="86">
        <f t="shared" si="0"/>
        <v>36</v>
      </c>
      <c r="B44" s="725"/>
      <c r="C44" s="726" t="s">
        <v>8</v>
      </c>
      <c r="D44" s="479">
        <f>'WA Volumes &amp; Revenues'!E43</f>
        <v>0</v>
      </c>
      <c r="E44" s="473">
        <f>'Rates in Detail'!J41</f>
        <v>0.30965000000000004</v>
      </c>
      <c r="F44" s="473">
        <f>'Rates in Detail'!L41+'Rates in Detail'!P41+'Rates in Detail'!S41+'Rates in Detail'!U41</f>
        <v>1.363E-2</v>
      </c>
      <c r="G44" s="473">
        <f t="shared" si="1"/>
        <v>0.32328000000000001</v>
      </c>
      <c r="H44" s="474">
        <f t="shared" si="2"/>
        <v>0</v>
      </c>
      <c r="I44" s="154"/>
      <c r="J44" s="299"/>
      <c r="K44" s="474"/>
      <c r="L44" s="475"/>
      <c r="M44" s="476">
        <v>1</v>
      </c>
      <c r="N44" s="270"/>
      <c r="O44" s="478">
        <f t="shared" si="10"/>
        <v>0</v>
      </c>
      <c r="P44" s="476">
        <v>1</v>
      </c>
      <c r="Q44" s="270"/>
      <c r="R44" s="478">
        <f t="shared" si="11"/>
        <v>0</v>
      </c>
    </row>
    <row r="45" spans="1:18" x14ac:dyDescent="0.2">
      <c r="A45" s="86">
        <f t="shared" si="0"/>
        <v>37</v>
      </c>
      <c r="B45" s="723"/>
      <c r="C45" s="727" t="s">
        <v>9</v>
      </c>
      <c r="D45" s="466">
        <f>'WA Volumes &amp; Revenues'!E44</f>
        <v>0</v>
      </c>
      <c r="E45" s="463">
        <f>'Rates in Detail'!J42</f>
        <v>0.27485999999999999</v>
      </c>
      <c r="F45" s="463">
        <f>'Rates in Detail'!L42+'Rates in Detail'!P42+'Rates in Detail'!S42+'Rates in Detail'!U42</f>
        <v>5.11E-3</v>
      </c>
      <c r="G45" s="463">
        <f t="shared" si="1"/>
        <v>0.27997</v>
      </c>
      <c r="H45" s="467">
        <f t="shared" si="2"/>
        <v>0</v>
      </c>
      <c r="I45" s="468"/>
      <c r="J45" s="364"/>
      <c r="K45" s="467"/>
      <c r="L45" s="462"/>
      <c r="M45" s="464">
        <v>1</v>
      </c>
      <c r="N45" s="465"/>
      <c r="O45" s="470">
        <f t="shared" si="10"/>
        <v>0</v>
      </c>
      <c r="P45" s="464">
        <v>1</v>
      </c>
      <c r="Q45" s="465"/>
      <c r="R45" s="470">
        <f t="shared" si="11"/>
        <v>0</v>
      </c>
    </row>
    <row r="46" spans="1:18" x14ac:dyDescent="0.2">
      <c r="A46" s="86">
        <f t="shared" si="0"/>
        <v>38</v>
      </c>
      <c r="B46" s="725" t="str">
        <f>'WA Volumes &amp; Revenues'!B45</f>
        <v>42C Firm Transpt</v>
      </c>
      <c r="C46" s="726" t="s">
        <v>4</v>
      </c>
      <c r="D46" s="479">
        <f>'WA Volumes &amp; Revenues'!E45</f>
        <v>480000</v>
      </c>
      <c r="E46" s="473">
        <f>'Rates in Detail'!J43</f>
        <v>0.13851999999999998</v>
      </c>
      <c r="F46" s="473">
        <f>'Rates in Detail'!L43+'Rates in Detail'!P43+'Rates in Detail'!S43+'Rates in Detail'!U43</f>
        <v>2.3649999999999997E-2</v>
      </c>
      <c r="G46" s="473">
        <f t="shared" si="1"/>
        <v>0.16216999999999998</v>
      </c>
      <c r="H46" s="474">
        <f t="shared" si="2"/>
        <v>77842</v>
      </c>
      <c r="I46" s="154">
        <f>'WA Volumes &amp; Revenues'!N45</f>
        <v>1550</v>
      </c>
      <c r="J46" s="299">
        <f>'WA Volumes &amp; Revenues'!H45</f>
        <v>4</v>
      </c>
      <c r="K46" s="474">
        <f>ROUND((I46*J46*12)+H46+H47+H48+H49+H50+H51,0)+'Rev Req Proof Yr1'!AD52</f>
        <v>407646.79504</v>
      </c>
      <c r="L46" s="475"/>
      <c r="M46" s="476">
        <v>1</v>
      </c>
      <c r="N46" s="480">
        <f>ROUND(+$M$12*(($K46*M46)/M$86),0)</f>
        <v>0</v>
      </c>
      <c r="O46" s="478">
        <f>IFERROR(ROUND(($N$46*(D46/SUM($D$46:$D$51)))/D46,5),0)</f>
        <v>0</v>
      </c>
      <c r="P46" s="476">
        <v>1</v>
      </c>
      <c r="Q46" s="480">
        <f>ROUND(+$P$12*(($K46*P46)/P$86),0)</f>
        <v>0</v>
      </c>
      <c r="R46" s="478">
        <f>IFERROR(ROUND(($Q$46*(D46/SUM($D$46:$D$51)))/D46,5),0)</f>
        <v>0</v>
      </c>
    </row>
    <row r="47" spans="1:18" x14ac:dyDescent="0.2">
      <c r="A47" s="86">
        <f t="shared" si="0"/>
        <v>39</v>
      </c>
      <c r="B47" s="725"/>
      <c r="C47" s="726" t="s">
        <v>5</v>
      </c>
      <c r="D47" s="479">
        <f>'WA Volumes &amp; Revenues'!E46</f>
        <v>807846</v>
      </c>
      <c r="E47" s="473">
        <f>'Rates in Detail'!J44</f>
        <v>0.12399999999999999</v>
      </c>
      <c r="F47" s="473">
        <f>'Rates in Detail'!L44+'Rates in Detail'!P44+'Rates in Detail'!S44+'Rates in Detail'!U44</f>
        <v>2.1170000000000001E-2</v>
      </c>
      <c r="G47" s="473">
        <f t="shared" si="1"/>
        <v>0.14516999999999999</v>
      </c>
      <c r="H47" s="474">
        <f t="shared" si="2"/>
        <v>117275</v>
      </c>
      <c r="I47" s="154"/>
      <c r="J47" s="299"/>
      <c r="K47" s="474"/>
      <c r="L47" s="475"/>
      <c r="M47" s="476">
        <v>1</v>
      </c>
      <c r="N47" s="270"/>
      <c r="O47" s="478">
        <f t="shared" ref="O47:O51" si="12">IFERROR(ROUND(($N$46*(D47/SUM($D$46:$D$51)))/D47,5),0)</f>
        <v>0</v>
      </c>
      <c r="P47" s="476">
        <v>1</v>
      </c>
      <c r="Q47" s="270"/>
      <c r="R47" s="478">
        <f t="shared" ref="R47:R51" si="13">IFERROR(ROUND(($Q$46*(D47/SUM($D$46:$D$51)))/D47,5),0)</f>
        <v>0</v>
      </c>
    </row>
    <row r="48" spans="1:18" x14ac:dyDescent="0.2">
      <c r="A48" s="86">
        <f t="shared" si="0"/>
        <v>40</v>
      </c>
      <c r="B48" s="725"/>
      <c r="C48" s="726" t="s">
        <v>6</v>
      </c>
      <c r="D48" s="479">
        <f>'WA Volumes &amp; Revenues'!E47</f>
        <v>583779</v>
      </c>
      <c r="E48" s="473">
        <f>'Rates in Detail'!J45</f>
        <v>9.5079999999999998E-2</v>
      </c>
      <c r="F48" s="473">
        <f>'Rates in Detail'!L45+'Rates in Detail'!P45+'Rates in Detail'!S45+'Rates in Detail'!U45</f>
        <v>1.6240000000000001E-2</v>
      </c>
      <c r="G48" s="473">
        <f t="shared" si="1"/>
        <v>0.11132</v>
      </c>
      <c r="H48" s="474">
        <f t="shared" si="2"/>
        <v>64986</v>
      </c>
      <c r="I48" s="154"/>
      <c r="J48" s="299"/>
      <c r="K48" s="474"/>
      <c r="L48" s="475"/>
      <c r="M48" s="476">
        <v>1</v>
      </c>
      <c r="N48" s="270"/>
      <c r="O48" s="478">
        <f t="shared" si="12"/>
        <v>0</v>
      </c>
      <c r="P48" s="476">
        <v>1</v>
      </c>
      <c r="Q48" s="270"/>
      <c r="R48" s="478">
        <f t="shared" si="13"/>
        <v>0</v>
      </c>
    </row>
    <row r="49" spans="1:18" x14ac:dyDescent="0.2">
      <c r="A49" s="86">
        <f t="shared" si="0"/>
        <v>41</v>
      </c>
      <c r="B49" s="725"/>
      <c r="C49" s="726" t="s">
        <v>7</v>
      </c>
      <c r="D49" s="479">
        <f>'WA Volumes &amp; Revenues'!E48</f>
        <v>598933</v>
      </c>
      <c r="E49" s="473">
        <f>'Rates in Detail'!J46</f>
        <v>7.6070000000000013E-2</v>
      </c>
      <c r="F49" s="473">
        <f>'Rates in Detail'!L46+'Rates in Detail'!P46+'Rates in Detail'!S46+'Rates in Detail'!U46</f>
        <v>1.299E-2</v>
      </c>
      <c r="G49" s="473">
        <f t="shared" si="1"/>
        <v>8.9060000000000014E-2</v>
      </c>
      <c r="H49" s="474">
        <f t="shared" si="2"/>
        <v>53341</v>
      </c>
      <c r="I49" s="154"/>
      <c r="J49" s="299"/>
      <c r="K49" s="474"/>
      <c r="L49" s="475"/>
      <c r="M49" s="476">
        <v>1</v>
      </c>
      <c r="N49" s="270"/>
      <c r="O49" s="478">
        <f t="shared" si="12"/>
        <v>0</v>
      </c>
      <c r="P49" s="476">
        <v>1</v>
      </c>
      <c r="Q49" s="270"/>
      <c r="R49" s="478">
        <f t="shared" si="13"/>
        <v>0</v>
      </c>
    </row>
    <row r="50" spans="1:18" x14ac:dyDescent="0.2">
      <c r="A50" s="86">
        <f t="shared" si="0"/>
        <v>42</v>
      </c>
      <c r="B50" s="725"/>
      <c r="C50" s="726" t="s">
        <v>8</v>
      </c>
      <c r="D50" s="479">
        <f>'WA Volumes &amp; Revenues'!E49</f>
        <v>0</v>
      </c>
      <c r="E50" s="473">
        <f>'Rates in Detail'!J47</f>
        <v>5.0710000000000005E-2</v>
      </c>
      <c r="F50" s="473">
        <f>'Rates in Detail'!L47+'Rates in Detail'!P47+'Rates in Detail'!S47+'Rates in Detail'!U47</f>
        <v>8.6599999999999993E-3</v>
      </c>
      <c r="G50" s="473">
        <f t="shared" si="1"/>
        <v>5.9370000000000006E-2</v>
      </c>
      <c r="H50" s="474">
        <f t="shared" si="2"/>
        <v>0</v>
      </c>
      <c r="I50" s="154"/>
      <c r="J50" s="299"/>
      <c r="K50" s="474"/>
      <c r="L50" s="475"/>
      <c r="M50" s="476">
        <v>1</v>
      </c>
      <c r="N50" s="270"/>
      <c r="O50" s="478">
        <f t="shared" si="12"/>
        <v>0</v>
      </c>
      <c r="P50" s="476">
        <v>1</v>
      </c>
      <c r="Q50" s="270"/>
      <c r="R50" s="478">
        <f t="shared" si="13"/>
        <v>0</v>
      </c>
    </row>
    <row r="51" spans="1:18" x14ac:dyDescent="0.2">
      <c r="A51" s="86">
        <f t="shared" si="0"/>
        <v>43</v>
      </c>
      <c r="B51" s="723"/>
      <c r="C51" s="727" t="s">
        <v>9</v>
      </c>
      <c r="D51" s="466">
        <f>'WA Volumes &amp; Revenues'!E50</f>
        <v>0</v>
      </c>
      <c r="E51" s="463">
        <f>'Rates in Detail'!J48</f>
        <v>1.9009999999999999E-2</v>
      </c>
      <c r="F51" s="463">
        <f>'Rates in Detail'!L48+'Rates in Detail'!P48+'Rates in Detail'!S48+'Rates in Detail'!U48</f>
        <v>3.2499999999999999E-3</v>
      </c>
      <c r="G51" s="463">
        <f t="shared" si="1"/>
        <v>2.2259999999999999E-2</v>
      </c>
      <c r="H51" s="467">
        <f t="shared" si="2"/>
        <v>0</v>
      </c>
      <c r="I51" s="468"/>
      <c r="J51" s="364"/>
      <c r="K51" s="467"/>
      <c r="L51" s="462"/>
      <c r="M51" s="464">
        <v>1</v>
      </c>
      <c r="N51" s="465"/>
      <c r="O51" s="470">
        <f t="shared" si="12"/>
        <v>0</v>
      </c>
      <c r="P51" s="464">
        <v>1</v>
      </c>
      <c r="Q51" s="465"/>
      <c r="R51" s="470">
        <f t="shared" si="13"/>
        <v>0</v>
      </c>
    </row>
    <row r="52" spans="1:18" x14ac:dyDescent="0.2">
      <c r="A52" s="86">
        <f t="shared" si="0"/>
        <v>44</v>
      </c>
      <c r="B52" s="725" t="str">
        <f>'WA Volumes &amp; Revenues'!B51</f>
        <v>42I Firm Transpt</v>
      </c>
      <c r="C52" s="726" t="s">
        <v>4</v>
      </c>
      <c r="D52" s="479">
        <f>'WA Volumes &amp; Revenues'!E51</f>
        <v>924395</v>
      </c>
      <c r="E52" s="473">
        <f>'Rates in Detail'!J49</f>
        <v>0.14000000000000001</v>
      </c>
      <c r="F52" s="473">
        <f>'Rates in Detail'!L49+'Rates in Detail'!P49+'Rates in Detail'!S49+'Rates in Detail'!U49</f>
        <v>2.3969999999999998E-2</v>
      </c>
      <c r="G52" s="473">
        <f t="shared" si="1"/>
        <v>0.16397</v>
      </c>
      <c r="H52" s="474">
        <f t="shared" si="2"/>
        <v>151573</v>
      </c>
      <c r="I52" s="154">
        <f>'WA Volumes &amp; Revenues'!N51</f>
        <v>1550</v>
      </c>
      <c r="J52" s="299">
        <f>'WA Volumes &amp; Revenues'!H51</f>
        <v>8.9166666666666661</v>
      </c>
      <c r="K52" s="474">
        <f>ROUND((I52*J52*12)+H52+H53+H54+H55+H56+H57,0)+'Rev Req Proof Yr1'!AD59</f>
        <v>930544.4656</v>
      </c>
      <c r="L52" s="475"/>
      <c r="M52" s="476">
        <v>1</v>
      </c>
      <c r="N52" s="480">
        <f>ROUND(+$M$12*(($K52*M52)/M$86),0)</f>
        <v>0</v>
      </c>
      <c r="O52" s="478">
        <f>IFERROR(ROUND(($N$52*(D52/SUM($D$52:$D$57)))/D52,5),0)</f>
        <v>0</v>
      </c>
      <c r="P52" s="476">
        <v>1</v>
      </c>
      <c r="Q52" s="480">
        <f>ROUND(+$P$12*(($K52*P52)/P$86),0)</f>
        <v>0</v>
      </c>
      <c r="R52" s="478">
        <f>IFERROR(ROUND(($Q$52*(D52/SUM($D$52:$D$57)))/D52,5),0)</f>
        <v>0</v>
      </c>
    </row>
    <row r="53" spans="1:18" x14ac:dyDescent="0.2">
      <c r="A53" s="86">
        <f t="shared" si="0"/>
        <v>45</v>
      </c>
      <c r="B53" s="725"/>
      <c r="C53" s="726" t="s">
        <v>5</v>
      </c>
      <c r="D53" s="479">
        <f>'WA Volumes &amp; Revenues'!E52</f>
        <v>1036796</v>
      </c>
      <c r="E53" s="473">
        <f>'Rates in Detail'!J50</f>
        <v>0.12530999999999998</v>
      </c>
      <c r="F53" s="473">
        <f>'Rates in Detail'!L50+'Rates in Detail'!P50+'Rates in Detail'!S50+'Rates in Detail'!U50</f>
        <v>2.145E-2</v>
      </c>
      <c r="G53" s="473">
        <f t="shared" si="1"/>
        <v>0.14675999999999997</v>
      </c>
      <c r="H53" s="474">
        <f t="shared" si="2"/>
        <v>152160</v>
      </c>
      <c r="I53" s="154"/>
      <c r="J53" s="299"/>
      <c r="K53" s="474"/>
      <c r="L53" s="475"/>
      <c r="M53" s="476">
        <v>1</v>
      </c>
      <c r="N53" s="270"/>
      <c r="O53" s="478">
        <f t="shared" ref="O53:O57" si="14">IFERROR(ROUND(($N$52*(D53/SUM($D$52:$D$57)))/D53,5),0)</f>
        <v>0</v>
      </c>
      <c r="P53" s="476">
        <v>1</v>
      </c>
      <c r="Q53" s="270"/>
      <c r="R53" s="478">
        <f t="shared" ref="R53:R57" si="15">IFERROR(ROUND(($Q$52*(D53/SUM($D$52:$D$57)))/D53,5),0)</f>
        <v>0</v>
      </c>
    </row>
    <row r="54" spans="1:18" x14ac:dyDescent="0.2">
      <c r="A54" s="86">
        <f t="shared" si="0"/>
        <v>46</v>
      </c>
      <c r="B54" s="725"/>
      <c r="C54" s="726" t="s">
        <v>6</v>
      </c>
      <c r="D54" s="479">
        <f>'WA Volumes &amp; Revenues'!E53</f>
        <v>937215</v>
      </c>
      <c r="E54" s="473">
        <f>'Rates in Detail'!J51</f>
        <v>9.6100000000000005E-2</v>
      </c>
      <c r="F54" s="473">
        <f>'Rates in Detail'!L51+'Rates in Detail'!P51+'Rates in Detail'!S51+'Rates in Detail'!U51</f>
        <v>1.6450000000000003E-2</v>
      </c>
      <c r="G54" s="473">
        <f t="shared" si="1"/>
        <v>0.11255000000000001</v>
      </c>
      <c r="H54" s="474">
        <f t="shared" si="2"/>
        <v>105484</v>
      </c>
      <c r="I54" s="154"/>
      <c r="J54" s="299"/>
      <c r="K54" s="474"/>
      <c r="L54" s="475"/>
      <c r="M54" s="476">
        <v>1</v>
      </c>
      <c r="N54" s="270"/>
      <c r="O54" s="478">
        <f t="shared" si="14"/>
        <v>0</v>
      </c>
      <c r="P54" s="476">
        <v>1</v>
      </c>
      <c r="Q54" s="270"/>
      <c r="R54" s="478">
        <f t="shared" si="15"/>
        <v>0</v>
      </c>
    </row>
    <row r="55" spans="1:18" x14ac:dyDescent="0.2">
      <c r="A55" s="86">
        <f t="shared" si="0"/>
        <v>47</v>
      </c>
      <c r="B55" s="725"/>
      <c r="C55" s="726" t="s">
        <v>7</v>
      </c>
      <c r="D55" s="479">
        <f>'WA Volumes &amp; Revenues'!E54</f>
        <v>2390318</v>
      </c>
      <c r="E55" s="473">
        <f>'Rates in Detail'!J52</f>
        <v>7.6880000000000018E-2</v>
      </c>
      <c r="F55" s="473">
        <f>'Rates in Detail'!L52+'Rates in Detail'!P52+'Rates in Detail'!S52+'Rates in Detail'!U52</f>
        <v>1.3169999999999999E-2</v>
      </c>
      <c r="G55" s="473">
        <f t="shared" si="1"/>
        <v>9.0050000000000019E-2</v>
      </c>
      <c r="H55" s="474">
        <f t="shared" si="2"/>
        <v>215248</v>
      </c>
      <c r="I55" s="154"/>
      <c r="J55" s="299"/>
      <c r="K55" s="474"/>
      <c r="L55" s="475"/>
      <c r="M55" s="476">
        <v>1</v>
      </c>
      <c r="N55" s="270"/>
      <c r="O55" s="478">
        <f t="shared" si="14"/>
        <v>0</v>
      </c>
      <c r="P55" s="476">
        <v>1</v>
      </c>
      <c r="Q55" s="270"/>
      <c r="R55" s="478">
        <f t="shared" si="15"/>
        <v>0</v>
      </c>
    </row>
    <row r="56" spans="1:18" x14ac:dyDescent="0.2">
      <c r="A56" s="86">
        <f t="shared" si="0"/>
        <v>48</v>
      </c>
      <c r="B56" s="725"/>
      <c r="C56" s="726" t="s">
        <v>8</v>
      </c>
      <c r="D56" s="479">
        <f>'WA Volumes &amp; Revenues'!E55</f>
        <v>1492257</v>
      </c>
      <c r="E56" s="473">
        <f>'Rates in Detail'!J53</f>
        <v>5.1250000000000004E-2</v>
      </c>
      <c r="F56" s="473">
        <f>'Rates in Detail'!L53+'Rates in Detail'!P53+'Rates in Detail'!S53+'Rates in Detail'!U53</f>
        <v>8.77E-3</v>
      </c>
      <c r="G56" s="473">
        <f t="shared" si="1"/>
        <v>6.0020000000000004E-2</v>
      </c>
      <c r="H56" s="474">
        <f t="shared" si="2"/>
        <v>89565</v>
      </c>
      <c r="I56" s="154"/>
      <c r="J56" s="299"/>
      <c r="K56" s="474"/>
      <c r="L56" s="475"/>
      <c r="M56" s="476">
        <v>1</v>
      </c>
      <c r="N56" s="270"/>
      <c r="O56" s="478">
        <f t="shared" si="14"/>
        <v>0</v>
      </c>
      <c r="P56" s="476">
        <v>1</v>
      </c>
      <c r="Q56" s="270"/>
      <c r="R56" s="478">
        <f t="shared" si="15"/>
        <v>0</v>
      </c>
    </row>
    <row r="57" spans="1:18" x14ac:dyDescent="0.2">
      <c r="A57" s="86">
        <f t="shared" si="0"/>
        <v>49</v>
      </c>
      <c r="B57" s="723"/>
      <c r="C57" s="727" t="s">
        <v>9</v>
      </c>
      <c r="D57" s="466">
        <f>'WA Volumes &amp; Revenues'!E56</f>
        <v>0</v>
      </c>
      <c r="E57" s="463">
        <f>'Rates in Detail'!J54</f>
        <v>1.9220000000000001E-2</v>
      </c>
      <c r="F57" s="463">
        <f>'Rates in Detail'!L54+'Rates in Detail'!P54+'Rates in Detail'!S54+'Rates in Detail'!U54</f>
        <v>3.29E-3</v>
      </c>
      <c r="G57" s="463">
        <f t="shared" si="1"/>
        <v>2.2510000000000002E-2</v>
      </c>
      <c r="H57" s="467">
        <f t="shared" si="2"/>
        <v>0</v>
      </c>
      <c r="I57" s="468"/>
      <c r="J57" s="364"/>
      <c r="K57" s="467"/>
      <c r="L57" s="462"/>
      <c r="M57" s="464">
        <v>1</v>
      </c>
      <c r="N57" s="465"/>
      <c r="O57" s="470">
        <f t="shared" si="14"/>
        <v>0</v>
      </c>
      <c r="P57" s="464">
        <v>1</v>
      </c>
      <c r="Q57" s="465"/>
      <c r="R57" s="470">
        <f t="shared" si="15"/>
        <v>0</v>
      </c>
    </row>
    <row r="58" spans="1:18" x14ac:dyDescent="0.2">
      <c r="A58" s="86">
        <f t="shared" si="0"/>
        <v>50</v>
      </c>
      <c r="B58" s="725" t="str">
        <f>'WA Volumes &amp; Revenues'!B57</f>
        <v>42C Interr Sales</v>
      </c>
      <c r="C58" s="726" t="s">
        <v>4</v>
      </c>
      <c r="D58" s="479">
        <f>'WA Volumes &amp; Revenues'!E57</f>
        <v>240000</v>
      </c>
      <c r="E58" s="473">
        <f>'Rates in Detail'!J55</f>
        <v>0.42349000000000003</v>
      </c>
      <c r="F58" s="473">
        <f>'Rates in Detail'!L55+'Rates in Detail'!P55+'Rates in Detail'!S55+'Rates in Detail'!U55</f>
        <v>1.856E-2</v>
      </c>
      <c r="G58" s="473">
        <f t="shared" si="1"/>
        <v>0.44205000000000005</v>
      </c>
      <c r="H58" s="474">
        <f t="shared" si="2"/>
        <v>106092</v>
      </c>
      <c r="I58" s="154">
        <f>'WA Volumes &amp; Revenues'!N57</f>
        <v>1300</v>
      </c>
      <c r="J58" s="299">
        <f>'WA Volumes &amp; Revenues'!H57</f>
        <v>2</v>
      </c>
      <c r="K58" s="474">
        <f>ROUND((I58*J58*12)+H58+H59+H60+H61+H62+H63,0)</f>
        <v>426065</v>
      </c>
      <c r="L58" s="475"/>
      <c r="M58" s="476">
        <v>1</v>
      </c>
      <c r="N58" s="480">
        <f>ROUND(+$M$12*(($K58*M58)/M$86),0)</f>
        <v>0</v>
      </c>
      <c r="O58" s="478">
        <f>IFERROR(ROUND(($N$58*(D58/SUM($D$58:$D$63)))/D58,5),0)</f>
        <v>0</v>
      </c>
      <c r="P58" s="476">
        <v>1</v>
      </c>
      <c r="Q58" s="480">
        <f>ROUND(+$P$12*(($K58*P58)/P$86),0)</f>
        <v>0</v>
      </c>
      <c r="R58" s="478">
        <f>IFERROR(ROUND(($Q$58*(D58/SUM($D$58:$D$63)))/D58,5),0)</f>
        <v>0</v>
      </c>
    </row>
    <row r="59" spans="1:18" x14ac:dyDescent="0.2">
      <c r="A59" s="86">
        <f t="shared" si="0"/>
        <v>51</v>
      </c>
      <c r="B59" s="725"/>
      <c r="C59" s="726" t="s">
        <v>5</v>
      </c>
      <c r="D59" s="479">
        <f>'WA Volumes &amp; Revenues'!E58</f>
        <v>467511</v>
      </c>
      <c r="E59" s="473">
        <f>'Rates in Detail'!J56</f>
        <v>0.40679999999999994</v>
      </c>
      <c r="F59" s="473">
        <f>'Rates in Detail'!L56+'Rates in Detail'!P56+'Rates in Detail'!S56+'Rates in Detail'!U56</f>
        <v>1.6620000000000003E-2</v>
      </c>
      <c r="G59" s="473">
        <f t="shared" si="1"/>
        <v>0.42341999999999996</v>
      </c>
      <c r="H59" s="474">
        <f t="shared" si="2"/>
        <v>197954</v>
      </c>
      <c r="I59" s="154"/>
      <c r="J59" s="299"/>
      <c r="K59" s="474"/>
      <c r="L59" s="475"/>
      <c r="M59" s="476">
        <v>1</v>
      </c>
      <c r="N59" s="270"/>
      <c r="O59" s="478">
        <f>IFERROR(ROUND(($N$58*(D59/SUM($D$58:$D$63)))/D59,5),0)</f>
        <v>0</v>
      </c>
      <c r="P59" s="476">
        <v>1</v>
      </c>
      <c r="Q59" s="270"/>
      <c r="R59" s="478">
        <f t="shared" ref="R59:R62" si="16">IFERROR(ROUND(($Q$58*(D59/SUM($D$58:$D$63)))/D59,5),0)</f>
        <v>0</v>
      </c>
    </row>
    <row r="60" spans="1:18" x14ac:dyDescent="0.2">
      <c r="A60" s="86">
        <f t="shared" si="0"/>
        <v>52</v>
      </c>
      <c r="B60" s="725"/>
      <c r="C60" s="726" t="s">
        <v>6</v>
      </c>
      <c r="D60" s="479">
        <f>'WA Volumes &amp; Revenues'!E59</f>
        <v>218004</v>
      </c>
      <c r="E60" s="473">
        <f>'Rates in Detail'!J57</f>
        <v>0.37361</v>
      </c>
      <c r="F60" s="473">
        <f>'Rates in Detail'!L57+'Rates in Detail'!P57+'Rates in Detail'!S57+'Rates in Detail'!U57</f>
        <v>1.2749999999999997E-2</v>
      </c>
      <c r="G60" s="473">
        <f t="shared" si="1"/>
        <v>0.38635999999999998</v>
      </c>
      <c r="H60" s="474">
        <f t="shared" si="2"/>
        <v>84228</v>
      </c>
      <c r="I60" s="154"/>
      <c r="J60" s="299"/>
      <c r="K60" s="474"/>
      <c r="L60" s="475"/>
      <c r="M60" s="476">
        <v>1</v>
      </c>
      <c r="N60" s="270"/>
      <c r="O60" s="478">
        <f t="shared" ref="O60:O63" si="17">IFERROR(ROUND(($N$58*(D60/SUM($D$58:$D$63)))/D60,5),0)</f>
        <v>0</v>
      </c>
      <c r="P60" s="476">
        <v>1</v>
      </c>
      <c r="Q60" s="270"/>
      <c r="R60" s="478">
        <f t="shared" si="16"/>
        <v>0</v>
      </c>
    </row>
    <row r="61" spans="1:18" x14ac:dyDescent="0.2">
      <c r="A61" s="86">
        <f t="shared" si="0"/>
        <v>53</v>
      </c>
      <c r="B61" s="725"/>
      <c r="C61" s="726" t="s">
        <v>7</v>
      </c>
      <c r="D61" s="479">
        <f>'WA Volumes &amp; Revenues'!E60</f>
        <v>18208</v>
      </c>
      <c r="E61" s="473">
        <f>'Rates in Detail'!J58</f>
        <v>0.35180000000000006</v>
      </c>
      <c r="F61" s="473">
        <f>'Rates in Detail'!L58+'Rates in Detail'!P58+'Rates in Detail'!S58+'Rates in Detail'!U58</f>
        <v>1.0189999999999999E-2</v>
      </c>
      <c r="G61" s="473">
        <f t="shared" si="1"/>
        <v>0.36199000000000003</v>
      </c>
      <c r="H61" s="474">
        <f t="shared" si="2"/>
        <v>6591</v>
      </c>
      <c r="I61" s="154"/>
      <c r="J61" s="299"/>
      <c r="K61" s="474"/>
      <c r="L61" s="475"/>
      <c r="M61" s="476">
        <v>1</v>
      </c>
      <c r="N61" s="270"/>
      <c r="O61" s="478">
        <f t="shared" si="17"/>
        <v>0</v>
      </c>
      <c r="P61" s="476">
        <v>1</v>
      </c>
      <c r="Q61" s="270"/>
      <c r="R61" s="478">
        <f t="shared" si="16"/>
        <v>0</v>
      </c>
    </row>
    <row r="62" spans="1:18" x14ac:dyDescent="0.2">
      <c r="A62" s="86">
        <f t="shared" si="0"/>
        <v>54</v>
      </c>
      <c r="B62" s="725"/>
      <c r="C62" s="726" t="s">
        <v>8</v>
      </c>
      <c r="D62" s="479">
        <f>'WA Volumes &amp; Revenues'!E61</f>
        <v>0</v>
      </c>
      <c r="E62" s="473">
        <f>'Rates in Detail'!J59</f>
        <v>0.32268999999999998</v>
      </c>
      <c r="F62" s="473">
        <f>'Rates in Detail'!L59+'Rates in Detail'!P59+'Rates in Detail'!S59+'Rates in Detail'!U59</f>
        <v>6.8000000000000005E-3</v>
      </c>
      <c r="G62" s="473">
        <f t="shared" si="1"/>
        <v>0.32948999999999995</v>
      </c>
      <c r="H62" s="474">
        <f t="shared" si="2"/>
        <v>0</v>
      </c>
      <c r="I62" s="154"/>
      <c r="J62" s="299"/>
      <c r="K62" s="474"/>
      <c r="L62" s="475"/>
      <c r="M62" s="476">
        <v>1</v>
      </c>
      <c r="N62" s="270"/>
      <c r="O62" s="478">
        <f t="shared" si="17"/>
        <v>0</v>
      </c>
      <c r="P62" s="476">
        <v>1</v>
      </c>
      <c r="Q62" s="270"/>
      <c r="R62" s="478">
        <f t="shared" si="16"/>
        <v>0</v>
      </c>
    </row>
    <row r="63" spans="1:18" x14ac:dyDescent="0.2">
      <c r="A63" s="86">
        <f t="shared" si="0"/>
        <v>55</v>
      </c>
      <c r="B63" s="723"/>
      <c r="C63" s="727" t="s">
        <v>9</v>
      </c>
      <c r="D63" s="466">
        <f>'WA Volumes &amp; Revenues'!E62</f>
        <v>0</v>
      </c>
      <c r="E63" s="463">
        <f>'Rates in Detail'!J60</f>
        <v>0.28632000000000002</v>
      </c>
      <c r="F63" s="463">
        <f>'Rates in Detail'!L60+'Rates in Detail'!P60+'Rates in Detail'!S60+'Rates in Detail'!U60</f>
        <v>2.5500000000000002E-3</v>
      </c>
      <c r="G63" s="463">
        <f t="shared" si="1"/>
        <v>0.28887000000000002</v>
      </c>
      <c r="H63" s="467">
        <f t="shared" si="2"/>
        <v>0</v>
      </c>
      <c r="I63" s="468"/>
      <c r="J63" s="364"/>
      <c r="K63" s="467"/>
      <c r="L63" s="462"/>
      <c r="M63" s="464">
        <v>1</v>
      </c>
      <c r="N63" s="465"/>
      <c r="O63" s="470">
        <f t="shared" si="17"/>
        <v>0</v>
      </c>
      <c r="P63" s="464">
        <v>1</v>
      </c>
      <c r="Q63" s="465"/>
      <c r="R63" s="470">
        <f>IFERROR(ROUND(($Q$58*(D63/SUM($D$58:$D$63)))/D63,5),0)</f>
        <v>0</v>
      </c>
    </row>
    <row r="64" spans="1:18" x14ac:dyDescent="0.2">
      <c r="A64" s="86">
        <f t="shared" si="0"/>
        <v>56</v>
      </c>
      <c r="B64" s="725" t="str">
        <f>'WA Volumes &amp; Revenues'!B63</f>
        <v>42I Interr Sales</v>
      </c>
      <c r="C64" s="726" t="s">
        <v>4</v>
      </c>
      <c r="D64" s="479">
        <f>'WA Volumes &amp; Revenues'!E63</f>
        <v>156740</v>
      </c>
      <c r="E64" s="473">
        <f>'Rates in Detail'!J61</f>
        <v>0.4161399999999999</v>
      </c>
      <c r="F64" s="473">
        <f>'Rates in Detail'!L61+'Rates in Detail'!P61+'Rates in Detail'!S61+'Rates in Detail'!U61</f>
        <v>3.4299999999999997E-2</v>
      </c>
      <c r="G64" s="473">
        <f t="shared" si="1"/>
        <v>0.4504399999999999</v>
      </c>
      <c r="H64" s="474">
        <f t="shared" si="2"/>
        <v>70602</v>
      </c>
      <c r="I64" s="154">
        <f>'WA Volumes &amp; Revenues'!N63</f>
        <v>1300</v>
      </c>
      <c r="J64" s="299">
        <f>'WA Volumes &amp; Revenues'!H63</f>
        <v>1.9166666666666701</v>
      </c>
      <c r="K64" s="474">
        <f>ROUND((I64*J64*12)+H64+H65+H66+H67+H68+H69,0)</f>
        <v>169319</v>
      </c>
      <c r="L64" s="475"/>
      <c r="M64" s="476">
        <v>1</v>
      </c>
      <c r="N64" s="480">
        <f>ROUND(+$M$12*(($K64*M64)/M$86),0)</f>
        <v>0</v>
      </c>
      <c r="O64" s="478">
        <f>IFERROR(ROUND(($N$64*(D64/SUM($D$64:$D$69)))/D64,5),0)</f>
        <v>0</v>
      </c>
      <c r="P64" s="476">
        <v>1</v>
      </c>
      <c r="Q64" s="480">
        <f>ROUND(+$P$12*(($K64*P64)/P$86),0)</f>
        <v>0</v>
      </c>
      <c r="R64" s="478">
        <f>IFERROR(ROUND(($Q$64*(D64/SUM($D$64:$D$69)))/D64,5),0)</f>
        <v>0</v>
      </c>
    </row>
    <row r="65" spans="1:18" x14ac:dyDescent="0.2">
      <c r="A65" s="86">
        <f t="shared" si="0"/>
        <v>57</v>
      </c>
      <c r="B65" s="725"/>
      <c r="C65" s="726" t="s">
        <v>5</v>
      </c>
      <c r="D65" s="479">
        <f>'WA Volumes &amp; Revenues'!E64</f>
        <v>159690</v>
      </c>
      <c r="E65" s="473">
        <f>'Rates in Detail'!J62</f>
        <v>0.40022999999999992</v>
      </c>
      <c r="F65" s="473">
        <f>'Rates in Detail'!L62+'Rates in Detail'!P62+'Rates in Detail'!S62+'Rates in Detail'!U62</f>
        <v>3.0710000000000001E-2</v>
      </c>
      <c r="G65" s="473">
        <f t="shared" si="1"/>
        <v>0.43093999999999993</v>
      </c>
      <c r="H65" s="474">
        <f t="shared" si="2"/>
        <v>68817</v>
      </c>
      <c r="I65" s="154"/>
      <c r="J65" s="299"/>
      <c r="K65" s="474"/>
      <c r="L65" s="475"/>
      <c r="M65" s="476">
        <v>1</v>
      </c>
      <c r="N65" s="270"/>
      <c r="O65" s="478">
        <f t="shared" ref="O65:O69" si="18">IFERROR(ROUND(($N$64*(D65/SUM($D$64:$D$69)))/D65,5),0)</f>
        <v>0</v>
      </c>
      <c r="P65" s="476">
        <v>1</v>
      </c>
      <c r="Q65" s="270"/>
      <c r="R65" s="478">
        <f t="shared" ref="R65:R69" si="19">IFERROR(ROUND(($Q$64*(D65/SUM($D$64:$D$69)))/D65,5),0)</f>
        <v>0</v>
      </c>
    </row>
    <row r="66" spans="1:18" x14ac:dyDescent="0.2">
      <c r="A66" s="86">
        <f t="shared" si="0"/>
        <v>58</v>
      </c>
      <c r="B66" s="725"/>
      <c r="C66" s="726" t="s">
        <v>6</v>
      </c>
      <c r="D66" s="479">
        <f>'WA Volumes &amp; Revenues'!E65</f>
        <v>0</v>
      </c>
      <c r="E66" s="473">
        <f>'Rates in Detail'!J63</f>
        <v>0.36857999999999996</v>
      </c>
      <c r="F66" s="473">
        <f>'Rates in Detail'!L63+'Rates in Detail'!P63+'Rates in Detail'!S63+'Rates in Detail'!U63</f>
        <v>2.3550000000000001E-2</v>
      </c>
      <c r="G66" s="473">
        <f t="shared" si="1"/>
        <v>0.39212999999999998</v>
      </c>
      <c r="H66" s="474">
        <f t="shared" si="2"/>
        <v>0</v>
      </c>
      <c r="I66" s="154"/>
      <c r="J66" s="299"/>
      <c r="K66" s="474"/>
      <c r="L66" s="475"/>
      <c r="M66" s="476">
        <v>1</v>
      </c>
      <c r="N66" s="270"/>
      <c r="O66" s="478">
        <f t="shared" si="18"/>
        <v>0</v>
      </c>
      <c r="P66" s="476">
        <v>1</v>
      </c>
      <c r="Q66" s="270"/>
      <c r="R66" s="478">
        <f t="shared" si="19"/>
        <v>0</v>
      </c>
    </row>
    <row r="67" spans="1:18" x14ac:dyDescent="0.2">
      <c r="A67" s="86">
        <f t="shared" si="0"/>
        <v>59</v>
      </c>
      <c r="B67" s="725"/>
      <c r="C67" s="726" t="s">
        <v>7</v>
      </c>
      <c r="D67" s="479">
        <f>'WA Volumes &amp; Revenues'!E66</f>
        <v>0</v>
      </c>
      <c r="E67" s="473">
        <f>'Rates in Detail'!J64</f>
        <v>0.34777000000000002</v>
      </c>
      <c r="F67" s="473">
        <f>'Rates in Detail'!L64+'Rates in Detail'!P64+'Rates in Detail'!S64+'Rates in Detail'!U64</f>
        <v>1.8840000000000003E-2</v>
      </c>
      <c r="G67" s="473">
        <f t="shared" si="1"/>
        <v>0.36661000000000005</v>
      </c>
      <c r="H67" s="474">
        <f t="shared" si="2"/>
        <v>0</v>
      </c>
      <c r="I67" s="154"/>
      <c r="J67" s="299"/>
      <c r="K67" s="474"/>
      <c r="L67" s="475"/>
      <c r="M67" s="476">
        <v>1</v>
      </c>
      <c r="N67" s="270"/>
      <c r="O67" s="478">
        <f t="shared" si="18"/>
        <v>0</v>
      </c>
      <c r="P67" s="476">
        <v>1</v>
      </c>
      <c r="Q67" s="270"/>
      <c r="R67" s="478">
        <f t="shared" si="19"/>
        <v>0</v>
      </c>
    </row>
    <row r="68" spans="1:18" x14ac:dyDescent="0.2">
      <c r="A68" s="86">
        <f t="shared" si="0"/>
        <v>60</v>
      </c>
      <c r="B68" s="725"/>
      <c r="C68" s="726" t="s">
        <v>8</v>
      </c>
      <c r="D68" s="479">
        <f>'WA Volumes &amp; Revenues'!E67</f>
        <v>0</v>
      </c>
      <c r="E68" s="473">
        <f>'Rates in Detail'!J65</f>
        <v>0.32002000000000003</v>
      </c>
      <c r="F68" s="473">
        <f>'Rates in Detail'!L65+'Rates in Detail'!P65+'Rates in Detail'!S65+'Rates in Detail'!U65</f>
        <v>1.256E-2</v>
      </c>
      <c r="G68" s="473">
        <f t="shared" si="1"/>
        <v>0.33258000000000004</v>
      </c>
      <c r="H68" s="474">
        <f t="shared" si="2"/>
        <v>0</v>
      </c>
      <c r="I68" s="154"/>
      <c r="J68" s="299"/>
      <c r="K68" s="474"/>
      <c r="L68" s="475"/>
      <c r="M68" s="476">
        <v>1</v>
      </c>
      <c r="N68" s="270"/>
      <c r="O68" s="478">
        <f t="shared" si="18"/>
        <v>0</v>
      </c>
      <c r="P68" s="476">
        <v>1</v>
      </c>
      <c r="Q68" s="270"/>
      <c r="R68" s="478">
        <f t="shared" si="19"/>
        <v>0</v>
      </c>
    </row>
    <row r="69" spans="1:18" x14ac:dyDescent="0.2">
      <c r="A69" s="86">
        <f t="shared" si="0"/>
        <v>61</v>
      </c>
      <c r="B69" s="723"/>
      <c r="C69" s="727" t="s">
        <v>9</v>
      </c>
      <c r="D69" s="466">
        <f>'WA Volumes &amp; Revenues'!E68</f>
        <v>0</v>
      </c>
      <c r="E69" s="463">
        <f>'Rates in Detail'!J66</f>
        <v>0.2853</v>
      </c>
      <c r="F69" s="463">
        <f>'Rates in Detail'!L66+'Rates in Detail'!P66+'Rates in Detail'!S66+'Rates in Detail'!U66</f>
        <v>4.7100000000000006E-3</v>
      </c>
      <c r="G69" s="463">
        <f t="shared" si="1"/>
        <v>0.29000999999999999</v>
      </c>
      <c r="H69" s="467">
        <f t="shared" si="2"/>
        <v>0</v>
      </c>
      <c r="I69" s="468"/>
      <c r="J69" s="364"/>
      <c r="K69" s="467"/>
      <c r="L69" s="462"/>
      <c r="M69" s="464">
        <v>1</v>
      </c>
      <c r="N69" s="465"/>
      <c r="O69" s="470">
        <f t="shared" si="18"/>
        <v>0</v>
      </c>
      <c r="P69" s="464">
        <v>1</v>
      </c>
      <c r="Q69" s="465"/>
      <c r="R69" s="470">
        <f t="shared" si="19"/>
        <v>0</v>
      </c>
    </row>
    <row r="70" spans="1:18" x14ac:dyDescent="0.2">
      <c r="A70" s="86">
        <f t="shared" si="0"/>
        <v>62</v>
      </c>
      <c r="B70" s="725" t="str">
        <f>'WA Volumes &amp; Revenues'!B69</f>
        <v>42C Inter Transpt</v>
      </c>
      <c r="C70" s="726" t="s">
        <v>4</v>
      </c>
      <c r="D70" s="479">
        <f>'WA Volumes &amp; Revenues'!E69</f>
        <v>0</v>
      </c>
      <c r="E70" s="473">
        <f>'Rates in Detail'!J67</f>
        <v>0.13459999999999997</v>
      </c>
      <c r="F70" s="473">
        <f>'Rates in Detail'!L67+'Rates in Detail'!P67+'Rates in Detail'!S67+'Rates in Detail'!U67</f>
        <v>1.5730000000000001E-2</v>
      </c>
      <c r="G70" s="473">
        <f t="shared" si="1"/>
        <v>0.15032999999999996</v>
      </c>
      <c r="H70" s="474">
        <f t="shared" si="2"/>
        <v>0</v>
      </c>
      <c r="I70" s="154">
        <f>'WA Volumes &amp; Revenues'!N69</f>
        <v>1550</v>
      </c>
      <c r="J70" s="299">
        <f>'WA Volumes &amp; Revenues'!H69</f>
        <v>0</v>
      </c>
      <c r="K70" s="474">
        <f>ROUND((I70*J70*12)+H70+H71+H72+H73+H74+H75,0)</f>
        <v>0</v>
      </c>
      <c r="L70" s="475"/>
      <c r="M70" s="476">
        <v>1</v>
      </c>
      <c r="N70" s="480">
        <f>ROUND(+$M$12*(($K70*M70)/M$86),0)</f>
        <v>0</v>
      </c>
      <c r="O70" s="478">
        <f>IFERROR(ROUND(($N$70*(D70/SUM($D$70:$D$75)))/D70,5),0)</f>
        <v>0</v>
      </c>
      <c r="P70" s="476">
        <v>1</v>
      </c>
      <c r="Q70" s="480">
        <f>ROUND(+$P$12*(($K70*P70)/P$86),0)</f>
        <v>0</v>
      </c>
      <c r="R70" s="478">
        <f>IFERROR(ROUND(($Q$70*(D70/SUM($D$70:$D$75)))/D70,5),0)</f>
        <v>0</v>
      </c>
    </row>
    <row r="71" spans="1:18" x14ac:dyDescent="0.2">
      <c r="A71" s="86">
        <f t="shared" si="0"/>
        <v>63</v>
      </c>
      <c r="B71" s="725"/>
      <c r="C71" s="726" t="s">
        <v>5</v>
      </c>
      <c r="D71" s="479">
        <f>'WA Volumes &amp; Revenues'!E70</f>
        <v>0</v>
      </c>
      <c r="E71" s="473">
        <f>'Rates in Detail'!J68</f>
        <v>0.12048999999999999</v>
      </c>
      <c r="F71" s="473">
        <f>'Rates in Detail'!L68+'Rates in Detail'!P68+'Rates in Detail'!S68+'Rates in Detail'!U68</f>
        <v>1.409E-2</v>
      </c>
      <c r="G71" s="473">
        <f t="shared" si="1"/>
        <v>0.13457999999999998</v>
      </c>
      <c r="H71" s="474">
        <f t="shared" si="2"/>
        <v>0</v>
      </c>
      <c r="I71" s="154"/>
      <c r="J71" s="299"/>
      <c r="K71" s="474"/>
      <c r="L71" s="475"/>
      <c r="M71" s="476">
        <v>1</v>
      </c>
      <c r="N71" s="270"/>
      <c r="O71" s="478">
        <f t="shared" ref="O71:O75" si="20">IFERROR(ROUND(($N$70*(D71/SUM($D$70:$D$75)))/D71,5),0)</f>
        <v>0</v>
      </c>
      <c r="P71" s="476">
        <v>1</v>
      </c>
      <c r="Q71" s="270"/>
      <c r="R71" s="478">
        <f t="shared" ref="R71:R75" si="21">IFERROR(ROUND(($Q$70*(D71/SUM($D$70:$D$75)))/D71,5),0)</f>
        <v>0</v>
      </c>
    </row>
    <row r="72" spans="1:18" x14ac:dyDescent="0.2">
      <c r="A72" s="86">
        <f t="shared" si="0"/>
        <v>64</v>
      </c>
      <c r="B72" s="725"/>
      <c r="C72" s="726" t="s">
        <v>6</v>
      </c>
      <c r="D72" s="479">
        <f>'WA Volumes &amp; Revenues'!E71</f>
        <v>0</v>
      </c>
      <c r="E72" s="473">
        <f>'Rates in Detail'!J69</f>
        <v>9.2380000000000004E-2</v>
      </c>
      <c r="F72" s="473">
        <f>'Rates in Detail'!L69+'Rates in Detail'!P69+'Rates in Detail'!S69+'Rates in Detail'!U69</f>
        <v>1.0800000000000001E-2</v>
      </c>
      <c r="G72" s="473">
        <f t="shared" si="1"/>
        <v>0.10318000000000001</v>
      </c>
      <c r="H72" s="474">
        <f t="shared" si="2"/>
        <v>0</v>
      </c>
      <c r="I72" s="154"/>
      <c r="J72" s="299"/>
      <c r="K72" s="474"/>
      <c r="L72" s="475"/>
      <c r="M72" s="476">
        <v>1</v>
      </c>
      <c r="N72" s="270"/>
      <c r="O72" s="478">
        <f t="shared" si="20"/>
        <v>0</v>
      </c>
      <c r="P72" s="476">
        <v>1</v>
      </c>
      <c r="Q72" s="270"/>
      <c r="R72" s="478">
        <f t="shared" si="21"/>
        <v>0</v>
      </c>
    </row>
    <row r="73" spans="1:18" x14ac:dyDescent="0.2">
      <c r="A73" s="86">
        <f t="shared" si="0"/>
        <v>65</v>
      </c>
      <c r="B73" s="725"/>
      <c r="C73" s="726" t="s">
        <v>7</v>
      </c>
      <c r="D73" s="479">
        <f>'WA Volumes &amp; Revenues'!E72</f>
        <v>0</v>
      </c>
      <c r="E73" s="473">
        <f>'Rates in Detail'!J70</f>
        <v>7.392E-2</v>
      </c>
      <c r="F73" s="473">
        <f>'Rates in Detail'!L70+'Rates in Detail'!P70+'Rates in Detail'!S70+'Rates in Detail'!U70</f>
        <v>8.6400000000000001E-3</v>
      </c>
      <c r="G73" s="473">
        <f t="shared" si="1"/>
        <v>8.2559999999999995E-2</v>
      </c>
      <c r="H73" s="474">
        <f t="shared" si="2"/>
        <v>0</v>
      </c>
      <c r="I73" s="154"/>
      <c r="J73" s="299"/>
      <c r="K73" s="474"/>
      <c r="L73" s="475"/>
      <c r="M73" s="476">
        <v>1</v>
      </c>
      <c r="N73" s="270"/>
      <c r="O73" s="478">
        <f t="shared" si="20"/>
        <v>0</v>
      </c>
      <c r="P73" s="476">
        <v>1</v>
      </c>
      <c r="Q73" s="270"/>
      <c r="R73" s="478">
        <f t="shared" si="21"/>
        <v>0</v>
      </c>
    </row>
    <row r="74" spans="1:18" x14ac:dyDescent="0.2">
      <c r="A74" s="86">
        <f t="shared" si="0"/>
        <v>66</v>
      </c>
      <c r="B74" s="725"/>
      <c r="C74" s="726" t="s">
        <v>8</v>
      </c>
      <c r="D74" s="479">
        <f>'WA Volumes &amp; Revenues'!E73</f>
        <v>0</v>
      </c>
      <c r="E74" s="473">
        <f>'Rates in Detail'!J71</f>
        <v>4.929E-2</v>
      </c>
      <c r="F74" s="473">
        <f>'Rates in Detail'!L71+'Rates in Detail'!P71+'Rates in Detail'!S71+'Rates in Detail'!U71</f>
        <v>5.7599999999999995E-3</v>
      </c>
      <c r="G74" s="473">
        <f t="shared" si="1"/>
        <v>5.5050000000000002E-2</v>
      </c>
      <c r="H74" s="474">
        <f t="shared" si="2"/>
        <v>0</v>
      </c>
      <c r="I74" s="154"/>
      <c r="J74" s="299"/>
      <c r="K74" s="474"/>
      <c r="L74" s="475"/>
      <c r="M74" s="476">
        <v>1</v>
      </c>
      <c r="N74" s="270"/>
      <c r="O74" s="478">
        <f t="shared" si="20"/>
        <v>0</v>
      </c>
      <c r="P74" s="476">
        <v>1</v>
      </c>
      <c r="Q74" s="270"/>
      <c r="R74" s="478">
        <f t="shared" si="21"/>
        <v>0</v>
      </c>
    </row>
    <row r="75" spans="1:18" x14ac:dyDescent="0.2">
      <c r="A75" s="86">
        <f t="shared" si="0"/>
        <v>67</v>
      </c>
      <c r="B75" s="723"/>
      <c r="C75" s="727" t="s">
        <v>9</v>
      </c>
      <c r="D75" s="466">
        <f>'WA Volumes &amp; Revenues'!E74</f>
        <v>0</v>
      </c>
      <c r="E75" s="463">
        <f>'Rates in Detail'!J72</f>
        <v>1.8460000000000001E-2</v>
      </c>
      <c r="F75" s="463">
        <f>'Rates in Detail'!L72+'Rates in Detail'!P72+'Rates in Detail'!S72+'Rates in Detail'!U72</f>
        <v>2.16E-3</v>
      </c>
      <c r="G75" s="463">
        <f t="shared" si="1"/>
        <v>2.0619999999999999E-2</v>
      </c>
      <c r="H75" s="467">
        <f t="shared" si="2"/>
        <v>0</v>
      </c>
      <c r="I75" s="468"/>
      <c r="J75" s="364"/>
      <c r="K75" s="467"/>
      <c r="L75" s="462"/>
      <c r="M75" s="464">
        <v>1</v>
      </c>
      <c r="N75" s="465"/>
      <c r="O75" s="470">
        <f t="shared" si="20"/>
        <v>0</v>
      </c>
      <c r="P75" s="464">
        <v>1</v>
      </c>
      <c r="Q75" s="465"/>
      <c r="R75" s="470">
        <f t="shared" si="21"/>
        <v>0</v>
      </c>
    </row>
    <row r="76" spans="1:18" x14ac:dyDescent="0.2">
      <c r="A76" s="86">
        <f t="shared" si="0"/>
        <v>68</v>
      </c>
      <c r="B76" s="725" t="str">
        <f>'WA Volumes &amp; Revenues'!B75</f>
        <v>42I Inter Transpt</v>
      </c>
      <c r="C76" s="726" t="s">
        <v>4</v>
      </c>
      <c r="D76" s="479">
        <f>'WA Volumes &amp; Revenues'!E75</f>
        <v>844078</v>
      </c>
      <c r="E76" s="481">
        <f>'Rates in Detail'!J73</f>
        <v>0.13459999999999997</v>
      </c>
      <c r="F76" s="481">
        <f>'Rates in Detail'!L73+'Rates in Detail'!P73+'Rates in Detail'!S73+'Rates in Detail'!U73</f>
        <v>2.017E-2</v>
      </c>
      <c r="G76" s="481">
        <f t="shared" si="1"/>
        <v>0.15476999999999996</v>
      </c>
      <c r="H76" s="474">
        <f t="shared" si="2"/>
        <v>130638</v>
      </c>
      <c r="I76" s="154">
        <f>'WA Volumes &amp; Revenues'!N75</f>
        <v>1550</v>
      </c>
      <c r="J76" s="299">
        <f>'WA Volumes &amp; Revenues'!H75</f>
        <v>7</v>
      </c>
      <c r="K76" s="474">
        <f>ROUND((I76*J76*12)+H76+H77+H78+H79+H80+H81,0)</f>
        <v>933027</v>
      </c>
      <c r="L76" s="482"/>
      <c r="M76" s="476">
        <v>1</v>
      </c>
      <c r="N76" s="480">
        <f>ROUND(+$M$12*(($K76*M76)/M$86),0)</f>
        <v>0</v>
      </c>
      <c r="O76" s="478">
        <f>IFERROR(ROUND(($N$76*(D76/SUM($D$76:$D$81)))/D76,5),0)</f>
        <v>0</v>
      </c>
      <c r="P76" s="476">
        <v>1</v>
      </c>
      <c r="Q76" s="480">
        <f>ROUND(+$P$12*(($K76*P76)/P$86),0)</f>
        <v>0</v>
      </c>
      <c r="R76" s="478">
        <f>IFERROR(ROUND(($Q$76*(D76/SUM($D$76:$D$81)))/D76,5),0)</f>
        <v>0</v>
      </c>
    </row>
    <row r="77" spans="1:18" x14ac:dyDescent="0.2">
      <c r="A77" s="86">
        <f t="shared" si="0"/>
        <v>69</v>
      </c>
      <c r="B77" s="725"/>
      <c r="C77" s="726" t="s">
        <v>5</v>
      </c>
      <c r="D77" s="479">
        <f>'WA Volumes &amp; Revenues'!E76</f>
        <v>1445175</v>
      </c>
      <c r="E77" s="481">
        <f>'Rates in Detail'!J74</f>
        <v>0.12048999999999999</v>
      </c>
      <c r="F77" s="481">
        <f>'Rates in Detail'!L74+'Rates in Detail'!P74+'Rates in Detail'!S74+'Rates in Detail'!U74</f>
        <v>1.806E-2</v>
      </c>
      <c r="G77" s="481">
        <f t="shared" si="1"/>
        <v>0.13854999999999998</v>
      </c>
      <c r="H77" s="474">
        <f t="shared" si="2"/>
        <v>200229</v>
      </c>
      <c r="I77" s="154"/>
      <c r="J77" s="299"/>
      <c r="K77" s="474"/>
      <c r="L77" s="482"/>
      <c r="M77" s="476">
        <v>1</v>
      </c>
      <c r="N77" s="270"/>
      <c r="O77" s="478">
        <f t="shared" ref="O77:O81" si="22">IFERROR(ROUND(($N$76*(D77/SUM($D$76:$D$81)))/D77,5),0)</f>
        <v>0</v>
      </c>
      <c r="P77" s="476">
        <v>1</v>
      </c>
      <c r="Q77" s="270"/>
      <c r="R77" s="478">
        <f t="shared" ref="R77:R81" si="23">IFERROR(ROUND(($Q$76*(D77/SUM($D$76:$D$81)))/D77,5),0)</f>
        <v>0</v>
      </c>
    </row>
    <row r="78" spans="1:18" x14ac:dyDescent="0.2">
      <c r="A78" s="86">
        <f t="shared" si="0"/>
        <v>70</v>
      </c>
      <c r="B78" s="725"/>
      <c r="C78" s="726" t="s">
        <v>6</v>
      </c>
      <c r="D78" s="479">
        <f>'WA Volumes &amp; Revenues'!E77</f>
        <v>1034978</v>
      </c>
      <c r="E78" s="481">
        <f>'Rates in Detail'!J75</f>
        <v>9.2380000000000004E-2</v>
      </c>
      <c r="F78" s="481">
        <f>'Rates in Detail'!L75+'Rates in Detail'!P75+'Rates in Detail'!S75+'Rates in Detail'!U75</f>
        <v>1.3849999999999999E-2</v>
      </c>
      <c r="G78" s="481">
        <f t="shared" si="1"/>
        <v>0.10623</v>
      </c>
      <c r="H78" s="474">
        <f t="shared" si="2"/>
        <v>109946</v>
      </c>
      <c r="I78" s="154"/>
      <c r="J78" s="299"/>
      <c r="K78" s="474"/>
      <c r="L78" s="482"/>
      <c r="M78" s="476">
        <v>1</v>
      </c>
      <c r="N78" s="270"/>
      <c r="O78" s="478">
        <f t="shared" si="22"/>
        <v>0</v>
      </c>
      <c r="P78" s="476">
        <v>1</v>
      </c>
      <c r="Q78" s="270"/>
      <c r="R78" s="478">
        <f t="shared" si="23"/>
        <v>0</v>
      </c>
    </row>
    <row r="79" spans="1:18" x14ac:dyDescent="0.2">
      <c r="A79" s="86">
        <f t="shared" si="0"/>
        <v>71</v>
      </c>
      <c r="B79" s="725"/>
      <c r="C79" s="726" t="s">
        <v>7</v>
      </c>
      <c r="D79" s="479">
        <f>'WA Volumes &amp; Revenues'!E78</f>
        <v>3359916</v>
      </c>
      <c r="E79" s="481">
        <f>'Rates in Detail'!J76</f>
        <v>7.392E-2</v>
      </c>
      <c r="F79" s="481">
        <f>'Rates in Detail'!L76+'Rates in Detail'!P76+'Rates in Detail'!S76+'Rates in Detail'!U76</f>
        <v>1.107E-2</v>
      </c>
      <c r="G79" s="481">
        <f t="shared" si="1"/>
        <v>8.4989999999999996E-2</v>
      </c>
      <c r="H79" s="474">
        <f t="shared" si="2"/>
        <v>285559</v>
      </c>
      <c r="I79" s="154"/>
      <c r="J79" s="299"/>
      <c r="K79" s="474"/>
      <c r="L79" s="482"/>
      <c r="M79" s="476">
        <v>1</v>
      </c>
      <c r="N79" s="270"/>
      <c r="O79" s="478">
        <f t="shared" si="22"/>
        <v>0</v>
      </c>
      <c r="P79" s="476">
        <v>1</v>
      </c>
      <c r="Q79" s="270"/>
      <c r="R79" s="478">
        <f t="shared" si="23"/>
        <v>0</v>
      </c>
    </row>
    <row r="80" spans="1:18" x14ac:dyDescent="0.2">
      <c r="A80" s="86">
        <f t="shared" si="0"/>
        <v>72</v>
      </c>
      <c r="B80" s="725"/>
      <c r="C80" s="726" t="s">
        <v>8</v>
      </c>
      <c r="D80" s="479">
        <f>'WA Volumes &amp; Revenues'!E79</f>
        <v>1349120</v>
      </c>
      <c r="E80" s="481">
        <f>'Rates in Detail'!J77</f>
        <v>4.929E-2</v>
      </c>
      <c r="F80" s="481">
        <f>'Rates in Detail'!L77+'Rates in Detail'!P77+'Rates in Detail'!S77+'Rates in Detail'!U77</f>
        <v>7.3799999999999994E-3</v>
      </c>
      <c r="G80" s="481">
        <f t="shared" si="1"/>
        <v>5.6669999999999998E-2</v>
      </c>
      <c r="H80" s="474">
        <f t="shared" si="2"/>
        <v>76455</v>
      </c>
      <c r="I80" s="154"/>
      <c r="J80" s="299"/>
      <c r="K80" s="474"/>
      <c r="L80" s="482"/>
      <c r="M80" s="476">
        <v>1</v>
      </c>
      <c r="N80" s="270"/>
      <c r="O80" s="478">
        <f t="shared" si="22"/>
        <v>0</v>
      </c>
      <c r="P80" s="476">
        <v>1</v>
      </c>
      <c r="Q80" s="270"/>
      <c r="R80" s="478">
        <f t="shared" si="23"/>
        <v>0</v>
      </c>
    </row>
    <row r="81" spans="1:18" x14ac:dyDescent="0.2">
      <c r="A81" s="86">
        <f t="shared" si="0"/>
        <v>73</v>
      </c>
      <c r="B81" s="723"/>
      <c r="C81" s="727" t="s">
        <v>9</v>
      </c>
      <c r="D81" s="466">
        <f>'WA Volumes &amp; Revenues'!E80</f>
        <v>0</v>
      </c>
      <c r="E81" s="483">
        <f>'Rates in Detail'!J78</f>
        <v>1.8460000000000001E-2</v>
      </c>
      <c r="F81" s="483">
        <f>'Rates in Detail'!L78+'Rates in Detail'!P78+'Rates in Detail'!S78+'Rates in Detail'!U78</f>
        <v>2.7699999999999999E-3</v>
      </c>
      <c r="G81" s="483">
        <f t="shared" ref="G81:G84" si="24">E81+F81</f>
        <v>2.1229999999999999E-2</v>
      </c>
      <c r="H81" s="467">
        <f t="shared" ref="H81:H84" si="25">ROUND(G81*D81,0)</f>
        <v>0</v>
      </c>
      <c r="I81" s="468"/>
      <c r="J81" s="364"/>
      <c r="K81" s="467"/>
      <c r="L81" s="484"/>
      <c r="M81" s="464">
        <v>1</v>
      </c>
      <c r="N81" s="465"/>
      <c r="O81" s="470">
        <f t="shared" si="22"/>
        <v>0</v>
      </c>
      <c r="P81" s="464">
        <v>1</v>
      </c>
      <c r="Q81" s="465"/>
      <c r="R81" s="470">
        <f t="shared" si="23"/>
        <v>0</v>
      </c>
    </row>
    <row r="82" spans="1:18" x14ac:dyDescent="0.2">
      <c r="A82" s="86">
        <f t="shared" si="0"/>
        <v>74</v>
      </c>
      <c r="B82" s="723" t="str">
        <f>'WA Volumes &amp; Revenues'!B81</f>
        <v>43 Firm Transpt</v>
      </c>
      <c r="C82" s="723" t="s">
        <v>283</v>
      </c>
      <c r="D82" s="466">
        <f>'WA Volumes &amp; Revenues'!E81</f>
        <v>0</v>
      </c>
      <c r="E82" s="485">
        <f>'Rates in Detail'!J79</f>
        <v>4.919999999999999E-3</v>
      </c>
      <c r="F82" s="485">
        <f>'Rates in Detail'!L79+'Rates in Detail'!P79+'Rates in Detail'!S79+'Rates in Detail'!U79</f>
        <v>0</v>
      </c>
      <c r="G82" s="485">
        <f t="shared" si="24"/>
        <v>4.919999999999999E-3</v>
      </c>
      <c r="H82" s="467">
        <f t="shared" si="25"/>
        <v>0</v>
      </c>
      <c r="I82" s="468">
        <f>'WA Volumes &amp; Revenues'!N81</f>
        <v>38000</v>
      </c>
      <c r="J82" s="364">
        <f>'WA Volumes &amp; Revenues'!H81</f>
        <v>0</v>
      </c>
      <c r="K82" s="467">
        <f>ROUND(H82+(I82*J82*12),0)</f>
        <v>0</v>
      </c>
      <c r="L82" s="486"/>
      <c r="M82" s="487">
        <v>1</v>
      </c>
      <c r="N82" s="465">
        <f>ROUND(+$M$12*(($K82*M82)/M$86),0)</f>
        <v>0</v>
      </c>
      <c r="O82" s="470">
        <f t="shared" ref="O82:O84" si="26">IFERROR(ROUND(N82/D82,5),0)</f>
        <v>0</v>
      </c>
      <c r="P82" s="487">
        <v>1</v>
      </c>
      <c r="Q82" s="465">
        <f>ROUND(+$P$12*(($K82*P82)/P$86),0)</f>
        <v>0</v>
      </c>
      <c r="R82" s="470">
        <f t="shared" ref="R82:R84" si="27">IFERROR(ROUND(Q82/$D82,5),0)</f>
        <v>0</v>
      </c>
    </row>
    <row r="83" spans="1:18" x14ac:dyDescent="0.2">
      <c r="A83" s="86">
        <f t="shared" si="0"/>
        <v>75</v>
      </c>
      <c r="B83" s="724" t="str">
        <f>'WA Volumes &amp; Revenues'!B82</f>
        <v>43 Interr Transpt</v>
      </c>
      <c r="C83" s="724" t="s">
        <v>283</v>
      </c>
      <c r="D83" s="364">
        <f>'WA Volumes &amp; Revenues'!E82</f>
        <v>0</v>
      </c>
      <c r="E83" s="483">
        <f>'Rates in Detail'!J80</f>
        <v>4.919999999999999E-3</v>
      </c>
      <c r="F83" s="463">
        <f>'Rates in Detail'!L80+'Rates in Detail'!P80+'Rates in Detail'!S80+'Rates in Detail'!U80</f>
        <v>0</v>
      </c>
      <c r="G83" s="463">
        <f t="shared" si="24"/>
        <v>4.919999999999999E-3</v>
      </c>
      <c r="H83" s="467">
        <f t="shared" si="25"/>
        <v>0</v>
      </c>
      <c r="I83" s="468">
        <f>'WA Volumes &amp; Revenues'!N82</f>
        <v>38000</v>
      </c>
      <c r="J83" s="364">
        <f>'WA Volumes &amp; Revenues'!H82</f>
        <v>0</v>
      </c>
      <c r="K83" s="468">
        <f t="shared" ref="K83:K84" si="28">ROUND((I83*J83*12)+H83,0)</f>
        <v>0</v>
      </c>
      <c r="L83" s="484"/>
      <c r="M83" s="487">
        <v>1</v>
      </c>
      <c r="N83" s="465">
        <f t="shared" ref="N83:N84" si="29">ROUND(+$M$12*(($K83*M83)/M$86),0)</f>
        <v>0</v>
      </c>
      <c r="O83" s="470">
        <f t="shared" si="26"/>
        <v>0</v>
      </c>
      <c r="P83" s="487">
        <v>1</v>
      </c>
      <c r="Q83" s="465">
        <f>ROUND(+$P$12*(($K83*P83)/P$86),0)</f>
        <v>0</v>
      </c>
      <c r="R83" s="470">
        <f t="shared" si="27"/>
        <v>0</v>
      </c>
    </row>
    <row r="84" spans="1:18" x14ac:dyDescent="0.2">
      <c r="A84" s="86">
        <f t="shared" si="0"/>
        <v>76</v>
      </c>
      <c r="B84" s="724" t="str">
        <f>'WA Volumes &amp; Revenues'!B83</f>
        <v>Special Contract</v>
      </c>
      <c r="C84" s="724" t="s">
        <v>283</v>
      </c>
      <c r="D84" s="364">
        <f>'WA Volumes &amp; Revenues'!E83</f>
        <v>2895114</v>
      </c>
      <c r="E84" s="483">
        <f>'Rates in Detail'!J81</f>
        <v>0</v>
      </c>
      <c r="F84" s="483">
        <f>'Rates in Detail'!L81+'Rates in Detail'!P81+'Rates in Detail'!S81+'Rates in Detail'!U81</f>
        <v>0</v>
      </c>
      <c r="G84" s="483">
        <f t="shared" si="24"/>
        <v>0</v>
      </c>
      <c r="H84" s="467">
        <f t="shared" si="25"/>
        <v>0</v>
      </c>
      <c r="I84" s="468">
        <f>'WA Volumes &amp; Revenues'!N83</f>
        <v>0</v>
      </c>
      <c r="J84" s="364">
        <f>'WA Volumes &amp; Revenues'!H83</f>
        <v>1</v>
      </c>
      <c r="K84" s="468">
        <f t="shared" si="28"/>
        <v>0</v>
      </c>
      <c r="L84" s="484"/>
      <c r="M84" s="487">
        <v>1</v>
      </c>
      <c r="N84" s="465">
        <f t="shared" si="29"/>
        <v>0</v>
      </c>
      <c r="O84" s="470">
        <f t="shared" si="26"/>
        <v>0</v>
      </c>
      <c r="P84" s="487">
        <v>1</v>
      </c>
      <c r="Q84" s="465">
        <f>ROUND(+$P$12*(($K84*P84)/P$86),0)</f>
        <v>0</v>
      </c>
      <c r="R84" s="470">
        <f t="shared" si="27"/>
        <v>0</v>
      </c>
    </row>
    <row r="85" spans="1:18" x14ac:dyDescent="0.2">
      <c r="A85" s="86">
        <f t="shared" si="0"/>
        <v>77</v>
      </c>
      <c r="E85" s="488"/>
      <c r="F85" s="488"/>
      <c r="G85" s="488"/>
      <c r="H85" s="489"/>
      <c r="K85" s="489"/>
      <c r="M85" s="490"/>
      <c r="P85" s="490"/>
    </row>
    <row r="86" spans="1:18" x14ac:dyDescent="0.2">
      <c r="A86" s="86">
        <f t="shared" si="0"/>
        <v>78</v>
      </c>
      <c r="B86" s="60" t="s">
        <v>181</v>
      </c>
      <c r="C86" s="60"/>
      <c r="D86" s="735">
        <f>SUM(D16:D84)</f>
        <v>103032055.6009268</v>
      </c>
      <c r="E86" s="736"/>
      <c r="F86" s="736"/>
      <c r="G86" s="736"/>
      <c r="H86" s="611">
        <f>SUM(H16:H84)</f>
        <v>76183318</v>
      </c>
      <c r="I86" s="735"/>
      <c r="J86" s="735">
        <f>SUM(J17:J82)</f>
        <v>88428.750000000015</v>
      </c>
      <c r="K86" s="611">
        <f>SUM(K16:K84)</f>
        <v>87002611.861159995</v>
      </c>
      <c r="L86" s="737"/>
      <c r="M86" s="738">
        <f>ROUND(($K16*M16)+($K17*M17)+($K18*M18)+($K19*M19)+(K20*M20)+($K21*M21)+($K22*M22)+($K26*M26)+(K24*M24)+(K28*M28)+($K$30*M30)+($K32*M32)+($K34*M34)+($K40*M40)+($K46*M46)+($K52*M52)+($K$58*M58)+($K64*M64)+(K70*M70)+($K82*M82)+(K76*M76)+($K83*M83)+($K84*M84),0)</f>
        <v>87002612</v>
      </c>
      <c r="N86" s="739">
        <f>SUM(N16:N85)</f>
        <v>0</v>
      </c>
      <c r="O86" s="60"/>
      <c r="P86" s="738">
        <f>ROUND(($K16*P16)+($K17*P17)+($K18*P18)+($K19*P19)+(K20*P20)+($K21*P21)+($K22*P22)+($K26*P26)+(K24*P24)+(K28*P28)+($K$30*P30)+($K32*P32)+($K34*P34)+($K40*P40)+($K46*P46)+($K52*P52)+($K$58*P58)+($K64*P64)+(K70*P70)+($K82*P82)+(K76*P76)+($K83*P83)+($K84*P84),0)</f>
        <v>87002612</v>
      </c>
      <c r="Q86" s="739">
        <f>SUM(Q16:Q85)</f>
        <v>0</v>
      </c>
      <c r="R86" s="60"/>
    </row>
    <row r="87" spans="1:18" x14ac:dyDescent="0.2">
      <c r="A87" s="86">
        <f t="shared" si="0"/>
        <v>79</v>
      </c>
      <c r="B87" s="491"/>
      <c r="H87" s="492"/>
      <c r="K87" s="431"/>
      <c r="L87" s="432"/>
      <c r="M87" s="437"/>
      <c r="N87" s="264"/>
      <c r="P87" s="437"/>
      <c r="Q87" s="264"/>
    </row>
    <row r="88" spans="1:18" x14ac:dyDescent="0.2">
      <c r="A88" s="86">
        <f t="shared" si="0"/>
        <v>80</v>
      </c>
      <c r="B88" s="168" t="s">
        <v>79</v>
      </c>
      <c r="E88" s="56"/>
      <c r="F88" s="56"/>
      <c r="G88" s="56"/>
      <c r="I88" s="56"/>
      <c r="K88" s="431"/>
      <c r="L88" s="56"/>
      <c r="M88" s="56"/>
      <c r="P88" s="56"/>
    </row>
    <row r="89" spans="1:18" x14ac:dyDescent="0.2">
      <c r="A89" s="86">
        <f t="shared" si="0"/>
        <v>81</v>
      </c>
      <c r="B89" s="764" t="s">
        <v>80</v>
      </c>
      <c r="C89" s="765"/>
      <c r="D89" s="765"/>
      <c r="E89" s="765"/>
      <c r="F89" s="765"/>
      <c r="G89" s="765"/>
      <c r="H89" s="765"/>
      <c r="I89" s="765"/>
      <c r="J89" s="765"/>
      <c r="K89" s="765"/>
      <c r="L89" s="765"/>
      <c r="M89" s="765"/>
      <c r="N89" s="765"/>
      <c r="O89" s="766"/>
      <c r="P89" s="765"/>
      <c r="Q89" s="765"/>
      <c r="R89" s="766"/>
    </row>
    <row r="90" spans="1:18" x14ac:dyDescent="0.2">
      <c r="A90" s="86">
        <f t="shared" si="0"/>
        <v>82</v>
      </c>
      <c r="B90" s="168" t="s">
        <v>95</v>
      </c>
      <c r="L90" s="56"/>
      <c r="M90" s="56"/>
      <c r="O90" s="140"/>
      <c r="P90" s="56"/>
      <c r="R90" s="140"/>
    </row>
    <row r="91" spans="1:18" x14ac:dyDescent="0.2">
      <c r="A91" s="86">
        <f t="shared" ref="A91:A93" si="30">+A90+1</f>
        <v>83</v>
      </c>
      <c r="B91" s="764" t="s">
        <v>96</v>
      </c>
      <c r="C91" s="765"/>
      <c r="D91" s="765"/>
      <c r="E91" s="765"/>
      <c r="F91" s="765"/>
      <c r="G91" s="765"/>
      <c r="H91" s="765"/>
      <c r="I91" s="765"/>
      <c r="J91" s="765"/>
      <c r="K91" s="765"/>
      <c r="L91" s="765"/>
      <c r="M91" s="765"/>
      <c r="N91" s="765"/>
      <c r="O91" s="766"/>
      <c r="P91" s="765"/>
      <c r="Q91" s="765"/>
      <c r="R91" s="766"/>
    </row>
    <row r="92" spans="1:18" x14ac:dyDescent="0.2">
      <c r="A92" s="86">
        <f t="shared" si="30"/>
        <v>84</v>
      </c>
      <c r="M92" s="490"/>
      <c r="P92" s="490"/>
    </row>
    <row r="93" spans="1:18" x14ac:dyDescent="0.2">
      <c r="A93" s="86">
        <f t="shared" si="30"/>
        <v>85</v>
      </c>
      <c r="B93" s="56" t="s">
        <v>84</v>
      </c>
      <c r="M93" s="490"/>
      <c r="P93" s="490"/>
    </row>
    <row r="94" spans="1:18" x14ac:dyDescent="0.2">
      <c r="A94" s="86"/>
    </row>
    <row r="97" spans="2:17" x14ac:dyDescent="0.2">
      <c r="N97" s="493"/>
      <c r="Q97" s="493"/>
    </row>
    <row r="98" spans="2:17" x14ac:dyDescent="0.2">
      <c r="B98" s="55"/>
      <c r="C98" s="55"/>
      <c r="D98" s="55"/>
      <c r="E98" s="55"/>
      <c r="F98" s="55"/>
      <c r="G98" s="55"/>
      <c r="H98" s="55"/>
      <c r="I98" s="55"/>
      <c r="J98" s="55"/>
      <c r="K98" s="55"/>
      <c r="L98" s="55"/>
      <c r="N98" s="494"/>
      <c r="Q98" s="494"/>
    </row>
    <row r="99" spans="2:17" x14ac:dyDescent="0.2">
      <c r="B99" s="55"/>
      <c r="C99" s="55"/>
      <c r="D99" s="55"/>
      <c r="E99" s="55"/>
      <c r="F99" s="55"/>
      <c r="G99" s="55"/>
      <c r="H99" s="55"/>
      <c r="I99" s="55"/>
      <c r="J99" s="55"/>
      <c r="K99" s="55"/>
      <c r="L99" s="55"/>
      <c r="N99" s="300"/>
      <c r="Q99" s="300"/>
    </row>
    <row r="100" spans="2:17" x14ac:dyDescent="0.2">
      <c r="B100" s="55"/>
      <c r="C100" s="55"/>
      <c r="D100" s="55"/>
      <c r="E100" s="55"/>
      <c r="F100" s="55"/>
      <c r="G100" s="55"/>
      <c r="H100" s="55"/>
      <c r="I100" s="55"/>
      <c r="J100" s="55"/>
      <c r="K100" s="55"/>
      <c r="L100" s="55"/>
      <c r="N100" s="300"/>
      <c r="Q100" s="300"/>
    </row>
    <row r="101" spans="2:17" x14ac:dyDescent="0.2">
      <c r="B101" s="55"/>
      <c r="C101" s="55"/>
      <c r="D101" s="55"/>
      <c r="E101" s="55"/>
      <c r="F101" s="55"/>
      <c r="G101" s="55"/>
      <c r="H101" s="55"/>
      <c r="I101" s="55"/>
      <c r="J101" s="55"/>
      <c r="K101" s="55"/>
      <c r="L101" s="55"/>
      <c r="N101" s="493"/>
      <c r="Q101" s="493"/>
    </row>
    <row r="102" spans="2:17" x14ac:dyDescent="0.2">
      <c r="B102" s="55"/>
      <c r="C102" s="55"/>
      <c r="D102" s="55"/>
      <c r="E102" s="55"/>
      <c r="F102" s="55"/>
      <c r="G102" s="55"/>
      <c r="H102" s="55"/>
      <c r="I102" s="55"/>
      <c r="J102" s="55"/>
      <c r="K102" s="55"/>
      <c r="L102" s="55"/>
      <c r="N102" s="327"/>
      <c r="Q102" s="327"/>
    </row>
    <row r="104" spans="2:17" x14ac:dyDescent="0.2">
      <c r="B104" s="55"/>
      <c r="C104" s="55"/>
      <c r="D104" s="55"/>
      <c r="E104" s="55"/>
      <c r="F104" s="55"/>
      <c r="G104" s="55"/>
      <c r="H104" s="55"/>
      <c r="I104" s="55"/>
      <c r="J104" s="55"/>
      <c r="K104" s="55"/>
      <c r="L104" s="55"/>
      <c r="N104" s="493"/>
      <c r="Q104" s="493"/>
    </row>
    <row r="105" spans="2:17" x14ac:dyDescent="0.2">
      <c r="B105" s="55"/>
      <c r="C105" s="55"/>
      <c r="D105" s="55"/>
      <c r="E105" s="55"/>
      <c r="F105" s="55"/>
      <c r="G105" s="55"/>
      <c r="H105" s="55"/>
      <c r="I105" s="55"/>
      <c r="J105" s="55"/>
      <c r="K105" s="55"/>
      <c r="L105" s="55"/>
      <c r="N105" s="327"/>
      <c r="Q105" s="327"/>
    </row>
    <row r="106" spans="2:17" x14ac:dyDescent="0.2">
      <c r="B106" s="55"/>
      <c r="C106" s="55"/>
      <c r="D106" s="55"/>
      <c r="E106" s="55"/>
      <c r="F106" s="55"/>
      <c r="G106" s="55"/>
      <c r="H106" s="55"/>
      <c r="I106" s="55"/>
      <c r="J106" s="55"/>
      <c r="K106" s="55"/>
      <c r="L106" s="55"/>
      <c r="N106" s="327"/>
      <c r="Q106" s="327"/>
    </row>
    <row r="107" spans="2:17" x14ac:dyDescent="0.2">
      <c r="B107" s="55"/>
      <c r="C107" s="55"/>
      <c r="D107" s="55"/>
      <c r="E107" s="55"/>
      <c r="F107" s="55"/>
      <c r="G107" s="55"/>
      <c r="H107" s="55"/>
      <c r="I107" s="55"/>
      <c r="J107" s="55"/>
      <c r="K107" s="55"/>
      <c r="L107" s="55"/>
      <c r="N107" s="327"/>
      <c r="Q107" s="327"/>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H14" activePane="bottomRight" state="frozen"/>
      <selection pane="topRight" activeCell="K1" sqref="K1"/>
      <selection pane="bottomLeft" activeCell="A14" sqref="A14"/>
      <selection pane="bottomRight" activeCell="E29" sqref="E29"/>
    </sheetView>
  </sheetViews>
  <sheetFormatPr defaultColWidth="9.33203125" defaultRowHeight="12.75"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2.83203125" style="56" customWidth="1"/>
    <col min="8" max="9" width="15.83203125" style="56" customWidth="1"/>
    <col min="10" max="10" width="2.83203125" style="56" customWidth="1"/>
    <col min="11" max="16" width="15.83203125" style="56" customWidth="1"/>
    <col min="17" max="17" width="2.83203125" style="56" customWidth="1"/>
    <col min="18" max="21" width="15.83203125" style="56" customWidth="1"/>
    <col min="22" max="22" width="2.83203125" style="56" customWidth="1"/>
    <col min="23"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15.6640625" style="56" hidden="1" customWidth="1"/>
    <col min="37" max="37" width="15.83203125" style="56" hidden="1" customWidth="1"/>
    <col min="38" max="38" width="2.83203125" style="56" customWidth="1"/>
    <col min="39" max="41" width="15.83203125" style="56" customWidth="1"/>
    <col min="42" max="42" width="2.83203125" style="56" customWidth="1"/>
    <col min="43" max="43" width="23.83203125" style="56" customWidth="1"/>
    <col min="44" max="44" width="22.1640625" style="56" customWidth="1"/>
    <col min="45" max="45" width="2.83203125" style="56" customWidth="1"/>
    <col min="46" max="46" width="9.33203125" style="55"/>
    <col min="47" max="47" width="17" style="55" bestFit="1" customWidth="1"/>
    <col min="48" max="16384" width="9.33203125" style="55"/>
  </cols>
  <sheetData>
    <row r="1" spans="1:52" ht="13.5" thickBot="1" x14ac:dyDescent="0.25">
      <c r="A1" s="139" t="str">
        <f>+'WA Volumes &amp; Revenues'!A1</f>
        <v>NW Natural</v>
      </c>
    </row>
    <row r="2" spans="1:52" ht="13.5" thickBot="1" x14ac:dyDescent="0.25">
      <c r="A2" s="139" t="str">
        <f>+'WA Volumes &amp; Revenues'!A2</f>
        <v>Rates &amp; Regulatory Affairs</v>
      </c>
      <c r="E2" s="140"/>
      <c r="F2" s="140"/>
      <c r="T2" s="265"/>
      <c r="W2" s="266" t="s">
        <v>114</v>
      </c>
      <c r="X2" s="267" t="s">
        <v>115</v>
      </c>
      <c r="Y2" s="267" t="s">
        <v>99</v>
      </c>
      <c r="Z2" s="1145" t="s">
        <v>475</v>
      </c>
      <c r="AB2" s="266" t="s">
        <v>114</v>
      </c>
      <c r="AC2" s="267" t="s">
        <v>115</v>
      </c>
      <c r="AD2" s="268" t="s">
        <v>99</v>
      </c>
      <c r="AF2" s="266" t="s">
        <v>114</v>
      </c>
      <c r="AG2" s="267" t="s">
        <v>115</v>
      </c>
      <c r="AH2" s="268" t="s">
        <v>99</v>
      </c>
      <c r="AK2" s="145"/>
      <c r="AM2" s="266" t="s">
        <v>114</v>
      </c>
      <c r="AN2" s="267" t="s">
        <v>115</v>
      </c>
      <c r="AO2" s="268" t="s">
        <v>99</v>
      </c>
      <c r="AQ2" s="1583" t="s">
        <v>279</v>
      </c>
      <c r="AR2" s="1584"/>
    </row>
    <row r="3" spans="1:52" x14ac:dyDescent="0.2">
      <c r="A3" s="139" t="str">
        <f>+'WA Volumes &amp; Revenues'!A3</f>
        <v>Test Year Ending September 30, 2020</v>
      </c>
      <c r="E3" s="140"/>
      <c r="F3" s="140"/>
      <c r="W3" s="269">
        <f>SUM(W14:W19)+W22+W28+W31+W37+W44+W51+W58+W65+W72+W79+W93+W94+W25+W34+W86+W95+W96</f>
        <v>37287357.418864518</v>
      </c>
      <c r="X3" s="270">
        <f>SUM(X14:X19)+X22+X28+X31+X37+X44+X51+X58+X65+X72+X79+X93+X94+X25+X34+X86+X95+X96</f>
        <v>10678018</v>
      </c>
      <c r="Y3" s="270">
        <f>SUM(Y14:Y19)+Y22+Y28+Y31+Y37+Y44+Y51+Y58+Y65+Y72+Y79+Y93+Y94+Y25+Y34+Y86+Y95+Y96</f>
        <v>141275.86116</v>
      </c>
      <c r="Z3" s="271">
        <f>SUM(Z14:Z19)+Z22+Z28+Z31+Z37+Z44+Z51+Z58+Z65+Z72+Z79+Z93+Z94+Z25+Z34+Z86+Z95+Z96</f>
        <v>1255256.7800419014</v>
      </c>
      <c r="AB3" s="269">
        <f>SUM(AB14:AB19)+AB22+AB28+AB31+AB37+AB44+AB51+AB58+AB65+AB72+AB79+AB93+AB94+AB25+AB34+AB86+AB95+AB96</f>
        <v>44005114.342045605</v>
      </c>
      <c r="AC3" s="270">
        <f>SUM(AC14:AC19)+AC22+AC28+AC31+AC37+AC44+AC51+AC58+AC65+AC72+AC79+AC93+AC94+AC25+AC34+AC86+AC95+AC96</f>
        <v>10678018</v>
      </c>
      <c r="AD3" s="271">
        <f>SUM(AD14:AD19)+AD22+AD28+AD31+AD37+AD44+AD51+AD58+AD65+AD72+AD79+AD93+AD94+AD25+AD34+AD86+AD95+AD96</f>
        <v>141275.86116</v>
      </c>
      <c r="AF3" s="269">
        <f t="shared" ref="AF3:AH3" si="0">SUM(AF14:AF19)+AF22+AF28+AF31+AF37+AF44+AF51+AF58+AF65+AF72+AF79+AF93+AF94+AF25+AF34+AF86+AF95+AF96</f>
        <v>6717756.9231810682</v>
      </c>
      <c r="AG3" s="270">
        <f t="shared" si="0"/>
        <v>0</v>
      </c>
      <c r="AH3" s="271">
        <f t="shared" si="0"/>
        <v>0</v>
      </c>
      <c r="AK3" s="270"/>
      <c r="AM3" s="269">
        <f t="shared" ref="AM3:AO3" si="1">SUM(AM14:AM19)+AM22+AM28+AM31+AM37+AM44+AM51+AM58+AM65+AM72+AM79+AM93+AM94+AM25+AM34+AM86+AM95+AM96</f>
        <v>-462278.66210878297</v>
      </c>
      <c r="AN3" s="270">
        <f t="shared" si="1"/>
        <v>0</v>
      </c>
      <c r="AO3" s="271">
        <f t="shared" si="1"/>
        <v>0</v>
      </c>
      <c r="AQ3" s="56" t="s">
        <v>100</v>
      </c>
      <c r="AR3" s="272">
        <f>AF3</f>
        <v>6717756.9231810682</v>
      </c>
    </row>
    <row r="4" spans="1:52" x14ac:dyDescent="0.2">
      <c r="A4" s="139" t="s">
        <v>122</v>
      </c>
      <c r="D4" s="140"/>
      <c r="E4" s="140"/>
      <c r="F4" s="140"/>
      <c r="G4" s="140"/>
      <c r="H4" s="140"/>
      <c r="J4" s="140"/>
      <c r="K4" s="140"/>
      <c r="L4" s="140"/>
      <c r="Q4" s="140"/>
      <c r="V4" s="140"/>
      <c r="W4" s="273"/>
      <c r="X4" s="55"/>
      <c r="Y4" s="55"/>
      <c r="Z4" s="1146" t="s">
        <v>78</v>
      </c>
      <c r="AA4" s="140"/>
      <c r="AB4" s="273"/>
      <c r="AC4" s="55"/>
      <c r="AD4" s="274" t="s">
        <v>78</v>
      </c>
      <c r="AE4" s="140"/>
      <c r="AF4" s="273"/>
      <c r="AG4" s="55"/>
      <c r="AH4" s="274" t="s">
        <v>78</v>
      </c>
      <c r="AI4" s="140"/>
      <c r="AJ4" s="140"/>
      <c r="AK4" s="145"/>
      <c r="AL4" s="140"/>
      <c r="AM4" s="273"/>
      <c r="AN4" s="55"/>
      <c r="AO4" s="274" t="s">
        <v>78</v>
      </c>
      <c r="AP4" s="140"/>
      <c r="AQ4" s="56" t="s">
        <v>101</v>
      </c>
      <c r="AR4" s="272">
        <f>AG3</f>
        <v>0</v>
      </c>
    </row>
    <row r="5" spans="1:52" ht="13.5" thickBot="1" x14ac:dyDescent="0.25">
      <c r="E5" s="140"/>
      <c r="F5" s="140"/>
      <c r="W5" s="555"/>
      <c r="X5" s="556"/>
      <c r="Y5" s="556"/>
      <c r="Z5" s="1147">
        <f>SUM(W3:Z3)</f>
        <v>49361908.060066424</v>
      </c>
      <c r="AB5" s="275"/>
      <c r="AC5" s="276"/>
      <c r="AD5" s="277">
        <f>SUM(AB3:AD3)</f>
        <v>54824408.203205608</v>
      </c>
      <c r="AF5" s="275"/>
      <c r="AG5" s="276"/>
      <c r="AH5" s="277">
        <f>SUM(AF3:AH3)</f>
        <v>6717756.9231810682</v>
      </c>
      <c r="AK5" s="270"/>
      <c r="AM5" s="275"/>
      <c r="AN5" s="276"/>
      <c r="AO5" s="277">
        <f>SUM(AM3:AO3)</f>
        <v>-462278.66210878297</v>
      </c>
      <c r="AQ5" s="56" t="s">
        <v>102</v>
      </c>
      <c r="AR5" s="272">
        <f>AH3</f>
        <v>0</v>
      </c>
    </row>
    <row r="6" spans="1:52" ht="13.5" thickBot="1" x14ac:dyDescent="0.25">
      <c r="E6" s="140"/>
      <c r="F6" s="140"/>
      <c r="W6" s="55"/>
      <c r="X6" s="55"/>
      <c r="Y6" s="270"/>
      <c r="Z6" s="1142" t="s">
        <v>474</v>
      </c>
      <c r="AB6" s="55"/>
      <c r="AC6" s="55"/>
      <c r="AD6" s="270"/>
      <c r="AF6" s="55"/>
      <c r="AG6" s="55"/>
      <c r="AH6" s="270"/>
      <c r="AK6" s="270"/>
      <c r="AM6" s="55"/>
      <c r="AN6" s="55"/>
      <c r="AO6" s="270"/>
      <c r="AR6" s="272"/>
    </row>
    <row r="7" spans="1:52" ht="13.5" thickBot="1" x14ac:dyDescent="0.25">
      <c r="E7" s="518"/>
      <c r="F7" s="518"/>
      <c r="H7" s="1585" t="s">
        <v>123</v>
      </c>
      <c r="I7" s="1586"/>
      <c r="K7" s="1585" t="s">
        <v>125</v>
      </c>
      <c r="L7" s="1587"/>
      <c r="M7" s="1587"/>
      <c r="N7" s="1587"/>
      <c r="O7" s="1587"/>
      <c r="P7" s="1586"/>
      <c r="R7" s="1585" t="s">
        <v>124</v>
      </c>
      <c r="S7" s="1587"/>
      <c r="T7" s="1587"/>
      <c r="U7" s="1586"/>
      <c r="AD7" s="280"/>
      <c r="AO7" s="280"/>
      <c r="AQ7" s="56" t="s">
        <v>103</v>
      </c>
      <c r="AR7" s="281">
        <f>SUM(AR3:AR5)</f>
        <v>6717756.9231810682</v>
      </c>
      <c r="AU7" s="1150"/>
    </row>
    <row r="8" spans="1:52" x14ac:dyDescent="0.2">
      <c r="A8" s="86">
        <v>1</v>
      </c>
      <c r="D8" s="142"/>
      <c r="E8" s="518" t="s">
        <v>557</v>
      </c>
      <c r="F8" s="518" t="str">
        <f>E8</f>
        <v>UG-20XXXX</v>
      </c>
      <c r="G8" s="142"/>
      <c r="H8" s="148"/>
      <c r="I8" s="297"/>
      <c r="J8" s="142"/>
      <c r="K8" s="329" t="s">
        <v>17</v>
      </c>
      <c r="L8" s="330" t="s">
        <v>20</v>
      </c>
      <c r="M8" s="330" t="s">
        <v>17</v>
      </c>
      <c r="N8" s="330" t="s">
        <v>20</v>
      </c>
      <c r="O8" s="330" t="s">
        <v>17</v>
      </c>
      <c r="P8" s="331" t="s">
        <v>20</v>
      </c>
      <c r="Q8" s="142"/>
      <c r="R8" s="141"/>
      <c r="S8" s="282"/>
      <c r="T8" s="282"/>
      <c r="U8" s="283"/>
      <c r="V8" s="142"/>
      <c r="W8" s="1588" t="s">
        <v>126</v>
      </c>
      <c r="X8" s="1588"/>
      <c r="Y8" s="1588"/>
      <c r="Z8" s="1588"/>
      <c r="AA8" s="145"/>
      <c r="AB8" s="278"/>
      <c r="AC8" s="279" t="s">
        <v>244</v>
      </c>
      <c r="AD8" s="278"/>
      <c r="AE8" s="142"/>
      <c r="AG8" s="803" t="s">
        <v>127</v>
      </c>
      <c r="AI8" s="142"/>
      <c r="AJ8" s="422"/>
      <c r="AL8" s="142"/>
      <c r="AM8" s="278"/>
      <c r="AN8" s="279" t="s">
        <v>405</v>
      </c>
      <c r="AO8" s="278"/>
      <c r="AP8" s="142"/>
      <c r="AQ8" s="56" t="s">
        <v>104</v>
      </c>
      <c r="AR8" s="272"/>
      <c r="AU8" s="474"/>
      <c r="AV8" s="293"/>
    </row>
    <row r="9" spans="1:52" ht="13.5" thickBot="1" x14ac:dyDescent="0.25">
      <c r="A9" s="86">
        <f>+A8+1</f>
        <v>2</v>
      </c>
      <c r="D9" s="143"/>
      <c r="E9" s="144" t="s">
        <v>179</v>
      </c>
      <c r="F9" s="144" t="s">
        <v>179</v>
      </c>
      <c r="G9" s="143"/>
      <c r="H9" s="423" t="s">
        <v>118</v>
      </c>
      <c r="I9" s="1015" t="str">
        <f>E8</f>
        <v>UG-20XXXX</v>
      </c>
      <c r="J9" s="143"/>
      <c r="K9" s="332" t="str">
        <f>H9</f>
        <v>CURRENT</v>
      </c>
      <c r="L9" s="497" t="str">
        <f>E8</f>
        <v>UG-20XXXX</v>
      </c>
      <c r="M9" s="143" t="str">
        <f>K9</f>
        <v>CURRENT</v>
      </c>
      <c r="N9" s="497" t="str">
        <f>E8</f>
        <v>UG-20XXXX</v>
      </c>
      <c r="O9" s="143" t="str">
        <f>K9</f>
        <v>CURRENT</v>
      </c>
      <c r="P9" s="1015" t="str">
        <f>E8</f>
        <v>UG-20XXXX</v>
      </c>
      <c r="Q9" s="143"/>
      <c r="R9" s="1016" t="str">
        <f>E8</f>
        <v>UG-20XXXX</v>
      </c>
      <c r="S9" s="1017" t="str">
        <f>R9</f>
        <v>UG-20XXXX</v>
      </c>
      <c r="T9" s="1017" t="str">
        <f>S9</f>
        <v>UG-20XXXX</v>
      </c>
      <c r="U9" s="1018" t="str">
        <f>T9</f>
        <v>UG-20XXXX</v>
      </c>
      <c r="V9" s="143"/>
      <c r="W9" s="278"/>
      <c r="X9" s="278"/>
      <c r="Y9" s="278"/>
      <c r="Z9" s="278"/>
      <c r="AA9" s="145"/>
      <c r="AB9" s="278"/>
      <c r="AC9" s="1149" t="s">
        <v>477</v>
      </c>
      <c r="AD9" s="278"/>
      <c r="AE9" s="143"/>
      <c r="AF9" s="278"/>
      <c r="AG9" s="1149" t="s">
        <v>477</v>
      </c>
      <c r="AH9" s="278"/>
      <c r="AI9" s="143"/>
      <c r="AJ9" s="143"/>
      <c r="AK9" s="278"/>
      <c r="AL9" s="143"/>
      <c r="AM9" s="278"/>
      <c r="AN9" s="279"/>
      <c r="AO9" s="278"/>
      <c r="AP9" s="143"/>
      <c r="AQ9" s="604" t="s">
        <v>415</v>
      </c>
      <c r="AR9" s="272">
        <f>AO5</f>
        <v>-462278.66210878297</v>
      </c>
      <c r="AU9" s="596"/>
      <c r="AV9" s="293"/>
    </row>
    <row r="10" spans="1:52" ht="15.75" thickBot="1" x14ac:dyDescent="0.4">
      <c r="A10" s="86">
        <f t="shared" ref="A10:A73" si="2">+A9+1</f>
        <v>3</v>
      </c>
      <c r="D10" s="145"/>
      <c r="E10" s="59" t="s">
        <v>90</v>
      </c>
      <c r="F10" s="59" t="s">
        <v>90</v>
      </c>
      <c r="G10" s="145"/>
      <c r="H10" s="423" t="s">
        <v>105</v>
      </c>
      <c r="I10" s="783" t="s">
        <v>105</v>
      </c>
      <c r="J10" s="145"/>
      <c r="K10" s="289" t="s">
        <v>83</v>
      </c>
      <c r="L10" s="86" t="s">
        <v>83</v>
      </c>
      <c r="M10" s="145" t="s">
        <v>376</v>
      </c>
      <c r="N10" s="86" t="s">
        <v>376</v>
      </c>
      <c r="O10" s="145" t="s">
        <v>109</v>
      </c>
      <c r="P10" s="783" t="s">
        <v>109</v>
      </c>
      <c r="Q10" s="145"/>
      <c r="R10" s="284" t="s">
        <v>110</v>
      </c>
      <c r="S10" s="278" t="s">
        <v>110</v>
      </c>
      <c r="T10" s="278" t="s">
        <v>120</v>
      </c>
      <c r="U10" s="285" t="s">
        <v>70</v>
      </c>
      <c r="V10" s="145"/>
      <c r="W10" s="1580" t="s">
        <v>116</v>
      </c>
      <c r="X10" s="1581"/>
      <c r="Y10" s="1581"/>
      <c r="Z10" s="1582"/>
      <c r="AA10" s="143"/>
      <c r="AB10" s="1580" t="s">
        <v>117</v>
      </c>
      <c r="AC10" s="1581"/>
      <c r="AD10" s="1582"/>
      <c r="AE10" s="145"/>
      <c r="AF10" s="1580" t="s">
        <v>107</v>
      </c>
      <c r="AG10" s="1581"/>
      <c r="AH10" s="1582"/>
      <c r="AI10" s="145"/>
      <c r="AJ10" s="58" t="s">
        <v>136</v>
      </c>
      <c r="AK10" s="58" t="s">
        <v>114</v>
      </c>
      <c r="AL10" s="145"/>
      <c r="AM10" s="1580" t="s">
        <v>117</v>
      </c>
      <c r="AN10" s="1581"/>
      <c r="AO10" s="1582"/>
      <c r="AP10" s="145"/>
      <c r="AQ10" s="60" t="s">
        <v>91</v>
      </c>
      <c r="AR10" s="281">
        <f>AR7+AR9</f>
        <v>6255478.2610722855</v>
      </c>
      <c r="AU10" s="1177"/>
      <c r="AV10" s="1178"/>
      <c r="AW10" s="613"/>
      <c r="AX10" s="613"/>
      <c r="AY10" s="613"/>
      <c r="AZ10" s="613"/>
    </row>
    <row r="11" spans="1:52" s="57" customFormat="1" ht="13.5" thickBot="1" x14ac:dyDescent="0.25">
      <c r="A11" s="86">
        <f t="shared" si="2"/>
        <v>4</v>
      </c>
      <c r="B11" s="147"/>
      <c r="C11" s="147"/>
      <c r="D11" s="145"/>
      <c r="E11" s="172" t="s">
        <v>98</v>
      </c>
      <c r="F11" s="1144" t="s">
        <v>411</v>
      </c>
      <c r="G11" s="145"/>
      <c r="H11" s="426" t="s">
        <v>106</v>
      </c>
      <c r="I11" s="784" t="s">
        <v>106</v>
      </c>
      <c r="J11" s="145"/>
      <c r="K11" s="333" t="s">
        <v>71</v>
      </c>
      <c r="L11" s="358" t="s">
        <v>71</v>
      </c>
      <c r="M11" s="334" t="s">
        <v>71</v>
      </c>
      <c r="N11" s="358" t="s">
        <v>71</v>
      </c>
      <c r="O11" s="334" t="s">
        <v>71</v>
      </c>
      <c r="P11" s="784" t="s">
        <v>71</v>
      </c>
      <c r="Q11" s="145"/>
      <c r="R11" s="286" t="s">
        <v>111</v>
      </c>
      <c r="S11" s="287" t="s">
        <v>113</v>
      </c>
      <c r="T11" s="287" t="s">
        <v>75</v>
      </c>
      <c r="U11" s="288" t="s">
        <v>112</v>
      </c>
      <c r="V11" s="145"/>
      <c r="W11" s="289" t="s">
        <v>114</v>
      </c>
      <c r="X11" s="145" t="s">
        <v>115</v>
      </c>
      <c r="Y11" s="267" t="s">
        <v>99</v>
      </c>
      <c r="Z11" s="274" t="s">
        <v>475</v>
      </c>
      <c r="AA11" s="58"/>
      <c r="AB11" s="289" t="s">
        <v>114</v>
      </c>
      <c r="AC11" s="145" t="s">
        <v>115</v>
      </c>
      <c r="AD11" s="274" t="s">
        <v>99</v>
      </c>
      <c r="AE11" s="145"/>
      <c r="AF11" s="289" t="s">
        <v>114</v>
      </c>
      <c r="AG11" s="145" t="s">
        <v>115</v>
      </c>
      <c r="AH11" s="274" t="s">
        <v>99</v>
      </c>
      <c r="AI11" s="145"/>
      <c r="AJ11" s="58" t="s">
        <v>27</v>
      </c>
      <c r="AK11" s="58" t="s">
        <v>27</v>
      </c>
      <c r="AL11" s="145"/>
      <c r="AM11" s="266" t="s">
        <v>114</v>
      </c>
      <c r="AN11" s="267" t="s">
        <v>115</v>
      </c>
      <c r="AO11" s="268" t="s">
        <v>99</v>
      </c>
      <c r="AP11" s="145"/>
      <c r="AQ11" s="278"/>
      <c r="AR11" s="278"/>
      <c r="AS11" s="145"/>
      <c r="AU11" s="596"/>
      <c r="AV11" s="293"/>
    </row>
    <row r="12" spans="1:52" s="57" customFormat="1" ht="15" x14ac:dyDescent="0.35">
      <c r="A12" s="86">
        <f t="shared" si="2"/>
        <v>5</v>
      </c>
      <c r="B12" s="56"/>
      <c r="C12" s="56"/>
      <c r="D12" s="58"/>
      <c r="E12" s="150"/>
      <c r="F12" s="150"/>
      <c r="G12" s="58"/>
      <c r="H12" s="151"/>
      <c r="I12" s="603"/>
      <c r="J12" s="58"/>
      <c r="K12" s="335"/>
      <c r="L12" s="336"/>
      <c r="M12" s="336"/>
      <c r="N12" s="336"/>
      <c r="O12" s="336"/>
      <c r="P12" s="337"/>
      <c r="Q12" s="58"/>
      <c r="R12" s="290"/>
      <c r="S12" s="146"/>
      <c r="T12" s="146"/>
      <c r="U12" s="291"/>
      <c r="V12" s="58"/>
      <c r="W12" s="151"/>
      <c r="Z12" s="149"/>
      <c r="AB12" s="151"/>
      <c r="AD12" s="149"/>
      <c r="AE12" s="58"/>
      <c r="AF12" s="151"/>
      <c r="AH12" s="149"/>
      <c r="AI12" s="58"/>
      <c r="AJ12" s="58" t="s">
        <v>128</v>
      </c>
      <c r="AK12" s="58" t="s">
        <v>128</v>
      </c>
      <c r="AL12" s="58"/>
      <c r="AM12" s="151"/>
      <c r="AO12" s="149"/>
      <c r="AP12" s="58"/>
      <c r="AQ12" s="145"/>
      <c r="AR12" s="292">
        <f>'Rate Spread Proposal'!D21</f>
        <v>6255809.5678384118</v>
      </c>
      <c r="AS12" s="293" t="s">
        <v>157</v>
      </c>
      <c r="AU12" s="1177"/>
      <c r="AV12" s="1178"/>
      <c r="AW12" s="614"/>
      <c r="AX12" s="614"/>
      <c r="AY12" s="614"/>
      <c r="AZ12" s="614"/>
    </row>
    <row r="13" spans="1:52" s="57" customFormat="1" ht="13.5" thickBot="1" x14ac:dyDescent="0.25">
      <c r="A13" s="86">
        <f t="shared" si="2"/>
        <v>6</v>
      </c>
      <c r="B13" s="771" t="s">
        <v>2</v>
      </c>
      <c r="C13" s="771" t="s">
        <v>3</v>
      </c>
      <c r="D13" s="294"/>
      <c r="E13" s="294" t="s">
        <v>35</v>
      </c>
      <c r="F13" s="294" t="s">
        <v>36</v>
      </c>
      <c r="G13" s="294"/>
      <c r="H13" s="295" t="s">
        <v>13</v>
      </c>
      <c r="I13" s="296" t="s">
        <v>37</v>
      </c>
      <c r="J13" s="294"/>
      <c r="K13" s="295" t="s">
        <v>38</v>
      </c>
      <c r="L13" s="294" t="s">
        <v>39</v>
      </c>
      <c r="M13" s="294" t="s">
        <v>40</v>
      </c>
      <c r="N13" s="294" t="s">
        <v>41</v>
      </c>
      <c r="O13" s="294" t="s">
        <v>42</v>
      </c>
      <c r="P13" s="296" t="s">
        <v>129</v>
      </c>
      <c r="Q13" s="294"/>
      <c r="R13" s="295" t="s">
        <v>130</v>
      </c>
      <c r="S13" s="294" t="s">
        <v>43</v>
      </c>
      <c r="T13" s="294" t="s">
        <v>131</v>
      </c>
      <c r="U13" s="296" t="s">
        <v>132</v>
      </c>
      <c r="V13" s="58"/>
      <c r="W13" s="148" t="s">
        <v>133</v>
      </c>
      <c r="X13" s="58" t="s">
        <v>134</v>
      </c>
      <c r="Y13" s="58" t="s">
        <v>135</v>
      </c>
      <c r="Z13" s="297" t="s">
        <v>89</v>
      </c>
      <c r="AA13" s="58"/>
      <c r="AB13" s="148" t="s">
        <v>92</v>
      </c>
      <c r="AC13" s="58" t="s">
        <v>93</v>
      </c>
      <c r="AD13" s="297" t="s">
        <v>94</v>
      </c>
      <c r="AE13" s="58"/>
      <c r="AF13" s="148" t="s">
        <v>186</v>
      </c>
      <c r="AG13" s="58" t="s">
        <v>232</v>
      </c>
      <c r="AH13" s="297" t="s">
        <v>227</v>
      </c>
      <c r="AI13" s="58"/>
      <c r="AJ13" s="58" t="s">
        <v>127</v>
      </c>
      <c r="AK13" s="58" t="s">
        <v>127</v>
      </c>
      <c r="AL13" s="58"/>
      <c r="AM13" s="148" t="s">
        <v>233</v>
      </c>
      <c r="AN13" s="58" t="s">
        <v>234</v>
      </c>
      <c r="AO13" s="297" t="s">
        <v>235</v>
      </c>
      <c r="AP13" s="58"/>
      <c r="AR13" s="931">
        <f>AR12-AR10</f>
        <v>331.30676612630486</v>
      </c>
      <c r="AS13" s="293" t="s">
        <v>168</v>
      </c>
      <c r="AT13" s="932"/>
      <c r="AU13" s="1179"/>
      <c r="AV13" s="610"/>
    </row>
    <row r="14" spans="1:52" ht="12.95" customHeight="1" x14ac:dyDescent="0.2">
      <c r="A14" s="86">
        <f t="shared" si="2"/>
        <v>7</v>
      </c>
      <c r="B14" s="723" t="str">
        <f>'WA Volumes &amp; Revenues'!B15</f>
        <v>1R</v>
      </c>
      <c r="C14" s="723" t="s">
        <v>283</v>
      </c>
      <c r="D14" s="154"/>
      <c r="E14" s="772">
        <f>ROUND('Rates in Detail'!L13,5)</f>
        <v>0.13225000000000001</v>
      </c>
      <c r="F14" s="123">
        <f>'Allocation = % of Margin'!U14</f>
        <v>-9.1000000000000004E-3</v>
      </c>
      <c r="G14" s="154"/>
      <c r="H14" s="368">
        <f>ROUND('Rates in Detail'!N13,5)</f>
        <v>0.67652999999999996</v>
      </c>
      <c r="I14" s="773">
        <f>H14+E14</f>
        <v>0.80877999999999994</v>
      </c>
      <c r="J14" s="154"/>
      <c r="K14" s="155">
        <f>'WA Volumes &amp; Revenues'!O15</f>
        <v>5.5</v>
      </c>
      <c r="L14" s="156">
        <f>'WA Volumes &amp; Revenues'!N15</f>
        <v>5.5</v>
      </c>
      <c r="M14" s="122">
        <f>'Rates in Detail'!AF13</f>
        <v>0</v>
      </c>
      <c r="N14" s="122">
        <f>'Rates in Detail'!AG13</f>
        <v>0</v>
      </c>
      <c r="O14" s="122">
        <f>'Rates in Detail'!AH13</f>
        <v>0</v>
      </c>
      <c r="P14" s="774">
        <f>'Rates in Detail'!AI13</f>
        <v>0</v>
      </c>
      <c r="Q14" s="154"/>
      <c r="R14" s="298">
        <f>'WA Volumes &amp; Revenues'!E15</f>
        <v>214704.20066131229</v>
      </c>
      <c r="S14" s="299"/>
      <c r="T14" s="300">
        <f>'WA Volumes &amp; Revenues'!H15</f>
        <v>911</v>
      </c>
      <c r="U14" s="301">
        <f>'WA Volumes &amp; Revenues'!I15</f>
        <v>19.639970000000002</v>
      </c>
      <c r="V14" s="154"/>
      <c r="W14" s="302">
        <f>(H14*R14)</f>
        <v>145253.83287339759</v>
      </c>
      <c r="X14" s="303">
        <f>(K14*T14*12)</f>
        <v>60126</v>
      </c>
      <c r="Y14" s="303">
        <f t="shared" ref="Y14:Y21" si="3">(S14*(M14+O14))*12</f>
        <v>0</v>
      </c>
      <c r="Z14" s="304">
        <f>'Rate Spread Proposal'!E$15-SUM(W14:Y14)</f>
        <v>3255.2992440185044</v>
      </c>
      <c r="AA14" s="305"/>
      <c r="AB14" s="302">
        <f t="shared" ref="AB14:AB21" si="4">(I14*R14)</f>
        <v>173648.46341085614</v>
      </c>
      <c r="AC14" s="303">
        <f t="shared" ref="AC14:AC21" si="5">(L14*T14*12)</f>
        <v>60126</v>
      </c>
      <c r="AD14" s="304">
        <f t="shared" ref="AD14:AD21" si="6">(S14*(N14+P14))*12</f>
        <v>0</v>
      </c>
      <c r="AE14" s="305"/>
      <c r="AF14" s="302">
        <f t="shared" ref="AF14:AG21" si="7">AB14-W14</f>
        <v>28394.63053745855</v>
      </c>
      <c r="AG14" s="303">
        <f t="shared" si="7"/>
        <v>0</v>
      </c>
      <c r="AH14" s="304">
        <f t="shared" ref="AH14" si="8">AD14-Y14</f>
        <v>0</v>
      </c>
      <c r="AI14" s="305"/>
      <c r="AJ14" s="338"/>
      <c r="AK14" s="339"/>
      <c r="AL14" s="305"/>
      <c r="AM14" s="302">
        <f t="shared" ref="AM14:AM21" si="9">(F14*R14)</f>
        <v>-1953.8082260179419</v>
      </c>
      <c r="AN14" s="303">
        <v>0</v>
      </c>
      <c r="AO14" s="304">
        <f t="shared" ref="AO14" si="10">(AE14*(Y14+AB14))*12</f>
        <v>0</v>
      </c>
      <c r="AP14" s="305"/>
      <c r="AQ14" s="1579" t="s">
        <v>169</v>
      </c>
      <c r="AR14" s="1579"/>
      <c r="AS14" s="1579"/>
    </row>
    <row r="15" spans="1:52" x14ac:dyDescent="0.2">
      <c r="A15" s="86">
        <f t="shared" si="2"/>
        <v>8</v>
      </c>
      <c r="B15" s="724" t="str">
        <f>'WA Volumes &amp; Revenues'!B16</f>
        <v>1C</v>
      </c>
      <c r="C15" s="724" t="s">
        <v>283</v>
      </c>
      <c r="D15" s="157"/>
      <c r="E15" s="123">
        <f>ROUND('Rates in Detail'!L14,5)</f>
        <v>0.10997</v>
      </c>
      <c r="F15" s="123">
        <f>'Allocation = % of Margin'!U15</f>
        <v>-7.5599999999999999E-3</v>
      </c>
      <c r="G15" s="157"/>
      <c r="H15" s="368">
        <f>ROUND('Rates in Detail'!N14,5)</f>
        <v>0.73148999999999997</v>
      </c>
      <c r="I15" s="773">
        <f>H15+E15</f>
        <v>0.84145999999999999</v>
      </c>
      <c r="J15" s="157"/>
      <c r="K15" s="155">
        <f>'WA Volumes &amp; Revenues'!O16</f>
        <v>7</v>
      </c>
      <c r="L15" s="156">
        <f>'WA Volumes &amp; Revenues'!N16</f>
        <v>7</v>
      </c>
      <c r="M15" s="122">
        <f>'Rates in Detail'!AF14</f>
        <v>0</v>
      </c>
      <c r="N15" s="122">
        <f>'Rates in Detail'!AG14</f>
        <v>0</v>
      </c>
      <c r="O15" s="122">
        <f>'Rates in Detail'!AH14</f>
        <v>0</v>
      </c>
      <c r="P15" s="774">
        <f>'Rates in Detail'!AI14</f>
        <v>0</v>
      </c>
      <c r="Q15" s="157"/>
      <c r="R15" s="298">
        <f>'WA Volumes &amp; Revenues'!E16</f>
        <v>46539.057144390383</v>
      </c>
      <c r="S15" s="299"/>
      <c r="T15" s="300">
        <f>'WA Volumes &amp; Revenues'!H16</f>
        <v>34</v>
      </c>
      <c r="U15" s="301">
        <f>'WA Volumes &amp; Revenues'!I16</f>
        <v>114.06632</v>
      </c>
      <c r="V15" s="157"/>
      <c r="W15" s="306">
        <f>(H15*R15)</f>
        <v>34042.854910550122</v>
      </c>
      <c r="X15" s="307">
        <f>(K15*T15*12)</f>
        <v>2856</v>
      </c>
      <c r="Y15" s="307">
        <f t="shared" si="3"/>
        <v>0</v>
      </c>
      <c r="Z15" s="308">
        <f>'Rate Spread Proposal'!F$15-SUM(W15:Y15)</f>
        <v>705.52591135216062</v>
      </c>
      <c r="AA15" s="309"/>
      <c r="AB15" s="306">
        <f>(I15*R15)</f>
        <v>39160.755024718732</v>
      </c>
      <c r="AC15" s="307">
        <f>(L15*T15*12)</f>
        <v>2856</v>
      </c>
      <c r="AD15" s="308">
        <f>(S15*(N15+P15))*12</f>
        <v>0</v>
      </c>
      <c r="AE15" s="309"/>
      <c r="AF15" s="306">
        <f t="shared" si="7"/>
        <v>5117.9001141686094</v>
      </c>
      <c r="AG15" s="307">
        <f t="shared" si="7"/>
        <v>0</v>
      </c>
      <c r="AH15" s="308">
        <f t="shared" ref="AH15:AH21" si="11">AD15-Y15</f>
        <v>0</v>
      </c>
      <c r="AI15" s="309"/>
      <c r="AJ15" s="338"/>
      <c r="AK15" s="339"/>
      <c r="AL15" s="309"/>
      <c r="AM15" s="306">
        <f>(F15*R15)</f>
        <v>-351.83527201159131</v>
      </c>
      <c r="AN15" s="307">
        <v>0</v>
      </c>
      <c r="AO15" s="308">
        <f t="shared" ref="AO15:AO21" si="12">(AE15*(Y15+AB15))*12</f>
        <v>0</v>
      </c>
      <c r="AP15" s="309"/>
      <c r="AQ15" s="310"/>
      <c r="AR15" s="310"/>
      <c r="AS15" s="309"/>
    </row>
    <row r="16" spans="1:52" x14ac:dyDescent="0.2">
      <c r="A16" s="86">
        <f t="shared" si="2"/>
        <v>9</v>
      </c>
      <c r="B16" s="724" t="str">
        <f>'WA Volumes &amp; Revenues'!B17</f>
        <v>2R</v>
      </c>
      <c r="C16" s="724" t="s">
        <v>283</v>
      </c>
      <c r="D16" s="157"/>
      <c r="E16" s="772">
        <f>ROUND('Rates in Detail'!L15,5)</f>
        <v>8.3699999999999997E-2</v>
      </c>
      <c r="F16" s="772">
        <f>'Allocation = % of Margin'!U16</f>
        <v>-5.7600000000000004E-3</v>
      </c>
      <c r="G16" s="157"/>
      <c r="H16" s="368">
        <f>ROUND('Rates in Detail'!N15,5)</f>
        <v>0.45816000000000001</v>
      </c>
      <c r="I16" s="773">
        <f t="shared" ref="I16:I77" si="13">H16+E16</f>
        <v>0.54186000000000001</v>
      </c>
      <c r="J16" s="157"/>
      <c r="K16" s="155">
        <f>'WA Volumes &amp; Revenues'!O17</f>
        <v>8</v>
      </c>
      <c r="L16" s="156">
        <f>'WA Volumes &amp; Revenues'!N17</f>
        <v>8</v>
      </c>
      <c r="M16" s="122">
        <f>'Rates in Detail'!AF15</f>
        <v>0</v>
      </c>
      <c r="N16" s="122">
        <f>'Rates in Detail'!AG15</f>
        <v>0</v>
      </c>
      <c r="O16" s="122">
        <f>'Rates in Detail'!AH15</f>
        <v>0</v>
      </c>
      <c r="P16" s="774">
        <f>'Rates in Detail'!AI15</f>
        <v>0</v>
      </c>
      <c r="Q16" s="157"/>
      <c r="R16" s="298">
        <f>'WA Volumes &amp; Revenues'!E17</f>
        <v>54953515.785084128</v>
      </c>
      <c r="S16" s="311"/>
      <c r="T16" s="300">
        <f>'WA Volumes &amp; Revenues'!H17</f>
        <v>81119</v>
      </c>
      <c r="U16" s="301">
        <f>'WA Volumes &amp; Revenues'!I17</f>
        <v>56.453600000000002</v>
      </c>
      <c r="V16" s="157"/>
      <c r="W16" s="306">
        <f t="shared" ref="W16:W21" si="14">(H16*R16)</f>
        <v>25177502.792094145</v>
      </c>
      <c r="X16" s="307">
        <f t="shared" ref="X16:X18" si="15">(K16*T16*12)</f>
        <v>7787424</v>
      </c>
      <c r="Y16" s="307">
        <f t="shared" si="3"/>
        <v>0</v>
      </c>
      <c r="Z16" s="308">
        <f>'Rate Spread Proposal'!G$15-SUM(W16:Y16)</f>
        <v>833172.79760340229</v>
      </c>
      <c r="AA16" s="309"/>
      <c r="AB16" s="306">
        <f t="shared" si="4"/>
        <v>29777112.063305687</v>
      </c>
      <c r="AC16" s="307">
        <f t="shared" si="5"/>
        <v>7787424</v>
      </c>
      <c r="AD16" s="308">
        <f t="shared" si="6"/>
        <v>0</v>
      </c>
      <c r="AE16" s="309"/>
      <c r="AF16" s="306">
        <f t="shared" si="7"/>
        <v>4599609.2712115422</v>
      </c>
      <c r="AG16" s="307">
        <f t="shared" si="7"/>
        <v>0</v>
      </c>
      <c r="AH16" s="308">
        <f t="shared" si="11"/>
        <v>0</v>
      </c>
      <c r="AI16" s="309"/>
      <c r="AJ16" s="338">
        <f>SUM(AF16:AH16)/SUM(W16:Y16)</f>
        <v>0.13953039544788703</v>
      </c>
      <c r="AK16" s="339">
        <f t="shared" ref="AK16:AK41" si="16">SUM(AF16)/SUM(W16)</f>
        <v>0.18268727082242014</v>
      </c>
      <c r="AL16" s="309"/>
      <c r="AM16" s="306">
        <f t="shared" si="9"/>
        <v>-316532.25092208461</v>
      </c>
      <c r="AN16" s="307">
        <v>0</v>
      </c>
      <c r="AO16" s="308">
        <f t="shared" si="12"/>
        <v>0</v>
      </c>
      <c r="AP16" s="309"/>
      <c r="AQ16" s="310"/>
      <c r="AR16" s="50"/>
      <c r="AS16" s="309"/>
    </row>
    <row r="17" spans="1:45" x14ac:dyDescent="0.2">
      <c r="A17" s="86">
        <f t="shared" si="2"/>
        <v>10</v>
      </c>
      <c r="B17" s="724" t="str">
        <f>'WA Volumes &amp; Revenues'!B18</f>
        <v>3 CFS</v>
      </c>
      <c r="C17" s="724" t="s">
        <v>283</v>
      </c>
      <c r="D17" s="157"/>
      <c r="E17" s="123">
        <f>ROUND('Rates in Detail'!L16,5)</f>
        <v>7.5149999999999995E-2</v>
      </c>
      <c r="F17" s="123">
        <f>'Allocation = % of Margin'!U17</f>
        <v>-5.1700000000000001E-3</v>
      </c>
      <c r="G17" s="157"/>
      <c r="H17" s="368">
        <f>ROUND('Rates in Detail'!N16,5)</f>
        <v>0.44368000000000002</v>
      </c>
      <c r="I17" s="773">
        <f t="shared" si="13"/>
        <v>0.51883000000000001</v>
      </c>
      <c r="J17" s="157"/>
      <c r="K17" s="155">
        <f>'WA Volumes &amp; Revenues'!O18</f>
        <v>22</v>
      </c>
      <c r="L17" s="156">
        <f>'WA Volumes &amp; Revenues'!N18</f>
        <v>22</v>
      </c>
      <c r="M17" s="122">
        <f>'Rates in Detail'!AF16</f>
        <v>0</v>
      </c>
      <c r="N17" s="122">
        <f>'Rates in Detail'!AG16</f>
        <v>0</v>
      </c>
      <c r="O17" s="122">
        <f>'Rates in Detail'!AH16</f>
        <v>0</v>
      </c>
      <c r="P17" s="774">
        <f>'Rates in Detail'!AI16</f>
        <v>0</v>
      </c>
      <c r="Q17" s="157"/>
      <c r="R17" s="298">
        <f>'WA Volumes &amp; Revenues'!E18</f>
        <v>17867210.60654201</v>
      </c>
      <c r="S17" s="311"/>
      <c r="T17" s="300">
        <f>'WA Volumes &amp; Revenues'!H18</f>
        <v>6318</v>
      </c>
      <c r="U17" s="301">
        <f>'WA Volumes &amp; Revenues'!I18</f>
        <v>235.66542999999999</v>
      </c>
      <c r="V17" s="157"/>
      <c r="W17" s="306">
        <f t="shared" si="14"/>
        <v>7927324.0019105589</v>
      </c>
      <c r="X17" s="307">
        <f t="shared" si="15"/>
        <v>1667952</v>
      </c>
      <c r="Y17" s="307">
        <f t="shared" si="3"/>
        <v>0</v>
      </c>
      <c r="Z17" s="308">
        <f>'Rate Spread Proposal'!H$15-SUM(W17:Y17)</f>
        <v>270892.06692284904</v>
      </c>
      <c r="AA17" s="309"/>
      <c r="AB17" s="306">
        <f t="shared" si="4"/>
        <v>9270044.8789921906</v>
      </c>
      <c r="AC17" s="307">
        <f t="shared" si="5"/>
        <v>1667952</v>
      </c>
      <c r="AD17" s="308">
        <f t="shared" si="6"/>
        <v>0</v>
      </c>
      <c r="AE17" s="309"/>
      <c r="AF17" s="306">
        <f t="shared" si="7"/>
        <v>1342720.8770816317</v>
      </c>
      <c r="AG17" s="307">
        <f t="shared" si="7"/>
        <v>0</v>
      </c>
      <c r="AH17" s="308">
        <f t="shared" si="11"/>
        <v>0</v>
      </c>
      <c r="AI17" s="309"/>
      <c r="AJ17" s="338">
        <f>SUM(AF17:AH17)/SUM(W17:Y17)</f>
        <v>0.13993561798683815</v>
      </c>
      <c r="AK17" s="339">
        <f t="shared" si="16"/>
        <v>0.16937883159033534</v>
      </c>
      <c r="AL17" s="309"/>
      <c r="AM17" s="306">
        <f t="shared" si="9"/>
        <v>-92373.478835822199</v>
      </c>
      <c r="AN17" s="307">
        <v>0</v>
      </c>
      <c r="AO17" s="308">
        <f t="shared" si="12"/>
        <v>0</v>
      </c>
      <c r="AP17" s="309"/>
      <c r="AQ17" s="310"/>
      <c r="AR17" s="310"/>
      <c r="AS17" s="309"/>
    </row>
    <row r="18" spans="1:45" x14ac:dyDescent="0.2">
      <c r="A18" s="86">
        <f t="shared" si="2"/>
        <v>11</v>
      </c>
      <c r="B18" s="724" t="str">
        <f>'WA Volumes &amp; Revenues'!B19</f>
        <v>3 IFS</v>
      </c>
      <c r="C18" s="724" t="s">
        <v>283</v>
      </c>
      <c r="D18" s="157"/>
      <c r="E18" s="123">
        <f>ROUND('Rates in Detail'!L17,5)</f>
        <v>6.8080000000000002E-2</v>
      </c>
      <c r="F18" s="123">
        <f>'Allocation = % of Margin'!U18</f>
        <v>-4.6899999999999997E-3</v>
      </c>
      <c r="G18" s="157"/>
      <c r="H18" s="368">
        <f>ROUND('Rates in Detail'!N17,5)</f>
        <v>0.46249000000000001</v>
      </c>
      <c r="I18" s="773">
        <f t="shared" si="13"/>
        <v>0.53056999999999999</v>
      </c>
      <c r="J18" s="157"/>
      <c r="K18" s="155">
        <f>'WA Volumes &amp; Revenues'!O19</f>
        <v>22</v>
      </c>
      <c r="L18" s="156">
        <f>'WA Volumes &amp; Revenues'!N19</f>
        <v>22</v>
      </c>
      <c r="M18" s="122">
        <f>'Rates in Detail'!AF17</f>
        <v>0</v>
      </c>
      <c r="N18" s="122">
        <f>'Rates in Detail'!AG17</f>
        <v>0</v>
      </c>
      <c r="O18" s="122">
        <f>'Rates in Detail'!AH17</f>
        <v>0</v>
      </c>
      <c r="P18" s="774">
        <f>'Rates in Detail'!AI17</f>
        <v>0</v>
      </c>
      <c r="Q18" s="157"/>
      <c r="R18" s="298">
        <f>'WA Volumes &amp; Revenues'!E19</f>
        <v>283651.99999999994</v>
      </c>
      <c r="S18" s="311"/>
      <c r="T18" s="300">
        <f>'WA Volumes &amp; Revenues'!H19</f>
        <v>24.25</v>
      </c>
      <c r="U18" s="301">
        <f>'WA Volumes &amp; Revenues'!I19</f>
        <v>974.74914000000001</v>
      </c>
      <c r="V18" s="157"/>
      <c r="W18" s="306">
        <f t="shared" si="14"/>
        <v>131186.21347999998</v>
      </c>
      <c r="X18" s="307">
        <f t="shared" si="15"/>
        <v>6402</v>
      </c>
      <c r="Y18" s="307">
        <f t="shared" si="3"/>
        <v>0</v>
      </c>
      <c r="Z18" s="308">
        <f>'Rate Spread Proposal'!I$15-SUM(W18:Y18)</f>
        <v>4300.5115719015885</v>
      </c>
      <c r="AA18" s="309"/>
      <c r="AB18" s="306">
        <f t="shared" si="4"/>
        <v>150497.24163999996</v>
      </c>
      <c r="AC18" s="307">
        <f t="shared" si="5"/>
        <v>6402</v>
      </c>
      <c r="AD18" s="308">
        <f t="shared" si="6"/>
        <v>0</v>
      </c>
      <c r="AE18" s="309"/>
      <c r="AF18" s="306">
        <f t="shared" si="7"/>
        <v>19311.028159999987</v>
      </c>
      <c r="AG18" s="307">
        <f t="shared" si="7"/>
        <v>0</v>
      </c>
      <c r="AH18" s="308">
        <f t="shared" si="11"/>
        <v>0</v>
      </c>
      <c r="AI18" s="309"/>
      <c r="AJ18" s="338">
        <f>SUM(AF18:AH18)/SUM(W18:Y18)</f>
        <v>0.14035379682291657</v>
      </c>
      <c r="AK18" s="339">
        <f t="shared" si="16"/>
        <v>0.14720318277151931</v>
      </c>
      <c r="AL18" s="309"/>
      <c r="AM18" s="306">
        <f t="shared" si="9"/>
        <v>-1330.3278799999996</v>
      </c>
      <c r="AN18" s="307">
        <v>0</v>
      </c>
      <c r="AO18" s="308">
        <f t="shared" si="12"/>
        <v>0</v>
      </c>
      <c r="AP18" s="309"/>
      <c r="AQ18" s="310"/>
      <c r="AR18" s="310"/>
      <c r="AS18" s="309"/>
    </row>
    <row r="19" spans="1:45" x14ac:dyDescent="0.2">
      <c r="A19" s="86">
        <f t="shared" si="2"/>
        <v>12</v>
      </c>
      <c r="B19" s="724" t="str">
        <f>'WA Volumes &amp; Revenues'!B20</f>
        <v>27R</v>
      </c>
      <c r="C19" s="724" t="s">
        <v>283</v>
      </c>
      <c r="D19" s="157"/>
      <c r="E19" s="123">
        <f>ROUND('Rates in Detail'!L18,5)</f>
        <v>5.9569999999999998E-2</v>
      </c>
      <c r="F19" s="123">
        <f>'Allocation = % of Margin'!U19</f>
        <v>-4.1000000000000003E-3</v>
      </c>
      <c r="G19" s="157"/>
      <c r="H19" s="368">
        <f>ROUND('Rates in Detail'!N18,5)</f>
        <v>0.24088000000000001</v>
      </c>
      <c r="I19" s="773">
        <f t="shared" si="13"/>
        <v>0.30044999999999999</v>
      </c>
      <c r="J19" s="157"/>
      <c r="K19" s="155">
        <f>'WA Volumes &amp; Revenues'!O20</f>
        <v>9</v>
      </c>
      <c r="L19" s="156">
        <f>'WA Volumes &amp; Revenues'!N20</f>
        <v>9</v>
      </c>
      <c r="M19" s="122">
        <f>'Rates in Detail'!AF18</f>
        <v>0</v>
      </c>
      <c r="N19" s="122">
        <f>'Rates in Detail'!AG18</f>
        <v>0</v>
      </c>
      <c r="O19" s="122">
        <f>'Rates in Detail'!AH18</f>
        <v>0</v>
      </c>
      <c r="P19" s="774">
        <f>'Rates in Detail'!AI18</f>
        <v>0</v>
      </c>
      <c r="Q19" s="157"/>
      <c r="R19" s="298">
        <f>'WA Volumes &amp; Revenues'!E20</f>
        <v>461371.76933137607</v>
      </c>
      <c r="S19" s="311"/>
      <c r="T19" s="300">
        <f>'WA Volumes &amp; Revenues'!H20</f>
        <v>776</v>
      </c>
      <c r="U19" s="301">
        <f>'WA Volumes &amp; Revenues'!I20</f>
        <v>49.545940000000002</v>
      </c>
      <c r="V19" s="157"/>
      <c r="W19" s="306">
        <f t="shared" si="14"/>
        <v>111135.23179654188</v>
      </c>
      <c r="X19" s="307">
        <f>(K19*T19*12)</f>
        <v>83808</v>
      </c>
      <c r="Y19" s="307">
        <f t="shared" si="3"/>
        <v>0</v>
      </c>
      <c r="Z19" s="308">
        <f>'Rate Spread Proposal'!J$15-SUM(W19:Y19)</f>
        <v>6994.9725814764388</v>
      </c>
      <c r="AA19" s="309"/>
      <c r="AB19" s="306">
        <f t="shared" si="4"/>
        <v>138619.14809561195</v>
      </c>
      <c r="AC19" s="307">
        <f t="shared" si="5"/>
        <v>83808</v>
      </c>
      <c r="AD19" s="308">
        <f t="shared" si="6"/>
        <v>0</v>
      </c>
      <c r="AE19" s="309"/>
      <c r="AF19" s="306">
        <f t="shared" si="7"/>
        <v>27483.916299070072</v>
      </c>
      <c r="AG19" s="307">
        <f t="shared" si="7"/>
        <v>0</v>
      </c>
      <c r="AH19" s="308">
        <f t="shared" si="11"/>
        <v>0</v>
      </c>
      <c r="AI19" s="309"/>
      <c r="AJ19" s="338">
        <f>SUM(AF19:AH19)/SUM(W19:Y19)</f>
        <v>0.14098420368733011</v>
      </c>
      <c r="AK19" s="339">
        <f t="shared" si="16"/>
        <v>0.24730156094320821</v>
      </c>
      <c r="AL19" s="309"/>
      <c r="AM19" s="306">
        <f t="shared" si="9"/>
        <v>-1891.6242542586419</v>
      </c>
      <c r="AN19" s="307">
        <v>0</v>
      </c>
      <c r="AO19" s="308">
        <f t="shared" si="12"/>
        <v>0</v>
      </c>
      <c r="AP19" s="309"/>
      <c r="AQ19" s="310"/>
      <c r="AR19" s="310"/>
      <c r="AS19" s="309"/>
    </row>
    <row r="20" spans="1:45" x14ac:dyDescent="0.2">
      <c r="A20" s="86">
        <f t="shared" si="2"/>
        <v>13</v>
      </c>
      <c r="B20" s="733" t="str">
        <f>'WA Volumes &amp; Revenues'!B21</f>
        <v>41C Firm Sales</v>
      </c>
      <c r="C20" s="726" t="s">
        <v>4</v>
      </c>
      <c r="D20" s="157"/>
      <c r="E20" s="122">
        <f>ROUND('Rates in Detail'!L19,5)</f>
        <v>5.9679999999999997E-2</v>
      </c>
      <c r="F20" s="122">
        <f>'Allocation = % of Margin'!U20</f>
        <v>-4.1099999999999999E-3</v>
      </c>
      <c r="G20" s="157"/>
      <c r="H20" s="373">
        <f>ROUND('Rates in Detail'!N19,5)</f>
        <v>0.34473999999999999</v>
      </c>
      <c r="I20" s="774">
        <f t="shared" si="13"/>
        <v>0.40442</v>
      </c>
      <c r="J20" s="157"/>
      <c r="K20" s="155">
        <f>'WA Volumes &amp; Revenues'!O21</f>
        <v>250</v>
      </c>
      <c r="L20" s="156">
        <f>'WA Volumes &amp; Revenues'!N21</f>
        <v>250</v>
      </c>
      <c r="M20" s="122">
        <f>'Rates in Detail'!AF19</f>
        <v>0</v>
      </c>
      <c r="N20" s="122">
        <f>'Rates in Detail'!AG19</f>
        <v>0</v>
      </c>
      <c r="O20" s="122">
        <f>'Rates in Detail'!AH19</f>
        <v>0</v>
      </c>
      <c r="P20" s="774">
        <f>'Rates in Detail'!AI19</f>
        <v>0</v>
      </c>
      <c r="Q20" s="157"/>
      <c r="R20" s="298">
        <f>'WA Volumes &amp; Revenues'!E21</f>
        <v>1777065.1510316674</v>
      </c>
      <c r="S20" s="311"/>
      <c r="T20" s="300">
        <f>'WA Volumes &amp; Revenues'!H21</f>
        <v>91</v>
      </c>
      <c r="U20" s="301">
        <f>'WA Volumes &amp; Revenues'!I21</f>
        <v>3436</v>
      </c>
      <c r="V20" s="157"/>
      <c r="W20" s="313">
        <f t="shared" si="14"/>
        <v>612625.44016665698</v>
      </c>
      <c r="X20" s="309">
        <f t="shared" ref="X20:X21" si="17">(K20*T20*12)</f>
        <v>273000</v>
      </c>
      <c r="Y20" s="309">
        <f t="shared" si="3"/>
        <v>0</v>
      </c>
      <c r="Z20" s="314"/>
      <c r="AA20" s="309"/>
      <c r="AB20" s="313">
        <f t="shared" si="4"/>
        <v>718680.68838022696</v>
      </c>
      <c r="AC20" s="309">
        <f t="shared" si="5"/>
        <v>273000</v>
      </c>
      <c r="AD20" s="314">
        <f t="shared" si="6"/>
        <v>0</v>
      </c>
      <c r="AE20" s="309"/>
      <c r="AF20" s="313">
        <f t="shared" si="7"/>
        <v>106055.24821356998</v>
      </c>
      <c r="AG20" s="309">
        <f t="shared" si="7"/>
        <v>0</v>
      </c>
      <c r="AH20" s="314">
        <f t="shared" si="11"/>
        <v>0</v>
      </c>
      <c r="AI20" s="309"/>
      <c r="AJ20" s="338"/>
      <c r="AK20" s="340">
        <f t="shared" si="16"/>
        <v>0.17311597145675015</v>
      </c>
      <c r="AL20" s="309"/>
      <c r="AM20" s="313">
        <f t="shared" si="9"/>
        <v>-7303.7377707401529</v>
      </c>
      <c r="AN20" s="309">
        <v>0</v>
      </c>
      <c r="AO20" s="314">
        <f t="shared" si="12"/>
        <v>0</v>
      </c>
      <c r="AP20" s="309"/>
      <c r="AQ20" s="310"/>
      <c r="AR20" s="310"/>
      <c r="AS20" s="309"/>
    </row>
    <row r="21" spans="1:45" x14ac:dyDescent="0.2">
      <c r="A21" s="86">
        <f t="shared" si="2"/>
        <v>14</v>
      </c>
      <c r="B21" s="725"/>
      <c r="C21" s="726" t="s">
        <v>5</v>
      </c>
      <c r="D21" s="157"/>
      <c r="E21" s="122">
        <f>ROUND('Rates in Detail'!L20,5)</f>
        <v>5.2589999999999998E-2</v>
      </c>
      <c r="F21" s="122">
        <f>'Allocation = % of Margin'!U21</f>
        <v>-3.62E-3</v>
      </c>
      <c r="G21" s="157"/>
      <c r="H21" s="373">
        <f>ROUND('Rates in Detail'!N20,5)</f>
        <v>0.30376999999999998</v>
      </c>
      <c r="I21" s="774">
        <f t="shared" si="13"/>
        <v>0.35636000000000001</v>
      </c>
      <c r="J21" s="157"/>
      <c r="K21" s="155"/>
      <c r="L21" s="156"/>
      <c r="M21" s="157"/>
      <c r="N21" s="157"/>
      <c r="O21" s="157"/>
      <c r="P21" s="158"/>
      <c r="Q21" s="157"/>
      <c r="R21" s="298">
        <f>'WA Volumes &amp; Revenues'!E22</f>
        <v>1974656.4658023661</v>
      </c>
      <c r="S21" s="311"/>
      <c r="T21" s="300"/>
      <c r="U21" s="301"/>
      <c r="V21" s="157"/>
      <c r="W21" s="313">
        <f t="shared" si="14"/>
        <v>599841.39461678476</v>
      </c>
      <c r="X21" s="309">
        <f t="shared" si="17"/>
        <v>0</v>
      </c>
      <c r="Y21" s="309">
        <f t="shared" si="3"/>
        <v>0</v>
      </c>
      <c r="Z21" s="314"/>
      <c r="AA21" s="309"/>
      <c r="AB21" s="313">
        <f t="shared" si="4"/>
        <v>703688.57815333118</v>
      </c>
      <c r="AC21" s="309">
        <f t="shared" si="5"/>
        <v>0</v>
      </c>
      <c r="AD21" s="314">
        <f t="shared" si="6"/>
        <v>0</v>
      </c>
      <c r="AE21" s="309"/>
      <c r="AF21" s="313">
        <f t="shared" si="7"/>
        <v>103847.18353654642</v>
      </c>
      <c r="AG21" s="309">
        <f t="shared" si="7"/>
        <v>0</v>
      </c>
      <c r="AH21" s="314">
        <f t="shared" si="11"/>
        <v>0</v>
      </c>
      <c r="AI21" s="309"/>
      <c r="AJ21" s="338"/>
      <c r="AK21" s="340">
        <f t="shared" si="16"/>
        <v>0.17312440333146786</v>
      </c>
      <c r="AL21" s="309"/>
      <c r="AM21" s="313">
        <f t="shared" si="9"/>
        <v>-7148.2564062045658</v>
      </c>
      <c r="AN21" s="309">
        <v>0</v>
      </c>
      <c r="AO21" s="314">
        <f t="shared" si="12"/>
        <v>0</v>
      </c>
      <c r="AP21" s="309"/>
      <c r="AQ21" s="310"/>
      <c r="AR21" s="310"/>
      <c r="AS21" s="309"/>
    </row>
    <row r="22" spans="1:45" x14ac:dyDescent="0.2">
      <c r="A22" s="86">
        <f t="shared" si="2"/>
        <v>15</v>
      </c>
      <c r="B22" s="723"/>
      <c r="C22" s="742" t="s">
        <v>78</v>
      </c>
      <c r="D22" s="153"/>
      <c r="E22" s="123"/>
      <c r="F22" s="123"/>
      <c r="G22" s="153"/>
      <c r="H22" s="368"/>
      <c r="I22" s="773"/>
      <c r="J22" s="157"/>
      <c r="K22" s="155"/>
      <c r="L22" s="156"/>
      <c r="M22" s="157"/>
      <c r="N22" s="157"/>
      <c r="O22" s="157"/>
      <c r="P22" s="158"/>
      <c r="Q22" s="157"/>
      <c r="R22" s="298"/>
      <c r="S22" s="311"/>
      <c r="T22" s="300"/>
      <c r="U22" s="301"/>
      <c r="V22" s="157"/>
      <c r="W22" s="315">
        <f>SUM(W20:W21)</f>
        <v>1212466.8347834419</v>
      </c>
      <c r="X22" s="316">
        <f t="shared" ref="X22:Y22" si="18">SUM(X20:X21)</f>
        <v>273000</v>
      </c>
      <c r="Y22" s="316">
        <f t="shared" si="18"/>
        <v>0</v>
      </c>
      <c r="Z22" s="317">
        <f>'Rate Spread Proposal'!K$15-SUM(W22:Y22)</f>
        <v>56881.34053159412</v>
      </c>
      <c r="AA22" s="309"/>
      <c r="AB22" s="315">
        <f>SUM(AB20:AB21)</f>
        <v>1422369.2665335583</v>
      </c>
      <c r="AC22" s="316">
        <f t="shared" ref="AC22:AD22" si="19">SUM(AC20:AC21)</f>
        <v>273000</v>
      </c>
      <c r="AD22" s="317">
        <f t="shared" si="19"/>
        <v>0</v>
      </c>
      <c r="AE22" s="309"/>
      <c r="AF22" s="315">
        <f>SUM(AF20:AF21)</f>
        <v>209902.4317501164</v>
      </c>
      <c r="AG22" s="316">
        <f t="shared" ref="AG22:AH22" si="20">SUM(AG20:AG21)</f>
        <v>0</v>
      </c>
      <c r="AH22" s="317">
        <f t="shared" si="20"/>
        <v>0</v>
      </c>
      <c r="AI22" s="309"/>
      <c r="AJ22" s="338">
        <f>SUM(AF22:AH22)/SUM(W22:Y22)</f>
        <v>0.14130401758900052</v>
      </c>
      <c r="AK22" s="339">
        <f t="shared" si="16"/>
        <v>0.17312014294197745</v>
      </c>
      <c r="AL22" s="309"/>
      <c r="AM22" s="315">
        <f>SUM(AM20:AM21)</f>
        <v>-14451.994176944718</v>
      </c>
      <c r="AN22" s="316">
        <f t="shared" ref="AN22:AO22" si="21">SUM(AN20:AN21)</f>
        <v>0</v>
      </c>
      <c r="AO22" s="317">
        <f t="shared" si="21"/>
        <v>0</v>
      </c>
      <c r="AP22" s="309"/>
      <c r="AQ22" s="310"/>
      <c r="AR22" s="310"/>
      <c r="AS22" s="309"/>
    </row>
    <row r="23" spans="1:45" x14ac:dyDescent="0.2">
      <c r="A23" s="86">
        <f t="shared" si="2"/>
        <v>16</v>
      </c>
      <c r="B23" s="733" t="str">
        <f>'WA Volumes &amp; Revenues'!B23</f>
        <v>41I Firm Sales</v>
      </c>
      <c r="C23" s="726" t="s">
        <v>4</v>
      </c>
      <c r="D23" s="157"/>
      <c r="E23" s="122">
        <f>ROUND('Rates in Detail'!L21,5)</f>
        <v>5.6809999999999999E-2</v>
      </c>
      <c r="F23" s="122">
        <f>'Allocation = % of Margin'!U22</f>
        <v>-3.9100000000000003E-3</v>
      </c>
      <c r="G23" s="157"/>
      <c r="H23" s="373">
        <f>ROUND('Rates in Detail'!N21,5)</f>
        <v>0.34416000000000002</v>
      </c>
      <c r="I23" s="774">
        <f t="shared" si="13"/>
        <v>0.40097000000000005</v>
      </c>
      <c r="J23" s="157"/>
      <c r="K23" s="155">
        <f>'WA Volumes &amp; Revenues'!O23</f>
        <v>250</v>
      </c>
      <c r="L23" s="156">
        <f>'WA Volumes &amp; Revenues'!N23</f>
        <v>250</v>
      </c>
      <c r="M23" s="122">
        <f>'Rates in Detail'!AF21</f>
        <v>0</v>
      </c>
      <c r="N23" s="122">
        <f>'Rates in Detail'!AG21</f>
        <v>0</v>
      </c>
      <c r="O23" s="122">
        <f>'Rates in Detail'!AH21</f>
        <v>0</v>
      </c>
      <c r="P23" s="774">
        <f>'Rates in Detail'!AI21</f>
        <v>0</v>
      </c>
      <c r="Q23" s="157"/>
      <c r="R23" s="298">
        <f>'WA Volumes &amp; Revenues'!E23</f>
        <v>392890.20000000007</v>
      </c>
      <c r="S23" s="311"/>
      <c r="T23" s="300">
        <f>'WA Volumes &amp; Revenues'!H23</f>
        <v>17.833333333333332</v>
      </c>
      <c r="U23" s="301">
        <f>'WA Volumes &amp; Revenues'!I23</f>
        <v>4741</v>
      </c>
      <c r="V23" s="157"/>
      <c r="W23" s="313">
        <f t="shared" ref="W23:W24" si="22">(H23*R23)</f>
        <v>135217.09123200004</v>
      </c>
      <c r="X23" s="309">
        <f t="shared" ref="X23:X24" si="23">(K23*T23*12)</f>
        <v>53500</v>
      </c>
      <c r="Y23" s="309">
        <f>(S23*(M23+O23))*12</f>
        <v>0</v>
      </c>
      <c r="Z23" s="314"/>
      <c r="AA23" s="309"/>
      <c r="AB23" s="313">
        <f>(I23*R23)</f>
        <v>157537.18349400006</v>
      </c>
      <c r="AC23" s="309">
        <f>(L23*T23*12)</f>
        <v>53500</v>
      </c>
      <c r="AD23" s="314">
        <f>(S23*(N23+P23))*12</f>
        <v>0</v>
      </c>
      <c r="AE23" s="309"/>
      <c r="AF23" s="313">
        <f>AB23-W23</f>
        <v>22320.09226200002</v>
      </c>
      <c r="AG23" s="309">
        <f>AC23-X23</f>
        <v>0</v>
      </c>
      <c r="AH23" s="314">
        <f t="shared" ref="AH23:AH24" si="24">AD23-Y23</f>
        <v>0</v>
      </c>
      <c r="AI23" s="309"/>
      <c r="AJ23" s="338"/>
      <c r="AK23" s="340">
        <f t="shared" si="16"/>
        <v>0.16506857275685738</v>
      </c>
      <c r="AL23" s="309"/>
      <c r="AM23" s="313">
        <f>(F23*R23)</f>
        <v>-1536.2006820000004</v>
      </c>
      <c r="AN23" s="309">
        <v>0</v>
      </c>
      <c r="AO23" s="314">
        <f t="shared" ref="AO23:AO24" si="25">(AE23*(Y23+AB23))*12</f>
        <v>0</v>
      </c>
      <c r="AP23" s="309"/>
      <c r="AQ23" s="310"/>
      <c r="AR23" s="310"/>
      <c r="AS23" s="309"/>
    </row>
    <row r="24" spans="1:45" x14ac:dyDescent="0.2">
      <c r="A24" s="86">
        <f t="shared" si="2"/>
        <v>17</v>
      </c>
      <c r="B24" s="725"/>
      <c r="C24" s="726" t="s">
        <v>5</v>
      </c>
      <c r="D24" s="157"/>
      <c r="E24" s="122">
        <f>ROUND('Rates in Detail'!L22,5)</f>
        <v>5.0049999999999997E-2</v>
      </c>
      <c r="F24" s="122">
        <f>'Allocation = % of Margin'!U23</f>
        <v>-3.4399999999999999E-3</v>
      </c>
      <c r="G24" s="157"/>
      <c r="H24" s="373">
        <f>ROUND('Rates in Detail'!N22,5)</f>
        <v>0.30325000000000002</v>
      </c>
      <c r="I24" s="774">
        <f t="shared" si="13"/>
        <v>0.3533</v>
      </c>
      <c r="J24" s="157"/>
      <c r="K24" s="155"/>
      <c r="L24" s="156"/>
      <c r="M24" s="157"/>
      <c r="N24" s="157"/>
      <c r="O24" s="157"/>
      <c r="P24" s="158"/>
      <c r="Q24" s="157"/>
      <c r="R24" s="298">
        <f>'WA Volumes &amp; Revenues'!E24</f>
        <v>621650.00000000012</v>
      </c>
      <c r="S24" s="311"/>
      <c r="T24" s="300"/>
      <c r="U24" s="301"/>
      <c r="V24" s="157"/>
      <c r="W24" s="313">
        <f t="shared" si="22"/>
        <v>188515.36250000005</v>
      </c>
      <c r="X24" s="309">
        <f t="shared" si="23"/>
        <v>0</v>
      </c>
      <c r="Y24" s="309">
        <f>(S24*(M24+O24))*12</f>
        <v>0</v>
      </c>
      <c r="Z24" s="314"/>
      <c r="AA24" s="309"/>
      <c r="AB24" s="313">
        <f>(I24*R24)</f>
        <v>219628.94500000004</v>
      </c>
      <c r="AC24" s="309">
        <f>(L24*T24*12)</f>
        <v>0</v>
      </c>
      <c r="AD24" s="314">
        <f>(S24*(N24+P24))*12</f>
        <v>0</v>
      </c>
      <c r="AE24" s="309"/>
      <c r="AF24" s="313">
        <f>AB24-W24</f>
        <v>31113.58249999999</v>
      </c>
      <c r="AG24" s="309">
        <f>AC24-X24</f>
        <v>0</v>
      </c>
      <c r="AH24" s="314">
        <f t="shared" si="24"/>
        <v>0</v>
      </c>
      <c r="AI24" s="309"/>
      <c r="AJ24" s="338"/>
      <c r="AK24" s="340">
        <f t="shared" si="16"/>
        <v>0.16504534212695787</v>
      </c>
      <c r="AL24" s="309"/>
      <c r="AM24" s="313">
        <f>(F24*R24)</f>
        <v>-2138.4760000000006</v>
      </c>
      <c r="AN24" s="309">
        <v>0</v>
      </c>
      <c r="AO24" s="314">
        <f t="shared" si="25"/>
        <v>0</v>
      </c>
      <c r="AP24" s="309"/>
      <c r="AQ24" s="310"/>
      <c r="AR24" s="310"/>
      <c r="AS24" s="309"/>
    </row>
    <row r="25" spans="1:45" x14ac:dyDescent="0.2">
      <c r="A25" s="86">
        <f t="shared" si="2"/>
        <v>18</v>
      </c>
      <c r="B25" s="723"/>
      <c r="C25" s="742" t="s">
        <v>78</v>
      </c>
      <c r="D25" s="153"/>
      <c r="E25" s="123"/>
      <c r="F25" s="123"/>
      <c r="G25" s="153"/>
      <c r="H25" s="368"/>
      <c r="I25" s="773"/>
      <c r="J25" s="157"/>
      <c r="K25" s="155"/>
      <c r="L25" s="156"/>
      <c r="M25" s="157"/>
      <c r="N25" s="157"/>
      <c r="O25" s="157"/>
      <c r="P25" s="158"/>
      <c r="Q25" s="157"/>
      <c r="R25" s="298"/>
      <c r="S25" s="311"/>
      <c r="T25" s="300"/>
      <c r="U25" s="301"/>
      <c r="V25" s="157"/>
      <c r="W25" s="315">
        <f>SUM(W23:W24)</f>
        <v>323732.45373200008</v>
      </c>
      <c r="X25" s="316">
        <f t="shared" ref="X25:Y25" si="26">SUM(X23:X24)</f>
        <v>53500</v>
      </c>
      <c r="Y25" s="316">
        <f t="shared" si="26"/>
        <v>0</v>
      </c>
      <c r="Z25" s="317">
        <f>'Rate Spread Proposal'!L$15-SUM(W25:Y25)</f>
        <v>15381.826735899318</v>
      </c>
      <c r="AA25" s="309"/>
      <c r="AB25" s="315">
        <f>SUM(AB23:AB24)</f>
        <v>377166.12849400006</v>
      </c>
      <c r="AC25" s="316">
        <f t="shared" ref="AC25:AD25" si="27">SUM(AC23:AC24)</f>
        <v>53500</v>
      </c>
      <c r="AD25" s="317">
        <f t="shared" si="27"/>
        <v>0</v>
      </c>
      <c r="AE25" s="309"/>
      <c r="AF25" s="315">
        <f>SUM(AF23:AF24)</f>
        <v>53433.67476200001</v>
      </c>
      <c r="AG25" s="316">
        <f t="shared" ref="AG25:AH25" si="28">SUM(AG23:AG24)</f>
        <v>0</v>
      </c>
      <c r="AH25" s="317">
        <f t="shared" si="28"/>
        <v>0</v>
      </c>
      <c r="AI25" s="309"/>
      <c r="AJ25" s="338">
        <f>SUM(AF25:AH25)/SUM(W25:Y25)</f>
        <v>0.14164654772773413</v>
      </c>
      <c r="AK25" s="339">
        <f t="shared" si="16"/>
        <v>0.16505504513376576</v>
      </c>
      <c r="AL25" s="309"/>
      <c r="AM25" s="315">
        <f>SUM(AM23:AM24)</f>
        <v>-3674.6766820000012</v>
      </c>
      <c r="AN25" s="316">
        <f t="shared" ref="AN25:AO25" si="29">SUM(AN23:AN24)</f>
        <v>0</v>
      </c>
      <c r="AO25" s="317">
        <f t="shared" si="29"/>
        <v>0</v>
      </c>
      <c r="AP25" s="309"/>
      <c r="AQ25" s="310"/>
      <c r="AR25" s="310"/>
      <c r="AS25" s="309"/>
    </row>
    <row r="26" spans="1:45" x14ac:dyDescent="0.2">
      <c r="A26" s="86">
        <f t="shared" si="2"/>
        <v>19</v>
      </c>
      <c r="B26" s="725" t="str">
        <f>'WA Volumes &amp; Revenues'!B25</f>
        <v>41C Interr Sales</v>
      </c>
      <c r="C26" s="726" t="s">
        <v>4</v>
      </c>
      <c r="D26" s="157"/>
      <c r="E26" s="122">
        <f>ROUND('Rates in Detail'!L23,5)</f>
        <v>4.3560000000000001E-2</v>
      </c>
      <c r="F26" s="122">
        <f>'Allocation = % of Margin'!U24</f>
        <v>-3.2200000000000002E-3</v>
      </c>
      <c r="G26" s="157"/>
      <c r="H26" s="373">
        <f>ROUND('Rates in Detail'!N23,5)</f>
        <v>0.34372999999999998</v>
      </c>
      <c r="I26" s="774">
        <f t="shared" si="13"/>
        <v>0.38728999999999997</v>
      </c>
      <c r="J26" s="157"/>
      <c r="K26" s="155">
        <f>'WA Volumes &amp; Revenues'!O25</f>
        <v>250</v>
      </c>
      <c r="L26" s="156">
        <f>'WA Volumes &amp; Revenues'!N25</f>
        <v>250</v>
      </c>
      <c r="M26" s="122">
        <f>'Rates in Detail'!AF23</f>
        <v>0</v>
      </c>
      <c r="N26" s="122">
        <f>'Rates in Detail'!AG23</f>
        <v>0</v>
      </c>
      <c r="O26" s="122">
        <f>'Rates in Detail'!AH23</f>
        <v>0</v>
      </c>
      <c r="P26" s="774">
        <f>'Rates in Detail'!AI23</f>
        <v>0</v>
      </c>
      <c r="Q26" s="157"/>
      <c r="R26" s="298">
        <f>'WA Volumes &amp; Revenues'!E25</f>
        <v>0</v>
      </c>
      <c r="S26" s="311"/>
      <c r="T26" s="300">
        <f>'WA Volumes &amp; Revenues'!H25</f>
        <v>0</v>
      </c>
      <c r="U26" s="301">
        <f>'WA Volumes &amp; Revenues'!I25</f>
        <v>0</v>
      </c>
      <c r="V26" s="157"/>
      <c r="W26" s="313">
        <f t="shared" ref="W26:W27" si="30">(H26*R26)</f>
        <v>0</v>
      </c>
      <c r="X26" s="309">
        <f t="shared" ref="X26:X27" si="31">(K26*T26*12)</f>
        <v>0</v>
      </c>
      <c r="Y26" s="309">
        <f>(S26*(M26+O26))*12</f>
        <v>0</v>
      </c>
      <c r="Z26" s="314"/>
      <c r="AA26" s="309"/>
      <c r="AB26" s="313">
        <f>(I26*R26)</f>
        <v>0</v>
      </c>
      <c r="AC26" s="309">
        <f>(L26*T26*12)</f>
        <v>0</v>
      </c>
      <c r="AD26" s="314">
        <f>(S26*(N26+P26))*12</f>
        <v>0</v>
      </c>
      <c r="AE26" s="309"/>
      <c r="AF26" s="313">
        <f>AB26-W26</f>
        <v>0</v>
      </c>
      <c r="AG26" s="309">
        <f>AC26-X26</f>
        <v>0</v>
      </c>
      <c r="AH26" s="314">
        <f t="shared" ref="AH26:AH27" si="32">AD26-Y26</f>
        <v>0</v>
      </c>
      <c r="AI26" s="309"/>
      <c r="AJ26" s="338"/>
      <c r="AK26" s="340" t="e">
        <f t="shared" si="16"/>
        <v>#DIV/0!</v>
      </c>
      <c r="AL26" s="309"/>
      <c r="AM26" s="313">
        <f>(F26*R26)</f>
        <v>0</v>
      </c>
      <c r="AN26" s="309">
        <v>0</v>
      </c>
      <c r="AO26" s="314">
        <f t="shared" ref="AO26:AO27" si="33">(AE26*(Y26+AB26))*12</f>
        <v>0</v>
      </c>
      <c r="AP26" s="309"/>
      <c r="AQ26" s="310"/>
      <c r="AR26" s="310"/>
      <c r="AS26" s="309"/>
    </row>
    <row r="27" spans="1:45" x14ac:dyDescent="0.2">
      <c r="A27" s="86">
        <f t="shared" si="2"/>
        <v>20</v>
      </c>
      <c r="B27" s="725"/>
      <c r="C27" s="726" t="s">
        <v>5</v>
      </c>
      <c r="D27" s="157"/>
      <c r="E27" s="122">
        <f>ROUND('Rates in Detail'!L24,5)</f>
        <v>3.8379999999999997E-2</v>
      </c>
      <c r="F27" s="122">
        <f>'Allocation = % of Margin'!U25</f>
        <v>-2.8400000000000001E-3</v>
      </c>
      <c r="G27" s="157"/>
      <c r="H27" s="373">
        <f>ROUND('Rates in Detail'!N24,5)</f>
        <v>0.30285000000000001</v>
      </c>
      <c r="I27" s="774">
        <f t="shared" si="13"/>
        <v>0.34123000000000003</v>
      </c>
      <c r="J27" s="157"/>
      <c r="K27" s="155"/>
      <c r="L27" s="156"/>
      <c r="M27" s="157"/>
      <c r="N27" s="157"/>
      <c r="O27" s="157"/>
      <c r="P27" s="158"/>
      <c r="Q27" s="157"/>
      <c r="R27" s="298">
        <f>'WA Volumes &amp; Revenues'!E26</f>
        <v>0</v>
      </c>
      <c r="S27" s="311"/>
      <c r="T27" s="300"/>
      <c r="U27" s="301"/>
      <c r="V27" s="157"/>
      <c r="W27" s="313">
        <f t="shared" si="30"/>
        <v>0</v>
      </c>
      <c r="X27" s="309">
        <f t="shared" si="31"/>
        <v>0</v>
      </c>
      <c r="Y27" s="309">
        <f>(S27*(M27+O27))*12</f>
        <v>0</v>
      </c>
      <c r="Z27" s="314"/>
      <c r="AA27" s="309"/>
      <c r="AB27" s="313">
        <f>(I27*R27)</f>
        <v>0</v>
      </c>
      <c r="AC27" s="309">
        <f>(L27*T27*12)</f>
        <v>0</v>
      </c>
      <c r="AD27" s="314">
        <f>(S27*(N27+P27))*12</f>
        <v>0</v>
      </c>
      <c r="AE27" s="309"/>
      <c r="AF27" s="313">
        <f>AB27-W27</f>
        <v>0</v>
      </c>
      <c r="AG27" s="309">
        <f>AC27-X27</f>
        <v>0</v>
      </c>
      <c r="AH27" s="314">
        <f t="shared" si="32"/>
        <v>0</v>
      </c>
      <c r="AI27" s="309"/>
      <c r="AJ27" s="338"/>
      <c r="AK27" s="340" t="e">
        <f t="shared" si="16"/>
        <v>#DIV/0!</v>
      </c>
      <c r="AL27" s="309"/>
      <c r="AM27" s="313">
        <f>(F27*R27)</f>
        <v>0</v>
      </c>
      <c r="AN27" s="309">
        <v>0</v>
      </c>
      <c r="AO27" s="314">
        <f t="shared" si="33"/>
        <v>0</v>
      </c>
      <c r="AP27" s="309"/>
      <c r="AQ27" s="310"/>
      <c r="AR27" s="310"/>
      <c r="AS27" s="309"/>
    </row>
    <row r="28" spans="1:45" x14ac:dyDescent="0.2">
      <c r="A28" s="86">
        <f t="shared" si="2"/>
        <v>21</v>
      </c>
      <c r="B28" s="723"/>
      <c r="C28" s="742" t="s">
        <v>78</v>
      </c>
      <c r="D28" s="153"/>
      <c r="E28" s="123"/>
      <c r="F28" s="123"/>
      <c r="G28" s="153"/>
      <c r="H28" s="368"/>
      <c r="I28" s="773"/>
      <c r="J28" s="157"/>
      <c r="K28" s="155"/>
      <c r="L28" s="156"/>
      <c r="M28" s="157"/>
      <c r="N28" s="157"/>
      <c r="O28" s="157"/>
      <c r="P28" s="158"/>
      <c r="Q28" s="157"/>
      <c r="R28" s="298"/>
      <c r="S28" s="311"/>
      <c r="T28" s="300"/>
      <c r="U28" s="301"/>
      <c r="V28" s="157"/>
      <c r="W28" s="315">
        <f>SUM(W26:W27)</f>
        <v>0</v>
      </c>
      <c r="X28" s="316">
        <f t="shared" ref="X28:Y28" si="34">SUM(X26:X27)</f>
        <v>0</v>
      </c>
      <c r="Y28" s="316">
        <f t="shared" si="34"/>
        <v>0</v>
      </c>
      <c r="Z28" s="317">
        <f>'Rate Spread Proposal'!M$15-SUM(W28:Y28)</f>
        <v>0</v>
      </c>
      <c r="AA28" s="309"/>
      <c r="AB28" s="315">
        <f>SUM(AB26:AB27)</f>
        <v>0</v>
      </c>
      <c r="AC28" s="316">
        <f t="shared" ref="AC28:AD28" si="35">SUM(AC26:AC27)</f>
        <v>0</v>
      </c>
      <c r="AD28" s="317">
        <f t="shared" si="35"/>
        <v>0</v>
      </c>
      <c r="AE28" s="309"/>
      <c r="AF28" s="315">
        <f>SUM(AF26:AF27)</f>
        <v>0</v>
      </c>
      <c r="AG28" s="316">
        <f t="shared" ref="AG28:AH28" si="36">SUM(AG26:AG27)</f>
        <v>0</v>
      </c>
      <c r="AH28" s="317">
        <f t="shared" si="36"/>
        <v>0</v>
      </c>
      <c r="AI28" s="309"/>
      <c r="AJ28" s="338" t="e">
        <f>SUM(AF28:AH28)/SUM(W28:Y28)</f>
        <v>#DIV/0!</v>
      </c>
      <c r="AK28" s="339" t="e">
        <f t="shared" si="16"/>
        <v>#DIV/0!</v>
      </c>
      <c r="AL28" s="309"/>
      <c r="AM28" s="315">
        <f>SUM(AM26:AM27)</f>
        <v>0</v>
      </c>
      <c r="AN28" s="316">
        <f t="shared" ref="AN28:AO28" si="37">SUM(AN26:AN27)</f>
        <v>0</v>
      </c>
      <c r="AO28" s="317">
        <f t="shared" si="37"/>
        <v>0</v>
      </c>
      <c r="AP28" s="309"/>
      <c r="AQ28" s="310"/>
      <c r="AR28" s="310"/>
      <c r="AS28" s="309"/>
    </row>
    <row r="29" spans="1:45" x14ac:dyDescent="0.2">
      <c r="A29" s="86">
        <f t="shared" si="2"/>
        <v>22</v>
      </c>
      <c r="B29" s="725" t="str">
        <f>'WA Volumes &amp; Revenues'!B27</f>
        <v>41I Interr Sales</v>
      </c>
      <c r="C29" s="726" t="s">
        <v>4</v>
      </c>
      <c r="D29" s="157"/>
      <c r="E29" s="122">
        <f>ROUND('Rates in Detail'!L25,5)</f>
        <v>4.3560000000000001E-2</v>
      </c>
      <c r="F29" s="122">
        <f>'Allocation = % of Margin'!U26</f>
        <v>-3.2200000000000002E-3</v>
      </c>
      <c r="G29" s="157"/>
      <c r="H29" s="373">
        <f>ROUND('Rates in Detail'!N25,5)</f>
        <v>0.34372999999999998</v>
      </c>
      <c r="I29" s="774">
        <f t="shared" si="13"/>
        <v>0.38728999999999997</v>
      </c>
      <c r="J29" s="157"/>
      <c r="K29" s="155">
        <f>'WA Volumes &amp; Revenues'!O27</f>
        <v>250</v>
      </c>
      <c r="L29" s="156">
        <f>'WA Volumes &amp; Revenues'!N27</f>
        <v>250</v>
      </c>
      <c r="M29" s="122">
        <f>'Rates in Detail'!AF25</f>
        <v>0</v>
      </c>
      <c r="N29" s="122">
        <f>'Rates in Detail'!AG25</f>
        <v>0</v>
      </c>
      <c r="O29" s="122">
        <f>'Rates in Detail'!AH25</f>
        <v>0</v>
      </c>
      <c r="P29" s="774">
        <f>'Rates in Detail'!AI25</f>
        <v>0</v>
      </c>
      <c r="Q29" s="157"/>
      <c r="R29" s="298">
        <f>'WA Volumes &amp; Revenues'!E27</f>
        <v>0</v>
      </c>
      <c r="S29" s="311"/>
      <c r="T29" s="300">
        <f>'WA Volumes &amp; Revenues'!H27</f>
        <v>0</v>
      </c>
      <c r="U29" s="301">
        <f>'WA Volumes &amp; Revenues'!I27</f>
        <v>0</v>
      </c>
      <c r="V29" s="157"/>
      <c r="W29" s="313">
        <f t="shared" ref="W29:W30" si="38">(H29*R29)</f>
        <v>0</v>
      </c>
      <c r="X29" s="309">
        <f t="shared" ref="X29:X30" si="39">(K29*T29*12)</f>
        <v>0</v>
      </c>
      <c r="Y29" s="309">
        <f>(S29*(M29+O29))*12</f>
        <v>0</v>
      </c>
      <c r="Z29" s="314"/>
      <c r="AA29" s="309"/>
      <c r="AB29" s="313">
        <f>(I29*R29)</f>
        <v>0</v>
      </c>
      <c r="AC29" s="309">
        <f>(L29*T29*12)</f>
        <v>0</v>
      </c>
      <c r="AD29" s="314">
        <f>(S29*(N29+P29))*12</f>
        <v>0</v>
      </c>
      <c r="AE29" s="309"/>
      <c r="AF29" s="313">
        <f>AB29-W29</f>
        <v>0</v>
      </c>
      <c r="AG29" s="309">
        <f>AC29-X29</f>
        <v>0</v>
      </c>
      <c r="AH29" s="314">
        <f t="shared" ref="AH29:AH30" si="40">AD29-Y29</f>
        <v>0</v>
      </c>
      <c r="AI29" s="309"/>
      <c r="AJ29" s="338"/>
      <c r="AK29" s="340" t="e">
        <f t="shared" si="16"/>
        <v>#DIV/0!</v>
      </c>
      <c r="AL29" s="309"/>
      <c r="AM29" s="313">
        <f>(F29*R29)</f>
        <v>0</v>
      </c>
      <c r="AN29" s="309">
        <v>0</v>
      </c>
      <c r="AO29" s="314">
        <f t="shared" ref="AO29:AO30" si="41">(AE29*(Y29+AB29))*12</f>
        <v>0</v>
      </c>
      <c r="AP29" s="309"/>
      <c r="AQ29" s="310"/>
      <c r="AR29" s="310"/>
      <c r="AS29" s="309"/>
    </row>
    <row r="30" spans="1:45" x14ac:dyDescent="0.2">
      <c r="A30" s="86">
        <f t="shared" si="2"/>
        <v>23</v>
      </c>
      <c r="B30" s="725"/>
      <c r="C30" s="726" t="s">
        <v>5</v>
      </c>
      <c r="D30" s="157"/>
      <c r="E30" s="122">
        <f>ROUND('Rates in Detail'!L26,5)</f>
        <v>3.8379999999999997E-2</v>
      </c>
      <c r="F30" s="122">
        <f>'Allocation = % of Margin'!U27</f>
        <v>-2.8400000000000001E-3</v>
      </c>
      <c r="G30" s="157"/>
      <c r="H30" s="373">
        <f>ROUND('Rates in Detail'!N26,5)</f>
        <v>0.30285000000000001</v>
      </c>
      <c r="I30" s="774">
        <f t="shared" si="13"/>
        <v>0.34123000000000003</v>
      </c>
      <c r="J30" s="157"/>
      <c r="K30" s="155"/>
      <c r="L30" s="156"/>
      <c r="M30" s="157"/>
      <c r="N30" s="157"/>
      <c r="O30" s="157"/>
      <c r="P30" s="158"/>
      <c r="Q30" s="157"/>
      <c r="R30" s="298">
        <f>'WA Volumes &amp; Revenues'!E28</f>
        <v>0</v>
      </c>
      <c r="S30" s="311"/>
      <c r="T30" s="300"/>
      <c r="U30" s="301"/>
      <c r="V30" s="157"/>
      <c r="W30" s="313">
        <f t="shared" si="38"/>
        <v>0</v>
      </c>
      <c r="X30" s="309">
        <f t="shared" si="39"/>
        <v>0</v>
      </c>
      <c r="Y30" s="309">
        <f>(S30*(M30+O30))*12</f>
        <v>0</v>
      </c>
      <c r="Z30" s="314"/>
      <c r="AA30" s="309"/>
      <c r="AB30" s="313">
        <f>(I30*R30)</f>
        <v>0</v>
      </c>
      <c r="AC30" s="309">
        <f>(L30*T30*12)</f>
        <v>0</v>
      </c>
      <c r="AD30" s="314">
        <f>(S30*(N30+P30))*12</f>
        <v>0</v>
      </c>
      <c r="AE30" s="309"/>
      <c r="AF30" s="313">
        <f>AB30-W30</f>
        <v>0</v>
      </c>
      <c r="AG30" s="309">
        <f>AC30-X30</f>
        <v>0</v>
      </c>
      <c r="AH30" s="314">
        <f t="shared" si="40"/>
        <v>0</v>
      </c>
      <c r="AI30" s="309"/>
      <c r="AJ30" s="338"/>
      <c r="AK30" s="340" t="e">
        <f t="shared" si="16"/>
        <v>#DIV/0!</v>
      </c>
      <c r="AL30" s="309"/>
      <c r="AM30" s="313">
        <f>(F30*R30)</f>
        <v>0</v>
      </c>
      <c r="AN30" s="309">
        <v>0</v>
      </c>
      <c r="AO30" s="314">
        <f t="shared" si="41"/>
        <v>0</v>
      </c>
      <c r="AP30" s="309"/>
      <c r="AQ30" s="310"/>
      <c r="AR30" s="310"/>
      <c r="AS30" s="309"/>
    </row>
    <row r="31" spans="1:45" x14ac:dyDescent="0.2">
      <c r="A31" s="86">
        <f t="shared" si="2"/>
        <v>24</v>
      </c>
      <c r="B31" s="723"/>
      <c r="C31" s="742" t="s">
        <v>78</v>
      </c>
      <c r="D31" s="153"/>
      <c r="E31" s="123"/>
      <c r="F31" s="123"/>
      <c r="G31" s="153"/>
      <c r="H31" s="368"/>
      <c r="I31" s="773"/>
      <c r="J31" s="157"/>
      <c r="K31" s="155"/>
      <c r="L31" s="156"/>
      <c r="M31" s="157"/>
      <c r="N31" s="157"/>
      <c r="O31" s="157"/>
      <c r="P31" s="158"/>
      <c r="Q31" s="157"/>
      <c r="R31" s="298"/>
      <c r="S31" s="311"/>
      <c r="T31" s="300"/>
      <c r="U31" s="301"/>
      <c r="V31" s="157"/>
      <c r="W31" s="315">
        <f>SUM(W29:W30)</f>
        <v>0</v>
      </c>
      <c r="X31" s="316">
        <f t="shared" ref="X31:Y31" si="42">SUM(X29:X30)</f>
        <v>0</v>
      </c>
      <c r="Y31" s="316">
        <f t="shared" si="42"/>
        <v>0</v>
      </c>
      <c r="Z31" s="317">
        <f>'Rate Spread Proposal'!N$15-SUM(W31:Y31)</f>
        <v>0</v>
      </c>
      <c r="AA31" s="309"/>
      <c r="AB31" s="315">
        <f>SUM(AB29:AB30)</f>
        <v>0</v>
      </c>
      <c r="AC31" s="316">
        <f t="shared" ref="AC31:AD31" si="43">SUM(AC29:AC30)</f>
        <v>0</v>
      </c>
      <c r="AD31" s="317">
        <f t="shared" si="43"/>
        <v>0</v>
      </c>
      <c r="AE31" s="309"/>
      <c r="AF31" s="315">
        <f>SUM(AF29:AF30)</f>
        <v>0</v>
      </c>
      <c r="AG31" s="316">
        <f t="shared" ref="AG31:AH31" si="44">SUM(AG29:AG30)</f>
        <v>0</v>
      </c>
      <c r="AH31" s="317">
        <f t="shared" si="44"/>
        <v>0</v>
      </c>
      <c r="AI31" s="309"/>
      <c r="AJ31" s="338" t="e">
        <f>SUM(AF31:AH31)/SUM(W31:Y31)</f>
        <v>#DIV/0!</v>
      </c>
      <c r="AK31" s="339" t="e">
        <f t="shared" si="16"/>
        <v>#DIV/0!</v>
      </c>
      <c r="AL31" s="309"/>
      <c r="AM31" s="315">
        <f>SUM(AM29:AM30)</f>
        <v>0</v>
      </c>
      <c r="AN31" s="316">
        <f t="shared" ref="AN31:AO31" si="45">SUM(AN29:AN30)</f>
        <v>0</v>
      </c>
      <c r="AO31" s="317">
        <f t="shared" si="45"/>
        <v>0</v>
      </c>
      <c r="AP31" s="309"/>
      <c r="AQ31" s="310"/>
      <c r="AR31" s="310"/>
      <c r="AS31" s="309"/>
    </row>
    <row r="32" spans="1:45" x14ac:dyDescent="0.2">
      <c r="A32" s="86">
        <f t="shared" si="2"/>
        <v>25</v>
      </c>
      <c r="B32" s="725" t="str">
        <f>'WA Volumes &amp; Revenues'!B29</f>
        <v>41C Firm Transpt</v>
      </c>
      <c r="C32" s="726" t="s">
        <v>4</v>
      </c>
      <c r="D32" s="157"/>
      <c r="E32" s="122">
        <f>ROUND('Rates in Detail'!L27,5)</f>
        <v>6.3149999999999998E-2</v>
      </c>
      <c r="F32" s="122">
        <f>'Allocation = % of Margin'!U28</f>
        <v>-4.3499999999999997E-3</v>
      </c>
      <c r="G32" s="157"/>
      <c r="H32" s="373">
        <f>ROUND('Rates in Detail'!N27,5)</f>
        <v>0.34791</v>
      </c>
      <c r="I32" s="774">
        <f t="shared" si="13"/>
        <v>0.41105999999999998</v>
      </c>
      <c r="J32" s="157"/>
      <c r="K32" s="155">
        <f>'WA Volumes &amp; Revenues'!O29</f>
        <v>500</v>
      </c>
      <c r="L32" s="156">
        <f>'WA Volumes &amp; Revenues'!N29</f>
        <v>500</v>
      </c>
      <c r="M32" s="122">
        <f>'Rates in Detail'!AF27</f>
        <v>0</v>
      </c>
      <c r="N32" s="122">
        <f>'Rates in Detail'!AG27</f>
        <v>0</v>
      </c>
      <c r="O32" s="122">
        <f>'Rates in Detail'!AH27</f>
        <v>0</v>
      </c>
      <c r="P32" s="774">
        <f>'Rates in Detail'!AI27</f>
        <v>0</v>
      </c>
      <c r="Q32" s="157"/>
      <c r="R32" s="298">
        <f>'WA Volumes &amp; Revenues'!E29</f>
        <v>168721</v>
      </c>
      <c r="S32" s="311"/>
      <c r="T32" s="300">
        <f>'WA Volumes &amp; Revenues'!H29</f>
        <v>7.916666666666667</v>
      </c>
      <c r="U32" s="301">
        <f>'WA Volumes &amp; Revenues'!I29</f>
        <v>4648</v>
      </c>
      <c r="V32" s="157"/>
      <c r="W32" s="313">
        <f t="shared" ref="W32:W33" si="46">(H32*R32)</f>
        <v>58699.723109999999</v>
      </c>
      <c r="X32" s="309">
        <f t="shared" ref="X32:X33" si="47">(K32*T32*12)</f>
        <v>47500</v>
      </c>
      <c r="Y32" s="309">
        <f>(S32*(M32+O32))*12</f>
        <v>0</v>
      </c>
      <c r="Z32" s="314"/>
      <c r="AA32" s="309"/>
      <c r="AB32" s="313">
        <f>(I32*R32)</f>
        <v>69354.454259999999</v>
      </c>
      <c r="AC32" s="309">
        <f>(L32*T32*12)</f>
        <v>47500</v>
      </c>
      <c r="AD32" s="314">
        <f>(S32*(N32+P32))*12</f>
        <v>0</v>
      </c>
      <c r="AE32" s="309"/>
      <c r="AF32" s="313">
        <f>AB32-W32</f>
        <v>10654.73115</v>
      </c>
      <c r="AG32" s="309">
        <f>AC32-X32</f>
        <v>0</v>
      </c>
      <c r="AH32" s="314">
        <f t="shared" ref="AH32:AH33" si="48">AD32-Y32</f>
        <v>0</v>
      </c>
      <c r="AI32" s="309"/>
      <c r="AJ32" s="338"/>
      <c r="AK32" s="340">
        <f t="shared" si="16"/>
        <v>0.1815124601189963</v>
      </c>
      <c r="AL32" s="309"/>
      <c r="AM32" s="313">
        <f>(F32*R32)</f>
        <v>-733.93634999999995</v>
      </c>
      <c r="AN32" s="309">
        <v>0</v>
      </c>
      <c r="AO32" s="314">
        <f t="shared" ref="AO32:AO33" si="49">(AE32*(Y32+AB32))*12</f>
        <v>0</v>
      </c>
      <c r="AP32" s="309"/>
      <c r="AQ32" s="310"/>
      <c r="AR32" s="310"/>
      <c r="AS32" s="309"/>
    </row>
    <row r="33" spans="1:45" x14ac:dyDescent="0.2">
      <c r="A33" s="86">
        <f t="shared" si="2"/>
        <v>26</v>
      </c>
      <c r="B33" s="725"/>
      <c r="C33" s="726" t="s">
        <v>5</v>
      </c>
      <c r="D33" s="157"/>
      <c r="E33" s="122">
        <f>ROUND('Rates in Detail'!L28,5)</f>
        <v>5.5640000000000002E-2</v>
      </c>
      <c r="F33" s="122">
        <f>'Allocation = % of Margin'!U29</f>
        <v>-3.8300000000000001E-3</v>
      </c>
      <c r="G33" s="157"/>
      <c r="H33" s="373">
        <f>ROUND('Rates in Detail'!N28,5)</f>
        <v>0.30653000000000002</v>
      </c>
      <c r="I33" s="774">
        <f t="shared" si="13"/>
        <v>0.36217000000000005</v>
      </c>
      <c r="J33" s="157"/>
      <c r="K33" s="155"/>
      <c r="L33" s="156"/>
      <c r="M33" s="157"/>
      <c r="N33" s="157"/>
      <c r="O33" s="157"/>
      <c r="P33" s="158"/>
      <c r="Q33" s="157"/>
      <c r="R33" s="298">
        <f>'WA Volumes &amp; Revenues'!E30</f>
        <v>272866</v>
      </c>
      <c r="S33" s="311"/>
      <c r="T33" s="300"/>
      <c r="U33" s="301"/>
      <c r="V33" s="157"/>
      <c r="W33" s="313">
        <f t="shared" si="46"/>
        <v>83641.614980000013</v>
      </c>
      <c r="X33" s="309">
        <f t="shared" si="47"/>
        <v>0</v>
      </c>
      <c r="Y33" s="309">
        <f>(S33*(M33+O33))*12</f>
        <v>0</v>
      </c>
      <c r="Z33" s="314"/>
      <c r="AA33" s="309"/>
      <c r="AB33" s="313">
        <f>(I33*R33)</f>
        <v>98823.879220000017</v>
      </c>
      <c r="AC33" s="309">
        <f>(L33*T33*12)</f>
        <v>0</v>
      </c>
      <c r="AD33" s="314">
        <f>(S33*(N33+P33))*12</f>
        <v>0</v>
      </c>
      <c r="AE33" s="309"/>
      <c r="AF33" s="313">
        <f>AB33-W33</f>
        <v>15182.264240000004</v>
      </c>
      <c r="AG33" s="309">
        <f>AC33-X33</f>
        <v>0</v>
      </c>
      <c r="AH33" s="314">
        <f t="shared" si="48"/>
        <v>0</v>
      </c>
      <c r="AI33" s="309"/>
      <c r="AJ33" s="338"/>
      <c r="AK33" s="340">
        <f t="shared" si="16"/>
        <v>0.18151567546406552</v>
      </c>
      <c r="AL33" s="309"/>
      <c r="AM33" s="313">
        <f>(F33*R33)</f>
        <v>-1045.0767800000001</v>
      </c>
      <c r="AN33" s="309">
        <v>0</v>
      </c>
      <c r="AO33" s="314">
        <f t="shared" si="49"/>
        <v>0</v>
      </c>
      <c r="AP33" s="309"/>
      <c r="AQ33" s="310"/>
      <c r="AR33" s="310"/>
      <c r="AS33" s="309"/>
    </row>
    <row r="34" spans="1:45" x14ac:dyDescent="0.2">
      <c r="A34" s="86">
        <f t="shared" si="2"/>
        <v>27</v>
      </c>
      <c r="B34" s="723"/>
      <c r="C34" s="742" t="s">
        <v>78</v>
      </c>
      <c r="D34" s="153"/>
      <c r="E34" s="123"/>
      <c r="F34" s="123"/>
      <c r="G34" s="153"/>
      <c r="H34" s="368"/>
      <c r="I34" s="773"/>
      <c r="J34" s="157"/>
      <c r="K34" s="155"/>
      <c r="L34" s="156"/>
      <c r="M34" s="157"/>
      <c r="N34" s="157"/>
      <c r="O34" s="157"/>
      <c r="P34" s="158"/>
      <c r="Q34" s="157"/>
      <c r="R34" s="298"/>
      <c r="S34" s="311"/>
      <c r="T34" s="300"/>
      <c r="U34" s="301"/>
      <c r="V34" s="157"/>
      <c r="W34" s="315">
        <f>SUM(W32:W33)</f>
        <v>142341.33809</v>
      </c>
      <c r="X34" s="316">
        <f t="shared" ref="X34:Y34" si="50">SUM(X32:X33)</f>
        <v>47500</v>
      </c>
      <c r="Y34" s="316">
        <f t="shared" si="50"/>
        <v>0</v>
      </c>
      <c r="Z34" s="317">
        <f>'Rate Spread Proposal'!O$15-SUM(W34:Y34)</f>
        <v>0</v>
      </c>
      <c r="AA34" s="309"/>
      <c r="AB34" s="315">
        <f>SUM(AB32:AB33)</f>
        <v>168178.33348000003</v>
      </c>
      <c r="AC34" s="316">
        <f t="shared" ref="AC34:AD34" si="51">SUM(AC32:AC33)</f>
        <v>47500</v>
      </c>
      <c r="AD34" s="317">
        <f t="shared" si="51"/>
        <v>0</v>
      </c>
      <c r="AE34" s="309"/>
      <c r="AF34" s="315">
        <f>SUM(AF32:AF33)</f>
        <v>25836.995390000004</v>
      </c>
      <c r="AG34" s="316">
        <f t="shared" ref="AG34:AH34" si="52">SUM(AG32:AG33)</f>
        <v>0</v>
      </c>
      <c r="AH34" s="317">
        <f t="shared" si="52"/>
        <v>0</v>
      </c>
      <c r="AI34" s="309"/>
      <c r="AJ34" s="338">
        <f>SUM(AF34:AH34)/SUM(W34:Y34)</f>
        <v>0.13609783648781068</v>
      </c>
      <c r="AK34" s="339">
        <f t="shared" si="16"/>
        <v>0.18151434949742928</v>
      </c>
      <c r="AL34" s="309"/>
      <c r="AM34" s="315">
        <f>SUM(AM32:AM33)</f>
        <v>-1779.01313</v>
      </c>
      <c r="AN34" s="316">
        <f t="shared" ref="AN34:AO34" si="53">SUM(AN32:AN33)</f>
        <v>0</v>
      </c>
      <c r="AO34" s="317">
        <f t="shared" si="53"/>
        <v>0</v>
      </c>
      <c r="AP34" s="309"/>
      <c r="AQ34" s="310"/>
      <c r="AR34" s="310"/>
      <c r="AS34" s="309"/>
    </row>
    <row r="35" spans="1:45" x14ac:dyDescent="0.2">
      <c r="A35" s="86">
        <f t="shared" si="2"/>
        <v>28</v>
      </c>
      <c r="B35" s="725" t="str">
        <f>'WA Volumes &amp; Revenues'!B31</f>
        <v>41I Firm Transpt</v>
      </c>
      <c r="C35" s="726" t="s">
        <v>4</v>
      </c>
      <c r="D35" s="157"/>
      <c r="E35" s="122">
        <f>ROUND('Rates in Detail'!L29,5)</f>
        <v>4.4089999999999997E-2</v>
      </c>
      <c r="F35" s="122">
        <f>'Allocation = % of Margin'!U30</f>
        <v>-3.2599999999999999E-3</v>
      </c>
      <c r="G35" s="157"/>
      <c r="H35" s="373">
        <f>ROUND('Rates in Detail'!N29,5)</f>
        <v>0.34791</v>
      </c>
      <c r="I35" s="774">
        <f t="shared" si="13"/>
        <v>0.39200000000000002</v>
      </c>
      <c r="J35" s="157"/>
      <c r="K35" s="155">
        <f>'WA Volumes &amp; Revenues'!O31</f>
        <v>500</v>
      </c>
      <c r="L35" s="156">
        <f>'WA Volumes &amp; Revenues'!N31</f>
        <v>500</v>
      </c>
      <c r="M35" s="122">
        <f>'Rates in Detail'!AF29</f>
        <v>0</v>
      </c>
      <c r="N35" s="122">
        <f>'Rates in Detail'!AG29</f>
        <v>0</v>
      </c>
      <c r="O35" s="122">
        <f>'Rates in Detail'!AH29</f>
        <v>0</v>
      </c>
      <c r="P35" s="774">
        <f>'Rates in Detail'!AI29</f>
        <v>0</v>
      </c>
      <c r="Q35" s="157"/>
      <c r="R35" s="298">
        <f>'WA Volumes &amp; Revenues'!E31</f>
        <v>0</v>
      </c>
      <c r="S35" s="311"/>
      <c r="T35" s="300">
        <f>'WA Volumes &amp; Revenues'!H31</f>
        <v>0</v>
      </c>
      <c r="U35" s="301">
        <f>'WA Volumes &amp; Revenues'!I31</f>
        <v>0</v>
      </c>
      <c r="V35" s="157"/>
      <c r="W35" s="313">
        <f t="shared" ref="W35:W36" si="54">(H35*R35)</f>
        <v>0</v>
      </c>
      <c r="X35" s="309">
        <f t="shared" ref="X35:X36" si="55">(K35*T35*12)</f>
        <v>0</v>
      </c>
      <c r="Y35" s="309">
        <f>(S35*(M35+O35))*12</f>
        <v>0</v>
      </c>
      <c r="Z35" s="314"/>
      <c r="AA35" s="309"/>
      <c r="AB35" s="313">
        <f>(I35*R35)</f>
        <v>0</v>
      </c>
      <c r="AC35" s="309">
        <f>(L35*T35*12)</f>
        <v>0</v>
      </c>
      <c r="AD35" s="314">
        <f>(S35*(N35+P35))*12</f>
        <v>0</v>
      </c>
      <c r="AE35" s="309"/>
      <c r="AF35" s="313">
        <f>AB35-W35</f>
        <v>0</v>
      </c>
      <c r="AG35" s="309">
        <f>AC35-X35</f>
        <v>0</v>
      </c>
      <c r="AH35" s="314">
        <f t="shared" ref="AH35:AH36" si="56">AD35-Y35</f>
        <v>0</v>
      </c>
      <c r="AI35" s="309"/>
      <c r="AJ35" s="338"/>
      <c r="AK35" s="340" t="e">
        <f t="shared" si="16"/>
        <v>#DIV/0!</v>
      </c>
      <c r="AL35" s="309"/>
      <c r="AM35" s="313">
        <f>(F35*R35)</f>
        <v>0</v>
      </c>
      <c r="AN35" s="309">
        <v>0</v>
      </c>
      <c r="AO35" s="314">
        <f t="shared" ref="AO35:AO36" si="57">(AE35*(Y35+AB35))*12</f>
        <v>0</v>
      </c>
      <c r="AP35" s="309"/>
      <c r="AQ35" s="310"/>
      <c r="AR35" s="310"/>
      <c r="AS35" s="309"/>
    </row>
    <row r="36" spans="1:45" x14ac:dyDescent="0.2">
      <c r="A36" s="86">
        <f t="shared" si="2"/>
        <v>29</v>
      </c>
      <c r="B36" s="725"/>
      <c r="C36" s="726" t="s">
        <v>5</v>
      </c>
      <c r="D36" s="157"/>
      <c r="E36" s="122">
        <f>ROUND('Rates in Detail'!L30,5)</f>
        <v>3.8850000000000003E-2</v>
      </c>
      <c r="F36" s="122">
        <f>'Allocation = % of Margin'!U31</f>
        <v>-2.8700000000000002E-3</v>
      </c>
      <c r="G36" s="157"/>
      <c r="H36" s="373">
        <f>ROUND('Rates in Detail'!N30,5)</f>
        <v>0.30653000000000002</v>
      </c>
      <c r="I36" s="774">
        <f t="shared" si="13"/>
        <v>0.34538000000000002</v>
      </c>
      <c r="J36" s="157"/>
      <c r="K36" s="273"/>
      <c r="L36" s="55"/>
      <c r="M36" s="157"/>
      <c r="N36" s="157"/>
      <c r="O36" s="157"/>
      <c r="P36" s="158"/>
      <c r="Q36" s="157"/>
      <c r="R36" s="298">
        <f>'WA Volumes &amp; Revenues'!E32</f>
        <v>0</v>
      </c>
      <c r="S36" s="311"/>
      <c r="T36" s="300"/>
      <c r="U36" s="301"/>
      <c r="V36" s="157"/>
      <c r="W36" s="313">
        <f t="shared" si="54"/>
        <v>0</v>
      </c>
      <c r="X36" s="309">
        <f t="shared" si="55"/>
        <v>0</v>
      </c>
      <c r="Y36" s="309">
        <f>(S36*(M36+O36))*12</f>
        <v>0</v>
      </c>
      <c r="Z36" s="314"/>
      <c r="AA36" s="309"/>
      <c r="AB36" s="313">
        <f>(I36*R36)</f>
        <v>0</v>
      </c>
      <c r="AC36" s="309">
        <f>(L36*T36*12)</f>
        <v>0</v>
      </c>
      <c r="AD36" s="314">
        <f>(S36*(N36+P36))*12</f>
        <v>0</v>
      </c>
      <c r="AE36" s="309"/>
      <c r="AF36" s="313">
        <f>AB36-W36</f>
        <v>0</v>
      </c>
      <c r="AG36" s="309">
        <f>AC36-X36</f>
        <v>0</v>
      </c>
      <c r="AH36" s="314">
        <f t="shared" si="56"/>
        <v>0</v>
      </c>
      <c r="AI36" s="309"/>
      <c r="AJ36" s="338"/>
      <c r="AK36" s="340" t="e">
        <f t="shared" si="16"/>
        <v>#DIV/0!</v>
      </c>
      <c r="AL36" s="309"/>
      <c r="AM36" s="313">
        <f>(F36*R36)</f>
        <v>0</v>
      </c>
      <c r="AN36" s="309">
        <v>0</v>
      </c>
      <c r="AO36" s="314">
        <f t="shared" si="57"/>
        <v>0</v>
      </c>
      <c r="AP36" s="309"/>
      <c r="AQ36" s="310"/>
      <c r="AR36" s="310"/>
      <c r="AS36" s="309"/>
    </row>
    <row r="37" spans="1:45" x14ac:dyDescent="0.2">
      <c r="A37" s="86">
        <f t="shared" si="2"/>
        <v>30</v>
      </c>
      <c r="B37" s="723"/>
      <c r="C37" s="742" t="s">
        <v>78</v>
      </c>
      <c r="D37" s="153"/>
      <c r="E37" s="123"/>
      <c r="F37" s="123"/>
      <c r="G37" s="153"/>
      <c r="H37" s="368"/>
      <c r="I37" s="773"/>
      <c r="J37" s="157"/>
      <c r="K37" s="273"/>
      <c r="L37" s="55"/>
      <c r="M37" s="157"/>
      <c r="N37" s="157"/>
      <c r="O37" s="157"/>
      <c r="P37" s="158"/>
      <c r="Q37" s="157"/>
      <c r="R37" s="298"/>
      <c r="S37" s="311"/>
      <c r="T37" s="300"/>
      <c r="U37" s="301"/>
      <c r="V37" s="157"/>
      <c r="W37" s="315">
        <f>SUM(W35:W36)</f>
        <v>0</v>
      </c>
      <c r="X37" s="316">
        <f t="shared" ref="X37:Y37" si="58">SUM(X35:X36)</f>
        <v>0</v>
      </c>
      <c r="Y37" s="316">
        <f t="shared" si="58"/>
        <v>0</v>
      </c>
      <c r="Z37" s="317">
        <f>'Rate Spread Proposal'!P$15-SUM(W37:Y37)</f>
        <v>0</v>
      </c>
      <c r="AA37" s="309"/>
      <c r="AB37" s="315">
        <f>SUM(AB35:AB36)</f>
        <v>0</v>
      </c>
      <c r="AC37" s="316">
        <f t="shared" ref="AC37:AD37" si="59">SUM(AC35:AC36)</f>
        <v>0</v>
      </c>
      <c r="AD37" s="317">
        <f t="shared" si="59"/>
        <v>0</v>
      </c>
      <c r="AE37" s="309"/>
      <c r="AF37" s="315">
        <f>SUM(AF35:AF36)</f>
        <v>0</v>
      </c>
      <c r="AG37" s="316">
        <f t="shared" ref="AG37:AH37" si="60">SUM(AG35:AG36)</f>
        <v>0</v>
      </c>
      <c r="AH37" s="317">
        <f t="shared" si="60"/>
        <v>0</v>
      </c>
      <c r="AI37" s="309"/>
      <c r="AJ37" s="338" t="e">
        <f>SUM(AF37:AH37)/SUM(W37:Y37)</f>
        <v>#DIV/0!</v>
      </c>
      <c r="AK37" s="339" t="e">
        <f t="shared" si="16"/>
        <v>#DIV/0!</v>
      </c>
      <c r="AL37" s="309"/>
      <c r="AM37" s="315">
        <f>SUM(AM35:AM36)</f>
        <v>0</v>
      </c>
      <c r="AN37" s="316">
        <f t="shared" ref="AN37:AO37" si="61">SUM(AN35:AN36)</f>
        <v>0</v>
      </c>
      <c r="AO37" s="317">
        <f t="shared" si="61"/>
        <v>0</v>
      </c>
      <c r="AP37" s="309"/>
      <c r="AQ37" s="310"/>
      <c r="AR37" s="310"/>
      <c r="AS37" s="309"/>
    </row>
    <row r="38" spans="1:45" x14ac:dyDescent="0.2">
      <c r="A38" s="86">
        <f t="shared" si="2"/>
        <v>31</v>
      </c>
      <c r="B38" s="725" t="str">
        <f>'WA Volumes &amp; Revenues'!B33</f>
        <v>42C Firm Sales</v>
      </c>
      <c r="C38" s="726" t="s">
        <v>4</v>
      </c>
      <c r="D38" s="157"/>
      <c r="E38" s="122">
        <f>ROUND('Rates in Detail'!L31,5)</f>
        <v>4.4949999999999997E-2</v>
      </c>
      <c r="F38" s="122">
        <f>'Allocation = % of Margin'!U32</f>
        <v>-3.0899999999999999E-3</v>
      </c>
      <c r="G38" s="157"/>
      <c r="H38" s="373">
        <f>ROUND('Rates in Detail'!N31,5)</f>
        <v>0.15246000000000001</v>
      </c>
      <c r="I38" s="774">
        <f t="shared" si="13"/>
        <v>0.19741</v>
      </c>
      <c r="J38" s="157"/>
      <c r="K38" s="155">
        <f>'WA Volumes &amp; Revenues'!O33</f>
        <v>1300</v>
      </c>
      <c r="L38" s="156">
        <f>'WA Volumes &amp; Revenues'!N33</f>
        <v>1300</v>
      </c>
      <c r="M38" s="122">
        <f>'Rates in Detail'!AF31</f>
        <v>0.15748000000000001</v>
      </c>
      <c r="N38" s="122">
        <f>'Rates in Detail'!AG31</f>
        <v>0.15748000000000001</v>
      </c>
      <c r="O38" s="122">
        <f>'Rates in Detail'!AH31</f>
        <v>0.20415</v>
      </c>
      <c r="P38" s="774">
        <f>'Rates in Detail'!AI31</f>
        <v>0.20415</v>
      </c>
      <c r="Q38" s="157"/>
      <c r="R38" s="298">
        <f>'WA Volumes &amp; Revenues'!E33</f>
        <v>350769.66174469434</v>
      </c>
      <c r="S38" s="311">
        <v>6761</v>
      </c>
      <c r="T38" s="300">
        <f>'WA Volumes &amp; Revenues'!H33</f>
        <v>5</v>
      </c>
      <c r="U38" s="301">
        <f>'WA Volumes &amp; Revenues'!I33</f>
        <v>11949</v>
      </c>
      <c r="V38" s="157"/>
      <c r="W38" s="313">
        <f t="shared" ref="W38:W43" si="62">(H38*R38)</f>
        <v>53478.342629596104</v>
      </c>
      <c r="X38" s="309">
        <f t="shared" ref="X38:X43" si="63">(K38*T38*12)</f>
        <v>78000</v>
      </c>
      <c r="Y38" s="309">
        <f t="shared" ref="Y38:Y43" si="64">(S38*(M38+O38))*12</f>
        <v>29339.765160000003</v>
      </c>
      <c r="Z38" s="314"/>
      <c r="AA38" s="309"/>
      <c r="AB38" s="313">
        <f t="shared" ref="AB38:AB43" si="65">(I38*R38)</f>
        <v>69245.438925020106</v>
      </c>
      <c r="AC38" s="309">
        <f t="shared" ref="AC38:AC43" si="66">(L38*T38*12)</f>
        <v>78000</v>
      </c>
      <c r="AD38" s="314">
        <f t="shared" ref="AD38:AD43" si="67">(S38*(N38+P38))*12</f>
        <v>29339.765160000003</v>
      </c>
      <c r="AE38" s="309"/>
      <c r="AF38" s="313">
        <f t="shared" ref="AF38:AG43" si="68">AB38-W38</f>
        <v>15767.096295424002</v>
      </c>
      <c r="AG38" s="309">
        <f t="shared" si="68"/>
        <v>0</v>
      </c>
      <c r="AH38" s="314">
        <f t="shared" ref="AH38:AH43" si="69">AD38-Y38</f>
        <v>0</v>
      </c>
      <c r="AI38" s="309"/>
      <c r="AJ38" s="338"/>
      <c r="AK38" s="340">
        <f t="shared" si="16"/>
        <v>0.29483143119506738</v>
      </c>
      <c r="AL38" s="309"/>
      <c r="AM38" s="313">
        <f t="shared" ref="AM38:AM43" si="70">(F38*R38)</f>
        <v>-1083.8782547911055</v>
      </c>
      <c r="AN38" s="309">
        <v>0</v>
      </c>
      <c r="AO38" s="314">
        <f t="shared" ref="AO38:AO43" si="71">(AE38*(Y38+AB38))*12</f>
        <v>0</v>
      </c>
      <c r="AP38" s="309"/>
      <c r="AQ38" s="310"/>
      <c r="AR38" s="310"/>
      <c r="AS38" s="309"/>
    </row>
    <row r="39" spans="1:45" x14ac:dyDescent="0.2">
      <c r="A39" s="86">
        <f t="shared" si="2"/>
        <v>32</v>
      </c>
      <c r="B39" s="725"/>
      <c r="C39" s="726" t="s">
        <v>5</v>
      </c>
      <c r="D39" s="157"/>
      <c r="E39" s="122">
        <f>ROUND('Rates in Detail'!L32,5)</f>
        <v>4.0230000000000002E-2</v>
      </c>
      <c r="F39" s="122">
        <f>'Allocation = % of Margin'!U33</f>
        <v>-2.7699999999999999E-3</v>
      </c>
      <c r="G39" s="157"/>
      <c r="H39" s="373">
        <f>ROUND('Rates in Detail'!N32,5)</f>
        <v>0.13647000000000001</v>
      </c>
      <c r="I39" s="774">
        <f t="shared" si="13"/>
        <v>0.17670000000000002</v>
      </c>
      <c r="J39" s="157"/>
      <c r="K39" s="155"/>
      <c r="L39" s="156"/>
      <c r="M39" s="122"/>
      <c r="N39" s="122"/>
      <c r="O39" s="122"/>
      <c r="P39" s="774"/>
      <c r="Q39" s="157"/>
      <c r="R39" s="298">
        <f>'WA Volumes &amp; Revenues'!E34</f>
        <v>303088.75426472601</v>
      </c>
      <c r="S39" s="311"/>
      <c r="T39" s="300"/>
      <c r="U39" s="301"/>
      <c r="V39" s="157"/>
      <c r="W39" s="313">
        <f t="shared" si="62"/>
        <v>41362.522294507158</v>
      </c>
      <c r="X39" s="309">
        <f t="shared" si="63"/>
        <v>0</v>
      </c>
      <c r="Y39" s="309">
        <f t="shared" si="64"/>
        <v>0</v>
      </c>
      <c r="Z39" s="314"/>
      <c r="AA39" s="309"/>
      <c r="AB39" s="313">
        <f t="shared" si="65"/>
        <v>53555.782878577091</v>
      </c>
      <c r="AC39" s="309">
        <f t="shared" si="66"/>
        <v>0</v>
      </c>
      <c r="AD39" s="314">
        <f t="shared" si="67"/>
        <v>0</v>
      </c>
      <c r="AE39" s="309"/>
      <c r="AF39" s="313">
        <f t="shared" si="68"/>
        <v>12193.260584069933</v>
      </c>
      <c r="AG39" s="309">
        <f t="shared" si="68"/>
        <v>0</v>
      </c>
      <c r="AH39" s="314">
        <f t="shared" si="69"/>
        <v>0</v>
      </c>
      <c r="AI39" s="309"/>
      <c r="AJ39" s="338"/>
      <c r="AK39" s="340">
        <f t="shared" si="16"/>
        <v>0.29479006375027489</v>
      </c>
      <c r="AL39" s="309"/>
      <c r="AM39" s="313">
        <f t="shared" si="70"/>
        <v>-839.55584931329099</v>
      </c>
      <c r="AN39" s="309">
        <v>0</v>
      </c>
      <c r="AO39" s="314">
        <f t="shared" si="71"/>
        <v>0</v>
      </c>
      <c r="AP39" s="309"/>
      <c r="AQ39" s="310"/>
      <c r="AR39" s="310"/>
      <c r="AS39" s="309"/>
    </row>
    <row r="40" spans="1:45" x14ac:dyDescent="0.2">
      <c r="A40" s="86">
        <f t="shared" si="2"/>
        <v>33</v>
      </c>
      <c r="B40" s="725"/>
      <c r="C40" s="726" t="s">
        <v>6</v>
      </c>
      <c r="D40" s="157"/>
      <c r="E40" s="122">
        <f>ROUND('Rates in Detail'!L33,5)</f>
        <v>3.0859999999999999E-2</v>
      </c>
      <c r="F40" s="122">
        <f>'Allocation = % of Margin'!U34</f>
        <v>-2.1199999999999999E-3</v>
      </c>
      <c r="G40" s="157"/>
      <c r="H40" s="373">
        <f>ROUND('Rates in Detail'!N33,5)</f>
        <v>0.10467</v>
      </c>
      <c r="I40" s="774">
        <f t="shared" si="13"/>
        <v>0.13552999999999998</v>
      </c>
      <c r="J40" s="157"/>
      <c r="K40" s="743"/>
      <c r="L40" s="372"/>
      <c r="M40" s="122"/>
      <c r="N40" s="122"/>
      <c r="O40" s="122"/>
      <c r="P40" s="774"/>
      <c r="Q40" s="157"/>
      <c r="R40" s="298">
        <f>'WA Volumes &amp; Revenues'!E35</f>
        <v>59441.942130257296</v>
      </c>
      <c r="S40" s="311"/>
      <c r="T40" s="300"/>
      <c r="U40" s="301"/>
      <c r="V40" s="157"/>
      <c r="W40" s="313">
        <f t="shared" si="62"/>
        <v>6221.788082774031</v>
      </c>
      <c r="X40" s="309">
        <f t="shared" si="63"/>
        <v>0</v>
      </c>
      <c r="Y40" s="309">
        <f t="shared" si="64"/>
        <v>0</v>
      </c>
      <c r="Z40" s="314"/>
      <c r="AA40" s="309"/>
      <c r="AB40" s="313">
        <f t="shared" si="65"/>
        <v>8056.1664169137703</v>
      </c>
      <c r="AC40" s="309">
        <f t="shared" si="66"/>
        <v>0</v>
      </c>
      <c r="AD40" s="314">
        <f t="shared" si="67"/>
        <v>0</v>
      </c>
      <c r="AE40" s="309"/>
      <c r="AF40" s="313">
        <f t="shared" si="68"/>
        <v>1834.3783341397393</v>
      </c>
      <c r="AG40" s="309">
        <f t="shared" si="68"/>
        <v>0</v>
      </c>
      <c r="AH40" s="314">
        <f t="shared" si="69"/>
        <v>0</v>
      </c>
      <c r="AI40" s="309"/>
      <c r="AJ40" s="338"/>
      <c r="AK40" s="340">
        <f t="shared" si="16"/>
        <v>0.29483137479698085</v>
      </c>
      <c r="AL40" s="309"/>
      <c r="AM40" s="313">
        <f t="shared" si="70"/>
        <v>-126.01691731614547</v>
      </c>
      <c r="AN40" s="309">
        <v>0</v>
      </c>
      <c r="AO40" s="314">
        <f t="shared" si="71"/>
        <v>0</v>
      </c>
      <c r="AP40" s="309"/>
      <c r="AQ40" s="310"/>
      <c r="AR40" s="310"/>
      <c r="AS40" s="309"/>
    </row>
    <row r="41" spans="1:45" x14ac:dyDescent="0.2">
      <c r="A41" s="86">
        <f t="shared" si="2"/>
        <v>34</v>
      </c>
      <c r="B41" s="725"/>
      <c r="C41" s="726" t="s">
        <v>7</v>
      </c>
      <c r="D41" s="157"/>
      <c r="E41" s="122">
        <f>ROUND('Rates in Detail'!L34,5)</f>
        <v>2.4680000000000001E-2</v>
      </c>
      <c r="F41" s="122">
        <f>'Allocation = % of Margin'!U35</f>
        <v>-1.6999999999999999E-3</v>
      </c>
      <c r="G41" s="157"/>
      <c r="H41" s="373">
        <f>ROUND('Rates in Detail'!N34,5)</f>
        <v>8.3729999999999999E-2</v>
      </c>
      <c r="I41" s="774">
        <f t="shared" si="13"/>
        <v>0.10841000000000001</v>
      </c>
      <c r="J41" s="157"/>
      <c r="K41" s="155"/>
      <c r="L41" s="156"/>
      <c r="M41" s="122"/>
      <c r="N41" s="122"/>
      <c r="O41" s="122"/>
      <c r="P41" s="774"/>
      <c r="Q41" s="157"/>
      <c r="R41" s="298">
        <f>'WA Volumes &amp; Revenues'!E36</f>
        <v>3614.6071898605187</v>
      </c>
      <c r="S41" s="311"/>
      <c r="T41" s="300"/>
      <c r="U41" s="301"/>
      <c r="V41" s="157"/>
      <c r="W41" s="313">
        <f t="shared" si="62"/>
        <v>302.65106000702121</v>
      </c>
      <c r="X41" s="309">
        <f t="shared" si="63"/>
        <v>0</v>
      </c>
      <c r="Y41" s="309">
        <f t="shared" si="64"/>
        <v>0</v>
      </c>
      <c r="Z41" s="314"/>
      <c r="AA41" s="309"/>
      <c r="AB41" s="313">
        <f t="shared" si="65"/>
        <v>391.85956545277884</v>
      </c>
      <c r="AC41" s="309">
        <f t="shared" si="66"/>
        <v>0</v>
      </c>
      <c r="AD41" s="314">
        <f t="shared" si="67"/>
        <v>0</v>
      </c>
      <c r="AE41" s="309"/>
      <c r="AF41" s="313">
        <f t="shared" si="68"/>
        <v>89.208505445757623</v>
      </c>
      <c r="AG41" s="309">
        <f t="shared" si="68"/>
        <v>0</v>
      </c>
      <c r="AH41" s="314">
        <f t="shared" si="69"/>
        <v>0</v>
      </c>
      <c r="AI41" s="309"/>
      <c r="AJ41" s="338"/>
      <c r="AK41" s="340">
        <f t="shared" si="16"/>
        <v>0.29475695688522641</v>
      </c>
      <c r="AL41" s="309"/>
      <c r="AM41" s="313">
        <f t="shared" si="70"/>
        <v>-6.1448322227628811</v>
      </c>
      <c r="AN41" s="309">
        <v>0</v>
      </c>
      <c r="AO41" s="314">
        <f t="shared" si="71"/>
        <v>0</v>
      </c>
      <c r="AP41" s="309"/>
      <c r="AQ41" s="310"/>
      <c r="AR41" s="310"/>
      <c r="AS41" s="309"/>
    </row>
    <row r="42" spans="1:45" x14ac:dyDescent="0.2">
      <c r="A42" s="86">
        <f t="shared" si="2"/>
        <v>35</v>
      </c>
      <c r="B42" s="725"/>
      <c r="C42" s="726" t="s">
        <v>8</v>
      </c>
      <c r="D42" s="157"/>
      <c r="E42" s="122">
        <f>ROUND('Rates in Detail'!L35,5)</f>
        <v>1.6449999999999999E-2</v>
      </c>
      <c r="F42" s="122">
        <f>'Allocation = % of Margin'!U36</f>
        <v>-1.1299999999999999E-3</v>
      </c>
      <c r="G42" s="157"/>
      <c r="H42" s="373">
        <f>ROUND('Rates in Detail'!N35,5)</f>
        <v>5.5809999999999998E-2</v>
      </c>
      <c r="I42" s="774">
        <f t="shared" si="13"/>
        <v>7.2259999999999991E-2</v>
      </c>
      <c r="J42" s="157"/>
      <c r="K42" s="155"/>
      <c r="L42" s="156"/>
      <c r="M42" s="122"/>
      <c r="N42" s="122"/>
      <c r="O42" s="122"/>
      <c r="P42" s="774"/>
      <c r="Q42" s="157"/>
      <c r="R42" s="298">
        <f>'WA Volumes &amp; Revenues'!E37</f>
        <v>0</v>
      </c>
      <c r="S42" s="311"/>
      <c r="T42" s="300"/>
      <c r="U42" s="301"/>
      <c r="V42" s="157"/>
      <c r="W42" s="313">
        <f t="shared" si="62"/>
        <v>0</v>
      </c>
      <c r="X42" s="309">
        <f t="shared" si="63"/>
        <v>0</v>
      </c>
      <c r="Y42" s="309">
        <f t="shared" si="64"/>
        <v>0</v>
      </c>
      <c r="Z42" s="314"/>
      <c r="AA42" s="309"/>
      <c r="AB42" s="313">
        <f t="shared" si="65"/>
        <v>0</v>
      </c>
      <c r="AC42" s="309">
        <f t="shared" si="66"/>
        <v>0</v>
      </c>
      <c r="AD42" s="314">
        <f t="shared" si="67"/>
        <v>0</v>
      </c>
      <c r="AE42" s="309"/>
      <c r="AF42" s="313">
        <f t="shared" si="68"/>
        <v>0</v>
      </c>
      <c r="AG42" s="309">
        <f t="shared" si="68"/>
        <v>0</v>
      </c>
      <c r="AH42" s="314">
        <f t="shared" si="69"/>
        <v>0</v>
      </c>
      <c r="AI42" s="309"/>
      <c r="AJ42" s="338"/>
      <c r="AK42" s="340">
        <f>AK41</f>
        <v>0.29475695688522641</v>
      </c>
      <c r="AL42" s="309"/>
      <c r="AM42" s="313">
        <f t="shared" si="70"/>
        <v>0</v>
      </c>
      <c r="AN42" s="309">
        <v>0</v>
      </c>
      <c r="AO42" s="314">
        <f t="shared" si="71"/>
        <v>0</v>
      </c>
      <c r="AP42" s="309"/>
      <c r="AQ42" s="310"/>
      <c r="AR42" s="310"/>
      <c r="AS42" s="309"/>
    </row>
    <row r="43" spans="1:45" x14ac:dyDescent="0.2">
      <c r="A43" s="86">
        <f t="shared" si="2"/>
        <v>36</v>
      </c>
      <c r="B43" s="725"/>
      <c r="C43" s="726" t="s">
        <v>9</v>
      </c>
      <c r="D43" s="157"/>
      <c r="E43" s="122">
        <f>ROUND('Rates in Detail'!L36,5)</f>
        <v>6.1700000000000001E-3</v>
      </c>
      <c r="F43" s="122">
        <f>'Allocation = % of Margin'!U37</f>
        <v>-4.2000000000000002E-4</v>
      </c>
      <c r="G43" s="157"/>
      <c r="H43" s="373">
        <f>ROUND('Rates in Detail'!N36,5)</f>
        <v>2.0920000000000001E-2</v>
      </c>
      <c r="I43" s="774">
        <f t="shared" si="13"/>
        <v>2.7090000000000003E-2</v>
      </c>
      <c r="J43" s="157"/>
      <c r="K43" s="743"/>
      <c r="L43" s="372"/>
      <c r="M43" s="122"/>
      <c r="N43" s="122"/>
      <c r="O43" s="122"/>
      <c r="P43" s="774"/>
      <c r="Q43" s="157"/>
      <c r="R43" s="298">
        <f>'WA Volumes &amp; Revenues'!E38</f>
        <v>0</v>
      </c>
      <c r="S43" s="311"/>
      <c r="T43" s="300"/>
      <c r="U43" s="301"/>
      <c r="V43" s="157"/>
      <c r="W43" s="313">
        <f t="shared" si="62"/>
        <v>0</v>
      </c>
      <c r="X43" s="309">
        <f t="shared" si="63"/>
        <v>0</v>
      </c>
      <c r="Y43" s="309">
        <f t="shared" si="64"/>
        <v>0</v>
      </c>
      <c r="Z43" s="314"/>
      <c r="AA43" s="309"/>
      <c r="AB43" s="313">
        <f t="shared" si="65"/>
        <v>0</v>
      </c>
      <c r="AC43" s="309">
        <f t="shared" si="66"/>
        <v>0</v>
      </c>
      <c r="AD43" s="314">
        <f t="shared" si="67"/>
        <v>0</v>
      </c>
      <c r="AE43" s="309"/>
      <c r="AF43" s="313">
        <f t="shared" si="68"/>
        <v>0</v>
      </c>
      <c r="AG43" s="309">
        <f t="shared" si="68"/>
        <v>0</v>
      </c>
      <c r="AH43" s="314">
        <f t="shared" si="69"/>
        <v>0</v>
      </c>
      <c r="AI43" s="309"/>
      <c r="AJ43" s="338"/>
      <c r="AK43" s="340">
        <f>AK42</f>
        <v>0.29475695688522641</v>
      </c>
      <c r="AL43" s="309"/>
      <c r="AM43" s="313">
        <f t="shared" si="70"/>
        <v>0</v>
      </c>
      <c r="AN43" s="309">
        <v>0</v>
      </c>
      <c r="AO43" s="314">
        <f t="shared" si="71"/>
        <v>0</v>
      </c>
      <c r="AP43" s="309"/>
      <c r="AQ43" s="310"/>
      <c r="AR43" s="310"/>
      <c r="AS43" s="309"/>
    </row>
    <row r="44" spans="1:45" x14ac:dyDescent="0.2">
      <c r="A44" s="86">
        <f t="shared" si="2"/>
        <v>37</v>
      </c>
      <c r="B44" s="723"/>
      <c r="C44" s="742" t="s">
        <v>78</v>
      </c>
      <c r="D44" s="153"/>
      <c r="E44" s="123"/>
      <c r="F44" s="123"/>
      <c r="G44" s="153"/>
      <c r="H44" s="368"/>
      <c r="I44" s="773"/>
      <c r="J44" s="157"/>
      <c r="K44" s="743"/>
      <c r="L44" s="372"/>
      <c r="M44" s="122"/>
      <c r="N44" s="122"/>
      <c r="O44" s="122"/>
      <c r="P44" s="774"/>
      <c r="Q44" s="157"/>
      <c r="R44" s="298"/>
      <c r="S44" s="311"/>
      <c r="T44" s="300"/>
      <c r="U44" s="301"/>
      <c r="V44" s="157"/>
      <c r="W44" s="315">
        <f>SUM(W38:W43)</f>
        <v>101365.3040668843</v>
      </c>
      <c r="X44" s="316">
        <f>SUM(X38:X43)</f>
        <v>78000</v>
      </c>
      <c r="Y44" s="316">
        <f>SUM(Y38:Y43)</f>
        <v>29339.765160000003</v>
      </c>
      <c r="Z44" s="317">
        <f>'Rate Spread Proposal'!Q$15-SUM(W44:Y44)</f>
        <v>10869.531612934952</v>
      </c>
      <c r="AA44" s="309"/>
      <c r="AB44" s="315">
        <f>SUM(AB38:AB43)</f>
        <v>131249.24778596376</v>
      </c>
      <c r="AC44" s="316">
        <f>SUM(AC38:AC43)</f>
        <v>78000</v>
      </c>
      <c r="AD44" s="317">
        <f>SUM(AD38:AD43)</f>
        <v>29339.765160000003</v>
      </c>
      <c r="AE44" s="309"/>
      <c r="AF44" s="315">
        <f>SUM(AF38:AF43)</f>
        <v>29883.943719079431</v>
      </c>
      <c r="AG44" s="316">
        <f>SUM(AG38:AG43)</f>
        <v>0</v>
      </c>
      <c r="AH44" s="317">
        <f>SUM(AH38:AH43)</f>
        <v>0</v>
      </c>
      <c r="AI44" s="309"/>
      <c r="AJ44" s="338">
        <f>SUM(AF44:AH44)/SUM(W44:Y44)</f>
        <v>0.14318743588634375</v>
      </c>
      <c r="AK44" s="339">
        <f>SUM(AF44)/SUM(W44)</f>
        <v>0.29481432521882417</v>
      </c>
      <c r="AL44" s="309"/>
      <c r="AM44" s="315">
        <f>SUM(AM38:AM43)</f>
        <v>-2055.595853643305</v>
      </c>
      <c r="AN44" s="316">
        <f>SUM(AN38:AN43)</f>
        <v>0</v>
      </c>
      <c r="AO44" s="317">
        <f>SUM(AO38:AO43)</f>
        <v>0</v>
      </c>
      <c r="AP44" s="309"/>
      <c r="AQ44" s="310"/>
      <c r="AR44" s="310"/>
      <c r="AS44" s="309"/>
    </row>
    <row r="45" spans="1:45" x14ac:dyDescent="0.2">
      <c r="A45" s="86">
        <f t="shared" si="2"/>
        <v>38</v>
      </c>
      <c r="B45" s="725" t="str">
        <f>'WA Volumes &amp; Revenues'!B39</f>
        <v>42I Firm Sales</v>
      </c>
      <c r="C45" s="726" t="s">
        <v>4</v>
      </c>
      <c r="D45" s="157"/>
      <c r="E45" s="122">
        <f>ROUND('Rates in Detail'!L37,5)</f>
        <v>3.9980000000000002E-2</v>
      </c>
      <c r="F45" s="122">
        <f>'Allocation = % of Margin'!U38</f>
        <v>-2.7499999999999998E-3</v>
      </c>
      <c r="G45" s="157"/>
      <c r="H45" s="373">
        <f>ROUND('Rates in Detail'!N37,5)</f>
        <v>0.14721000000000001</v>
      </c>
      <c r="I45" s="774">
        <f t="shared" si="13"/>
        <v>0.18719000000000002</v>
      </c>
      <c r="J45" s="157"/>
      <c r="K45" s="155">
        <f>'WA Volumes &amp; Revenues'!O39</f>
        <v>1300</v>
      </c>
      <c r="L45" s="156">
        <f>'WA Volumes &amp; Revenues'!N39</f>
        <v>1300</v>
      </c>
      <c r="M45" s="122">
        <f>'Rates in Detail'!AF37</f>
        <v>0.15748000000000001</v>
      </c>
      <c r="N45" s="122">
        <f>'Rates in Detail'!AG37</f>
        <v>0.15748000000000001</v>
      </c>
      <c r="O45" s="122">
        <f>'Rates in Detail'!AH37</f>
        <v>0.20415</v>
      </c>
      <c r="P45" s="774">
        <f>'Rates in Detail'!AI37</f>
        <v>0.20415</v>
      </c>
      <c r="Q45" s="157"/>
      <c r="R45" s="298">
        <f>'WA Volumes &amp; Revenues'!E39</f>
        <v>1093724.2000000002</v>
      </c>
      <c r="S45" s="311">
        <v>9556</v>
      </c>
      <c r="T45" s="300">
        <f>'WA Volumes &amp; Revenues'!H39</f>
        <v>11.916666666666666</v>
      </c>
      <c r="U45" s="301">
        <f>'WA Volumes &amp; Revenues'!I39</f>
        <v>12869</v>
      </c>
      <c r="V45" s="157"/>
      <c r="W45" s="313">
        <f t="shared" ref="W45:W50" si="72">(H45*R45)</f>
        <v>161007.13948200003</v>
      </c>
      <c r="X45" s="309">
        <f t="shared" ref="X45:X50" si="73">(K45*T45*12)</f>
        <v>185900</v>
      </c>
      <c r="Y45" s="309">
        <f t="shared" ref="Y45:Y50" si="74">(S45*(M45+O45))*12</f>
        <v>41468.835359999997</v>
      </c>
      <c r="Z45" s="314"/>
      <c r="AA45" s="309"/>
      <c r="AB45" s="313">
        <f t="shared" ref="AB45:AB50" si="75">(I45*R45)</f>
        <v>204734.23299800005</v>
      </c>
      <c r="AC45" s="309">
        <f t="shared" ref="AC45:AC50" si="76">(L45*T45*12)</f>
        <v>185900</v>
      </c>
      <c r="AD45" s="314">
        <f t="shared" ref="AD45:AD50" si="77">(S45*(N45+P45))*12</f>
        <v>41468.835359999997</v>
      </c>
      <c r="AE45" s="309"/>
      <c r="AF45" s="313">
        <f t="shared" ref="AF45:AG50" si="78">AB45-W45</f>
        <v>43727.093516000023</v>
      </c>
      <c r="AG45" s="309">
        <f t="shared" si="78"/>
        <v>0</v>
      </c>
      <c r="AH45" s="314">
        <f t="shared" ref="AH45:AH50" si="79">AD45-Y45</f>
        <v>0</v>
      </c>
      <c r="AI45" s="309"/>
      <c r="AJ45" s="338"/>
      <c r="AK45" s="340">
        <f>SUM(AF45)/SUM(W45)</f>
        <v>0.27158481081448282</v>
      </c>
      <c r="AL45" s="309"/>
      <c r="AM45" s="313">
        <f t="shared" ref="AM45:AM50" si="80">(F45*R45)</f>
        <v>-3007.7415500000002</v>
      </c>
      <c r="AN45" s="309">
        <v>0</v>
      </c>
      <c r="AO45" s="314">
        <f t="shared" ref="AO45:AO50" si="81">(AE45*(Y45+AB45))*12</f>
        <v>0</v>
      </c>
      <c r="AP45" s="309"/>
      <c r="AQ45" s="310"/>
      <c r="AR45" s="310"/>
      <c r="AS45" s="309"/>
    </row>
    <row r="46" spans="1:45" x14ac:dyDescent="0.2">
      <c r="A46" s="86">
        <f t="shared" si="2"/>
        <v>39</v>
      </c>
      <c r="B46" s="725"/>
      <c r="C46" s="726" t="s">
        <v>5</v>
      </c>
      <c r="D46" s="157"/>
      <c r="E46" s="122">
        <f>ROUND('Rates in Detail'!L38,5)</f>
        <v>3.5790000000000002E-2</v>
      </c>
      <c r="F46" s="122">
        <f>'Allocation = % of Margin'!U39</f>
        <v>-2.4599999999999999E-3</v>
      </c>
      <c r="G46" s="157"/>
      <c r="H46" s="373">
        <f>ROUND('Rates in Detail'!N38,5)</f>
        <v>0.13177</v>
      </c>
      <c r="I46" s="774">
        <f t="shared" si="13"/>
        <v>0.16755999999999999</v>
      </c>
      <c r="J46" s="157"/>
      <c r="K46" s="155"/>
      <c r="L46" s="156"/>
      <c r="M46" s="122"/>
      <c r="N46" s="122"/>
      <c r="O46" s="122"/>
      <c r="P46" s="774"/>
      <c r="Q46" s="157"/>
      <c r="R46" s="298">
        <f>'WA Volumes &amp; Revenues'!E40</f>
        <v>655939.80000000005</v>
      </c>
      <c r="S46" s="311"/>
      <c r="T46" s="300"/>
      <c r="U46" s="301"/>
      <c r="V46" s="157"/>
      <c r="W46" s="313">
        <f t="shared" si="72"/>
        <v>86433.187446000011</v>
      </c>
      <c r="X46" s="309">
        <f t="shared" si="73"/>
        <v>0</v>
      </c>
      <c r="Y46" s="309">
        <f t="shared" si="74"/>
        <v>0</v>
      </c>
      <c r="Z46" s="314"/>
      <c r="AA46" s="309"/>
      <c r="AB46" s="313">
        <f t="shared" si="75"/>
        <v>109909.27288799999</v>
      </c>
      <c r="AC46" s="309">
        <f t="shared" si="76"/>
        <v>0</v>
      </c>
      <c r="AD46" s="314">
        <f t="shared" si="77"/>
        <v>0</v>
      </c>
      <c r="AE46" s="309"/>
      <c r="AF46" s="313">
        <f t="shared" si="78"/>
        <v>23476.085441999981</v>
      </c>
      <c r="AG46" s="309">
        <f t="shared" si="78"/>
        <v>0</v>
      </c>
      <c r="AH46" s="314">
        <f t="shared" si="79"/>
        <v>0</v>
      </c>
      <c r="AI46" s="309"/>
      <c r="AJ46" s="338"/>
      <c r="AK46" s="340">
        <f>SUM(AF46)/SUM(W46)</f>
        <v>0.271609622827654</v>
      </c>
      <c r="AL46" s="309"/>
      <c r="AM46" s="313">
        <f t="shared" si="80"/>
        <v>-1613.6119080000001</v>
      </c>
      <c r="AN46" s="309">
        <v>0</v>
      </c>
      <c r="AO46" s="314">
        <f t="shared" si="81"/>
        <v>0</v>
      </c>
      <c r="AP46" s="309"/>
      <c r="AQ46" s="310"/>
      <c r="AR46" s="310"/>
      <c r="AS46" s="309"/>
    </row>
    <row r="47" spans="1:45" x14ac:dyDescent="0.2">
      <c r="A47" s="86">
        <f t="shared" si="2"/>
        <v>40</v>
      </c>
      <c r="B47" s="725"/>
      <c r="C47" s="726" t="s">
        <v>6</v>
      </c>
      <c r="D47" s="157"/>
      <c r="E47" s="122">
        <f>ROUND('Rates in Detail'!L39,5)</f>
        <v>2.7439999999999999E-2</v>
      </c>
      <c r="F47" s="122">
        <f>'Allocation = % of Margin'!U40</f>
        <v>-1.89E-3</v>
      </c>
      <c r="G47" s="157"/>
      <c r="H47" s="373">
        <f>ROUND('Rates in Detail'!N39,5)</f>
        <v>0.10105</v>
      </c>
      <c r="I47" s="774">
        <f t="shared" si="13"/>
        <v>0.12848999999999999</v>
      </c>
      <c r="J47" s="157"/>
      <c r="K47" s="155"/>
      <c r="L47" s="156"/>
      <c r="M47" s="122"/>
      <c r="N47" s="122"/>
      <c r="O47" s="122"/>
      <c r="P47" s="774"/>
      <c r="Q47" s="157"/>
      <c r="R47" s="298">
        <f>'WA Volumes &amp; Revenues'!E41</f>
        <v>81241.3</v>
      </c>
      <c r="S47" s="311"/>
      <c r="T47" s="300"/>
      <c r="U47" s="301"/>
      <c r="V47" s="157"/>
      <c r="W47" s="313">
        <f t="shared" si="72"/>
        <v>8209.4333650000008</v>
      </c>
      <c r="X47" s="309">
        <f t="shared" si="73"/>
        <v>0</v>
      </c>
      <c r="Y47" s="309">
        <f t="shared" si="74"/>
        <v>0</v>
      </c>
      <c r="Z47" s="314"/>
      <c r="AA47" s="309"/>
      <c r="AB47" s="313">
        <f t="shared" si="75"/>
        <v>10438.694637000001</v>
      </c>
      <c r="AC47" s="309">
        <f t="shared" si="76"/>
        <v>0</v>
      </c>
      <c r="AD47" s="314">
        <f t="shared" si="77"/>
        <v>0</v>
      </c>
      <c r="AE47" s="309"/>
      <c r="AF47" s="313">
        <f t="shared" si="78"/>
        <v>2229.2612719999997</v>
      </c>
      <c r="AG47" s="309">
        <f t="shared" si="78"/>
        <v>0</v>
      </c>
      <c r="AH47" s="314">
        <f t="shared" si="79"/>
        <v>0</v>
      </c>
      <c r="AI47" s="309"/>
      <c r="AJ47" s="338"/>
      <c r="AK47" s="340">
        <f>SUM(AF47)/SUM(W47)</f>
        <v>0.27154873824839182</v>
      </c>
      <c r="AL47" s="309"/>
      <c r="AM47" s="313">
        <f t="shared" si="80"/>
        <v>-153.54605699999999</v>
      </c>
      <c r="AN47" s="309">
        <v>0</v>
      </c>
      <c r="AO47" s="314">
        <f t="shared" si="81"/>
        <v>0</v>
      </c>
      <c r="AP47" s="309"/>
      <c r="AQ47" s="310"/>
      <c r="AR47" s="310"/>
      <c r="AS47" s="309"/>
    </row>
    <row r="48" spans="1:45" x14ac:dyDescent="0.2">
      <c r="A48" s="86">
        <f t="shared" si="2"/>
        <v>41</v>
      </c>
      <c r="B48" s="725"/>
      <c r="C48" s="726" t="s">
        <v>7</v>
      </c>
      <c r="D48" s="157"/>
      <c r="E48" s="122">
        <f>ROUND('Rates in Detail'!L40,5)</f>
        <v>2.196E-2</v>
      </c>
      <c r="F48" s="122">
        <f>'Allocation = % of Margin'!U41</f>
        <v>-1.5100000000000001E-3</v>
      </c>
      <c r="G48" s="157"/>
      <c r="H48" s="373">
        <f>ROUND('Rates in Detail'!N40,5)</f>
        <v>8.0839999999999995E-2</v>
      </c>
      <c r="I48" s="774">
        <f t="shared" si="13"/>
        <v>0.1028</v>
      </c>
      <c r="J48" s="157"/>
      <c r="K48" s="155"/>
      <c r="L48" s="156"/>
      <c r="M48" s="122"/>
      <c r="N48" s="122"/>
      <c r="O48" s="122"/>
      <c r="P48" s="774"/>
      <c r="Q48" s="157"/>
      <c r="R48" s="298">
        <f>'WA Volumes &amp; Revenues'!E42</f>
        <v>9320.1</v>
      </c>
      <c r="S48" s="311"/>
      <c r="T48" s="300"/>
      <c r="U48" s="301"/>
      <c r="V48" s="157"/>
      <c r="W48" s="313">
        <f t="shared" si="72"/>
        <v>753.43688399999996</v>
      </c>
      <c r="X48" s="309">
        <f t="shared" si="73"/>
        <v>0</v>
      </c>
      <c r="Y48" s="309">
        <f t="shared" si="74"/>
        <v>0</v>
      </c>
      <c r="Z48" s="314"/>
      <c r="AA48" s="309"/>
      <c r="AB48" s="313">
        <f t="shared" si="75"/>
        <v>958.10628000000008</v>
      </c>
      <c r="AC48" s="309">
        <f t="shared" si="76"/>
        <v>0</v>
      </c>
      <c r="AD48" s="314">
        <f t="shared" si="77"/>
        <v>0</v>
      </c>
      <c r="AE48" s="309"/>
      <c r="AF48" s="313">
        <f t="shared" si="78"/>
        <v>204.66939600000012</v>
      </c>
      <c r="AG48" s="309">
        <f t="shared" si="78"/>
        <v>0</v>
      </c>
      <c r="AH48" s="314">
        <f t="shared" si="79"/>
        <v>0</v>
      </c>
      <c r="AI48" s="309"/>
      <c r="AJ48" s="338"/>
      <c r="AK48" s="340">
        <f>SUM(AF48)/SUM(W48)</f>
        <v>0.27164769915883241</v>
      </c>
      <c r="AL48" s="309"/>
      <c r="AM48" s="313">
        <f t="shared" si="80"/>
        <v>-14.073351000000001</v>
      </c>
      <c r="AN48" s="309">
        <v>0</v>
      </c>
      <c r="AO48" s="314">
        <f t="shared" si="81"/>
        <v>0</v>
      </c>
      <c r="AP48" s="309"/>
      <c r="AQ48" s="310"/>
      <c r="AR48" s="310"/>
      <c r="AS48" s="309"/>
    </row>
    <row r="49" spans="1:45" x14ac:dyDescent="0.2">
      <c r="A49" s="86">
        <f t="shared" si="2"/>
        <v>42</v>
      </c>
      <c r="B49" s="725"/>
      <c r="C49" s="726" t="s">
        <v>8</v>
      </c>
      <c r="D49" s="157"/>
      <c r="E49" s="122">
        <f>ROUND('Rates in Detail'!L41,5)</f>
        <v>1.464E-2</v>
      </c>
      <c r="F49" s="122">
        <f>'Allocation = % of Margin'!U42</f>
        <v>-1.01E-3</v>
      </c>
      <c r="G49" s="157"/>
      <c r="H49" s="373">
        <f>ROUND('Rates in Detail'!N41,5)</f>
        <v>5.391E-2</v>
      </c>
      <c r="I49" s="774">
        <f t="shared" si="13"/>
        <v>6.855E-2</v>
      </c>
      <c r="J49" s="157"/>
      <c r="K49" s="155"/>
      <c r="L49" s="156"/>
      <c r="M49" s="122"/>
      <c r="N49" s="122"/>
      <c r="O49" s="122"/>
      <c r="P49" s="774"/>
      <c r="Q49" s="157"/>
      <c r="R49" s="298">
        <f>'WA Volumes &amp; Revenues'!E43</f>
        <v>0</v>
      </c>
      <c r="S49" s="311"/>
      <c r="T49" s="300"/>
      <c r="U49" s="301"/>
      <c r="V49" s="157"/>
      <c r="W49" s="313">
        <f t="shared" si="72"/>
        <v>0</v>
      </c>
      <c r="X49" s="309">
        <f t="shared" si="73"/>
        <v>0</v>
      </c>
      <c r="Y49" s="309">
        <f t="shared" si="74"/>
        <v>0</v>
      </c>
      <c r="Z49" s="314"/>
      <c r="AA49" s="309"/>
      <c r="AB49" s="313">
        <f t="shared" si="75"/>
        <v>0</v>
      </c>
      <c r="AC49" s="309">
        <f t="shared" si="76"/>
        <v>0</v>
      </c>
      <c r="AD49" s="314">
        <f t="shared" si="77"/>
        <v>0</v>
      </c>
      <c r="AE49" s="309"/>
      <c r="AF49" s="313">
        <f t="shared" si="78"/>
        <v>0</v>
      </c>
      <c r="AG49" s="309">
        <f t="shared" si="78"/>
        <v>0</v>
      </c>
      <c r="AH49" s="314">
        <f t="shared" si="79"/>
        <v>0</v>
      </c>
      <c r="AI49" s="309"/>
      <c r="AJ49" s="338"/>
      <c r="AK49" s="340">
        <f>AK48</f>
        <v>0.27164769915883241</v>
      </c>
      <c r="AL49" s="309"/>
      <c r="AM49" s="313">
        <f t="shared" si="80"/>
        <v>0</v>
      </c>
      <c r="AN49" s="309">
        <v>0</v>
      </c>
      <c r="AO49" s="314">
        <f t="shared" si="81"/>
        <v>0</v>
      </c>
      <c r="AP49" s="309"/>
      <c r="AQ49" s="310"/>
      <c r="AR49" s="310"/>
      <c r="AS49" s="309"/>
    </row>
    <row r="50" spans="1:45" x14ac:dyDescent="0.2">
      <c r="A50" s="86">
        <f t="shared" si="2"/>
        <v>43</v>
      </c>
      <c r="B50" s="725"/>
      <c r="C50" s="726" t="s">
        <v>9</v>
      </c>
      <c r="D50" s="157"/>
      <c r="E50" s="122">
        <f>ROUND('Rates in Detail'!L42,5)</f>
        <v>5.4900000000000001E-3</v>
      </c>
      <c r="F50" s="122">
        <f>'Allocation = % of Margin'!U43</f>
        <v>-3.8000000000000002E-4</v>
      </c>
      <c r="G50" s="157"/>
      <c r="H50" s="373">
        <f>ROUND('Rates in Detail'!N42,5)</f>
        <v>2.0199999999999999E-2</v>
      </c>
      <c r="I50" s="774">
        <f t="shared" si="13"/>
        <v>2.5689999999999998E-2</v>
      </c>
      <c r="J50" s="157"/>
      <c r="K50" s="155"/>
      <c r="L50" s="156"/>
      <c r="M50" s="122"/>
      <c r="N50" s="122"/>
      <c r="O50" s="122"/>
      <c r="P50" s="774"/>
      <c r="Q50" s="157"/>
      <c r="R50" s="298">
        <f>'WA Volumes &amp; Revenues'!E44</f>
        <v>0</v>
      </c>
      <c r="S50" s="311"/>
      <c r="T50" s="300"/>
      <c r="U50" s="301"/>
      <c r="V50" s="157"/>
      <c r="W50" s="313">
        <f t="shared" si="72"/>
        <v>0</v>
      </c>
      <c r="X50" s="309">
        <f t="shared" si="73"/>
        <v>0</v>
      </c>
      <c r="Y50" s="309">
        <f t="shared" si="74"/>
        <v>0</v>
      </c>
      <c r="Z50" s="314"/>
      <c r="AA50" s="309"/>
      <c r="AB50" s="313">
        <f t="shared" si="75"/>
        <v>0</v>
      </c>
      <c r="AC50" s="309">
        <f t="shared" si="76"/>
        <v>0</v>
      </c>
      <c r="AD50" s="314">
        <f t="shared" si="77"/>
        <v>0</v>
      </c>
      <c r="AE50" s="309"/>
      <c r="AF50" s="313">
        <f t="shared" si="78"/>
        <v>0</v>
      </c>
      <c r="AG50" s="309">
        <f t="shared" si="78"/>
        <v>0</v>
      </c>
      <c r="AH50" s="314">
        <f t="shared" si="79"/>
        <v>0</v>
      </c>
      <c r="AI50" s="309"/>
      <c r="AJ50" s="338"/>
      <c r="AK50" s="340">
        <f>AK49</f>
        <v>0.27164769915883241</v>
      </c>
      <c r="AL50" s="309"/>
      <c r="AM50" s="313">
        <f t="shared" si="80"/>
        <v>0</v>
      </c>
      <c r="AN50" s="309">
        <v>0</v>
      </c>
      <c r="AO50" s="314">
        <f t="shared" si="81"/>
        <v>0</v>
      </c>
      <c r="AP50" s="309"/>
      <c r="AQ50" s="310"/>
      <c r="AR50" s="310"/>
      <c r="AS50" s="309"/>
    </row>
    <row r="51" spans="1:45" x14ac:dyDescent="0.2">
      <c r="A51" s="86">
        <f t="shared" si="2"/>
        <v>44</v>
      </c>
      <c r="B51" s="723"/>
      <c r="C51" s="742" t="s">
        <v>78</v>
      </c>
      <c r="D51" s="153"/>
      <c r="E51" s="123"/>
      <c r="F51" s="123"/>
      <c r="G51" s="153"/>
      <c r="H51" s="368"/>
      <c r="I51" s="773"/>
      <c r="J51" s="157"/>
      <c r="K51" s="155"/>
      <c r="L51" s="156"/>
      <c r="M51" s="122"/>
      <c r="N51" s="122"/>
      <c r="O51" s="122"/>
      <c r="P51" s="774"/>
      <c r="Q51" s="157"/>
      <c r="R51" s="298"/>
      <c r="S51" s="311"/>
      <c r="T51" s="300"/>
      <c r="U51" s="301"/>
      <c r="V51" s="157"/>
      <c r="W51" s="315">
        <f>SUM(W45:W50)</f>
        <v>256403.19717700002</v>
      </c>
      <c r="X51" s="316">
        <f>SUM(X45:X50)</f>
        <v>185900</v>
      </c>
      <c r="Y51" s="316">
        <f>SUM(Y45:Y50)</f>
        <v>41468.835359999997</v>
      </c>
      <c r="Z51" s="317">
        <f>'Rate Spread Proposal'!R$15-SUM(W51:Y51)</f>
        <v>27900.346800891217</v>
      </c>
      <c r="AA51" s="309"/>
      <c r="AB51" s="315">
        <f>SUM(AB45:AB50)</f>
        <v>326040.30680300004</v>
      </c>
      <c r="AC51" s="316">
        <f>SUM(AC45:AC50)</f>
        <v>185900</v>
      </c>
      <c r="AD51" s="317">
        <f>SUM(AD45:AD50)</f>
        <v>41468.835359999997</v>
      </c>
      <c r="AE51" s="309"/>
      <c r="AF51" s="315">
        <f>SUM(AF45:AF50)</f>
        <v>69637.109626000005</v>
      </c>
      <c r="AG51" s="316">
        <f>SUM(AG45:AG50)</f>
        <v>0</v>
      </c>
      <c r="AH51" s="317">
        <f>SUM(AH45:AH50)</f>
        <v>0</v>
      </c>
      <c r="AI51" s="309"/>
      <c r="AJ51" s="338">
        <f>SUM(AF51:AH51)/SUM(W51:Y51)</f>
        <v>0.14394612532851203</v>
      </c>
      <c r="AK51" s="339">
        <f t="shared" ref="AK51:AK56" si="82">SUM(AF51)/SUM(W51)</f>
        <v>0.2715922047490234</v>
      </c>
      <c r="AL51" s="309"/>
      <c r="AM51" s="315">
        <f>SUM(AM45:AM50)</f>
        <v>-4788.9728660000001</v>
      </c>
      <c r="AN51" s="316">
        <f>SUM(AN45:AN50)</f>
        <v>0</v>
      </c>
      <c r="AO51" s="317">
        <f>SUM(AO45:AO50)</f>
        <v>0</v>
      </c>
      <c r="AP51" s="309"/>
      <c r="AQ51" s="310"/>
      <c r="AR51" s="310"/>
      <c r="AS51" s="309"/>
    </row>
    <row r="52" spans="1:45" x14ac:dyDescent="0.2">
      <c r="A52" s="86">
        <f t="shared" si="2"/>
        <v>45</v>
      </c>
      <c r="B52" s="725" t="str">
        <f>'WA Volumes &amp; Revenues'!B45</f>
        <v>42C Firm Transpt</v>
      </c>
      <c r="C52" s="726" t="s">
        <v>4</v>
      </c>
      <c r="D52" s="157"/>
      <c r="E52" s="122">
        <f>ROUND('Rates in Detail'!L43,5)</f>
        <v>2.5399999999999999E-2</v>
      </c>
      <c r="F52" s="122">
        <f>'Allocation = % of Margin'!U44</f>
        <v>-1.75E-3</v>
      </c>
      <c r="G52" s="157"/>
      <c r="H52" s="373">
        <f>ROUND('Rates in Detail'!N43,5)</f>
        <v>0.13791999999999999</v>
      </c>
      <c r="I52" s="774">
        <f t="shared" si="13"/>
        <v>0.16331999999999999</v>
      </c>
      <c r="J52" s="157"/>
      <c r="K52" s="155">
        <f>'WA Volumes &amp; Revenues'!O45</f>
        <v>1550</v>
      </c>
      <c r="L52" s="156">
        <f>'WA Volumes &amp; Revenues'!N45</f>
        <v>1550</v>
      </c>
      <c r="M52" s="122">
        <f>'Rates in Detail'!AF43</f>
        <v>0.15748000000000001</v>
      </c>
      <c r="N52" s="122">
        <f>'Rates in Detail'!AG43</f>
        <v>0.15748000000000001</v>
      </c>
      <c r="O52" s="122">
        <f>'Rates in Detail'!AH43</f>
        <v>0</v>
      </c>
      <c r="P52" s="774">
        <f>'Rates in Detail'!AI43</f>
        <v>0</v>
      </c>
      <c r="Q52" s="157"/>
      <c r="R52" s="298">
        <f>'WA Volumes &amp; Revenues'!E45</f>
        <v>480000</v>
      </c>
      <c r="S52" s="311">
        <v>10479</v>
      </c>
      <c r="T52" s="300">
        <f>'WA Volumes &amp; Revenues'!H45</f>
        <v>4</v>
      </c>
      <c r="U52" s="301">
        <f>'WA Volumes &amp; Revenues'!I45</f>
        <v>51470</v>
      </c>
      <c r="V52" s="157"/>
      <c r="W52" s="313">
        <f t="shared" ref="W52:W57" si="83">(H52*R52)</f>
        <v>66201.599999999991</v>
      </c>
      <c r="X52" s="309">
        <f t="shared" ref="X52:X57" si="84">(K52*T52*12)</f>
        <v>74400</v>
      </c>
      <c r="Y52" s="309">
        <f t="shared" ref="Y52:Y57" si="85">(S52*(M52+O52))*12</f>
        <v>19802.795040000001</v>
      </c>
      <c r="Z52" s="314"/>
      <c r="AA52" s="309"/>
      <c r="AB52" s="313">
        <f t="shared" ref="AB52:AB57" si="86">(I52*R52)</f>
        <v>78393.599999999991</v>
      </c>
      <c r="AC52" s="309">
        <f t="shared" ref="AC52:AC57" si="87">(L52*T52*12)</f>
        <v>74400</v>
      </c>
      <c r="AD52" s="314">
        <f t="shared" ref="AD52:AD57" si="88">(S52*(N52+P52))*12</f>
        <v>19802.795040000001</v>
      </c>
      <c r="AE52" s="309"/>
      <c r="AF52" s="313">
        <f t="shared" ref="AF52:AG57" si="89">AB52-W52</f>
        <v>12192</v>
      </c>
      <c r="AG52" s="309">
        <f t="shared" si="89"/>
        <v>0</v>
      </c>
      <c r="AH52" s="314">
        <f t="shared" ref="AH52:AH57" si="90">AD52-Y52</f>
        <v>0</v>
      </c>
      <c r="AI52" s="309"/>
      <c r="AJ52" s="338"/>
      <c r="AK52" s="340">
        <f t="shared" si="82"/>
        <v>0.18416473317865431</v>
      </c>
      <c r="AL52" s="309"/>
      <c r="AM52" s="313">
        <f t="shared" ref="AM52:AM57" si="91">(F52*R52)</f>
        <v>-840</v>
      </c>
      <c r="AN52" s="309">
        <v>0</v>
      </c>
      <c r="AO52" s="314">
        <f t="shared" ref="AO52:AO57" si="92">(AE52*(Y52+AB52))*12</f>
        <v>0</v>
      </c>
      <c r="AP52" s="309"/>
      <c r="AQ52" s="310"/>
      <c r="AR52" s="310"/>
      <c r="AS52" s="309"/>
    </row>
    <row r="53" spans="1:45" x14ac:dyDescent="0.2">
      <c r="A53" s="86">
        <f t="shared" si="2"/>
        <v>46</v>
      </c>
      <c r="B53" s="725"/>
      <c r="C53" s="726" t="s">
        <v>5</v>
      </c>
      <c r="D53" s="157"/>
      <c r="E53" s="122">
        <f>ROUND('Rates in Detail'!L44,5)</f>
        <v>2.274E-2</v>
      </c>
      <c r="F53" s="122">
        <f>'Allocation = % of Margin'!U45</f>
        <v>-1.57E-3</v>
      </c>
      <c r="G53" s="157"/>
      <c r="H53" s="373">
        <f>ROUND('Rates in Detail'!N44,5)</f>
        <v>0.12347</v>
      </c>
      <c r="I53" s="774">
        <f t="shared" si="13"/>
        <v>0.14621000000000001</v>
      </c>
      <c r="J53" s="157"/>
      <c r="K53" s="155"/>
      <c r="L53" s="156"/>
      <c r="M53" s="122"/>
      <c r="N53" s="122"/>
      <c r="O53" s="122"/>
      <c r="P53" s="774"/>
      <c r="Q53" s="157"/>
      <c r="R53" s="298">
        <f>'WA Volumes &amp; Revenues'!E46</f>
        <v>807846</v>
      </c>
      <c r="S53" s="311"/>
      <c r="T53" s="300"/>
      <c r="U53" s="301"/>
      <c r="V53" s="157"/>
      <c r="W53" s="313">
        <f t="shared" si="83"/>
        <v>99744.745620000002</v>
      </c>
      <c r="X53" s="309">
        <f t="shared" si="84"/>
        <v>0</v>
      </c>
      <c r="Y53" s="309">
        <f t="shared" si="85"/>
        <v>0</v>
      </c>
      <c r="Z53" s="314"/>
      <c r="AA53" s="309"/>
      <c r="AB53" s="313">
        <f t="shared" si="86"/>
        <v>118115.16366000001</v>
      </c>
      <c r="AC53" s="309">
        <f t="shared" si="87"/>
        <v>0</v>
      </c>
      <c r="AD53" s="314">
        <f t="shared" si="88"/>
        <v>0</v>
      </c>
      <c r="AE53" s="309"/>
      <c r="AF53" s="313">
        <f t="shared" si="89"/>
        <v>18370.418040000004</v>
      </c>
      <c r="AG53" s="309">
        <f t="shared" si="89"/>
        <v>0</v>
      </c>
      <c r="AH53" s="314">
        <f t="shared" si="90"/>
        <v>0</v>
      </c>
      <c r="AI53" s="309"/>
      <c r="AJ53" s="338"/>
      <c r="AK53" s="340">
        <f t="shared" si="82"/>
        <v>0.18417429335061153</v>
      </c>
      <c r="AL53" s="309"/>
      <c r="AM53" s="313">
        <f t="shared" si="91"/>
        <v>-1268.3182200000001</v>
      </c>
      <c r="AN53" s="309">
        <v>0</v>
      </c>
      <c r="AO53" s="314">
        <f t="shared" si="92"/>
        <v>0</v>
      </c>
      <c r="AP53" s="309"/>
      <c r="AQ53" s="310"/>
      <c r="AR53" s="310"/>
      <c r="AS53" s="309"/>
    </row>
    <row r="54" spans="1:45" x14ac:dyDescent="0.2">
      <c r="A54" s="86">
        <f t="shared" si="2"/>
        <v>47</v>
      </c>
      <c r="B54" s="725"/>
      <c r="C54" s="726" t="s">
        <v>6</v>
      </c>
      <c r="D54" s="157"/>
      <c r="E54" s="122">
        <f>ROUND('Rates in Detail'!L45,5)</f>
        <v>1.7440000000000001E-2</v>
      </c>
      <c r="F54" s="122">
        <f>'Allocation = % of Margin'!U46</f>
        <v>-1.1999999999999999E-3</v>
      </c>
      <c r="G54" s="157"/>
      <c r="H54" s="373">
        <f>ROUND('Rates in Detail'!N45,5)</f>
        <v>9.4670000000000004E-2</v>
      </c>
      <c r="I54" s="774">
        <f t="shared" si="13"/>
        <v>0.11211</v>
      </c>
      <c r="J54" s="157"/>
      <c r="K54" s="155"/>
      <c r="L54" s="156"/>
      <c r="M54" s="122"/>
      <c r="N54" s="122"/>
      <c r="O54" s="122"/>
      <c r="P54" s="774"/>
      <c r="Q54" s="157"/>
      <c r="R54" s="298">
        <f>'WA Volumes &amp; Revenues'!E47</f>
        <v>583779</v>
      </c>
      <c r="S54" s="311"/>
      <c r="T54" s="300"/>
      <c r="U54" s="301"/>
      <c r="V54" s="157"/>
      <c r="W54" s="313">
        <f t="shared" si="83"/>
        <v>55266.357930000006</v>
      </c>
      <c r="X54" s="309">
        <f t="shared" si="84"/>
        <v>0</v>
      </c>
      <c r="Y54" s="309">
        <f t="shared" si="85"/>
        <v>0</v>
      </c>
      <c r="Z54" s="314"/>
      <c r="AA54" s="309"/>
      <c r="AB54" s="313">
        <f t="shared" si="86"/>
        <v>65447.463690000004</v>
      </c>
      <c r="AC54" s="309">
        <f t="shared" si="87"/>
        <v>0</v>
      </c>
      <c r="AD54" s="314">
        <f t="shared" si="88"/>
        <v>0</v>
      </c>
      <c r="AE54" s="309"/>
      <c r="AF54" s="313">
        <f t="shared" si="89"/>
        <v>10181.105759999999</v>
      </c>
      <c r="AG54" s="309">
        <f t="shared" si="89"/>
        <v>0</v>
      </c>
      <c r="AH54" s="314">
        <f t="shared" si="90"/>
        <v>0</v>
      </c>
      <c r="AI54" s="309"/>
      <c r="AJ54" s="338"/>
      <c r="AK54" s="340">
        <f t="shared" si="82"/>
        <v>0.18421886553290373</v>
      </c>
      <c r="AL54" s="309"/>
      <c r="AM54" s="313">
        <f t="shared" si="91"/>
        <v>-700.5347999999999</v>
      </c>
      <c r="AN54" s="309">
        <v>0</v>
      </c>
      <c r="AO54" s="314">
        <f t="shared" si="92"/>
        <v>0</v>
      </c>
      <c r="AP54" s="309"/>
      <c r="AQ54" s="310"/>
      <c r="AR54" s="310"/>
      <c r="AS54" s="309"/>
    </row>
    <row r="55" spans="1:45" x14ac:dyDescent="0.2">
      <c r="A55" s="86">
        <f t="shared" si="2"/>
        <v>48</v>
      </c>
      <c r="B55" s="725"/>
      <c r="C55" s="726" t="s">
        <v>7</v>
      </c>
      <c r="D55" s="157"/>
      <c r="E55" s="122">
        <f>ROUND('Rates in Detail'!L46,5)</f>
        <v>1.3950000000000001E-2</v>
      </c>
      <c r="F55" s="122">
        <f>'Allocation = % of Margin'!U47</f>
        <v>-9.6000000000000002E-4</v>
      </c>
      <c r="G55" s="157"/>
      <c r="H55" s="373">
        <f>ROUND('Rates in Detail'!N46,5)</f>
        <v>7.5749999999999998E-2</v>
      </c>
      <c r="I55" s="774">
        <f t="shared" si="13"/>
        <v>8.9700000000000002E-2</v>
      </c>
      <c r="J55" s="157"/>
      <c r="K55" s="155"/>
      <c r="L55" s="156"/>
      <c r="M55" s="122"/>
      <c r="N55" s="122"/>
      <c r="O55" s="122"/>
      <c r="P55" s="774"/>
      <c r="Q55" s="157"/>
      <c r="R55" s="298">
        <f>'WA Volumes &amp; Revenues'!E48</f>
        <v>598933</v>
      </c>
      <c r="S55" s="311"/>
      <c r="T55" s="300"/>
      <c r="U55" s="301"/>
      <c r="V55" s="157"/>
      <c r="W55" s="313">
        <f t="shared" si="83"/>
        <v>45369.174749999998</v>
      </c>
      <c r="X55" s="309">
        <f t="shared" si="84"/>
        <v>0</v>
      </c>
      <c r="Y55" s="309">
        <f t="shared" si="85"/>
        <v>0</v>
      </c>
      <c r="Z55" s="314"/>
      <c r="AA55" s="309"/>
      <c r="AB55" s="313">
        <f t="shared" si="86"/>
        <v>53724.290099999998</v>
      </c>
      <c r="AC55" s="309">
        <f t="shared" si="87"/>
        <v>0</v>
      </c>
      <c r="AD55" s="314">
        <f t="shared" si="88"/>
        <v>0</v>
      </c>
      <c r="AE55" s="309"/>
      <c r="AF55" s="313">
        <f t="shared" si="89"/>
        <v>8355.11535</v>
      </c>
      <c r="AG55" s="309">
        <f t="shared" si="89"/>
        <v>0</v>
      </c>
      <c r="AH55" s="314">
        <f t="shared" si="90"/>
        <v>0</v>
      </c>
      <c r="AI55" s="309"/>
      <c r="AJ55" s="338"/>
      <c r="AK55" s="340">
        <f t="shared" si="82"/>
        <v>0.18415841584158416</v>
      </c>
      <c r="AL55" s="309"/>
      <c r="AM55" s="313">
        <f t="shared" si="91"/>
        <v>-574.97568000000001</v>
      </c>
      <c r="AN55" s="309">
        <v>0</v>
      </c>
      <c r="AO55" s="314">
        <f t="shared" si="92"/>
        <v>0</v>
      </c>
      <c r="AP55" s="309"/>
      <c r="AQ55" s="310"/>
      <c r="AR55" s="310"/>
      <c r="AS55" s="309"/>
    </row>
    <row r="56" spans="1:45" x14ac:dyDescent="0.2">
      <c r="A56" s="86">
        <f t="shared" si="2"/>
        <v>49</v>
      </c>
      <c r="B56" s="725"/>
      <c r="C56" s="726" t="s">
        <v>8</v>
      </c>
      <c r="D56" s="157"/>
      <c r="E56" s="122">
        <f>ROUND('Rates in Detail'!L47,5)</f>
        <v>9.2999999999999992E-3</v>
      </c>
      <c r="F56" s="122">
        <f>'Allocation = % of Margin'!U48</f>
        <v>-6.4000000000000005E-4</v>
      </c>
      <c r="G56" s="157"/>
      <c r="H56" s="373">
        <f>ROUND('Rates in Detail'!N47,5)</f>
        <v>5.0500000000000003E-2</v>
      </c>
      <c r="I56" s="774">
        <f t="shared" si="13"/>
        <v>5.9800000000000006E-2</v>
      </c>
      <c r="J56" s="157"/>
      <c r="K56" s="155"/>
      <c r="L56" s="156"/>
      <c r="M56" s="122"/>
      <c r="N56" s="122"/>
      <c r="O56" s="122"/>
      <c r="P56" s="774"/>
      <c r="Q56" s="157"/>
      <c r="R56" s="298">
        <f>'WA Volumes &amp; Revenues'!E49</f>
        <v>0</v>
      </c>
      <c r="S56" s="311"/>
      <c r="T56" s="300"/>
      <c r="U56" s="301"/>
      <c r="V56" s="157"/>
      <c r="W56" s="313">
        <f t="shared" si="83"/>
        <v>0</v>
      </c>
      <c r="X56" s="309">
        <f t="shared" si="84"/>
        <v>0</v>
      </c>
      <c r="Y56" s="309">
        <f t="shared" si="85"/>
        <v>0</v>
      </c>
      <c r="Z56" s="314"/>
      <c r="AA56" s="309"/>
      <c r="AB56" s="313">
        <f t="shared" si="86"/>
        <v>0</v>
      </c>
      <c r="AC56" s="309">
        <f t="shared" si="87"/>
        <v>0</v>
      </c>
      <c r="AD56" s="314">
        <f t="shared" si="88"/>
        <v>0</v>
      </c>
      <c r="AE56" s="309"/>
      <c r="AF56" s="313">
        <f t="shared" si="89"/>
        <v>0</v>
      </c>
      <c r="AG56" s="309">
        <f t="shared" si="89"/>
        <v>0</v>
      </c>
      <c r="AH56" s="314">
        <f t="shared" si="90"/>
        <v>0</v>
      </c>
      <c r="AI56" s="309"/>
      <c r="AJ56" s="338"/>
      <c r="AK56" s="340" t="e">
        <f t="shared" si="82"/>
        <v>#DIV/0!</v>
      </c>
      <c r="AL56" s="309"/>
      <c r="AM56" s="313">
        <f t="shared" si="91"/>
        <v>0</v>
      </c>
      <c r="AN56" s="309">
        <v>0</v>
      </c>
      <c r="AO56" s="314">
        <f t="shared" si="92"/>
        <v>0</v>
      </c>
      <c r="AP56" s="309"/>
      <c r="AQ56" s="310"/>
      <c r="AR56" s="310"/>
      <c r="AS56" s="309"/>
    </row>
    <row r="57" spans="1:45" x14ac:dyDescent="0.2">
      <c r="A57" s="86">
        <f t="shared" si="2"/>
        <v>50</v>
      </c>
      <c r="B57" s="725"/>
      <c r="C57" s="726" t="s">
        <v>9</v>
      </c>
      <c r="D57" s="157"/>
      <c r="E57" s="122">
        <f>ROUND('Rates in Detail'!L48,5)</f>
        <v>3.49E-3</v>
      </c>
      <c r="F57" s="122">
        <f>'Allocation = % of Margin'!U49</f>
        <v>-2.4000000000000001E-4</v>
      </c>
      <c r="G57" s="157"/>
      <c r="H57" s="373">
        <f>ROUND('Rates in Detail'!N48,5)</f>
        <v>1.8929999999999999E-2</v>
      </c>
      <c r="I57" s="774">
        <f t="shared" si="13"/>
        <v>2.2419999999999999E-2</v>
      </c>
      <c r="J57" s="157"/>
      <c r="K57" s="155"/>
      <c r="L57" s="156"/>
      <c r="M57" s="122"/>
      <c r="N57" s="122"/>
      <c r="O57" s="122"/>
      <c r="P57" s="774"/>
      <c r="Q57" s="157"/>
      <c r="R57" s="298">
        <f>'WA Volumes &amp; Revenues'!E50</f>
        <v>0</v>
      </c>
      <c r="S57" s="311"/>
      <c r="T57" s="300"/>
      <c r="U57" s="301"/>
      <c r="V57" s="157"/>
      <c r="W57" s="313">
        <f t="shared" si="83"/>
        <v>0</v>
      </c>
      <c r="X57" s="309">
        <f t="shared" si="84"/>
        <v>0</v>
      </c>
      <c r="Y57" s="309">
        <f t="shared" si="85"/>
        <v>0</v>
      </c>
      <c r="Z57" s="314"/>
      <c r="AA57" s="309"/>
      <c r="AB57" s="313">
        <f t="shared" si="86"/>
        <v>0</v>
      </c>
      <c r="AC57" s="309">
        <f t="shared" si="87"/>
        <v>0</v>
      </c>
      <c r="AD57" s="314">
        <f t="shared" si="88"/>
        <v>0</v>
      </c>
      <c r="AE57" s="309"/>
      <c r="AF57" s="313">
        <f t="shared" si="89"/>
        <v>0</v>
      </c>
      <c r="AG57" s="309">
        <f t="shared" si="89"/>
        <v>0</v>
      </c>
      <c r="AH57" s="314">
        <f t="shared" si="90"/>
        <v>0</v>
      </c>
      <c r="AI57" s="309"/>
      <c r="AJ57" s="338"/>
      <c r="AK57" s="340" t="e">
        <f>AK56</f>
        <v>#DIV/0!</v>
      </c>
      <c r="AL57" s="309"/>
      <c r="AM57" s="313">
        <f t="shared" si="91"/>
        <v>0</v>
      </c>
      <c r="AN57" s="309">
        <v>0</v>
      </c>
      <c r="AO57" s="314">
        <f t="shared" si="92"/>
        <v>0</v>
      </c>
      <c r="AP57" s="309"/>
      <c r="AQ57" s="318"/>
      <c r="AR57" s="310"/>
      <c r="AS57" s="309"/>
    </row>
    <row r="58" spans="1:45" x14ac:dyDescent="0.2">
      <c r="A58" s="86">
        <f t="shared" si="2"/>
        <v>51</v>
      </c>
      <c r="B58" s="723"/>
      <c r="C58" s="742" t="s">
        <v>78</v>
      </c>
      <c r="D58" s="153"/>
      <c r="E58" s="123"/>
      <c r="F58" s="123"/>
      <c r="G58" s="153"/>
      <c r="H58" s="368"/>
      <c r="I58" s="773"/>
      <c r="J58" s="157"/>
      <c r="K58" s="155"/>
      <c r="L58" s="156"/>
      <c r="M58" s="122"/>
      <c r="N58" s="122"/>
      <c r="O58" s="122"/>
      <c r="P58" s="774"/>
      <c r="Q58" s="157"/>
      <c r="R58" s="298"/>
      <c r="S58" s="311"/>
      <c r="T58" s="300"/>
      <c r="U58" s="301"/>
      <c r="V58" s="157"/>
      <c r="W58" s="315">
        <f>SUM(W52:W57)</f>
        <v>266581.87829999998</v>
      </c>
      <c r="X58" s="316">
        <f>SUM(X52:X57)</f>
        <v>74400</v>
      </c>
      <c r="Y58" s="316">
        <f>SUM(Y52:Y57)</f>
        <v>19802.795040000001</v>
      </c>
      <c r="Z58" s="317">
        <f>'Rate Spread Proposal'!S$15-SUM(W58:Y58)</f>
        <v>0</v>
      </c>
      <c r="AA58" s="309"/>
      <c r="AB58" s="315">
        <f>SUM(AB52:AB57)</f>
        <v>315680.51744999998</v>
      </c>
      <c r="AC58" s="316">
        <f>SUM(AC52:AC57)</f>
        <v>74400</v>
      </c>
      <c r="AD58" s="317">
        <f>SUM(AD52:AD57)</f>
        <v>19802.795040000001</v>
      </c>
      <c r="AE58" s="309"/>
      <c r="AF58" s="315">
        <f>SUM(AF52:AF57)</f>
        <v>49098.639150000003</v>
      </c>
      <c r="AG58" s="316">
        <f>SUM(AG52:AG57)</f>
        <v>0</v>
      </c>
      <c r="AH58" s="317">
        <f>SUM(AH52:AH57)</f>
        <v>0</v>
      </c>
      <c r="AI58" s="309"/>
      <c r="AJ58" s="338">
        <f>SUM(AF58:AH58)/SUM(W58:Y58)</f>
        <v>0.13608848373592056</v>
      </c>
      <c r="AK58" s="339">
        <f t="shared" ref="AK58:AK70" si="93">SUM(AF58)/SUM(W58)</f>
        <v>0.18417845752720846</v>
      </c>
      <c r="AL58" s="309"/>
      <c r="AM58" s="315">
        <f>SUM(AM52:AM57)</f>
        <v>-3383.8287</v>
      </c>
      <c r="AN58" s="316">
        <f>SUM(AN52:AN57)</f>
        <v>0</v>
      </c>
      <c r="AO58" s="317">
        <f>SUM(AO52:AO57)</f>
        <v>0</v>
      </c>
      <c r="AP58" s="309"/>
      <c r="AQ58" s="310"/>
      <c r="AR58" s="310"/>
      <c r="AS58" s="309"/>
    </row>
    <row r="59" spans="1:45" x14ac:dyDescent="0.2">
      <c r="A59" s="86">
        <f t="shared" si="2"/>
        <v>52</v>
      </c>
      <c r="B59" s="725" t="str">
        <f>'WA Volumes &amp; Revenues'!B51</f>
        <v>42I Firm Transpt</v>
      </c>
      <c r="C59" s="726" t="s">
        <v>4</v>
      </c>
      <c r="D59" s="157"/>
      <c r="E59" s="122">
        <f>ROUND('Rates in Detail'!L49,5)</f>
        <v>2.5739999999999999E-2</v>
      </c>
      <c r="F59" s="122">
        <f>'Allocation = % of Margin'!U50</f>
        <v>-1.7700000000000001E-3</v>
      </c>
      <c r="G59" s="157"/>
      <c r="H59" s="373">
        <f>ROUND('Rates in Detail'!N49,5)</f>
        <v>0.13941000000000001</v>
      </c>
      <c r="I59" s="774">
        <f t="shared" si="13"/>
        <v>0.16515000000000002</v>
      </c>
      <c r="J59" s="157"/>
      <c r="K59" s="155">
        <f>'WA Volumes &amp; Revenues'!O51</f>
        <v>1550</v>
      </c>
      <c r="L59" s="156">
        <f>'WA Volumes &amp; Revenues'!N51</f>
        <v>1550</v>
      </c>
      <c r="M59" s="122">
        <f>'Rates in Detail'!AF49</f>
        <v>0.15748000000000001</v>
      </c>
      <c r="N59" s="122">
        <f>'Rates in Detail'!AG49</f>
        <v>0.15748000000000001</v>
      </c>
      <c r="O59" s="122">
        <f>'Rates in Detail'!AH49</f>
        <v>0</v>
      </c>
      <c r="P59" s="774">
        <f>'Rates in Detail'!AI49</f>
        <v>0</v>
      </c>
      <c r="Q59" s="157"/>
      <c r="R59" s="298">
        <f>'WA Volumes &amp; Revenues'!E51</f>
        <v>924395</v>
      </c>
      <c r="S59" s="311">
        <v>26810</v>
      </c>
      <c r="T59" s="300">
        <f>'WA Volumes &amp; Revenues'!H51</f>
        <v>8.9166666666666661</v>
      </c>
      <c r="U59" s="301">
        <f>'WA Volumes &amp; Revenues'!I51</f>
        <v>63374</v>
      </c>
      <c r="V59" s="157"/>
      <c r="W59" s="313">
        <f t="shared" ref="W59:W64" si="94">(H59*R59)</f>
        <v>128869.90695</v>
      </c>
      <c r="X59" s="309">
        <f t="shared" ref="X59:X64" si="95">(K59*T59*12)</f>
        <v>165850</v>
      </c>
      <c r="Y59" s="309">
        <f t="shared" ref="Y59:Y64" si="96">(S59*(M59+O59))*12</f>
        <v>50664.465600000003</v>
      </c>
      <c r="Z59" s="314"/>
      <c r="AA59" s="309"/>
      <c r="AB59" s="313">
        <f t="shared" ref="AB59:AB64" si="97">(I59*R59)</f>
        <v>152663.83425000001</v>
      </c>
      <c r="AC59" s="309">
        <f t="shared" ref="AC59:AC64" si="98">(L59*T59*12)</f>
        <v>165850</v>
      </c>
      <c r="AD59" s="314">
        <f t="shared" ref="AD59:AD64" si="99">(S59*(N59+P59))*12</f>
        <v>50664.465600000003</v>
      </c>
      <c r="AE59" s="309"/>
      <c r="AF59" s="313">
        <f t="shared" ref="AF59:AG64" si="100">AB59-W59</f>
        <v>23793.92730000001</v>
      </c>
      <c r="AG59" s="309">
        <f t="shared" si="100"/>
        <v>0</v>
      </c>
      <c r="AH59" s="314">
        <f t="shared" ref="AH59:AH64" si="101">AD59-Y59</f>
        <v>0</v>
      </c>
      <c r="AI59" s="309"/>
      <c r="AJ59" s="338"/>
      <c r="AK59" s="340">
        <f t="shared" si="93"/>
        <v>0.18463524854745003</v>
      </c>
      <c r="AL59" s="309"/>
      <c r="AM59" s="313">
        <f t="shared" ref="AM59:AM64" si="102">(F59*R59)</f>
        <v>-1636.1791500000002</v>
      </c>
      <c r="AN59" s="309">
        <v>0</v>
      </c>
      <c r="AO59" s="314">
        <f t="shared" ref="AO59:AO64" si="103">(AE59*(Y59+AB59))*12</f>
        <v>0</v>
      </c>
      <c r="AP59" s="309"/>
      <c r="AQ59" s="310"/>
      <c r="AR59" s="310"/>
      <c r="AS59" s="309"/>
    </row>
    <row r="60" spans="1:45" x14ac:dyDescent="0.2">
      <c r="A60" s="86">
        <f t="shared" si="2"/>
        <v>53</v>
      </c>
      <c r="B60" s="725"/>
      <c r="C60" s="726" t="s">
        <v>5</v>
      </c>
      <c r="D60" s="157"/>
      <c r="E60" s="122">
        <f>ROUND('Rates in Detail'!L50,5)</f>
        <v>2.3040000000000001E-2</v>
      </c>
      <c r="F60" s="122">
        <f>'Allocation = % of Margin'!U51</f>
        <v>-1.5900000000000001E-3</v>
      </c>
      <c r="G60" s="157"/>
      <c r="H60" s="373">
        <f>ROUND('Rates in Detail'!N50,5)</f>
        <v>0.12479</v>
      </c>
      <c r="I60" s="774">
        <f t="shared" si="13"/>
        <v>0.14782999999999999</v>
      </c>
      <c r="J60" s="157"/>
      <c r="K60" s="155"/>
      <c r="L60" s="156"/>
      <c r="M60" s="122"/>
      <c r="N60" s="122"/>
      <c r="O60" s="122"/>
      <c r="P60" s="774"/>
      <c r="Q60" s="157"/>
      <c r="R60" s="298">
        <f>'WA Volumes &amp; Revenues'!E52</f>
        <v>1036796</v>
      </c>
      <c r="S60" s="311"/>
      <c r="T60" s="300"/>
      <c r="U60" s="301"/>
      <c r="V60" s="157"/>
      <c r="W60" s="313">
        <f t="shared" si="94"/>
        <v>129381.77284000001</v>
      </c>
      <c r="X60" s="309">
        <f t="shared" si="95"/>
        <v>0</v>
      </c>
      <c r="Y60" s="309">
        <f t="shared" si="96"/>
        <v>0</v>
      </c>
      <c r="Z60" s="314"/>
      <c r="AA60" s="309"/>
      <c r="AB60" s="313">
        <f t="shared" si="97"/>
        <v>153269.55267999999</v>
      </c>
      <c r="AC60" s="309">
        <f t="shared" si="98"/>
        <v>0</v>
      </c>
      <c r="AD60" s="314">
        <f t="shared" si="99"/>
        <v>0</v>
      </c>
      <c r="AE60" s="309"/>
      <c r="AF60" s="313">
        <f t="shared" si="100"/>
        <v>23887.779839999988</v>
      </c>
      <c r="AG60" s="309">
        <f t="shared" si="100"/>
        <v>0</v>
      </c>
      <c r="AH60" s="314">
        <f t="shared" si="101"/>
        <v>0</v>
      </c>
      <c r="AI60" s="309"/>
      <c r="AJ60" s="338"/>
      <c r="AK60" s="340">
        <f t="shared" si="93"/>
        <v>0.18463017870021628</v>
      </c>
      <c r="AL60" s="309"/>
      <c r="AM60" s="313">
        <f t="shared" si="102"/>
        <v>-1648.5056400000001</v>
      </c>
      <c r="AN60" s="309">
        <v>0</v>
      </c>
      <c r="AO60" s="314">
        <f t="shared" si="103"/>
        <v>0</v>
      </c>
      <c r="AP60" s="309"/>
      <c r="AQ60" s="310"/>
      <c r="AR60" s="310"/>
      <c r="AS60" s="309"/>
    </row>
    <row r="61" spans="1:45" x14ac:dyDescent="0.2">
      <c r="A61" s="86">
        <f t="shared" si="2"/>
        <v>54</v>
      </c>
      <c r="B61" s="725"/>
      <c r="C61" s="726" t="s">
        <v>6</v>
      </c>
      <c r="D61" s="157"/>
      <c r="E61" s="122">
        <f>ROUND('Rates in Detail'!L51,5)</f>
        <v>1.7670000000000002E-2</v>
      </c>
      <c r="F61" s="122">
        <f>'Allocation = % of Margin'!U52</f>
        <v>-1.2199999999999999E-3</v>
      </c>
      <c r="G61" s="157"/>
      <c r="H61" s="373">
        <f>ROUND('Rates in Detail'!N51,5)</f>
        <v>9.5689999999999997E-2</v>
      </c>
      <c r="I61" s="774">
        <f t="shared" si="13"/>
        <v>0.11336</v>
      </c>
      <c r="J61" s="157"/>
      <c r="K61" s="155"/>
      <c r="L61" s="156"/>
      <c r="M61" s="122"/>
      <c r="N61" s="122"/>
      <c r="O61" s="122"/>
      <c r="P61" s="774"/>
      <c r="Q61" s="157"/>
      <c r="R61" s="298">
        <f>'WA Volumes &amp; Revenues'!E53</f>
        <v>937215</v>
      </c>
      <c r="S61" s="311"/>
      <c r="T61" s="300"/>
      <c r="U61" s="301"/>
      <c r="V61" s="157"/>
      <c r="W61" s="313">
        <f t="shared" si="94"/>
        <v>89682.10334999999</v>
      </c>
      <c r="X61" s="309">
        <f t="shared" si="95"/>
        <v>0</v>
      </c>
      <c r="Y61" s="309">
        <f t="shared" si="96"/>
        <v>0</v>
      </c>
      <c r="Z61" s="314"/>
      <c r="AA61" s="309"/>
      <c r="AB61" s="313">
        <f t="shared" si="97"/>
        <v>106242.6924</v>
      </c>
      <c r="AC61" s="309">
        <f t="shared" si="98"/>
        <v>0</v>
      </c>
      <c r="AD61" s="314">
        <f t="shared" si="99"/>
        <v>0</v>
      </c>
      <c r="AE61" s="309"/>
      <c r="AF61" s="313">
        <f t="shared" si="100"/>
        <v>16560.58905000001</v>
      </c>
      <c r="AG61" s="309">
        <f t="shared" si="100"/>
        <v>0</v>
      </c>
      <c r="AH61" s="314">
        <f t="shared" si="101"/>
        <v>0</v>
      </c>
      <c r="AI61" s="309"/>
      <c r="AJ61" s="338"/>
      <c r="AK61" s="340">
        <f t="shared" si="93"/>
        <v>0.18465879402236401</v>
      </c>
      <c r="AL61" s="309"/>
      <c r="AM61" s="313">
        <f t="shared" si="102"/>
        <v>-1143.4023</v>
      </c>
      <c r="AN61" s="309">
        <v>0</v>
      </c>
      <c r="AO61" s="314">
        <f t="shared" si="103"/>
        <v>0</v>
      </c>
      <c r="AP61" s="309"/>
      <c r="AQ61" s="310"/>
      <c r="AR61" s="310"/>
      <c r="AS61" s="309"/>
    </row>
    <row r="62" spans="1:45" x14ac:dyDescent="0.2">
      <c r="A62" s="86">
        <f t="shared" si="2"/>
        <v>55</v>
      </c>
      <c r="B62" s="725"/>
      <c r="C62" s="726" t="s">
        <v>7</v>
      </c>
      <c r="D62" s="157"/>
      <c r="E62" s="122">
        <f>ROUND('Rates in Detail'!L52,5)</f>
        <v>1.414E-2</v>
      </c>
      <c r="F62" s="122">
        <f>'Allocation = % of Margin'!U53</f>
        <v>-9.7000000000000005E-4</v>
      </c>
      <c r="G62" s="157"/>
      <c r="H62" s="373">
        <f>ROUND('Rates in Detail'!N52,5)</f>
        <v>7.6560000000000003E-2</v>
      </c>
      <c r="I62" s="774">
        <f t="shared" si="13"/>
        <v>9.0700000000000003E-2</v>
      </c>
      <c r="J62" s="157"/>
      <c r="K62" s="155"/>
      <c r="L62" s="156"/>
      <c r="M62" s="122"/>
      <c r="N62" s="122"/>
      <c r="O62" s="122"/>
      <c r="P62" s="774"/>
      <c r="Q62" s="157"/>
      <c r="R62" s="298">
        <f>'WA Volumes &amp; Revenues'!E54</f>
        <v>2390318</v>
      </c>
      <c r="S62" s="311"/>
      <c r="T62" s="300"/>
      <c r="U62" s="301"/>
      <c r="V62" s="157"/>
      <c r="W62" s="313">
        <f t="shared" si="94"/>
        <v>183002.74608000001</v>
      </c>
      <c r="X62" s="309">
        <f t="shared" si="95"/>
        <v>0</v>
      </c>
      <c r="Y62" s="309">
        <f t="shared" si="96"/>
        <v>0</v>
      </c>
      <c r="Z62" s="314"/>
      <c r="AA62" s="309"/>
      <c r="AB62" s="313">
        <f t="shared" si="97"/>
        <v>216801.8426</v>
      </c>
      <c r="AC62" s="309">
        <f t="shared" si="98"/>
        <v>0</v>
      </c>
      <c r="AD62" s="314">
        <f t="shared" si="99"/>
        <v>0</v>
      </c>
      <c r="AE62" s="309"/>
      <c r="AF62" s="313">
        <f t="shared" si="100"/>
        <v>33799.096519999992</v>
      </c>
      <c r="AG62" s="309">
        <f t="shared" si="100"/>
        <v>0</v>
      </c>
      <c r="AH62" s="314">
        <f t="shared" si="101"/>
        <v>0</v>
      </c>
      <c r="AI62" s="309"/>
      <c r="AJ62" s="338"/>
      <c r="AK62" s="340">
        <f t="shared" si="93"/>
        <v>0.18469174503657257</v>
      </c>
      <c r="AL62" s="309"/>
      <c r="AM62" s="313">
        <f t="shared" si="102"/>
        <v>-2318.6084599999999</v>
      </c>
      <c r="AN62" s="309">
        <v>0</v>
      </c>
      <c r="AO62" s="314">
        <f t="shared" si="103"/>
        <v>0</v>
      </c>
      <c r="AP62" s="309"/>
      <c r="AQ62" s="310"/>
      <c r="AR62" s="310"/>
      <c r="AS62" s="309"/>
    </row>
    <row r="63" spans="1:45" x14ac:dyDescent="0.2">
      <c r="A63" s="86">
        <f t="shared" si="2"/>
        <v>56</v>
      </c>
      <c r="B63" s="725"/>
      <c r="C63" s="726" t="s">
        <v>8</v>
      </c>
      <c r="D63" s="157"/>
      <c r="E63" s="122">
        <f>ROUND('Rates in Detail'!L53,5)</f>
        <v>9.4199999999999996E-3</v>
      </c>
      <c r="F63" s="122">
        <f>'Allocation = % of Margin'!U54</f>
        <v>-6.4999999999999997E-4</v>
      </c>
      <c r="G63" s="157"/>
      <c r="H63" s="373">
        <f>ROUND('Rates in Detail'!N53,5)</f>
        <v>5.1040000000000002E-2</v>
      </c>
      <c r="I63" s="774">
        <f t="shared" si="13"/>
        <v>6.046E-2</v>
      </c>
      <c r="J63" s="157"/>
      <c r="K63" s="155"/>
      <c r="L63" s="156"/>
      <c r="M63" s="122"/>
      <c r="N63" s="122"/>
      <c r="O63" s="122"/>
      <c r="P63" s="774"/>
      <c r="Q63" s="157"/>
      <c r="R63" s="298">
        <f>'WA Volumes &amp; Revenues'!E55</f>
        <v>1492257</v>
      </c>
      <c r="S63" s="311"/>
      <c r="T63" s="300"/>
      <c r="U63" s="301"/>
      <c r="V63" s="157"/>
      <c r="W63" s="313">
        <f t="shared" si="94"/>
        <v>76164.797279999999</v>
      </c>
      <c r="X63" s="309">
        <f t="shared" si="95"/>
        <v>0</v>
      </c>
      <c r="Y63" s="309">
        <f t="shared" si="96"/>
        <v>0</v>
      </c>
      <c r="Z63" s="314"/>
      <c r="AA63" s="309"/>
      <c r="AB63" s="313">
        <f t="shared" si="97"/>
        <v>90221.858219999995</v>
      </c>
      <c r="AC63" s="309">
        <f t="shared" si="98"/>
        <v>0</v>
      </c>
      <c r="AD63" s="314">
        <f t="shared" si="99"/>
        <v>0</v>
      </c>
      <c r="AE63" s="309"/>
      <c r="AF63" s="313">
        <f t="shared" si="100"/>
        <v>14057.060939999996</v>
      </c>
      <c r="AG63" s="309">
        <f t="shared" si="100"/>
        <v>0</v>
      </c>
      <c r="AH63" s="314">
        <f t="shared" si="101"/>
        <v>0</v>
      </c>
      <c r="AI63" s="309"/>
      <c r="AJ63" s="338"/>
      <c r="AK63" s="340">
        <f t="shared" si="93"/>
        <v>0.18456112852664572</v>
      </c>
      <c r="AL63" s="309"/>
      <c r="AM63" s="313">
        <f t="shared" si="102"/>
        <v>-969.96704999999997</v>
      </c>
      <c r="AN63" s="309">
        <v>0</v>
      </c>
      <c r="AO63" s="314">
        <f t="shared" si="103"/>
        <v>0</v>
      </c>
      <c r="AP63" s="309"/>
      <c r="AQ63" s="310"/>
      <c r="AR63" s="310"/>
      <c r="AS63" s="309"/>
    </row>
    <row r="64" spans="1:45" x14ac:dyDescent="0.2">
      <c r="A64" s="86">
        <f t="shared" si="2"/>
        <v>57</v>
      </c>
      <c r="B64" s="725"/>
      <c r="C64" s="726" t="s">
        <v>9</v>
      </c>
      <c r="D64" s="157"/>
      <c r="E64" s="122">
        <f>ROUND('Rates in Detail'!L54,5)</f>
        <v>3.5300000000000002E-3</v>
      </c>
      <c r="F64" s="122">
        <f>'Allocation = % of Margin'!U55</f>
        <v>-2.4000000000000001E-4</v>
      </c>
      <c r="G64" s="157"/>
      <c r="H64" s="373">
        <f>ROUND('Rates in Detail'!N54,5)</f>
        <v>1.9140000000000001E-2</v>
      </c>
      <c r="I64" s="774">
        <f t="shared" si="13"/>
        <v>2.2670000000000003E-2</v>
      </c>
      <c r="J64" s="157"/>
      <c r="K64" s="155"/>
      <c r="L64" s="156"/>
      <c r="M64" s="122"/>
      <c r="N64" s="122"/>
      <c r="O64" s="122"/>
      <c r="P64" s="774"/>
      <c r="Q64" s="157"/>
      <c r="R64" s="298">
        <f>'WA Volumes &amp; Revenues'!E56</f>
        <v>0</v>
      </c>
      <c r="S64" s="311"/>
      <c r="T64" s="300"/>
      <c r="U64" s="301"/>
      <c r="V64" s="157"/>
      <c r="W64" s="313">
        <f t="shared" si="94"/>
        <v>0</v>
      </c>
      <c r="X64" s="309">
        <f t="shared" si="95"/>
        <v>0</v>
      </c>
      <c r="Y64" s="309">
        <f t="shared" si="96"/>
        <v>0</v>
      </c>
      <c r="Z64" s="314"/>
      <c r="AA64" s="309"/>
      <c r="AB64" s="313">
        <f t="shared" si="97"/>
        <v>0</v>
      </c>
      <c r="AC64" s="309">
        <f t="shared" si="98"/>
        <v>0</v>
      </c>
      <c r="AD64" s="314">
        <f t="shared" si="99"/>
        <v>0</v>
      </c>
      <c r="AE64" s="309"/>
      <c r="AF64" s="313">
        <f t="shared" si="100"/>
        <v>0</v>
      </c>
      <c r="AG64" s="309">
        <f t="shared" si="100"/>
        <v>0</v>
      </c>
      <c r="AH64" s="314">
        <f t="shared" si="101"/>
        <v>0</v>
      </c>
      <c r="AI64" s="309"/>
      <c r="AJ64" s="338"/>
      <c r="AK64" s="340" t="e">
        <f t="shared" si="93"/>
        <v>#DIV/0!</v>
      </c>
      <c r="AL64" s="309"/>
      <c r="AM64" s="313">
        <f t="shared" si="102"/>
        <v>0</v>
      </c>
      <c r="AN64" s="309">
        <v>0</v>
      </c>
      <c r="AO64" s="314">
        <f t="shared" si="103"/>
        <v>0</v>
      </c>
      <c r="AP64" s="309"/>
      <c r="AQ64" s="310"/>
      <c r="AR64" s="310"/>
      <c r="AS64" s="309"/>
    </row>
    <row r="65" spans="1:45" x14ac:dyDescent="0.2">
      <c r="A65" s="86">
        <f t="shared" si="2"/>
        <v>58</v>
      </c>
      <c r="B65" s="723"/>
      <c r="C65" s="742" t="s">
        <v>78</v>
      </c>
      <c r="D65" s="153"/>
      <c r="E65" s="123"/>
      <c r="F65" s="123"/>
      <c r="G65" s="153"/>
      <c r="H65" s="368"/>
      <c r="I65" s="773"/>
      <c r="J65" s="157"/>
      <c r="K65" s="155"/>
      <c r="L65" s="156"/>
      <c r="M65" s="122"/>
      <c r="N65" s="122"/>
      <c r="O65" s="122"/>
      <c r="P65" s="774"/>
      <c r="Q65" s="157"/>
      <c r="R65" s="298"/>
      <c r="S65" s="311"/>
      <c r="T65" s="300"/>
      <c r="U65" s="301"/>
      <c r="V65" s="157"/>
      <c r="W65" s="315">
        <f>SUM(W59:W64)</f>
        <v>607101.32649999997</v>
      </c>
      <c r="X65" s="316">
        <f>SUM(X59:X64)</f>
        <v>165850</v>
      </c>
      <c r="Y65" s="316">
        <f>SUM(Y59:Y64)</f>
        <v>50664.465600000003</v>
      </c>
      <c r="Z65" s="317">
        <f>'Rate Spread Proposal'!T$15-SUM(W65:Y65)</f>
        <v>0</v>
      </c>
      <c r="AA65" s="309"/>
      <c r="AB65" s="315">
        <f>SUM(AB59:AB64)</f>
        <v>719199.78015000001</v>
      </c>
      <c r="AC65" s="316">
        <f>SUM(AC59:AC64)</f>
        <v>165850</v>
      </c>
      <c r="AD65" s="317">
        <f>SUM(AD59:AD64)</f>
        <v>50664.465600000003</v>
      </c>
      <c r="AE65" s="309"/>
      <c r="AF65" s="315">
        <f>SUM(AF59:AF64)</f>
        <v>112098.45365</v>
      </c>
      <c r="AG65" s="316">
        <f>SUM(AG59:AG64)</f>
        <v>0</v>
      </c>
      <c r="AH65" s="317">
        <f>SUM(AH59:AH64)</f>
        <v>0</v>
      </c>
      <c r="AI65" s="309"/>
      <c r="AJ65" s="338">
        <f>SUM(AF65:AH65)/SUM(W65:Y65)</f>
        <v>0.1361052747230343</v>
      </c>
      <c r="AK65" s="339">
        <f t="shared" si="93"/>
        <v>0.18464537756202712</v>
      </c>
      <c r="AL65" s="309"/>
      <c r="AM65" s="315">
        <f>SUM(AM59:AM64)</f>
        <v>-7716.6626000000006</v>
      </c>
      <c r="AN65" s="316">
        <f>SUM(AN59:AN64)</f>
        <v>0</v>
      </c>
      <c r="AO65" s="317">
        <f>SUM(AO59:AO64)</f>
        <v>0</v>
      </c>
      <c r="AP65" s="309"/>
      <c r="AQ65" s="310"/>
      <c r="AR65" s="310"/>
      <c r="AS65" s="309"/>
    </row>
    <row r="66" spans="1:45" x14ac:dyDescent="0.2">
      <c r="A66" s="86">
        <f t="shared" si="2"/>
        <v>59</v>
      </c>
      <c r="B66" s="725" t="str">
        <f>'WA Volumes &amp; Revenues'!B57</f>
        <v>42C Interr Sales</v>
      </c>
      <c r="C66" s="726" t="s">
        <v>4</v>
      </c>
      <c r="D66" s="157"/>
      <c r="E66" s="122">
        <f>ROUND('Rates in Detail'!L55,5)</f>
        <v>2.6700000000000002E-2</v>
      </c>
      <c r="F66" s="122">
        <f>'Allocation = % of Margin'!U56</f>
        <v>-1.8400000000000001E-3</v>
      </c>
      <c r="G66" s="157"/>
      <c r="H66" s="373">
        <f>ROUND('Rates in Detail'!N55,5)</f>
        <v>0.13682</v>
      </c>
      <c r="I66" s="774">
        <f t="shared" si="13"/>
        <v>0.16352</v>
      </c>
      <c r="J66" s="157"/>
      <c r="K66" s="155">
        <f>'WA Volumes &amp; Revenues'!O57</f>
        <v>1300</v>
      </c>
      <c r="L66" s="156">
        <f>'WA Volumes &amp; Revenues'!N57</f>
        <v>1300</v>
      </c>
      <c r="M66" s="122">
        <f>'Rates in Detail'!AF55</f>
        <v>0</v>
      </c>
      <c r="N66" s="122">
        <f>'Rates in Detail'!AG55</f>
        <v>0</v>
      </c>
      <c r="O66" s="122">
        <f>'Rates in Detail'!AH55</f>
        <v>0</v>
      </c>
      <c r="P66" s="774">
        <f>'Rates in Detail'!AI55</f>
        <v>0</v>
      </c>
      <c r="Q66" s="157"/>
      <c r="R66" s="298">
        <f>'WA Volumes &amp; Revenues'!E57</f>
        <v>240000</v>
      </c>
      <c r="S66" s="311">
        <v>4620</v>
      </c>
      <c r="T66" s="300">
        <f>'WA Volumes &amp; Revenues'!H57</f>
        <v>2</v>
      </c>
      <c r="U66" s="301">
        <f>'WA Volumes &amp; Revenues'!I57</f>
        <v>39322</v>
      </c>
      <c r="V66" s="157"/>
      <c r="W66" s="313">
        <f t="shared" ref="W66:W71" si="104">(H66*R66)</f>
        <v>32836.800000000003</v>
      </c>
      <c r="X66" s="309">
        <f t="shared" ref="X66:X71" si="105">(K66*T66*12)</f>
        <v>31200</v>
      </c>
      <c r="Y66" s="309">
        <f t="shared" ref="Y66:Y71" si="106">(S66*(M66+O66))*12</f>
        <v>0</v>
      </c>
      <c r="Z66" s="314"/>
      <c r="AA66" s="309"/>
      <c r="AB66" s="313">
        <f t="shared" ref="AB66:AB71" si="107">(I66*R66)</f>
        <v>39244.800000000003</v>
      </c>
      <c r="AC66" s="309">
        <f t="shared" ref="AC66:AC71" si="108">(L66*T66*12)</f>
        <v>31200</v>
      </c>
      <c r="AD66" s="314">
        <f t="shared" ref="AD66:AD71" si="109">(S66*(N66+P66))*12</f>
        <v>0</v>
      </c>
      <c r="AE66" s="309"/>
      <c r="AF66" s="313">
        <f t="shared" ref="AF66:AG71" si="110">AB66-W66</f>
        <v>6408</v>
      </c>
      <c r="AG66" s="309">
        <f t="shared" si="110"/>
        <v>0</v>
      </c>
      <c r="AH66" s="314">
        <f t="shared" ref="AH66:AH71" si="111">AD66-Y66</f>
        <v>0</v>
      </c>
      <c r="AI66" s="309"/>
      <c r="AJ66" s="338"/>
      <c r="AK66" s="340">
        <f t="shared" si="93"/>
        <v>0.19514690834673293</v>
      </c>
      <c r="AL66" s="309"/>
      <c r="AM66" s="313">
        <f t="shared" ref="AM66:AM71" si="112">(F66*R66)</f>
        <v>-441.6</v>
      </c>
      <c r="AN66" s="309">
        <v>0</v>
      </c>
      <c r="AO66" s="314">
        <f t="shared" ref="AO66:AO71" si="113">(AE66*(Y66+AB66))*12</f>
        <v>0</v>
      </c>
      <c r="AP66" s="309"/>
      <c r="AQ66" s="310"/>
      <c r="AR66" s="310"/>
      <c r="AS66" s="309"/>
    </row>
    <row r="67" spans="1:45" x14ac:dyDescent="0.2">
      <c r="A67" s="86">
        <f t="shared" si="2"/>
        <v>60</v>
      </c>
      <c r="B67" s="725"/>
      <c r="C67" s="726" t="s">
        <v>5</v>
      </c>
      <c r="D67" s="157"/>
      <c r="E67" s="122">
        <f>ROUND('Rates in Detail'!L56,5)</f>
        <v>2.3900000000000001E-2</v>
      </c>
      <c r="F67" s="122">
        <f>'Allocation = % of Margin'!U57</f>
        <v>-1.64E-3</v>
      </c>
      <c r="G67" s="157"/>
      <c r="H67" s="373">
        <f>ROUND('Rates in Detail'!N56,5)</f>
        <v>0.12247</v>
      </c>
      <c r="I67" s="774">
        <f t="shared" si="13"/>
        <v>0.14637</v>
      </c>
      <c r="J67" s="157"/>
      <c r="K67" s="743"/>
      <c r="L67" s="372"/>
      <c r="M67" s="122"/>
      <c r="N67" s="122"/>
      <c r="O67" s="122"/>
      <c r="P67" s="774"/>
      <c r="Q67" s="157"/>
      <c r="R67" s="298">
        <f>'WA Volumes &amp; Revenues'!E58</f>
        <v>467511</v>
      </c>
      <c r="S67" s="311"/>
      <c r="T67" s="300"/>
      <c r="U67" s="301"/>
      <c r="V67" s="157"/>
      <c r="W67" s="313">
        <f t="shared" si="104"/>
        <v>57256.072169999999</v>
      </c>
      <c r="X67" s="309">
        <f t="shared" si="105"/>
        <v>0</v>
      </c>
      <c r="Y67" s="309">
        <f t="shared" si="106"/>
        <v>0</v>
      </c>
      <c r="Z67" s="314"/>
      <c r="AA67" s="309"/>
      <c r="AB67" s="313">
        <f t="shared" si="107"/>
        <v>68429.585070000001</v>
      </c>
      <c r="AC67" s="309">
        <f t="shared" si="108"/>
        <v>0</v>
      </c>
      <c r="AD67" s="314">
        <f t="shared" si="109"/>
        <v>0</v>
      </c>
      <c r="AE67" s="309"/>
      <c r="AF67" s="313">
        <f t="shared" si="110"/>
        <v>11173.512900000002</v>
      </c>
      <c r="AG67" s="309">
        <f t="shared" si="110"/>
        <v>0</v>
      </c>
      <c r="AH67" s="314">
        <f t="shared" si="111"/>
        <v>0</v>
      </c>
      <c r="AI67" s="309"/>
      <c r="AJ67" s="338"/>
      <c r="AK67" s="340">
        <f t="shared" si="93"/>
        <v>0.19514983261206828</v>
      </c>
      <c r="AL67" s="309"/>
      <c r="AM67" s="313">
        <f t="shared" si="112"/>
        <v>-766.71803999999997</v>
      </c>
      <c r="AN67" s="309">
        <v>0</v>
      </c>
      <c r="AO67" s="314">
        <f t="shared" si="113"/>
        <v>0</v>
      </c>
      <c r="AP67" s="309"/>
      <c r="AQ67" s="310"/>
      <c r="AR67" s="310"/>
      <c r="AS67" s="309"/>
    </row>
    <row r="68" spans="1:45" x14ac:dyDescent="0.2">
      <c r="A68" s="86">
        <f t="shared" si="2"/>
        <v>61</v>
      </c>
      <c r="B68" s="725"/>
      <c r="C68" s="726" t="s">
        <v>6</v>
      </c>
      <c r="D68" s="157"/>
      <c r="E68" s="122">
        <f>ROUND('Rates in Detail'!L57,5)</f>
        <v>1.8329999999999999E-2</v>
      </c>
      <c r="F68" s="122">
        <f>'Allocation = % of Margin'!U58</f>
        <v>-1.2600000000000001E-3</v>
      </c>
      <c r="G68" s="157"/>
      <c r="H68" s="373">
        <f>ROUND('Rates in Detail'!N57,5)</f>
        <v>9.3909999999999993E-2</v>
      </c>
      <c r="I68" s="774">
        <f t="shared" si="13"/>
        <v>0.11223999999999999</v>
      </c>
      <c r="J68" s="157"/>
      <c r="K68" s="155"/>
      <c r="L68" s="156"/>
      <c r="M68" s="122"/>
      <c r="N68" s="122"/>
      <c r="O68" s="122"/>
      <c r="P68" s="774"/>
      <c r="Q68" s="157"/>
      <c r="R68" s="298">
        <f>'WA Volumes &amp; Revenues'!E59</f>
        <v>218004</v>
      </c>
      <c r="S68" s="311"/>
      <c r="T68" s="300"/>
      <c r="U68" s="301"/>
      <c r="V68" s="157"/>
      <c r="W68" s="313">
        <f t="shared" si="104"/>
        <v>20472.755639999999</v>
      </c>
      <c r="X68" s="309">
        <f t="shared" si="105"/>
        <v>0</v>
      </c>
      <c r="Y68" s="309">
        <f t="shared" si="106"/>
        <v>0</v>
      </c>
      <c r="Z68" s="314"/>
      <c r="AA68" s="309"/>
      <c r="AB68" s="313">
        <f t="shared" si="107"/>
        <v>24468.768959999998</v>
      </c>
      <c r="AC68" s="309">
        <f t="shared" si="108"/>
        <v>0</v>
      </c>
      <c r="AD68" s="314">
        <f t="shared" si="109"/>
        <v>0</v>
      </c>
      <c r="AE68" s="309"/>
      <c r="AF68" s="313">
        <f t="shared" si="110"/>
        <v>3996.0133199999982</v>
      </c>
      <c r="AG68" s="309">
        <f t="shared" si="110"/>
        <v>0</v>
      </c>
      <c r="AH68" s="314">
        <f t="shared" si="111"/>
        <v>0</v>
      </c>
      <c r="AI68" s="309"/>
      <c r="AJ68" s="338"/>
      <c r="AK68" s="340">
        <f t="shared" si="93"/>
        <v>0.19518688105633045</v>
      </c>
      <c r="AL68" s="309"/>
      <c r="AM68" s="313">
        <f t="shared" si="112"/>
        <v>-274.68504000000001</v>
      </c>
      <c r="AN68" s="309">
        <v>0</v>
      </c>
      <c r="AO68" s="314">
        <f t="shared" si="113"/>
        <v>0</v>
      </c>
      <c r="AP68" s="309"/>
      <c r="AQ68" s="310"/>
      <c r="AR68" s="310"/>
      <c r="AS68" s="309"/>
    </row>
    <row r="69" spans="1:45" x14ac:dyDescent="0.2">
      <c r="A69" s="86">
        <f t="shared" si="2"/>
        <v>62</v>
      </c>
      <c r="B69" s="725"/>
      <c r="C69" s="726" t="s">
        <v>7</v>
      </c>
      <c r="D69" s="157"/>
      <c r="E69" s="122">
        <f>ROUND('Rates in Detail'!L58,5)</f>
        <v>1.4659999999999999E-2</v>
      </c>
      <c r="F69" s="122">
        <f>'Allocation = % of Margin'!U59</f>
        <v>-1.01E-3</v>
      </c>
      <c r="G69" s="157"/>
      <c r="H69" s="373">
        <f>ROUND('Rates in Detail'!N58,5)</f>
        <v>7.5130000000000002E-2</v>
      </c>
      <c r="I69" s="774">
        <f t="shared" si="13"/>
        <v>8.9790000000000009E-2</v>
      </c>
      <c r="J69" s="157"/>
      <c r="K69" s="155"/>
      <c r="L69" s="156"/>
      <c r="M69" s="122"/>
      <c r="N69" s="122"/>
      <c r="O69" s="122"/>
      <c r="P69" s="774"/>
      <c r="Q69" s="157"/>
      <c r="R69" s="298">
        <f>'WA Volumes &amp; Revenues'!E60</f>
        <v>18208</v>
      </c>
      <c r="S69" s="311"/>
      <c r="T69" s="300"/>
      <c r="U69" s="301"/>
      <c r="V69" s="157"/>
      <c r="W69" s="313">
        <f t="shared" si="104"/>
        <v>1367.96704</v>
      </c>
      <c r="X69" s="309">
        <f t="shared" si="105"/>
        <v>0</v>
      </c>
      <c r="Y69" s="309">
        <f t="shared" si="106"/>
        <v>0</v>
      </c>
      <c r="Z69" s="314"/>
      <c r="AA69" s="309"/>
      <c r="AB69" s="313">
        <f t="shared" si="107"/>
        <v>1634.8963200000001</v>
      </c>
      <c r="AC69" s="309">
        <f t="shared" si="108"/>
        <v>0</v>
      </c>
      <c r="AD69" s="314">
        <f t="shared" si="109"/>
        <v>0</v>
      </c>
      <c r="AE69" s="309"/>
      <c r="AF69" s="313">
        <f t="shared" si="110"/>
        <v>266.92928000000006</v>
      </c>
      <c r="AG69" s="309">
        <f t="shared" si="110"/>
        <v>0</v>
      </c>
      <c r="AH69" s="314">
        <f t="shared" si="111"/>
        <v>0</v>
      </c>
      <c r="AI69" s="309"/>
      <c r="AJ69" s="338"/>
      <c r="AK69" s="340">
        <f t="shared" si="93"/>
        <v>0.19512844403034743</v>
      </c>
      <c r="AL69" s="309"/>
      <c r="AM69" s="313">
        <f t="shared" si="112"/>
        <v>-18.390080000000001</v>
      </c>
      <c r="AN69" s="309">
        <v>0</v>
      </c>
      <c r="AO69" s="314">
        <f t="shared" si="113"/>
        <v>0</v>
      </c>
      <c r="AP69" s="309"/>
      <c r="AQ69" s="310"/>
      <c r="AR69" s="310"/>
      <c r="AS69" s="309"/>
    </row>
    <row r="70" spans="1:45" x14ac:dyDescent="0.2">
      <c r="A70" s="86">
        <f t="shared" si="2"/>
        <v>63</v>
      </c>
      <c r="B70" s="725"/>
      <c r="C70" s="726" t="s">
        <v>8</v>
      </c>
      <c r="D70" s="157"/>
      <c r="E70" s="122">
        <f>ROUND('Rates in Detail'!L59,5)</f>
        <v>9.7800000000000005E-3</v>
      </c>
      <c r="F70" s="122">
        <f>'Allocation = % of Margin'!U60</f>
        <v>-6.7000000000000002E-4</v>
      </c>
      <c r="G70" s="157"/>
      <c r="H70" s="373">
        <f>ROUND('Rates in Detail'!N59,5)</f>
        <v>5.0090000000000003E-2</v>
      </c>
      <c r="I70" s="774">
        <f t="shared" si="13"/>
        <v>5.9870000000000007E-2</v>
      </c>
      <c r="J70" s="157"/>
      <c r="K70" s="155"/>
      <c r="L70" s="156"/>
      <c r="M70" s="122"/>
      <c r="N70" s="122"/>
      <c r="O70" s="122"/>
      <c r="P70" s="774"/>
      <c r="Q70" s="157"/>
      <c r="R70" s="298">
        <f>'WA Volumes &amp; Revenues'!E61</f>
        <v>0</v>
      </c>
      <c r="S70" s="311"/>
      <c r="T70" s="300"/>
      <c r="U70" s="301"/>
      <c r="V70" s="157"/>
      <c r="W70" s="313">
        <f t="shared" si="104"/>
        <v>0</v>
      </c>
      <c r="X70" s="309">
        <f t="shared" si="105"/>
        <v>0</v>
      </c>
      <c r="Y70" s="309">
        <f t="shared" si="106"/>
        <v>0</v>
      </c>
      <c r="Z70" s="314"/>
      <c r="AA70" s="309"/>
      <c r="AB70" s="313">
        <f t="shared" si="107"/>
        <v>0</v>
      </c>
      <c r="AC70" s="309">
        <f t="shared" si="108"/>
        <v>0</v>
      </c>
      <c r="AD70" s="314">
        <f t="shared" si="109"/>
        <v>0</v>
      </c>
      <c r="AE70" s="309"/>
      <c r="AF70" s="313">
        <f t="shared" si="110"/>
        <v>0</v>
      </c>
      <c r="AG70" s="309">
        <f t="shared" si="110"/>
        <v>0</v>
      </c>
      <c r="AH70" s="314">
        <f t="shared" si="111"/>
        <v>0</v>
      </c>
      <c r="AI70" s="309"/>
      <c r="AJ70" s="338"/>
      <c r="AK70" s="340" t="e">
        <f t="shared" si="93"/>
        <v>#DIV/0!</v>
      </c>
      <c r="AL70" s="309"/>
      <c r="AM70" s="313">
        <f t="shared" si="112"/>
        <v>0</v>
      </c>
      <c r="AN70" s="309">
        <v>0</v>
      </c>
      <c r="AO70" s="314">
        <f t="shared" si="113"/>
        <v>0</v>
      </c>
      <c r="AP70" s="309"/>
      <c r="AQ70" s="310"/>
      <c r="AR70" s="310"/>
      <c r="AS70" s="309"/>
    </row>
    <row r="71" spans="1:45" x14ac:dyDescent="0.2">
      <c r="A71" s="86">
        <f t="shared" si="2"/>
        <v>64</v>
      </c>
      <c r="B71" s="725"/>
      <c r="C71" s="726" t="s">
        <v>9</v>
      </c>
      <c r="D71" s="157"/>
      <c r="E71" s="122">
        <f>ROUND('Rates in Detail'!L60,5)</f>
        <v>3.6700000000000001E-3</v>
      </c>
      <c r="F71" s="122">
        <f>'Allocation = % of Margin'!U61</f>
        <v>-2.5000000000000001E-4</v>
      </c>
      <c r="G71" s="157"/>
      <c r="H71" s="373">
        <f>ROUND('Rates in Detail'!N60,5)</f>
        <v>1.8790000000000001E-2</v>
      </c>
      <c r="I71" s="774">
        <f t="shared" si="13"/>
        <v>2.2460000000000001E-2</v>
      </c>
      <c r="J71" s="157"/>
      <c r="K71" s="155"/>
      <c r="L71" s="156"/>
      <c r="M71" s="122"/>
      <c r="N71" s="122"/>
      <c r="O71" s="122"/>
      <c r="P71" s="774"/>
      <c r="Q71" s="157"/>
      <c r="R71" s="298">
        <f>'WA Volumes &amp; Revenues'!E62</f>
        <v>0</v>
      </c>
      <c r="S71" s="311"/>
      <c r="T71" s="300"/>
      <c r="U71" s="301"/>
      <c r="V71" s="157"/>
      <c r="W71" s="313">
        <f t="shared" si="104"/>
        <v>0</v>
      </c>
      <c r="X71" s="309">
        <f t="shared" si="105"/>
        <v>0</v>
      </c>
      <c r="Y71" s="309">
        <f t="shared" si="106"/>
        <v>0</v>
      </c>
      <c r="Z71" s="314"/>
      <c r="AA71" s="309"/>
      <c r="AB71" s="313">
        <f t="shared" si="107"/>
        <v>0</v>
      </c>
      <c r="AC71" s="309">
        <f t="shared" si="108"/>
        <v>0</v>
      </c>
      <c r="AD71" s="314">
        <f t="shared" si="109"/>
        <v>0</v>
      </c>
      <c r="AE71" s="309"/>
      <c r="AF71" s="313">
        <f t="shared" si="110"/>
        <v>0</v>
      </c>
      <c r="AG71" s="309">
        <f t="shared" si="110"/>
        <v>0</v>
      </c>
      <c r="AH71" s="314">
        <f t="shared" si="111"/>
        <v>0</v>
      </c>
      <c r="AI71" s="309"/>
      <c r="AJ71" s="338"/>
      <c r="AK71" s="340" t="e">
        <f>AK70</f>
        <v>#DIV/0!</v>
      </c>
      <c r="AL71" s="309"/>
      <c r="AM71" s="313">
        <f t="shared" si="112"/>
        <v>0</v>
      </c>
      <c r="AN71" s="309">
        <v>0</v>
      </c>
      <c r="AO71" s="314">
        <f t="shared" si="113"/>
        <v>0</v>
      </c>
      <c r="AP71" s="309"/>
      <c r="AQ71" s="310"/>
      <c r="AR71" s="310"/>
      <c r="AS71" s="309"/>
    </row>
    <row r="72" spans="1:45" x14ac:dyDescent="0.2">
      <c r="A72" s="86">
        <f t="shared" si="2"/>
        <v>65</v>
      </c>
      <c r="B72" s="723"/>
      <c r="C72" s="742" t="s">
        <v>78</v>
      </c>
      <c r="D72" s="153"/>
      <c r="E72" s="123"/>
      <c r="F72" s="123"/>
      <c r="G72" s="153"/>
      <c r="H72" s="368"/>
      <c r="I72" s="773"/>
      <c r="J72" s="157"/>
      <c r="K72" s="155"/>
      <c r="L72" s="156"/>
      <c r="M72" s="122"/>
      <c r="N72" s="122"/>
      <c r="O72" s="122"/>
      <c r="P72" s="774"/>
      <c r="Q72" s="157"/>
      <c r="R72" s="298"/>
      <c r="S72" s="311"/>
      <c r="T72" s="300"/>
      <c r="U72" s="301"/>
      <c r="V72" s="157"/>
      <c r="W72" s="315">
        <f>SUM(W66:W71)</f>
        <v>111933.59485000001</v>
      </c>
      <c r="X72" s="316">
        <f>SUM(X66:X71)</f>
        <v>31200</v>
      </c>
      <c r="Y72" s="316">
        <f>SUM(Y66:Y71)</f>
        <v>0</v>
      </c>
      <c r="Z72" s="317">
        <f>'Rate Spread Proposal'!U$15-SUM(W72:Y72)</f>
        <v>17379.017029589973</v>
      </c>
      <c r="AA72" s="309"/>
      <c r="AB72" s="315">
        <f>SUM(AB66:AB71)</f>
        <v>133778.05035</v>
      </c>
      <c r="AC72" s="316">
        <f>SUM(AC66:AC71)</f>
        <v>31200</v>
      </c>
      <c r="AD72" s="317">
        <f>SUM(AD66:AD71)</f>
        <v>0</v>
      </c>
      <c r="AE72" s="309"/>
      <c r="AF72" s="315">
        <f>SUM(AF66:AF71)</f>
        <v>21844.4555</v>
      </c>
      <c r="AG72" s="316">
        <f>SUM(AG66:AG71)</f>
        <v>0</v>
      </c>
      <c r="AH72" s="317">
        <f>SUM(AH66:AH71)</f>
        <v>0</v>
      </c>
      <c r="AI72" s="309"/>
      <c r="AJ72" s="338">
        <f>SUM(AF72:AH72)/SUM(W72:Y72)</f>
        <v>0.15261585180538767</v>
      </c>
      <c r="AK72" s="339">
        <f t="shared" ref="AK72:AK77" si="114">SUM(AF72)/SUM(W72)</f>
        <v>0.19515548954961487</v>
      </c>
      <c r="AL72" s="309"/>
      <c r="AM72" s="315">
        <f>SUM(AM66:AM71)</f>
        <v>-1501.3931600000001</v>
      </c>
      <c r="AN72" s="316">
        <f>SUM(AN66:AN71)</f>
        <v>0</v>
      </c>
      <c r="AO72" s="317">
        <f>SUM(AO66:AO71)</f>
        <v>0</v>
      </c>
      <c r="AP72" s="309"/>
      <c r="AQ72" s="319"/>
      <c r="AR72" s="310"/>
      <c r="AS72" s="309"/>
    </row>
    <row r="73" spans="1:45" x14ac:dyDescent="0.2">
      <c r="A73" s="86">
        <f t="shared" si="2"/>
        <v>66</v>
      </c>
      <c r="B73" s="725" t="str">
        <f>'WA Volumes &amp; Revenues'!B63</f>
        <v>42I Interr Sales</v>
      </c>
      <c r="C73" s="726" t="s">
        <v>4</v>
      </c>
      <c r="D73" s="157"/>
      <c r="E73" s="122">
        <f>ROUND('Rates in Detail'!L61,5)</f>
        <v>3.6839999999999998E-2</v>
      </c>
      <c r="F73" s="122">
        <f>'Allocation = % of Margin'!U62</f>
        <v>-2.5400000000000002E-3</v>
      </c>
      <c r="G73" s="157"/>
      <c r="H73" s="373">
        <f>ROUND('Rates in Detail'!N61,5)</f>
        <v>0.14584</v>
      </c>
      <c r="I73" s="774">
        <f t="shared" si="13"/>
        <v>0.18268000000000001</v>
      </c>
      <c r="J73" s="157"/>
      <c r="K73" s="155">
        <f>'WA Volumes &amp; Revenues'!O63</f>
        <v>1300</v>
      </c>
      <c r="L73" s="156">
        <f>'WA Volumes &amp; Revenues'!N63</f>
        <v>1300</v>
      </c>
      <c r="M73" s="122">
        <f>'Rates in Detail'!AF61</f>
        <v>0</v>
      </c>
      <c r="N73" s="122">
        <f>'Rates in Detail'!AG61</f>
        <v>0</v>
      </c>
      <c r="O73" s="122">
        <f>'Rates in Detail'!AH61</f>
        <v>0</v>
      </c>
      <c r="P73" s="774">
        <f>'Rates in Detail'!AI61</f>
        <v>0</v>
      </c>
      <c r="Q73" s="157"/>
      <c r="R73" s="298">
        <f>'WA Volumes &amp; Revenues'!E63</f>
        <v>156740</v>
      </c>
      <c r="S73" s="311">
        <v>2934</v>
      </c>
      <c r="T73" s="300">
        <f>'WA Volumes &amp; Revenues'!H63</f>
        <v>1.9166666666666701</v>
      </c>
      <c r="U73" s="301">
        <f>'WA Volumes &amp; Revenues'!I63</f>
        <v>13758</v>
      </c>
      <c r="V73" s="157"/>
      <c r="W73" s="313">
        <f t="shared" ref="W73:W78" si="115">(H73*R73)</f>
        <v>22858.961599999999</v>
      </c>
      <c r="X73" s="309">
        <f t="shared" ref="X73:X78" si="116">(K73*T73*12)</f>
        <v>29900.000000000051</v>
      </c>
      <c r="Y73" s="309">
        <f t="shared" ref="Y73:Y78" si="117">(S73*(M73+O73))*12</f>
        <v>0</v>
      </c>
      <c r="Z73" s="314"/>
      <c r="AA73" s="309"/>
      <c r="AB73" s="313">
        <f t="shared" ref="AB73:AB78" si="118">(I73*R73)</f>
        <v>28633.263200000001</v>
      </c>
      <c r="AC73" s="309">
        <f t="shared" ref="AC73:AC78" si="119">(L73*T73*12)</f>
        <v>29900.000000000051</v>
      </c>
      <c r="AD73" s="314">
        <f t="shared" ref="AD73:AD78" si="120">(S73*(N73+P73))*12</f>
        <v>0</v>
      </c>
      <c r="AE73" s="309"/>
      <c r="AF73" s="313">
        <f t="shared" ref="AF73:AG78" si="121">AB73-W73</f>
        <v>5774.3016000000025</v>
      </c>
      <c r="AG73" s="309">
        <f t="shared" si="121"/>
        <v>0</v>
      </c>
      <c r="AH73" s="314">
        <f t="shared" ref="AH73:AH78" si="122">AD73-Y73</f>
        <v>0</v>
      </c>
      <c r="AI73" s="309"/>
      <c r="AJ73" s="338"/>
      <c r="AK73" s="340">
        <f t="shared" si="114"/>
        <v>0.25260559517279224</v>
      </c>
      <c r="AL73" s="309"/>
      <c r="AM73" s="313">
        <f t="shared" ref="AM73:AM78" si="123">(F73*R73)</f>
        <v>-398.11960000000005</v>
      </c>
      <c r="AN73" s="309">
        <v>0</v>
      </c>
      <c r="AO73" s="314">
        <f t="shared" ref="AO73:AO78" si="124">(AE73*(Y73+AB73))*12</f>
        <v>0</v>
      </c>
      <c r="AP73" s="309"/>
      <c r="AQ73" s="310"/>
      <c r="AR73" s="310"/>
      <c r="AS73" s="309"/>
    </row>
    <row r="74" spans="1:45" x14ac:dyDescent="0.2">
      <c r="A74" s="86">
        <f t="shared" ref="A74:A102" si="125">+A73+1</f>
        <v>67</v>
      </c>
      <c r="B74" s="725"/>
      <c r="C74" s="726" t="s">
        <v>5</v>
      </c>
      <c r="D74" s="157"/>
      <c r="E74" s="122">
        <f>ROUND('Rates in Detail'!L62,5)</f>
        <v>3.2980000000000002E-2</v>
      </c>
      <c r="F74" s="122">
        <f>'Allocation = % of Margin'!U63</f>
        <v>-2.2699999999999999E-3</v>
      </c>
      <c r="G74" s="157"/>
      <c r="H74" s="373">
        <f>ROUND('Rates in Detail'!N62,5)</f>
        <v>0.13055</v>
      </c>
      <c r="I74" s="774">
        <f t="shared" si="13"/>
        <v>0.16353000000000001</v>
      </c>
      <c r="J74" s="157"/>
      <c r="K74" s="155"/>
      <c r="L74" s="156"/>
      <c r="M74" s="122"/>
      <c r="N74" s="122"/>
      <c r="O74" s="122"/>
      <c r="P74" s="774"/>
      <c r="Q74" s="157"/>
      <c r="R74" s="298">
        <f>'WA Volumes &amp; Revenues'!E64</f>
        <v>159690</v>
      </c>
      <c r="S74" s="311"/>
      <c r="T74" s="300"/>
      <c r="U74" s="301"/>
      <c r="V74" s="157"/>
      <c r="W74" s="313">
        <f t="shared" si="115"/>
        <v>20847.529500000001</v>
      </c>
      <c r="X74" s="309">
        <f t="shared" si="116"/>
        <v>0</v>
      </c>
      <c r="Y74" s="309">
        <f t="shared" si="117"/>
        <v>0</v>
      </c>
      <c r="Z74" s="314"/>
      <c r="AA74" s="309"/>
      <c r="AB74" s="313">
        <f t="shared" si="118"/>
        <v>26114.1057</v>
      </c>
      <c r="AC74" s="309">
        <f t="shared" si="119"/>
        <v>0</v>
      </c>
      <c r="AD74" s="314">
        <f t="shared" si="120"/>
        <v>0</v>
      </c>
      <c r="AE74" s="309"/>
      <c r="AF74" s="313">
        <f t="shared" si="121"/>
        <v>5266.5761999999995</v>
      </c>
      <c r="AG74" s="309">
        <f t="shared" si="121"/>
        <v>0</v>
      </c>
      <c r="AH74" s="314">
        <f t="shared" si="122"/>
        <v>0</v>
      </c>
      <c r="AI74" s="309"/>
      <c r="AJ74" s="338"/>
      <c r="AK74" s="340">
        <f t="shared" si="114"/>
        <v>0.25262351589429333</v>
      </c>
      <c r="AL74" s="309"/>
      <c r="AM74" s="313">
        <f t="shared" si="123"/>
        <v>-362.49629999999996</v>
      </c>
      <c r="AN74" s="309">
        <v>0</v>
      </c>
      <c r="AO74" s="314">
        <f t="shared" si="124"/>
        <v>0</v>
      </c>
      <c r="AP74" s="309"/>
      <c r="AQ74" s="310"/>
      <c r="AR74" s="310"/>
      <c r="AS74" s="309"/>
    </row>
    <row r="75" spans="1:45" x14ac:dyDescent="0.2">
      <c r="A75" s="86">
        <f t="shared" si="125"/>
        <v>68</v>
      </c>
      <c r="B75" s="725"/>
      <c r="C75" s="726" t="s">
        <v>6</v>
      </c>
      <c r="D75" s="157"/>
      <c r="E75" s="122">
        <f>ROUND('Rates in Detail'!L63,5)</f>
        <v>2.529E-2</v>
      </c>
      <c r="F75" s="122">
        <f>'Allocation = % of Margin'!U64</f>
        <v>-1.74E-3</v>
      </c>
      <c r="G75" s="157"/>
      <c r="H75" s="373">
        <f>ROUND('Rates in Detail'!N63,5)</f>
        <v>0.10011</v>
      </c>
      <c r="I75" s="774">
        <f t="shared" si="13"/>
        <v>0.12540000000000001</v>
      </c>
      <c r="J75" s="157"/>
      <c r="K75" s="155"/>
      <c r="L75" s="156"/>
      <c r="M75" s="122"/>
      <c r="N75" s="122"/>
      <c r="O75" s="122"/>
      <c r="P75" s="774"/>
      <c r="Q75" s="157"/>
      <c r="R75" s="298">
        <f>'WA Volumes &amp; Revenues'!E65</f>
        <v>0</v>
      </c>
      <c r="S75" s="311"/>
      <c r="T75" s="300"/>
      <c r="U75" s="301"/>
      <c r="V75" s="157"/>
      <c r="W75" s="313">
        <f t="shared" si="115"/>
        <v>0</v>
      </c>
      <c r="X75" s="309">
        <f t="shared" si="116"/>
        <v>0</v>
      </c>
      <c r="Y75" s="309">
        <f t="shared" si="117"/>
        <v>0</v>
      </c>
      <c r="Z75" s="314"/>
      <c r="AA75" s="309"/>
      <c r="AB75" s="313">
        <f t="shared" si="118"/>
        <v>0</v>
      </c>
      <c r="AC75" s="309">
        <f t="shared" si="119"/>
        <v>0</v>
      </c>
      <c r="AD75" s="314">
        <f t="shared" si="120"/>
        <v>0</v>
      </c>
      <c r="AE75" s="309"/>
      <c r="AF75" s="313">
        <f t="shared" si="121"/>
        <v>0</v>
      </c>
      <c r="AG75" s="309">
        <f t="shared" si="121"/>
        <v>0</v>
      </c>
      <c r="AH75" s="314">
        <f t="shared" si="122"/>
        <v>0</v>
      </c>
      <c r="AI75" s="309"/>
      <c r="AJ75" s="338"/>
      <c r="AK75" s="340" t="e">
        <f t="shared" si="114"/>
        <v>#DIV/0!</v>
      </c>
      <c r="AL75" s="309"/>
      <c r="AM75" s="313">
        <f t="shared" si="123"/>
        <v>0</v>
      </c>
      <c r="AN75" s="309">
        <v>0</v>
      </c>
      <c r="AO75" s="314">
        <f t="shared" si="124"/>
        <v>0</v>
      </c>
      <c r="AP75" s="309"/>
      <c r="AQ75" s="310"/>
      <c r="AR75" s="310"/>
      <c r="AS75" s="309"/>
    </row>
    <row r="76" spans="1:45" x14ac:dyDescent="0.2">
      <c r="A76" s="86">
        <f t="shared" si="125"/>
        <v>69</v>
      </c>
      <c r="B76" s="725"/>
      <c r="C76" s="726" t="s">
        <v>7</v>
      </c>
      <c r="D76" s="157"/>
      <c r="E76" s="122">
        <f>ROUND('Rates in Detail'!L64,5)</f>
        <v>2.0230000000000001E-2</v>
      </c>
      <c r="F76" s="122">
        <f>'Allocation = % of Margin'!U65</f>
        <v>-1.39E-3</v>
      </c>
      <c r="G76" s="157"/>
      <c r="H76" s="373">
        <f>ROUND('Rates in Detail'!N64,5)</f>
        <v>8.0089999999999995E-2</v>
      </c>
      <c r="I76" s="774">
        <f t="shared" si="13"/>
        <v>0.10031999999999999</v>
      </c>
      <c r="J76" s="157"/>
      <c r="K76" s="155"/>
      <c r="L76" s="156"/>
      <c r="M76" s="122"/>
      <c r="N76" s="122"/>
      <c r="O76" s="122"/>
      <c r="P76" s="774"/>
      <c r="Q76" s="157"/>
      <c r="R76" s="298">
        <f>'WA Volumes &amp; Revenues'!E66</f>
        <v>0</v>
      </c>
      <c r="S76" s="311"/>
      <c r="T76" s="300"/>
      <c r="U76" s="301"/>
      <c r="V76" s="157"/>
      <c r="W76" s="313">
        <f t="shared" si="115"/>
        <v>0</v>
      </c>
      <c r="X76" s="309">
        <f t="shared" si="116"/>
        <v>0</v>
      </c>
      <c r="Y76" s="309">
        <f t="shared" si="117"/>
        <v>0</v>
      </c>
      <c r="Z76" s="314"/>
      <c r="AA76" s="309"/>
      <c r="AB76" s="313">
        <f t="shared" si="118"/>
        <v>0</v>
      </c>
      <c r="AC76" s="309">
        <f t="shared" si="119"/>
        <v>0</v>
      </c>
      <c r="AD76" s="314">
        <f t="shared" si="120"/>
        <v>0</v>
      </c>
      <c r="AE76" s="309"/>
      <c r="AF76" s="313">
        <f t="shared" si="121"/>
        <v>0</v>
      </c>
      <c r="AG76" s="309">
        <f t="shared" si="121"/>
        <v>0</v>
      </c>
      <c r="AH76" s="314">
        <f t="shared" si="122"/>
        <v>0</v>
      </c>
      <c r="AI76" s="309"/>
      <c r="AJ76" s="338"/>
      <c r="AK76" s="340" t="e">
        <f t="shared" si="114"/>
        <v>#DIV/0!</v>
      </c>
      <c r="AL76" s="309"/>
      <c r="AM76" s="313">
        <f t="shared" si="123"/>
        <v>0</v>
      </c>
      <c r="AN76" s="309">
        <v>0</v>
      </c>
      <c r="AO76" s="314">
        <f t="shared" si="124"/>
        <v>0</v>
      </c>
      <c r="AP76" s="309"/>
      <c r="AQ76" s="310"/>
      <c r="AR76" s="310"/>
      <c r="AS76" s="309"/>
    </row>
    <row r="77" spans="1:45" x14ac:dyDescent="0.2">
      <c r="A77" s="86">
        <f t="shared" si="125"/>
        <v>70</v>
      </c>
      <c r="B77" s="725"/>
      <c r="C77" s="726" t="s">
        <v>8</v>
      </c>
      <c r="D77" s="157"/>
      <c r="E77" s="122">
        <f>ROUND('Rates in Detail'!L65,5)</f>
        <v>1.349E-2</v>
      </c>
      <c r="F77" s="122">
        <f>'Allocation = % of Margin'!U66</f>
        <v>-9.3000000000000005E-4</v>
      </c>
      <c r="G77" s="157"/>
      <c r="H77" s="373">
        <f>ROUND('Rates in Detail'!N65,5)</f>
        <v>5.339E-2</v>
      </c>
      <c r="I77" s="774">
        <f t="shared" si="13"/>
        <v>6.6879999999999995E-2</v>
      </c>
      <c r="J77" s="157"/>
      <c r="K77" s="155"/>
      <c r="L77" s="156"/>
      <c r="M77" s="122"/>
      <c r="N77" s="122"/>
      <c r="O77" s="122"/>
      <c r="P77" s="774"/>
      <c r="Q77" s="157"/>
      <c r="R77" s="298">
        <f>'WA Volumes &amp; Revenues'!E67</f>
        <v>0</v>
      </c>
      <c r="S77" s="311"/>
      <c r="T77" s="300"/>
      <c r="U77" s="301"/>
      <c r="V77" s="157"/>
      <c r="W77" s="313">
        <f t="shared" si="115"/>
        <v>0</v>
      </c>
      <c r="X77" s="309">
        <f t="shared" si="116"/>
        <v>0</v>
      </c>
      <c r="Y77" s="309">
        <f t="shared" si="117"/>
        <v>0</v>
      </c>
      <c r="Z77" s="314"/>
      <c r="AA77" s="309"/>
      <c r="AB77" s="313">
        <f t="shared" si="118"/>
        <v>0</v>
      </c>
      <c r="AC77" s="309">
        <f t="shared" si="119"/>
        <v>0</v>
      </c>
      <c r="AD77" s="314">
        <f t="shared" si="120"/>
        <v>0</v>
      </c>
      <c r="AE77" s="309"/>
      <c r="AF77" s="313">
        <f t="shared" si="121"/>
        <v>0</v>
      </c>
      <c r="AG77" s="309">
        <f t="shared" si="121"/>
        <v>0</v>
      </c>
      <c r="AH77" s="314">
        <f t="shared" si="122"/>
        <v>0</v>
      </c>
      <c r="AI77" s="309"/>
      <c r="AJ77" s="338"/>
      <c r="AK77" s="340" t="e">
        <f t="shared" si="114"/>
        <v>#DIV/0!</v>
      </c>
      <c r="AL77" s="309"/>
      <c r="AM77" s="313">
        <f t="shared" si="123"/>
        <v>0</v>
      </c>
      <c r="AN77" s="309">
        <v>0</v>
      </c>
      <c r="AO77" s="314">
        <f t="shared" si="124"/>
        <v>0</v>
      </c>
      <c r="AP77" s="309"/>
      <c r="AQ77" s="310"/>
      <c r="AR77" s="310"/>
      <c r="AS77" s="309"/>
    </row>
    <row r="78" spans="1:45" x14ac:dyDescent="0.2">
      <c r="A78" s="86">
        <f t="shared" si="125"/>
        <v>71</v>
      </c>
      <c r="B78" s="725"/>
      <c r="C78" s="726" t="s">
        <v>9</v>
      </c>
      <c r="D78" s="157"/>
      <c r="E78" s="122">
        <f>ROUND('Rates in Detail'!L66,5)</f>
        <v>5.0600000000000003E-3</v>
      </c>
      <c r="F78" s="122">
        <f>'Allocation = % of Margin'!U67</f>
        <v>-3.5E-4</v>
      </c>
      <c r="G78" s="157"/>
      <c r="H78" s="373">
        <f>ROUND('Rates in Detail'!N66,5)</f>
        <v>2.002E-2</v>
      </c>
      <c r="I78" s="774">
        <f t="shared" ref="I78:I96" si="126">H78+E78</f>
        <v>2.5079999999999998E-2</v>
      </c>
      <c r="J78" s="157"/>
      <c r="K78" s="743"/>
      <c r="L78" s="372"/>
      <c r="M78" s="122"/>
      <c r="N78" s="122"/>
      <c r="O78" s="122"/>
      <c r="P78" s="774"/>
      <c r="Q78" s="157"/>
      <c r="R78" s="298">
        <f>'WA Volumes &amp; Revenues'!E68</f>
        <v>0</v>
      </c>
      <c r="S78" s="311"/>
      <c r="T78" s="300"/>
      <c r="U78" s="301"/>
      <c r="V78" s="157"/>
      <c r="W78" s="313">
        <f t="shared" si="115"/>
        <v>0</v>
      </c>
      <c r="X78" s="309">
        <f t="shared" si="116"/>
        <v>0</v>
      </c>
      <c r="Y78" s="309">
        <f t="shared" si="117"/>
        <v>0</v>
      </c>
      <c r="Z78" s="314"/>
      <c r="AA78" s="309"/>
      <c r="AB78" s="313">
        <f t="shared" si="118"/>
        <v>0</v>
      </c>
      <c r="AC78" s="309">
        <f t="shared" si="119"/>
        <v>0</v>
      </c>
      <c r="AD78" s="314">
        <f t="shared" si="120"/>
        <v>0</v>
      </c>
      <c r="AE78" s="309"/>
      <c r="AF78" s="313">
        <f t="shared" si="121"/>
        <v>0</v>
      </c>
      <c r="AG78" s="309">
        <f t="shared" si="121"/>
        <v>0</v>
      </c>
      <c r="AH78" s="314">
        <f t="shared" si="122"/>
        <v>0</v>
      </c>
      <c r="AI78" s="309"/>
      <c r="AJ78" s="338"/>
      <c r="AK78" s="340" t="e">
        <f>AK77</f>
        <v>#DIV/0!</v>
      </c>
      <c r="AL78" s="309"/>
      <c r="AM78" s="313">
        <f t="shared" si="123"/>
        <v>0</v>
      </c>
      <c r="AN78" s="309">
        <v>0</v>
      </c>
      <c r="AO78" s="314">
        <f t="shared" si="124"/>
        <v>0</v>
      </c>
      <c r="AP78" s="309"/>
      <c r="AQ78" s="310"/>
      <c r="AR78" s="310"/>
      <c r="AS78" s="309"/>
    </row>
    <row r="79" spans="1:45" x14ac:dyDescent="0.2">
      <c r="A79" s="86">
        <f t="shared" si="125"/>
        <v>72</v>
      </c>
      <c r="B79" s="723"/>
      <c r="C79" s="742" t="s">
        <v>78</v>
      </c>
      <c r="D79" s="153"/>
      <c r="E79" s="123"/>
      <c r="F79" s="123"/>
      <c r="G79" s="153"/>
      <c r="H79" s="368"/>
      <c r="I79" s="773"/>
      <c r="J79" s="157"/>
      <c r="K79" s="743"/>
      <c r="L79" s="372"/>
      <c r="M79" s="122"/>
      <c r="N79" s="122"/>
      <c r="O79" s="122"/>
      <c r="P79" s="774"/>
      <c r="Q79" s="157"/>
      <c r="R79" s="298"/>
      <c r="S79" s="311"/>
      <c r="T79" s="300"/>
      <c r="U79" s="301"/>
      <c r="V79" s="157"/>
      <c r="W79" s="315">
        <f>SUM(W73:W78)</f>
        <v>43706.491099999999</v>
      </c>
      <c r="X79" s="316">
        <f>SUM(X73:X78)</f>
        <v>29900.000000000051</v>
      </c>
      <c r="Y79" s="316">
        <f>SUM(Y73:Y78)</f>
        <v>0</v>
      </c>
      <c r="Z79" s="317">
        <f>'Rate Spread Proposal'!V$15-SUM(W79:Y79)</f>
        <v>7523.5434959917475</v>
      </c>
      <c r="AA79" s="309"/>
      <c r="AB79" s="315">
        <f>SUM(AB73:AB78)</f>
        <v>54747.368900000001</v>
      </c>
      <c r="AC79" s="316">
        <f>SUM(AC73:AC78)</f>
        <v>29900.000000000051</v>
      </c>
      <c r="AD79" s="317">
        <f>SUM(AD73:AD78)</f>
        <v>0</v>
      </c>
      <c r="AE79" s="309"/>
      <c r="AF79" s="315">
        <f>SUM(AF73:AF78)</f>
        <v>11040.877800000002</v>
      </c>
      <c r="AG79" s="316">
        <f>SUM(AG73:AG78)</f>
        <v>0</v>
      </c>
      <c r="AH79" s="317">
        <f>SUM(AH73:AH78)</f>
        <v>0</v>
      </c>
      <c r="AI79" s="309"/>
      <c r="AJ79" s="338">
        <f>SUM(AF79:AH79)/SUM(W79:Y79)</f>
        <v>0.14999869760127713</v>
      </c>
      <c r="AK79" s="339">
        <f t="shared" ref="AK79:AK84" si="127">SUM(AF79)/SUM(W79)</f>
        <v>0.25261414316556752</v>
      </c>
      <c r="AL79" s="309"/>
      <c r="AM79" s="315">
        <f>SUM(AM73:AM78)</f>
        <v>-760.61590000000001</v>
      </c>
      <c r="AN79" s="316">
        <f>SUM(AN73:AN78)</f>
        <v>0</v>
      </c>
      <c r="AO79" s="317">
        <f>SUM(AO73:AO78)</f>
        <v>0</v>
      </c>
      <c r="AP79" s="309"/>
      <c r="AQ79" s="310"/>
      <c r="AR79" s="310"/>
      <c r="AS79" s="309"/>
    </row>
    <row r="80" spans="1:45" x14ac:dyDescent="0.2">
      <c r="A80" s="86">
        <f t="shared" si="125"/>
        <v>73</v>
      </c>
      <c r="B80" s="725" t="str">
        <f>'WA Volumes &amp; Revenues'!B69</f>
        <v>42C Inter Transpt</v>
      </c>
      <c r="C80" s="726" t="s">
        <v>4</v>
      </c>
      <c r="D80" s="157"/>
      <c r="E80" s="122">
        <f>ROUND('Rates in Detail'!L67,5)</f>
        <v>1.6990000000000002E-2</v>
      </c>
      <c r="F80" s="122">
        <f>'Allocation = % of Margin'!U68</f>
        <v>-1.2600000000000001E-3</v>
      </c>
      <c r="G80" s="157"/>
      <c r="H80" s="373">
        <f>ROUND('Rates in Detail'!N67,5)</f>
        <v>0.13403000000000001</v>
      </c>
      <c r="I80" s="774">
        <f t="shared" si="126"/>
        <v>0.15102000000000002</v>
      </c>
      <c r="J80" s="157"/>
      <c r="K80" s="155">
        <f>'WA Volumes &amp; Revenues'!O69</f>
        <v>1550</v>
      </c>
      <c r="L80" s="156">
        <f>'WA Volumes &amp; Revenues'!N69</f>
        <v>1550</v>
      </c>
      <c r="M80" s="122">
        <f>'Rates in Detail'!AF67</f>
        <v>0</v>
      </c>
      <c r="N80" s="122">
        <f>'Rates in Detail'!AG67</f>
        <v>0</v>
      </c>
      <c r="O80" s="122">
        <f>'Rates in Detail'!AH67</f>
        <v>0</v>
      </c>
      <c r="P80" s="774">
        <f>'Rates in Detail'!AI67</f>
        <v>0</v>
      </c>
      <c r="Q80" s="157"/>
      <c r="R80" s="298">
        <f>'WA Volumes &amp; Revenues'!E69</f>
        <v>0</v>
      </c>
      <c r="S80" s="311"/>
      <c r="T80" s="300">
        <f>'WA Volumes &amp; Revenues'!H69</f>
        <v>0</v>
      </c>
      <c r="U80" s="301">
        <f>'WA Volumes &amp; Revenues'!I69</f>
        <v>0</v>
      </c>
      <c r="V80" s="157"/>
      <c r="W80" s="313">
        <f t="shared" ref="W80:W85" si="128">(H80*R80)</f>
        <v>0</v>
      </c>
      <c r="X80" s="309">
        <f t="shared" ref="X80:X85" si="129">(K80*T80*12)</f>
        <v>0</v>
      </c>
      <c r="Y80" s="309">
        <f t="shared" ref="Y80:Y85" si="130">(S80*(M80+O80))*12</f>
        <v>0</v>
      </c>
      <c r="Z80" s="314"/>
      <c r="AA80" s="309"/>
      <c r="AB80" s="313">
        <f t="shared" ref="AB80:AB85" si="131">(I80*R80)</f>
        <v>0</v>
      </c>
      <c r="AC80" s="309">
        <f t="shared" ref="AC80:AC85" si="132">(L80*T80*12)</f>
        <v>0</v>
      </c>
      <c r="AD80" s="314">
        <f t="shared" ref="AD80:AD85" si="133">(S80*(N80+P80))*12</f>
        <v>0</v>
      </c>
      <c r="AE80" s="309"/>
      <c r="AF80" s="313">
        <f t="shared" ref="AF80:AG85" si="134">AB80-W80</f>
        <v>0</v>
      </c>
      <c r="AG80" s="309">
        <f t="shared" si="134"/>
        <v>0</v>
      </c>
      <c r="AH80" s="314">
        <f t="shared" ref="AH80:AH85" si="135">AD80-Y80</f>
        <v>0</v>
      </c>
      <c r="AI80" s="309"/>
      <c r="AJ80" s="338"/>
      <c r="AK80" s="340" t="e">
        <f t="shared" si="127"/>
        <v>#DIV/0!</v>
      </c>
      <c r="AL80" s="309"/>
      <c r="AM80" s="313">
        <f t="shared" ref="AM80:AM85" si="136">(F80*R80)</f>
        <v>0</v>
      </c>
      <c r="AN80" s="309">
        <v>0</v>
      </c>
      <c r="AO80" s="314">
        <f t="shared" ref="AO80:AO85" si="137">(AE80*(Y80+AB80))*12</f>
        <v>0</v>
      </c>
      <c r="AP80" s="309"/>
      <c r="AQ80" s="310"/>
      <c r="AR80" s="310"/>
      <c r="AS80" s="309"/>
    </row>
    <row r="81" spans="1:45" x14ac:dyDescent="0.2">
      <c r="A81" s="86">
        <f t="shared" si="125"/>
        <v>74</v>
      </c>
      <c r="B81" s="725"/>
      <c r="C81" s="726" t="s">
        <v>5</v>
      </c>
      <c r="D81" s="157"/>
      <c r="E81" s="122">
        <f>ROUND('Rates in Detail'!L68,5)</f>
        <v>1.521E-2</v>
      </c>
      <c r="F81" s="122">
        <f>'Allocation = % of Margin'!U69</f>
        <v>-1.1199999999999999E-3</v>
      </c>
      <c r="G81" s="157"/>
      <c r="H81" s="373">
        <f>ROUND('Rates in Detail'!N68,5)</f>
        <v>0.11998</v>
      </c>
      <c r="I81" s="774">
        <f t="shared" si="126"/>
        <v>0.13519</v>
      </c>
      <c r="J81" s="157"/>
      <c r="K81" s="155"/>
      <c r="L81" s="156"/>
      <c r="M81" s="122"/>
      <c r="N81" s="122"/>
      <c r="O81" s="122"/>
      <c r="P81" s="774"/>
      <c r="Q81" s="157"/>
      <c r="R81" s="298">
        <f>'WA Volumes &amp; Revenues'!E70</f>
        <v>0</v>
      </c>
      <c r="S81" s="311"/>
      <c r="T81" s="300"/>
      <c r="U81" s="301"/>
      <c r="V81" s="157"/>
      <c r="W81" s="313">
        <f t="shared" si="128"/>
        <v>0</v>
      </c>
      <c r="X81" s="309">
        <f t="shared" si="129"/>
        <v>0</v>
      </c>
      <c r="Y81" s="309">
        <f t="shared" si="130"/>
        <v>0</v>
      </c>
      <c r="Z81" s="314"/>
      <c r="AA81" s="309"/>
      <c r="AB81" s="313">
        <f t="shared" si="131"/>
        <v>0</v>
      </c>
      <c r="AC81" s="309">
        <f t="shared" si="132"/>
        <v>0</v>
      </c>
      <c r="AD81" s="314">
        <f t="shared" si="133"/>
        <v>0</v>
      </c>
      <c r="AE81" s="309"/>
      <c r="AF81" s="313">
        <f t="shared" si="134"/>
        <v>0</v>
      </c>
      <c r="AG81" s="309">
        <f t="shared" si="134"/>
        <v>0</v>
      </c>
      <c r="AH81" s="314">
        <f t="shared" si="135"/>
        <v>0</v>
      </c>
      <c r="AI81" s="309"/>
      <c r="AJ81" s="338"/>
      <c r="AK81" s="340" t="e">
        <f t="shared" si="127"/>
        <v>#DIV/0!</v>
      </c>
      <c r="AL81" s="309"/>
      <c r="AM81" s="313">
        <f t="shared" si="136"/>
        <v>0</v>
      </c>
      <c r="AN81" s="309">
        <v>0</v>
      </c>
      <c r="AO81" s="314">
        <f t="shared" si="137"/>
        <v>0</v>
      </c>
      <c r="AP81" s="309"/>
      <c r="AQ81" s="310"/>
      <c r="AR81" s="310"/>
      <c r="AS81" s="309"/>
    </row>
    <row r="82" spans="1:45" x14ac:dyDescent="0.2">
      <c r="A82" s="86">
        <f t="shared" si="125"/>
        <v>75</v>
      </c>
      <c r="B82" s="725"/>
      <c r="C82" s="726" t="s">
        <v>6</v>
      </c>
      <c r="D82" s="157"/>
      <c r="E82" s="122">
        <f>ROUND('Rates in Detail'!L69,5)</f>
        <v>1.166E-2</v>
      </c>
      <c r="F82" s="122">
        <f>'Allocation = % of Margin'!U70</f>
        <v>-8.5999999999999998E-4</v>
      </c>
      <c r="G82" s="157"/>
      <c r="H82" s="373">
        <f>ROUND('Rates in Detail'!N69,5)</f>
        <v>9.1999999999999998E-2</v>
      </c>
      <c r="I82" s="774">
        <f t="shared" si="126"/>
        <v>0.10366</v>
      </c>
      <c r="J82" s="157"/>
      <c r="K82" s="155"/>
      <c r="L82" s="156"/>
      <c r="M82" s="122"/>
      <c r="N82" s="122"/>
      <c r="O82" s="122"/>
      <c r="P82" s="774"/>
      <c r="Q82" s="157"/>
      <c r="R82" s="298">
        <f>'WA Volumes &amp; Revenues'!E71</f>
        <v>0</v>
      </c>
      <c r="S82" s="311"/>
      <c r="T82" s="300"/>
      <c r="U82" s="301"/>
      <c r="V82" s="157"/>
      <c r="W82" s="313">
        <f t="shared" si="128"/>
        <v>0</v>
      </c>
      <c r="X82" s="309">
        <f t="shared" si="129"/>
        <v>0</v>
      </c>
      <c r="Y82" s="309">
        <f t="shared" si="130"/>
        <v>0</v>
      </c>
      <c r="Z82" s="314"/>
      <c r="AA82" s="309"/>
      <c r="AB82" s="313">
        <f t="shared" si="131"/>
        <v>0</v>
      </c>
      <c r="AC82" s="309">
        <f t="shared" si="132"/>
        <v>0</v>
      </c>
      <c r="AD82" s="314">
        <f t="shared" si="133"/>
        <v>0</v>
      </c>
      <c r="AE82" s="309"/>
      <c r="AF82" s="313">
        <f t="shared" si="134"/>
        <v>0</v>
      </c>
      <c r="AG82" s="309">
        <f t="shared" si="134"/>
        <v>0</v>
      </c>
      <c r="AH82" s="314">
        <f t="shared" si="135"/>
        <v>0</v>
      </c>
      <c r="AI82" s="309"/>
      <c r="AJ82" s="338"/>
      <c r="AK82" s="340" t="e">
        <f t="shared" si="127"/>
        <v>#DIV/0!</v>
      </c>
      <c r="AL82" s="309"/>
      <c r="AM82" s="313">
        <f t="shared" si="136"/>
        <v>0</v>
      </c>
      <c r="AN82" s="309">
        <v>0</v>
      </c>
      <c r="AO82" s="314">
        <f t="shared" si="137"/>
        <v>0</v>
      </c>
      <c r="AP82" s="309"/>
      <c r="AQ82" s="310"/>
      <c r="AR82" s="310"/>
      <c r="AS82" s="309"/>
    </row>
    <row r="83" spans="1:45" x14ac:dyDescent="0.2">
      <c r="A83" s="86">
        <f t="shared" si="125"/>
        <v>76</v>
      </c>
      <c r="B83" s="725"/>
      <c r="C83" s="726" t="s">
        <v>7</v>
      </c>
      <c r="D83" s="157"/>
      <c r="E83" s="122">
        <f>ROUND('Rates in Detail'!L70,5)</f>
        <v>9.3299999999999998E-3</v>
      </c>
      <c r="F83" s="122">
        <f>'Allocation = % of Margin'!U71</f>
        <v>-6.8999999999999997E-4</v>
      </c>
      <c r="G83" s="157"/>
      <c r="H83" s="373">
        <f>ROUND('Rates in Detail'!N70,5)</f>
        <v>7.3609999999999995E-2</v>
      </c>
      <c r="I83" s="774">
        <f t="shared" si="126"/>
        <v>8.294E-2</v>
      </c>
      <c r="J83" s="157"/>
      <c r="K83" s="155"/>
      <c r="L83" s="156"/>
      <c r="M83" s="122"/>
      <c r="N83" s="122"/>
      <c r="O83" s="122"/>
      <c r="P83" s="774"/>
      <c r="Q83" s="157"/>
      <c r="R83" s="298">
        <f>'WA Volumes &amp; Revenues'!E72</f>
        <v>0</v>
      </c>
      <c r="S83" s="311"/>
      <c r="T83" s="300"/>
      <c r="U83" s="301"/>
      <c r="V83" s="157"/>
      <c r="W83" s="313">
        <f t="shared" si="128"/>
        <v>0</v>
      </c>
      <c r="X83" s="309">
        <f t="shared" si="129"/>
        <v>0</v>
      </c>
      <c r="Y83" s="309">
        <f t="shared" si="130"/>
        <v>0</v>
      </c>
      <c r="Z83" s="314"/>
      <c r="AA83" s="309"/>
      <c r="AB83" s="313">
        <f t="shared" si="131"/>
        <v>0</v>
      </c>
      <c r="AC83" s="309">
        <f t="shared" si="132"/>
        <v>0</v>
      </c>
      <c r="AD83" s="314">
        <f t="shared" si="133"/>
        <v>0</v>
      </c>
      <c r="AE83" s="309"/>
      <c r="AF83" s="313">
        <f t="shared" si="134"/>
        <v>0</v>
      </c>
      <c r="AG83" s="309">
        <f t="shared" si="134"/>
        <v>0</v>
      </c>
      <c r="AH83" s="314">
        <f t="shared" si="135"/>
        <v>0</v>
      </c>
      <c r="AI83" s="309"/>
      <c r="AJ83" s="338"/>
      <c r="AK83" s="340" t="e">
        <f t="shared" si="127"/>
        <v>#DIV/0!</v>
      </c>
      <c r="AL83" s="309"/>
      <c r="AM83" s="313">
        <f t="shared" si="136"/>
        <v>0</v>
      </c>
      <c r="AN83" s="309">
        <v>0</v>
      </c>
      <c r="AO83" s="314">
        <f t="shared" si="137"/>
        <v>0</v>
      </c>
      <c r="AP83" s="309"/>
      <c r="AQ83" s="310"/>
      <c r="AR83" s="310"/>
      <c r="AS83" s="309"/>
    </row>
    <row r="84" spans="1:45" x14ac:dyDescent="0.2">
      <c r="A84" s="86">
        <f t="shared" si="125"/>
        <v>77</v>
      </c>
      <c r="B84" s="725"/>
      <c r="C84" s="726" t="s">
        <v>8</v>
      </c>
      <c r="D84" s="157"/>
      <c r="E84" s="122">
        <f>ROUND('Rates in Detail'!L71,5)</f>
        <v>6.2199999999999998E-3</v>
      </c>
      <c r="F84" s="122">
        <f>'Allocation = % of Margin'!U72</f>
        <v>-4.6000000000000001E-4</v>
      </c>
      <c r="G84" s="157"/>
      <c r="H84" s="373">
        <f>ROUND('Rates in Detail'!N71,5)</f>
        <v>4.9079999999999999E-2</v>
      </c>
      <c r="I84" s="774">
        <f t="shared" si="126"/>
        <v>5.5300000000000002E-2</v>
      </c>
      <c r="J84" s="157"/>
      <c r="K84" s="155"/>
      <c r="L84" s="156"/>
      <c r="M84" s="122"/>
      <c r="N84" s="122"/>
      <c r="O84" s="122"/>
      <c r="P84" s="774"/>
      <c r="Q84" s="157"/>
      <c r="R84" s="298">
        <f>'WA Volumes &amp; Revenues'!E73</f>
        <v>0</v>
      </c>
      <c r="S84" s="311"/>
      <c r="T84" s="300"/>
      <c r="U84" s="301"/>
      <c r="V84" s="157"/>
      <c r="W84" s="313">
        <f t="shared" si="128"/>
        <v>0</v>
      </c>
      <c r="X84" s="309">
        <f t="shared" si="129"/>
        <v>0</v>
      </c>
      <c r="Y84" s="309">
        <f t="shared" si="130"/>
        <v>0</v>
      </c>
      <c r="Z84" s="314"/>
      <c r="AA84" s="309"/>
      <c r="AB84" s="313">
        <f t="shared" si="131"/>
        <v>0</v>
      </c>
      <c r="AC84" s="309">
        <f t="shared" si="132"/>
        <v>0</v>
      </c>
      <c r="AD84" s="314">
        <f t="shared" si="133"/>
        <v>0</v>
      </c>
      <c r="AE84" s="309"/>
      <c r="AF84" s="313">
        <f t="shared" si="134"/>
        <v>0</v>
      </c>
      <c r="AG84" s="309">
        <f t="shared" si="134"/>
        <v>0</v>
      </c>
      <c r="AH84" s="314">
        <f t="shared" si="135"/>
        <v>0</v>
      </c>
      <c r="AI84" s="309"/>
      <c r="AJ84" s="338"/>
      <c r="AK84" s="340" t="e">
        <f t="shared" si="127"/>
        <v>#DIV/0!</v>
      </c>
      <c r="AL84" s="309"/>
      <c r="AM84" s="313">
        <f t="shared" si="136"/>
        <v>0</v>
      </c>
      <c r="AN84" s="309">
        <v>0</v>
      </c>
      <c r="AO84" s="314">
        <f t="shared" si="137"/>
        <v>0</v>
      </c>
      <c r="AP84" s="309"/>
      <c r="AQ84" s="310"/>
      <c r="AR84" s="310"/>
      <c r="AS84" s="309"/>
    </row>
    <row r="85" spans="1:45" x14ac:dyDescent="0.2">
      <c r="A85" s="86">
        <f t="shared" si="125"/>
        <v>78</v>
      </c>
      <c r="B85" s="725"/>
      <c r="C85" s="726" t="s">
        <v>9</v>
      </c>
      <c r="D85" s="157"/>
      <c r="E85" s="122">
        <f>ROUND('Rates in Detail'!L72,5)</f>
        <v>2.33E-3</v>
      </c>
      <c r="F85" s="122">
        <f>'Allocation = % of Margin'!U73</f>
        <v>-1.7000000000000001E-4</v>
      </c>
      <c r="G85" s="157"/>
      <c r="H85" s="373">
        <f>ROUND('Rates in Detail'!N72,5)</f>
        <v>1.839E-2</v>
      </c>
      <c r="I85" s="774">
        <f t="shared" si="126"/>
        <v>2.0719999999999999E-2</v>
      </c>
      <c r="J85" s="157"/>
      <c r="K85" s="743"/>
      <c r="L85" s="372"/>
      <c r="M85" s="122"/>
      <c r="N85" s="122"/>
      <c r="O85" s="122"/>
      <c r="P85" s="774"/>
      <c r="Q85" s="157"/>
      <c r="R85" s="298">
        <f>'WA Volumes &amp; Revenues'!E74</f>
        <v>0</v>
      </c>
      <c r="S85" s="311"/>
      <c r="T85" s="300"/>
      <c r="U85" s="301"/>
      <c r="V85" s="157"/>
      <c r="W85" s="313">
        <f t="shared" si="128"/>
        <v>0</v>
      </c>
      <c r="X85" s="309">
        <f t="shared" si="129"/>
        <v>0</v>
      </c>
      <c r="Y85" s="309">
        <f t="shared" si="130"/>
        <v>0</v>
      </c>
      <c r="Z85" s="314"/>
      <c r="AA85" s="309"/>
      <c r="AB85" s="313">
        <f t="shared" si="131"/>
        <v>0</v>
      </c>
      <c r="AC85" s="309">
        <f t="shared" si="132"/>
        <v>0</v>
      </c>
      <c r="AD85" s="314">
        <f t="shared" si="133"/>
        <v>0</v>
      </c>
      <c r="AE85" s="309"/>
      <c r="AF85" s="313">
        <f t="shared" si="134"/>
        <v>0</v>
      </c>
      <c r="AG85" s="309">
        <f t="shared" si="134"/>
        <v>0</v>
      </c>
      <c r="AH85" s="314">
        <f t="shared" si="135"/>
        <v>0</v>
      </c>
      <c r="AI85" s="309"/>
      <c r="AJ85" s="338"/>
      <c r="AK85" s="340" t="e">
        <f>AK84</f>
        <v>#DIV/0!</v>
      </c>
      <c r="AL85" s="309"/>
      <c r="AM85" s="313">
        <f t="shared" si="136"/>
        <v>0</v>
      </c>
      <c r="AN85" s="309">
        <v>0</v>
      </c>
      <c r="AO85" s="314">
        <f t="shared" si="137"/>
        <v>0</v>
      </c>
      <c r="AP85" s="309"/>
      <c r="AQ85" s="310"/>
      <c r="AR85" s="310"/>
      <c r="AS85" s="309"/>
    </row>
    <row r="86" spans="1:45" x14ac:dyDescent="0.2">
      <c r="A86" s="86">
        <f t="shared" si="125"/>
        <v>79</v>
      </c>
      <c r="B86" s="723"/>
      <c r="C86" s="742" t="s">
        <v>78</v>
      </c>
      <c r="D86" s="153"/>
      <c r="E86" s="123"/>
      <c r="F86" s="123"/>
      <c r="G86" s="153"/>
      <c r="H86" s="368"/>
      <c r="I86" s="773"/>
      <c r="J86" s="157"/>
      <c r="K86" s="743"/>
      <c r="L86" s="372"/>
      <c r="M86" s="122"/>
      <c r="N86" s="122"/>
      <c r="O86" s="122"/>
      <c r="P86" s="774"/>
      <c r="Q86" s="157"/>
      <c r="R86" s="298"/>
      <c r="S86" s="311"/>
      <c r="T86" s="300"/>
      <c r="U86" s="301"/>
      <c r="V86" s="157"/>
      <c r="W86" s="315">
        <f>SUM(W80:W85)</f>
        <v>0</v>
      </c>
      <c r="X86" s="316">
        <f>SUM(X80:X85)</f>
        <v>0</v>
      </c>
      <c r="Y86" s="316">
        <f>SUM(Y80:Y85)</f>
        <v>0</v>
      </c>
      <c r="Z86" s="317">
        <f>'Rate Spread Proposal'!W$15-SUM(W86:Y86)</f>
        <v>0</v>
      </c>
      <c r="AA86" s="309"/>
      <c r="AB86" s="315">
        <f>SUM(AB80:AB85)</f>
        <v>0</v>
      </c>
      <c r="AC86" s="316">
        <f>SUM(AC80:AC85)</f>
        <v>0</v>
      </c>
      <c r="AD86" s="317">
        <f>SUM(AD80:AD85)</f>
        <v>0</v>
      </c>
      <c r="AE86" s="309"/>
      <c r="AF86" s="315">
        <f>SUM(AF80:AF85)</f>
        <v>0</v>
      </c>
      <c r="AG86" s="316">
        <f>SUM(AG80:AG85)</f>
        <v>0</v>
      </c>
      <c r="AH86" s="317">
        <f>SUM(AH80:AH85)</f>
        <v>0</v>
      </c>
      <c r="AI86" s="309"/>
      <c r="AJ86" s="338" t="e">
        <f>SUM(AF86:AH86)/SUM(W86:Y86)</f>
        <v>#DIV/0!</v>
      </c>
      <c r="AK86" s="339" t="e">
        <f t="shared" ref="AK86:AK93" si="138">SUM(AF86)/SUM(W86)</f>
        <v>#DIV/0!</v>
      </c>
      <c r="AL86" s="309"/>
      <c r="AM86" s="315">
        <f>SUM(AM80:AM85)</f>
        <v>0</v>
      </c>
      <c r="AN86" s="316">
        <f>SUM(AN80:AN85)</f>
        <v>0</v>
      </c>
      <c r="AO86" s="317">
        <f>SUM(AO80:AO85)</f>
        <v>0</v>
      </c>
      <c r="AP86" s="309"/>
      <c r="AQ86" s="310"/>
      <c r="AR86" s="310"/>
      <c r="AS86" s="309"/>
    </row>
    <row r="87" spans="1:45" x14ac:dyDescent="0.2">
      <c r="A87" s="86">
        <f t="shared" si="125"/>
        <v>80</v>
      </c>
      <c r="B87" s="725" t="str">
        <f>'WA Volumes &amp; Revenues'!B75</f>
        <v>42I Inter Transpt</v>
      </c>
      <c r="C87" s="726" t="s">
        <v>4</v>
      </c>
      <c r="D87" s="162"/>
      <c r="E87" s="122">
        <f>ROUND('Rates in Detail'!L73,5)</f>
        <v>2.1659999999999999E-2</v>
      </c>
      <c r="F87" s="122">
        <f>'Allocation = % of Margin'!U74</f>
        <v>-1.49E-3</v>
      </c>
      <c r="G87" s="162"/>
      <c r="H87" s="373">
        <f>ROUND('Rates in Detail'!N73,5)</f>
        <v>0.13403000000000001</v>
      </c>
      <c r="I87" s="774">
        <f t="shared" si="126"/>
        <v>0.15569</v>
      </c>
      <c r="J87" s="162"/>
      <c r="K87" s="155">
        <f>'WA Volumes &amp; Revenues'!O75</f>
        <v>1550</v>
      </c>
      <c r="L87" s="156">
        <f>'WA Volumes &amp; Revenues'!N75</f>
        <v>1550</v>
      </c>
      <c r="M87" s="122">
        <f>'Rates in Detail'!AF73</f>
        <v>0</v>
      </c>
      <c r="N87" s="122">
        <f>'Rates in Detail'!AG73</f>
        <v>0</v>
      </c>
      <c r="O87" s="122">
        <f>'Rates in Detail'!AH73</f>
        <v>0</v>
      </c>
      <c r="P87" s="774">
        <f>'Rates in Detail'!AI73</f>
        <v>0</v>
      </c>
      <c r="Q87" s="162"/>
      <c r="R87" s="298">
        <f>'WA Volumes &amp; Revenues'!E75</f>
        <v>844078</v>
      </c>
      <c r="S87" s="311"/>
      <c r="T87" s="300">
        <f>'WA Volumes &amp; Revenues'!H75</f>
        <v>7</v>
      </c>
      <c r="U87" s="301">
        <f>'WA Volumes &amp; Revenues'!I75</f>
        <v>95634</v>
      </c>
      <c r="V87" s="162"/>
      <c r="W87" s="313">
        <f t="shared" ref="W87:W92" si="139">(H87*R87)</f>
        <v>113131.77434</v>
      </c>
      <c r="X87" s="309">
        <f>(K87*T87*12)</f>
        <v>130200</v>
      </c>
      <c r="Y87" s="309">
        <f t="shared" ref="Y87:Y92" si="140">(S87*(M87+O87))*12</f>
        <v>0</v>
      </c>
      <c r="Z87" s="314"/>
      <c r="AA87" s="320"/>
      <c r="AB87" s="313">
        <f t="shared" ref="AB87:AB92" si="141">(I87*R87)</f>
        <v>131414.50381999998</v>
      </c>
      <c r="AC87" s="309">
        <f t="shared" ref="AC87:AC92" si="142">(L87*T87*12)</f>
        <v>130200</v>
      </c>
      <c r="AD87" s="314">
        <f t="shared" ref="AD87:AD92" si="143">(S87*(N87+P87))*12</f>
        <v>0</v>
      </c>
      <c r="AE87" s="320"/>
      <c r="AF87" s="313">
        <f t="shared" ref="AF87:AG92" si="144">AB87-W87</f>
        <v>18282.72947999998</v>
      </c>
      <c r="AG87" s="309">
        <f t="shared" si="144"/>
        <v>0</v>
      </c>
      <c r="AH87" s="314">
        <f t="shared" ref="AH87:AH92" si="145">AD87-Y87</f>
        <v>0</v>
      </c>
      <c r="AI87" s="320"/>
      <c r="AJ87" s="338"/>
      <c r="AK87" s="340">
        <f t="shared" si="138"/>
        <v>0.16160561068417501</v>
      </c>
      <c r="AL87" s="320"/>
      <c r="AM87" s="313">
        <f t="shared" ref="AM87:AM92" si="146">(F87*R87)</f>
        <v>-1257.6762200000001</v>
      </c>
      <c r="AN87" s="309">
        <v>0</v>
      </c>
      <c r="AO87" s="314">
        <f t="shared" ref="AO87:AO92" si="147">(AE87*(Y87+AB87))*12</f>
        <v>0</v>
      </c>
      <c r="AP87" s="320"/>
      <c r="AQ87" s="310"/>
      <c r="AR87" s="310"/>
      <c r="AS87" s="320"/>
    </row>
    <row r="88" spans="1:45" x14ac:dyDescent="0.2">
      <c r="A88" s="86">
        <f t="shared" si="125"/>
        <v>81</v>
      </c>
      <c r="B88" s="725"/>
      <c r="C88" s="726" t="s">
        <v>5</v>
      </c>
      <c r="D88" s="162"/>
      <c r="E88" s="122">
        <f>ROUND('Rates in Detail'!L74,5)</f>
        <v>1.9390000000000001E-2</v>
      </c>
      <c r="F88" s="122">
        <f>'Allocation = % of Margin'!U75</f>
        <v>-1.33E-3</v>
      </c>
      <c r="G88" s="162"/>
      <c r="H88" s="373">
        <f>ROUND('Rates in Detail'!N74,5)</f>
        <v>0.11998</v>
      </c>
      <c r="I88" s="774">
        <f t="shared" si="126"/>
        <v>0.13936999999999999</v>
      </c>
      <c r="J88" s="162"/>
      <c r="K88" s="743"/>
      <c r="L88" s="372"/>
      <c r="M88" s="122"/>
      <c r="N88" s="122"/>
      <c r="O88" s="122"/>
      <c r="P88" s="774"/>
      <c r="Q88" s="162"/>
      <c r="R88" s="298">
        <f>'WA Volumes &amp; Revenues'!E76</f>
        <v>1445175</v>
      </c>
      <c r="S88" s="160"/>
      <c r="T88" s="157"/>
      <c r="U88" s="158"/>
      <c r="V88" s="162"/>
      <c r="W88" s="313">
        <f t="shared" si="139"/>
        <v>173392.09650000001</v>
      </c>
      <c r="X88" s="309">
        <f t="shared" ref="X88:X92" si="148">(K88*T88*12)</f>
        <v>0</v>
      </c>
      <c r="Y88" s="309">
        <f t="shared" si="140"/>
        <v>0</v>
      </c>
      <c r="Z88" s="314"/>
      <c r="AA88" s="320"/>
      <c r="AB88" s="313">
        <f t="shared" si="141"/>
        <v>201414.03975</v>
      </c>
      <c r="AC88" s="309">
        <f t="shared" si="142"/>
        <v>0</v>
      </c>
      <c r="AD88" s="314">
        <f t="shared" si="143"/>
        <v>0</v>
      </c>
      <c r="AE88" s="320"/>
      <c r="AF88" s="313">
        <f t="shared" si="144"/>
        <v>28021.943249999982</v>
      </c>
      <c r="AG88" s="309">
        <f t="shared" si="144"/>
        <v>0</v>
      </c>
      <c r="AH88" s="314">
        <f t="shared" si="145"/>
        <v>0</v>
      </c>
      <c r="AI88" s="320"/>
      <c r="AJ88" s="338"/>
      <c r="AK88" s="340">
        <f t="shared" si="138"/>
        <v>0.16161026837806289</v>
      </c>
      <c r="AL88" s="320"/>
      <c r="AM88" s="313">
        <f t="shared" si="146"/>
        <v>-1922.08275</v>
      </c>
      <c r="AN88" s="309">
        <v>0</v>
      </c>
      <c r="AO88" s="314">
        <f t="shared" si="147"/>
        <v>0</v>
      </c>
      <c r="AP88" s="320"/>
      <c r="AQ88" s="310"/>
      <c r="AR88" s="156"/>
      <c r="AS88" s="320"/>
    </row>
    <row r="89" spans="1:45" x14ac:dyDescent="0.2">
      <c r="A89" s="86">
        <f t="shared" si="125"/>
        <v>82</v>
      </c>
      <c r="B89" s="725"/>
      <c r="C89" s="726" t="s">
        <v>6</v>
      </c>
      <c r="D89" s="162"/>
      <c r="E89" s="122">
        <f>ROUND('Rates in Detail'!L75,5)</f>
        <v>1.487E-2</v>
      </c>
      <c r="F89" s="122">
        <f>'Allocation = % of Margin'!U76</f>
        <v>-1.0200000000000001E-3</v>
      </c>
      <c r="G89" s="162"/>
      <c r="H89" s="373">
        <f>ROUND('Rates in Detail'!N75,5)</f>
        <v>9.1999999999999998E-2</v>
      </c>
      <c r="I89" s="774">
        <f t="shared" si="126"/>
        <v>0.10686999999999999</v>
      </c>
      <c r="J89" s="162"/>
      <c r="K89" s="155"/>
      <c r="L89" s="156"/>
      <c r="M89" s="122"/>
      <c r="N89" s="122"/>
      <c r="O89" s="122"/>
      <c r="P89" s="774"/>
      <c r="Q89" s="162"/>
      <c r="R89" s="298">
        <f>'WA Volumes &amp; Revenues'!E77</f>
        <v>1034978</v>
      </c>
      <c r="S89" s="160"/>
      <c r="T89" s="157"/>
      <c r="U89" s="158"/>
      <c r="V89" s="162"/>
      <c r="W89" s="313">
        <f t="shared" si="139"/>
        <v>95217.975999999995</v>
      </c>
      <c r="X89" s="309">
        <f t="shared" si="148"/>
        <v>0</v>
      </c>
      <c r="Y89" s="309">
        <f t="shared" si="140"/>
        <v>0</v>
      </c>
      <c r="Z89" s="314"/>
      <c r="AA89" s="320"/>
      <c r="AB89" s="313">
        <f t="shared" si="141"/>
        <v>110608.09886</v>
      </c>
      <c r="AC89" s="309">
        <f t="shared" si="142"/>
        <v>0</v>
      </c>
      <c r="AD89" s="314">
        <f t="shared" si="143"/>
        <v>0</v>
      </c>
      <c r="AE89" s="320"/>
      <c r="AF89" s="313">
        <f t="shared" si="144"/>
        <v>15390.122860000003</v>
      </c>
      <c r="AG89" s="309">
        <f t="shared" si="144"/>
        <v>0</v>
      </c>
      <c r="AH89" s="314">
        <f t="shared" si="145"/>
        <v>0</v>
      </c>
      <c r="AI89" s="320"/>
      <c r="AJ89" s="338"/>
      <c r="AK89" s="340">
        <f t="shared" si="138"/>
        <v>0.16163043478260875</v>
      </c>
      <c r="AL89" s="320"/>
      <c r="AM89" s="313">
        <f t="shared" si="146"/>
        <v>-1055.6775600000001</v>
      </c>
      <c r="AN89" s="309">
        <v>0</v>
      </c>
      <c r="AO89" s="314">
        <f t="shared" si="147"/>
        <v>0</v>
      </c>
      <c r="AP89" s="320"/>
      <c r="AQ89" s="310"/>
      <c r="AR89" s="156"/>
      <c r="AS89" s="320"/>
    </row>
    <row r="90" spans="1:45" x14ac:dyDescent="0.2">
      <c r="A90" s="86">
        <f t="shared" si="125"/>
        <v>83</v>
      </c>
      <c r="B90" s="725"/>
      <c r="C90" s="726" t="s">
        <v>7</v>
      </c>
      <c r="D90" s="162"/>
      <c r="E90" s="122">
        <f>ROUND('Rates in Detail'!L76,5)</f>
        <v>1.189E-2</v>
      </c>
      <c r="F90" s="122">
        <f>'Allocation = % of Margin'!U77</f>
        <v>-8.1999999999999998E-4</v>
      </c>
      <c r="G90" s="162"/>
      <c r="H90" s="373">
        <f>ROUND('Rates in Detail'!N76,5)</f>
        <v>7.3609999999999995E-2</v>
      </c>
      <c r="I90" s="774">
        <f t="shared" si="126"/>
        <v>8.5499999999999993E-2</v>
      </c>
      <c r="J90" s="162"/>
      <c r="K90" s="155"/>
      <c r="L90" s="156"/>
      <c r="M90" s="122"/>
      <c r="N90" s="122"/>
      <c r="O90" s="122"/>
      <c r="P90" s="774"/>
      <c r="Q90" s="162"/>
      <c r="R90" s="298">
        <f>'WA Volumes &amp; Revenues'!E78</f>
        <v>3359916</v>
      </c>
      <c r="S90" s="160"/>
      <c r="T90" s="157"/>
      <c r="U90" s="158"/>
      <c r="V90" s="162"/>
      <c r="W90" s="313">
        <f t="shared" si="139"/>
        <v>247323.41675999999</v>
      </c>
      <c r="X90" s="309">
        <f t="shared" si="148"/>
        <v>0</v>
      </c>
      <c r="Y90" s="309">
        <f t="shared" si="140"/>
        <v>0</v>
      </c>
      <c r="Z90" s="314"/>
      <c r="AA90" s="320"/>
      <c r="AB90" s="313">
        <f t="shared" si="141"/>
        <v>287272.81799999997</v>
      </c>
      <c r="AC90" s="309">
        <f t="shared" si="142"/>
        <v>0</v>
      </c>
      <c r="AD90" s="314">
        <f t="shared" si="143"/>
        <v>0</v>
      </c>
      <c r="AE90" s="320"/>
      <c r="AF90" s="313">
        <f t="shared" si="144"/>
        <v>39949.401239999977</v>
      </c>
      <c r="AG90" s="309">
        <f t="shared" si="144"/>
        <v>0</v>
      </c>
      <c r="AH90" s="314">
        <f t="shared" si="145"/>
        <v>0</v>
      </c>
      <c r="AI90" s="320"/>
      <c r="AJ90" s="338"/>
      <c r="AK90" s="340">
        <f t="shared" si="138"/>
        <v>0.16152696644477643</v>
      </c>
      <c r="AL90" s="320"/>
      <c r="AM90" s="313">
        <f t="shared" si="146"/>
        <v>-2755.13112</v>
      </c>
      <c r="AN90" s="309">
        <v>0</v>
      </c>
      <c r="AO90" s="314">
        <f t="shared" si="147"/>
        <v>0</v>
      </c>
      <c r="AP90" s="320"/>
      <c r="AQ90" s="310"/>
      <c r="AR90" s="156"/>
      <c r="AS90" s="320"/>
    </row>
    <row r="91" spans="1:45" x14ac:dyDescent="0.2">
      <c r="A91" s="86">
        <f t="shared" si="125"/>
        <v>84</v>
      </c>
      <c r="B91" s="725"/>
      <c r="C91" s="726" t="s">
        <v>8</v>
      </c>
      <c r="D91" s="162"/>
      <c r="E91" s="122">
        <f>ROUND('Rates in Detail'!L77,5)</f>
        <v>7.9299999999999995E-3</v>
      </c>
      <c r="F91" s="122">
        <f>'Allocation = % of Margin'!U78</f>
        <v>-5.5000000000000003E-4</v>
      </c>
      <c r="G91" s="162"/>
      <c r="H91" s="373">
        <f>ROUND('Rates in Detail'!N77,5)</f>
        <v>4.9079999999999999E-2</v>
      </c>
      <c r="I91" s="774">
        <f t="shared" si="126"/>
        <v>5.7009999999999998E-2</v>
      </c>
      <c r="J91" s="162"/>
      <c r="K91" s="155"/>
      <c r="L91" s="156"/>
      <c r="M91" s="122"/>
      <c r="N91" s="122"/>
      <c r="O91" s="122"/>
      <c r="P91" s="774"/>
      <c r="Q91" s="162"/>
      <c r="R91" s="298">
        <f>'WA Volumes &amp; Revenues'!E79</f>
        <v>1349120</v>
      </c>
      <c r="S91" s="160"/>
      <c r="T91" s="157"/>
      <c r="U91" s="158"/>
      <c r="V91" s="162"/>
      <c r="W91" s="313">
        <f t="shared" si="139"/>
        <v>66214.809599999993</v>
      </c>
      <c r="X91" s="309">
        <f t="shared" si="148"/>
        <v>0</v>
      </c>
      <c r="Y91" s="309">
        <f t="shared" si="140"/>
        <v>0</v>
      </c>
      <c r="Z91" s="314"/>
      <c r="AA91" s="320"/>
      <c r="AB91" s="313">
        <f t="shared" si="141"/>
        <v>76913.331200000001</v>
      </c>
      <c r="AC91" s="309">
        <f t="shared" si="142"/>
        <v>0</v>
      </c>
      <c r="AD91" s="314">
        <f t="shared" si="143"/>
        <v>0</v>
      </c>
      <c r="AE91" s="320"/>
      <c r="AF91" s="313">
        <f t="shared" si="144"/>
        <v>10698.521600000007</v>
      </c>
      <c r="AG91" s="309">
        <f t="shared" si="144"/>
        <v>0</v>
      </c>
      <c r="AH91" s="314">
        <f t="shared" si="145"/>
        <v>0</v>
      </c>
      <c r="AI91" s="320"/>
      <c r="AJ91" s="338"/>
      <c r="AK91" s="340">
        <f t="shared" si="138"/>
        <v>0.16157294213528944</v>
      </c>
      <c r="AL91" s="320"/>
      <c r="AM91" s="313">
        <f t="shared" si="146"/>
        <v>-742.01600000000008</v>
      </c>
      <c r="AN91" s="309">
        <v>0</v>
      </c>
      <c r="AO91" s="314">
        <f t="shared" si="147"/>
        <v>0</v>
      </c>
      <c r="AP91" s="320"/>
      <c r="AQ91" s="310"/>
      <c r="AR91" s="154"/>
      <c r="AS91" s="320"/>
    </row>
    <row r="92" spans="1:45" x14ac:dyDescent="0.2">
      <c r="A92" s="86">
        <f t="shared" si="125"/>
        <v>85</v>
      </c>
      <c r="B92" s="725"/>
      <c r="C92" s="726" t="s">
        <v>9</v>
      </c>
      <c r="D92" s="162"/>
      <c r="E92" s="122">
        <f>ROUND('Rates in Detail'!L78,5)</f>
        <v>2.97E-3</v>
      </c>
      <c r="F92" s="122">
        <f>'Allocation = % of Margin'!U79</f>
        <v>-2.0000000000000001E-4</v>
      </c>
      <c r="G92" s="162"/>
      <c r="H92" s="373">
        <f>ROUND('Rates in Detail'!N78,5)</f>
        <v>1.839E-2</v>
      </c>
      <c r="I92" s="774">
        <f t="shared" si="126"/>
        <v>2.1360000000000001E-2</v>
      </c>
      <c r="J92" s="162"/>
      <c r="K92" s="155"/>
      <c r="L92" s="156"/>
      <c r="M92" s="122"/>
      <c r="N92" s="122"/>
      <c r="O92" s="122"/>
      <c r="P92" s="774"/>
      <c r="Q92" s="162"/>
      <c r="R92" s="298">
        <f>'WA Volumes &amp; Revenues'!E80</f>
        <v>0</v>
      </c>
      <c r="S92" s="160"/>
      <c r="T92" s="157"/>
      <c r="U92" s="158"/>
      <c r="V92" s="162"/>
      <c r="W92" s="313">
        <f t="shared" si="139"/>
        <v>0</v>
      </c>
      <c r="X92" s="309">
        <f t="shared" si="148"/>
        <v>0</v>
      </c>
      <c r="Y92" s="309">
        <f t="shared" si="140"/>
        <v>0</v>
      </c>
      <c r="Z92" s="314"/>
      <c r="AA92" s="320"/>
      <c r="AB92" s="313">
        <f t="shared" si="141"/>
        <v>0</v>
      </c>
      <c r="AC92" s="309">
        <f t="shared" si="142"/>
        <v>0</v>
      </c>
      <c r="AD92" s="314">
        <f t="shared" si="143"/>
        <v>0</v>
      </c>
      <c r="AE92" s="320"/>
      <c r="AF92" s="313">
        <f t="shared" si="144"/>
        <v>0</v>
      </c>
      <c r="AG92" s="309">
        <f t="shared" si="144"/>
        <v>0</v>
      </c>
      <c r="AH92" s="314">
        <f t="shared" si="145"/>
        <v>0</v>
      </c>
      <c r="AI92" s="320"/>
      <c r="AJ92" s="338"/>
      <c r="AK92" s="340" t="e">
        <f t="shared" si="138"/>
        <v>#DIV/0!</v>
      </c>
      <c r="AL92" s="320"/>
      <c r="AM92" s="313">
        <f t="shared" si="146"/>
        <v>0</v>
      </c>
      <c r="AN92" s="309">
        <v>0</v>
      </c>
      <c r="AO92" s="314">
        <f t="shared" si="147"/>
        <v>0</v>
      </c>
      <c r="AP92" s="320"/>
      <c r="AQ92" s="310"/>
      <c r="AR92" s="154"/>
      <c r="AS92" s="320"/>
    </row>
    <row r="93" spans="1:45" x14ac:dyDescent="0.2">
      <c r="A93" s="86">
        <f t="shared" si="125"/>
        <v>86</v>
      </c>
      <c r="B93" s="723"/>
      <c r="C93" s="742" t="s">
        <v>78</v>
      </c>
      <c r="D93" s="163"/>
      <c r="E93" s="123"/>
      <c r="F93" s="123"/>
      <c r="G93" s="163"/>
      <c r="H93" s="368"/>
      <c r="I93" s="773"/>
      <c r="J93" s="162"/>
      <c r="K93" s="155"/>
      <c r="L93" s="156"/>
      <c r="M93" s="122"/>
      <c r="N93" s="122"/>
      <c r="O93" s="122"/>
      <c r="P93" s="774"/>
      <c r="Q93" s="162"/>
      <c r="R93" s="298"/>
      <c r="S93" s="160"/>
      <c r="T93" s="157"/>
      <c r="U93" s="158"/>
      <c r="V93" s="162"/>
      <c r="W93" s="315">
        <f>SUM(W87:W92)</f>
        <v>695280.07319999998</v>
      </c>
      <c r="X93" s="316">
        <f>SUM(X87:X92)</f>
        <v>130200</v>
      </c>
      <c r="Y93" s="316">
        <f>SUM(Y87:Y92)</f>
        <v>0</v>
      </c>
      <c r="Z93" s="317">
        <f>'Rate Spread Proposal'!X$15-SUM(W93:Y93)</f>
        <v>0</v>
      </c>
      <c r="AA93" s="320"/>
      <c r="AB93" s="315">
        <f>SUM(AB87:AB92)</f>
        <v>807622.79162999999</v>
      </c>
      <c r="AC93" s="316">
        <f>SUM(AC87:AC92)</f>
        <v>130200</v>
      </c>
      <c r="AD93" s="317">
        <f>SUM(AD87:AD92)</f>
        <v>0</v>
      </c>
      <c r="AE93" s="320"/>
      <c r="AF93" s="315">
        <f>SUM(AF87:AF92)</f>
        <v>112342.71842999995</v>
      </c>
      <c r="AG93" s="316">
        <f>SUM(AG87:AG92)</f>
        <v>0</v>
      </c>
      <c r="AH93" s="317">
        <f>SUM(AH87:AH92)</f>
        <v>0</v>
      </c>
      <c r="AI93" s="320"/>
      <c r="AJ93" s="338">
        <f>SUM(AF93:AH93)/SUM(W93:Y93)</f>
        <v>0.13609379811495606</v>
      </c>
      <c r="AK93" s="339">
        <f t="shared" si="138"/>
        <v>0.16157908555173583</v>
      </c>
      <c r="AL93" s="320"/>
      <c r="AM93" s="315">
        <f>SUM(AM87:AM92)</f>
        <v>-7732.5836500000005</v>
      </c>
      <c r="AN93" s="316">
        <f>SUM(AN87:AN92)</f>
        <v>0</v>
      </c>
      <c r="AO93" s="317">
        <f>SUM(AO87:AO92)</f>
        <v>0</v>
      </c>
      <c r="AP93" s="320"/>
      <c r="AQ93" s="310"/>
      <c r="AR93" s="154"/>
      <c r="AS93" s="320"/>
    </row>
    <row r="94" spans="1:45" x14ac:dyDescent="0.2">
      <c r="A94" s="86">
        <f t="shared" si="125"/>
        <v>87</v>
      </c>
      <c r="B94" s="723" t="str">
        <f>'WA Volumes &amp; Revenues'!B81</f>
        <v>43 Firm Transpt</v>
      </c>
      <c r="C94" s="723" t="s">
        <v>283</v>
      </c>
      <c r="D94" s="162"/>
      <c r="E94" s="392">
        <f>ROUND('Rates in Detail'!L79,5)</f>
        <v>0</v>
      </c>
      <c r="F94" s="392">
        <f>'Allocation = % of Margin'!U80</f>
        <v>0</v>
      </c>
      <c r="G94" s="162"/>
      <c r="H94" s="393">
        <f>ROUND('Rates in Detail'!N79,5)</f>
        <v>4.9100000000000003E-3</v>
      </c>
      <c r="I94" s="775">
        <f t="shared" si="126"/>
        <v>4.9100000000000003E-3</v>
      </c>
      <c r="J94" s="162"/>
      <c r="K94" s="155">
        <f>'WA Volumes &amp; Revenues'!O81</f>
        <v>38000</v>
      </c>
      <c r="L94" s="156">
        <f>'WA Volumes &amp; Revenues'!N81</f>
        <v>38000</v>
      </c>
      <c r="M94" s="122">
        <f>'Rates in Detail'!AF79</f>
        <v>0.15748000000000001</v>
      </c>
      <c r="N94" s="122">
        <f>'Rates in Detail'!AG79</f>
        <v>0</v>
      </c>
      <c r="O94" s="122">
        <f>'Rates in Detail'!AH79</f>
        <v>0</v>
      </c>
      <c r="P94" s="774">
        <f>'Rates in Detail'!AI79</f>
        <v>0</v>
      </c>
      <c r="Q94" s="162"/>
      <c r="R94" s="298">
        <f>'WA Volumes &amp; Revenues'!E81</f>
        <v>0</v>
      </c>
      <c r="S94" s="311"/>
      <c r="T94" s="300">
        <f>'WA Volumes &amp; Revenues'!H81</f>
        <v>0</v>
      </c>
      <c r="U94" s="301">
        <f>'WA Volumes &amp; Revenues'!I81</f>
        <v>0</v>
      </c>
      <c r="V94" s="162"/>
      <c r="W94" s="306">
        <f t="shared" ref="W94:W96" si="149">(H94*R94)</f>
        <v>0</v>
      </c>
      <c r="X94" s="307">
        <f t="shared" ref="X94:X96" si="150">(K94*T94*12)</f>
        <v>0</v>
      </c>
      <c r="Y94" s="307">
        <f>(S94*(M94+O94))*12</f>
        <v>0</v>
      </c>
      <c r="Z94" s="308"/>
      <c r="AA94" s="321"/>
      <c r="AB94" s="306">
        <f>(I94*R94)</f>
        <v>0</v>
      </c>
      <c r="AC94" s="307">
        <f>(L94*T94*12)</f>
        <v>0</v>
      </c>
      <c r="AD94" s="308">
        <f>(S94*(N94+P94))*12</f>
        <v>0</v>
      </c>
      <c r="AE94" s="321"/>
      <c r="AF94" s="306">
        <f t="shared" ref="AF94:AG96" si="151">AB94-W94</f>
        <v>0</v>
      </c>
      <c r="AG94" s="307">
        <f t="shared" si="151"/>
        <v>0</v>
      </c>
      <c r="AH94" s="308">
        <f t="shared" ref="AH94:AH96" si="152">AD94-Y94</f>
        <v>0</v>
      </c>
      <c r="AI94" s="320"/>
      <c r="AJ94" s="338"/>
      <c r="AK94" s="339"/>
      <c r="AL94" s="320"/>
      <c r="AM94" s="306">
        <f>(F94*R94)</f>
        <v>0</v>
      </c>
      <c r="AN94" s="307">
        <v>0</v>
      </c>
      <c r="AO94" s="308">
        <f t="shared" ref="AO94:AO96" si="153">(AE94*(Y94+AB94))*12</f>
        <v>0</v>
      </c>
      <c r="AP94" s="320"/>
      <c r="AQ94" s="154"/>
      <c r="AR94" s="154"/>
      <c r="AS94" s="320"/>
    </row>
    <row r="95" spans="1:45" x14ac:dyDescent="0.2">
      <c r="A95" s="86">
        <f t="shared" si="125"/>
        <v>88</v>
      </c>
      <c r="B95" s="723" t="str">
        <f>'WA Volumes &amp; Revenues'!B82</f>
        <v>43 Interr Transpt</v>
      </c>
      <c r="C95" s="724" t="s">
        <v>283</v>
      </c>
      <c r="D95" s="162"/>
      <c r="E95" s="392">
        <f>ROUND('Rates in Detail'!L80,5)</f>
        <v>0</v>
      </c>
      <c r="F95" s="392">
        <f>'Allocation = % of Margin'!U81</f>
        <v>0</v>
      </c>
      <c r="G95" s="162"/>
      <c r="H95" s="396">
        <f>ROUND('Rates in Detail'!N80,5)</f>
        <v>4.9100000000000003E-3</v>
      </c>
      <c r="I95" s="776">
        <f t="shared" si="126"/>
        <v>4.9100000000000003E-3</v>
      </c>
      <c r="J95" s="162"/>
      <c r="K95" s="155">
        <f>'WA Volumes &amp; Revenues'!O82</f>
        <v>38000</v>
      </c>
      <c r="L95" s="156">
        <f>'WA Volumes &amp; Revenues'!N82</f>
        <v>38000</v>
      </c>
      <c r="M95" s="122">
        <f>'Rates in Detail'!AF80</f>
        <v>0</v>
      </c>
      <c r="N95" s="122">
        <f>'Rates in Detail'!AG80</f>
        <v>0</v>
      </c>
      <c r="O95" s="122">
        <f>'Rates in Detail'!AH80</f>
        <v>0</v>
      </c>
      <c r="P95" s="774">
        <f>'Rates in Detail'!AI80</f>
        <v>0</v>
      </c>
      <c r="Q95" s="162"/>
      <c r="R95" s="298">
        <f>'WA Volumes &amp; Revenues'!E82</f>
        <v>0</v>
      </c>
      <c r="S95" s="160"/>
      <c r="T95" s="300">
        <f>'WA Volumes &amp; Revenues'!H82</f>
        <v>0</v>
      </c>
      <c r="U95" s="301">
        <f>'WA Volumes &amp; Revenues'!I82</f>
        <v>0</v>
      </c>
      <c r="V95" s="162"/>
      <c r="W95" s="322">
        <f t="shared" si="149"/>
        <v>0</v>
      </c>
      <c r="X95" s="321">
        <f t="shared" si="150"/>
        <v>0</v>
      </c>
      <c r="Y95" s="321">
        <f>(S95*(M95+O95))*12</f>
        <v>0</v>
      </c>
      <c r="Z95" s="323"/>
      <c r="AA95" s="320"/>
      <c r="AB95" s="322">
        <f>(I95*R95)</f>
        <v>0</v>
      </c>
      <c r="AC95" s="321">
        <f>(L95*T95*12)</f>
        <v>0</v>
      </c>
      <c r="AD95" s="323">
        <f>(S95*(N95+P95))*12</f>
        <v>0</v>
      </c>
      <c r="AE95" s="320"/>
      <c r="AF95" s="322">
        <f t="shared" si="151"/>
        <v>0</v>
      </c>
      <c r="AG95" s="321">
        <f t="shared" si="151"/>
        <v>0</v>
      </c>
      <c r="AH95" s="323">
        <f t="shared" si="152"/>
        <v>0</v>
      </c>
      <c r="AI95" s="320"/>
      <c r="AJ95" s="320"/>
      <c r="AK95" s="320"/>
      <c r="AL95" s="320"/>
      <c r="AM95" s="322">
        <f>(F95*R95)</f>
        <v>0</v>
      </c>
      <c r="AN95" s="321">
        <v>0</v>
      </c>
      <c r="AO95" s="323">
        <f t="shared" si="153"/>
        <v>0</v>
      </c>
      <c r="AP95" s="320"/>
      <c r="AQ95" s="154"/>
      <c r="AR95" s="154"/>
      <c r="AS95" s="320"/>
    </row>
    <row r="96" spans="1:45" ht="13.5" thickBot="1" x14ac:dyDescent="0.25">
      <c r="A96" s="86">
        <f t="shared" si="125"/>
        <v>89</v>
      </c>
      <c r="B96" s="779" t="str">
        <f>'WA Volumes &amp; Revenues'!B83</f>
        <v>Special Contract</v>
      </c>
      <c r="C96" s="780" t="s">
        <v>283</v>
      </c>
      <c r="D96" s="166"/>
      <c r="E96" s="781">
        <f>ROUND('Rates in Detail'!L81,5)</f>
        <v>0</v>
      </c>
      <c r="F96" s="836">
        <f>'Allocation = % of Margin'!U82</f>
        <v>0</v>
      </c>
      <c r="G96" s="782"/>
      <c r="H96" s="777">
        <f>ROUND('Rates in Detail'!N81,5)</f>
        <v>0</v>
      </c>
      <c r="I96" s="778">
        <f t="shared" si="126"/>
        <v>0</v>
      </c>
      <c r="J96" s="162"/>
      <c r="K96" s="785">
        <f>'WA Volumes &amp; Revenues'!O83</f>
        <v>0</v>
      </c>
      <c r="L96" s="786">
        <f>'WA Volumes &amp; Revenues'!N83</f>
        <v>0</v>
      </c>
      <c r="M96" s="795">
        <f>'Rates in Detail'!AF81</f>
        <v>0</v>
      </c>
      <c r="N96" s="795">
        <f>'Rates in Detail'!AG81</f>
        <v>0</v>
      </c>
      <c r="O96" s="795">
        <f>'Rates in Detail'!AH81</f>
        <v>0</v>
      </c>
      <c r="P96" s="778">
        <f>'Rates in Detail'!AI81</f>
        <v>0</v>
      </c>
      <c r="Q96" s="162"/>
      <c r="R96" s="796">
        <f>'WA Volumes &amp; Revenues'!E83</f>
        <v>2895114</v>
      </c>
      <c r="S96" s="167"/>
      <c r="T96" s="801">
        <f>'WA Volumes &amp; Revenues'!H83</f>
        <v>1</v>
      </c>
      <c r="U96" s="802">
        <f>'WA Volumes &amp; Revenues'!I83</f>
        <v>241259.5</v>
      </c>
      <c r="V96" s="162"/>
      <c r="W96" s="597">
        <f t="shared" si="149"/>
        <v>0</v>
      </c>
      <c r="X96" s="598">
        <f t="shared" si="150"/>
        <v>0</v>
      </c>
      <c r="Y96" s="598">
        <f>(S96*(M96+O96))*12</f>
        <v>0</v>
      </c>
      <c r="Z96" s="599"/>
      <c r="AA96" s="320"/>
      <c r="AB96" s="324">
        <f>(I96*R96)</f>
        <v>0</v>
      </c>
      <c r="AC96" s="325">
        <f>(L96*T96*12)</f>
        <v>0</v>
      </c>
      <c r="AD96" s="326">
        <f>(S96*(N96+P96))*12</f>
        <v>0</v>
      </c>
      <c r="AE96" s="320"/>
      <c r="AF96" s="324">
        <f t="shared" si="151"/>
        <v>0</v>
      </c>
      <c r="AG96" s="325">
        <f t="shared" si="151"/>
        <v>0</v>
      </c>
      <c r="AH96" s="326">
        <f t="shared" si="152"/>
        <v>0</v>
      </c>
      <c r="AI96" s="320"/>
      <c r="AJ96" s="320"/>
      <c r="AK96" s="320"/>
      <c r="AL96" s="320"/>
      <c r="AM96" s="597">
        <f>(F96*R96)</f>
        <v>0</v>
      </c>
      <c r="AN96" s="598">
        <v>0</v>
      </c>
      <c r="AO96" s="599">
        <f t="shared" si="153"/>
        <v>0</v>
      </c>
      <c r="AP96" s="320"/>
      <c r="AQ96" s="162"/>
      <c r="AR96" s="162"/>
      <c r="AS96" s="320"/>
    </row>
    <row r="97" spans="1:45" x14ac:dyDescent="0.2">
      <c r="A97" s="86">
        <f t="shared" si="125"/>
        <v>90</v>
      </c>
      <c r="F97" s="1137"/>
    </row>
    <row r="98" spans="1:45" x14ac:dyDescent="0.2">
      <c r="A98" s="86">
        <f t="shared" si="125"/>
        <v>91</v>
      </c>
      <c r="B98" s="168" t="s">
        <v>58</v>
      </c>
    </row>
    <row r="99" spans="1:45" x14ac:dyDescent="0.2">
      <c r="A99" s="86">
        <f t="shared" si="12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65"/>
      <c r="AJ99" s="765"/>
      <c r="AK99" s="765"/>
      <c r="AL99" s="765"/>
      <c r="AM99" s="798"/>
      <c r="AN99" s="798"/>
      <c r="AO99" s="798"/>
      <c r="AP99" s="799"/>
      <c r="AS99" s="55"/>
    </row>
    <row r="100" spans="1:45" x14ac:dyDescent="0.2">
      <c r="A100" s="86">
        <f t="shared" si="125"/>
        <v>93</v>
      </c>
      <c r="B100" s="169"/>
      <c r="R100" s="327"/>
      <c r="S100" s="327"/>
      <c r="T100" s="327"/>
    </row>
    <row r="101" spans="1:45" x14ac:dyDescent="0.2">
      <c r="A101" s="86">
        <f t="shared" si="12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800"/>
      <c r="AS101" s="55"/>
    </row>
    <row r="102" spans="1:45" x14ac:dyDescent="0.2">
      <c r="A102" s="86">
        <f t="shared" si="12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800"/>
      <c r="AS102" s="55"/>
    </row>
    <row r="103" spans="1:45" x14ac:dyDescent="0.2">
      <c r="A103" s="86"/>
      <c r="B103" s="169"/>
      <c r="F103" s="1137"/>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AF14" activePane="bottomRight" state="frozen"/>
      <selection pane="topRight" activeCell="K1" sqref="K1"/>
      <selection pane="bottomLeft" activeCell="A14" sqref="A14"/>
      <selection pane="bottomRight" activeCell="A4" sqref="A4"/>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5" width="14.83203125" style="56" customWidth="1"/>
    <col min="6" max="6" width="14.83203125" style="56" hidden="1" customWidth="1" outlineLevel="1"/>
    <col min="7" max="7" width="2.83203125" style="56" customWidth="1" collapsed="1"/>
    <col min="8" max="9" width="15.83203125" style="56" customWidth="1"/>
    <col min="10" max="10" width="2.83203125" style="56" customWidth="1"/>
    <col min="11" max="16" width="15.83203125" style="56" customWidth="1"/>
    <col min="17" max="17" width="2.83203125" style="56" customWidth="1"/>
    <col min="18" max="21" width="15.83203125" style="56" customWidth="1"/>
    <col min="22" max="22" width="2.83203125" style="56" customWidth="1"/>
    <col min="23"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15.6640625" style="56" hidden="1" customWidth="1"/>
    <col min="37" max="37" width="15.83203125" style="56" hidden="1" customWidth="1"/>
    <col min="38" max="38" width="2.83203125" style="56" customWidth="1"/>
    <col min="39" max="41" width="15.83203125" style="56" customWidth="1"/>
    <col min="42" max="42" width="2.83203125" style="56" customWidth="1"/>
    <col min="43" max="43" width="23.83203125" style="56" customWidth="1"/>
    <col min="44" max="44" width="22.1640625" style="56" customWidth="1"/>
    <col min="45" max="45" width="2.83203125" style="56" customWidth="1"/>
    <col min="46" max="46" width="9.33203125" style="55"/>
    <col min="47" max="47" width="17" style="55" bestFit="1" customWidth="1"/>
    <col min="48" max="16384" width="9.33203125" style="55"/>
  </cols>
  <sheetData>
    <row r="1" spans="1:52" ht="13.5" thickBot="1" x14ac:dyDescent="0.25">
      <c r="A1" s="139" t="str">
        <f>+'WA Volumes &amp; Revenues'!A1</f>
        <v>NW Natural</v>
      </c>
    </row>
    <row r="2" spans="1:52" ht="13.5" thickBot="1" x14ac:dyDescent="0.25">
      <c r="A2" s="139" t="str">
        <f>+'WA Volumes &amp; Revenues'!A2</f>
        <v>Rates &amp; Regulatory Affairs</v>
      </c>
      <c r="E2" s="140"/>
      <c r="F2" s="140"/>
      <c r="T2" s="265"/>
      <c r="W2" s="266" t="s">
        <v>114</v>
      </c>
      <c r="X2" s="267" t="s">
        <v>115</v>
      </c>
      <c r="Y2" s="267" t="s">
        <v>99</v>
      </c>
      <c r="Z2" s="1145" t="s">
        <v>475</v>
      </c>
      <c r="AB2" s="266" t="s">
        <v>114</v>
      </c>
      <c r="AC2" s="267" t="s">
        <v>115</v>
      </c>
      <c r="AD2" s="268" t="s">
        <v>99</v>
      </c>
      <c r="AF2" s="266" t="s">
        <v>114</v>
      </c>
      <c r="AG2" s="267" t="s">
        <v>115</v>
      </c>
      <c r="AH2" s="268" t="s">
        <v>99</v>
      </c>
      <c r="AK2" s="145"/>
      <c r="AM2" s="266" t="s">
        <v>114</v>
      </c>
      <c r="AN2" s="267" t="s">
        <v>115</v>
      </c>
      <c r="AO2" s="268" t="s">
        <v>99</v>
      </c>
      <c r="AQ2" s="1583" t="s">
        <v>279</v>
      </c>
      <c r="AR2" s="1584"/>
    </row>
    <row r="3" spans="1:52" x14ac:dyDescent="0.2">
      <c r="A3" s="139" t="str">
        <f>+'WA Volumes &amp; Revenues'!A3</f>
        <v>Test Year Ending September 30, 2020</v>
      </c>
      <c r="E3" s="140"/>
      <c r="F3" s="140"/>
      <c r="W3" s="269">
        <f>SUM(W14:W19)+W22+W28+W31+W37+W44+W51+W58+W65+W72+W79+W93+W94+W25+W34+W86+W95+W96</f>
        <v>43542835.679936796</v>
      </c>
      <c r="X3" s="270">
        <f>SUM(X14:X19)+X22+X28+X31+X37+X44+X51+X58+X65+X72+X79+X93+X94+X25+X34+X86+X95+X96</f>
        <v>10678018</v>
      </c>
      <c r="Y3" s="270">
        <f>SUM(Y14:Y19)+Y22+Y28+Y31+Y37+Y44+Y51+Y58+Y65+Y72+Y79+Y93+Y94+Y25+Y34+Y86+Y95+Y96</f>
        <v>141275.86116</v>
      </c>
      <c r="Z3" s="271">
        <f>SUM(Z14:Z19)+Z22+Z28+Z31+Z37+Z44+Z51+Z58+Z65+Z72+Z79+Z93+Z94+Z25+Z34+Z86+Z95+Z96</f>
        <v>1255588.086808023</v>
      </c>
      <c r="AB3" s="269">
        <f>SUM(AB14:AB19)+AB22+AB28+AB31+AB37+AB44+AB51+AB58+AB65+AB72+AB79+AB93+AB94+AB25+AB34+AB86+AB95+AB96</f>
        <v>46693023.956143141</v>
      </c>
      <c r="AC3" s="270">
        <f>SUM(AC14:AC19)+AC22+AC28+AC31+AC37+AC44+AC51+AC58+AC65+AC72+AC79+AC93+AC94+AC25+AC34+AC86+AC95+AC96</f>
        <v>10678018</v>
      </c>
      <c r="AD3" s="271">
        <f>SUM(AD14:AD19)+AD22+AD28+AD31+AD37+AD44+AD51+AD58+AD65+AD72+AD79+AD93+AD94+AD25+AD34+AD86+AD95+AD96</f>
        <v>141275.86116</v>
      </c>
      <c r="AF3" s="269">
        <f t="shared" ref="AF3:AH3" si="0">SUM(AF14:AF19)+AF22+AF28+AF31+AF37+AF44+AF51+AF58+AF65+AF72+AF79+AF93+AF94+AF25+AF34+AF86+AF95+AF96</f>
        <v>3150188.2762063476</v>
      </c>
      <c r="AG3" s="270">
        <f t="shared" si="0"/>
        <v>0</v>
      </c>
      <c r="AH3" s="271">
        <f t="shared" si="0"/>
        <v>0</v>
      </c>
      <c r="AK3" s="270"/>
      <c r="AM3" s="269">
        <f t="shared" ref="AM3:AO3" si="1">SUM(AM14:AM19)+AM22+AM28+AM31+AM37+AM44+AM51+AM58+AM65+AM72+AM79+AM93+AM94+AM25+AM34+AM86+AM95+AM96</f>
        <v>0</v>
      </c>
      <c r="AN3" s="270">
        <f t="shared" si="1"/>
        <v>0</v>
      </c>
      <c r="AO3" s="271">
        <f t="shared" si="1"/>
        <v>0</v>
      </c>
      <c r="AQ3" s="56" t="s">
        <v>100</v>
      </c>
      <c r="AR3" s="272">
        <f>AF3</f>
        <v>3150188.2762063476</v>
      </c>
    </row>
    <row r="4" spans="1:52" x14ac:dyDescent="0.2">
      <c r="A4" s="139" t="s">
        <v>122</v>
      </c>
      <c r="D4" s="140"/>
      <c r="E4" s="140"/>
      <c r="F4" s="140"/>
      <c r="G4" s="140"/>
      <c r="H4" s="140"/>
      <c r="J4" s="140"/>
      <c r="K4" s="140"/>
      <c r="L4" s="140"/>
      <c r="Q4" s="140"/>
      <c r="V4" s="140"/>
      <c r="W4" s="273"/>
      <c r="X4" s="55"/>
      <c r="Y4" s="55"/>
      <c r="Z4" s="1146" t="s">
        <v>78</v>
      </c>
      <c r="AA4" s="140"/>
      <c r="AB4" s="273"/>
      <c r="AC4" s="55"/>
      <c r="AD4" s="274" t="s">
        <v>78</v>
      </c>
      <c r="AE4" s="140"/>
      <c r="AF4" s="273"/>
      <c r="AG4" s="55"/>
      <c r="AH4" s="274" t="s">
        <v>78</v>
      </c>
      <c r="AI4" s="140"/>
      <c r="AJ4" s="140"/>
      <c r="AK4" s="145"/>
      <c r="AL4" s="140"/>
      <c r="AM4" s="273"/>
      <c r="AN4" s="55"/>
      <c r="AO4" s="274" t="s">
        <v>78</v>
      </c>
      <c r="AP4" s="140"/>
      <c r="AQ4" s="56" t="s">
        <v>101</v>
      </c>
      <c r="AR4" s="272">
        <f>AG3</f>
        <v>0</v>
      </c>
    </row>
    <row r="5" spans="1:52" ht="13.5" thickBot="1" x14ac:dyDescent="0.25">
      <c r="E5" s="140"/>
      <c r="F5" s="140"/>
      <c r="W5" s="555"/>
      <c r="X5" s="556"/>
      <c r="Y5" s="556"/>
      <c r="Z5" s="1147">
        <f>SUM(W3:Z3)</f>
        <v>55617717.627904825</v>
      </c>
      <c r="AB5" s="275"/>
      <c r="AC5" s="276"/>
      <c r="AD5" s="277">
        <f>SUM(AB3:AD3)</f>
        <v>57512317.817303143</v>
      </c>
      <c r="AF5" s="275"/>
      <c r="AG5" s="276"/>
      <c r="AH5" s="277">
        <f>SUM(AF3:AH3)</f>
        <v>3150188.2762063476</v>
      </c>
      <c r="AK5" s="270"/>
      <c r="AM5" s="275"/>
      <c r="AN5" s="276"/>
      <c r="AO5" s="277">
        <f>SUM(AM3:AO3)</f>
        <v>0</v>
      </c>
      <c r="AQ5" s="56" t="s">
        <v>102</v>
      </c>
      <c r="AR5" s="272">
        <f>AH3</f>
        <v>0</v>
      </c>
    </row>
    <row r="6" spans="1:52" ht="13.5" thickBot="1" x14ac:dyDescent="0.25">
      <c r="E6" s="140"/>
      <c r="F6" s="140"/>
      <c r="W6" s="55"/>
      <c r="X6" s="55"/>
      <c r="Y6" s="270"/>
      <c r="Z6" s="1142" t="s">
        <v>474</v>
      </c>
      <c r="AB6" s="55"/>
      <c r="AC6" s="55"/>
      <c r="AD6" s="270"/>
      <c r="AF6" s="55"/>
      <c r="AG6" s="55"/>
      <c r="AH6" s="270"/>
      <c r="AK6" s="270"/>
      <c r="AM6" s="55"/>
      <c r="AN6" s="55"/>
      <c r="AO6" s="270"/>
      <c r="AR6" s="272"/>
    </row>
    <row r="7" spans="1:52" ht="13.5" thickBot="1" x14ac:dyDescent="0.25">
      <c r="E7" s="518"/>
      <c r="F7" s="518"/>
      <c r="H7" s="1585" t="s">
        <v>123</v>
      </c>
      <c r="I7" s="1586"/>
      <c r="K7" s="1585" t="s">
        <v>125</v>
      </c>
      <c r="L7" s="1587"/>
      <c r="M7" s="1587"/>
      <c r="N7" s="1587"/>
      <c r="O7" s="1587"/>
      <c r="P7" s="1586"/>
      <c r="R7" s="1585" t="s">
        <v>124</v>
      </c>
      <c r="S7" s="1587"/>
      <c r="T7" s="1587"/>
      <c r="U7" s="1586"/>
      <c r="AD7" s="280"/>
      <c r="AO7" s="280"/>
      <c r="AQ7" s="56" t="s">
        <v>103</v>
      </c>
      <c r="AR7" s="281">
        <f>SUM(AR3:AR5)</f>
        <v>3150188.2762063476</v>
      </c>
      <c r="AU7" s="1150"/>
    </row>
    <row r="8" spans="1:52" x14ac:dyDescent="0.2">
      <c r="A8" s="86">
        <v>1</v>
      </c>
      <c r="D8" s="142"/>
      <c r="E8" s="518" t="s">
        <v>557</v>
      </c>
      <c r="F8" s="518" t="str">
        <f>E8</f>
        <v>UG-20XXXX</v>
      </c>
      <c r="G8" s="142"/>
      <c r="H8" s="148"/>
      <c r="I8" s="297"/>
      <c r="J8" s="142"/>
      <c r="K8" s="329" t="s">
        <v>17</v>
      </c>
      <c r="L8" s="330" t="s">
        <v>20</v>
      </c>
      <c r="M8" s="330" t="s">
        <v>17</v>
      </c>
      <c r="N8" s="330" t="s">
        <v>20</v>
      </c>
      <c r="O8" s="330" t="s">
        <v>17</v>
      </c>
      <c r="P8" s="331" t="s">
        <v>20</v>
      </c>
      <c r="Q8" s="142"/>
      <c r="R8" s="141"/>
      <c r="S8" s="282"/>
      <c r="T8" s="282"/>
      <c r="U8" s="283"/>
      <c r="V8" s="142"/>
      <c r="W8" s="1588" t="s">
        <v>126</v>
      </c>
      <c r="X8" s="1588"/>
      <c r="Y8" s="1588"/>
      <c r="Z8" s="1588"/>
      <c r="AA8" s="145"/>
      <c r="AB8" s="278"/>
      <c r="AC8" s="279" t="s">
        <v>244</v>
      </c>
      <c r="AD8" s="278"/>
      <c r="AE8" s="142"/>
      <c r="AG8" s="803" t="s">
        <v>127</v>
      </c>
      <c r="AI8" s="142"/>
      <c r="AJ8" s="422"/>
      <c r="AL8" s="142"/>
      <c r="AM8" s="278"/>
      <c r="AN8" s="279"/>
      <c r="AO8" s="278"/>
      <c r="AP8" s="142"/>
      <c r="AQ8" s="56" t="s">
        <v>104</v>
      </c>
      <c r="AR8" s="272"/>
      <c r="AU8" s="474"/>
      <c r="AV8" s="293"/>
    </row>
    <row r="9" spans="1:52" ht="13.5" thickBot="1" x14ac:dyDescent="0.25">
      <c r="A9" s="86">
        <f>+A8+1</f>
        <v>2</v>
      </c>
      <c r="D9" s="143"/>
      <c r="E9" s="144" t="s">
        <v>179</v>
      </c>
      <c r="F9" s="144" t="s">
        <v>179</v>
      </c>
      <c r="G9" s="143"/>
      <c r="H9" s="423" t="s">
        <v>118</v>
      </c>
      <c r="I9" s="1015" t="str">
        <f>E8</f>
        <v>UG-20XXXX</v>
      </c>
      <c r="J9" s="143"/>
      <c r="K9" s="332" t="str">
        <f>H9</f>
        <v>CURRENT</v>
      </c>
      <c r="L9" s="497" t="str">
        <f>E8</f>
        <v>UG-20XXXX</v>
      </c>
      <c r="M9" s="143" t="str">
        <f>K9</f>
        <v>CURRENT</v>
      </c>
      <c r="N9" s="497" t="str">
        <f>E8</f>
        <v>UG-20XXXX</v>
      </c>
      <c r="O9" s="143" t="str">
        <f>K9</f>
        <v>CURRENT</v>
      </c>
      <c r="P9" s="1015" t="str">
        <f>E8</f>
        <v>UG-20XXXX</v>
      </c>
      <c r="Q9" s="143"/>
      <c r="R9" s="1016" t="str">
        <f>E8</f>
        <v>UG-20XXXX</v>
      </c>
      <c r="S9" s="1017" t="str">
        <f>R9</f>
        <v>UG-20XXXX</v>
      </c>
      <c r="T9" s="1017" t="str">
        <f>S9</f>
        <v>UG-20XXXX</v>
      </c>
      <c r="U9" s="1018" t="str">
        <f>T9</f>
        <v>UG-20XXXX</v>
      </c>
      <c r="V9" s="143"/>
      <c r="W9" s="278"/>
      <c r="X9" s="278"/>
      <c r="Y9" s="278"/>
      <c r="Z9" s="278"/>
      <c r="AA9" s="145"/>
      <c r="AB9" s="278"/>
      <c r="AC9" s="1149"/>
      <c r="AD9" s="278"/>
      <c r="AE9" s="143"/>
      <c r="AF9" s="278"/>
      <c r="AG9" s="1149"/>
      <c r="AH9" s="278"/>
      <c r="AI9" s="143"/>
      <c r="AJ9" s="143"/>
      <c r="AK9" s="278"/>
      <c r="AL9" s="143"/>
      <c r="AM9" s="278"/>
      <c r="AN9" s="279"/>
      <c r="AO9" s="278"/>
      <c r="AP9" s="143"/>
      <c r="AQ9" s="604" t="s">
        <v>415</v>
      </c>
      <c r="AR9" s="272">
        <f>AO5</f>
        <v>0</v>
      </c>
      <c r="AU9" s="596"/>
      <c r="AV9" s="293"/>
    </row>
    <row r="10" spans="1:52" ht="15.75" thickBot="1" x14ac:dyDescent="0.4">
      <c r="A10" s="86">
        <f t="shared" ref="A10:A73" si="2">+A9+1</f>
        <v>3</v>
      </c>
      <c r="D10" s="145"/>
      <c r="E10" s="59" t="s">
        <v>90</v>
      </c>
      <c r="F10" s="59" t="s">
        <v>90</v>
      </c>
      <c r="G10" s="145"/>
      <c r="H10" s="423" t="s">
        <v>105</v>
      </c>
      <c r="I10" s="783" t="s">
        <v>105</v>
      </c>
      <c r="J10" s="145"/>
      <c r="K10" s="289" t="s">
        <v>83</v>
      </c>
      <c r="L10" s="86" t="s">
        <v>83</v>
      </c>
      <c r="M10" s="145" t="s">
        <v>376</v>
      </c>
      <c r="N10" s="86" t="s">
        <v>376</v>
      </c>
      <c r="O10" s="145" t="s">
        <v>109</v>
      </c>
      <c r="P10" s="783" t="s">
        <v>109</v>
      </c>
      <c r="Q10" s="145"/>
      <c r="R10" s="284" t="s">
        <v>110</v>
      </c>
      <c r="S10" s="278" t="s">
        <v>110</v>
      </c>
      <c r="T10" s="278" t="s">
        <v>120</v>
      </c>
      <c r="U10" s="285" t="s">
        <v>70</v>
      </c>
      <c r="V10" s="145"/>
      <c r="W10" s="1580" t="s">
        <v>116</v>
      </c>
      <c r="X10" s="1581"/>
      <c r="Y10" s="1581"/>
      <c r="Z10" s="1582"/>
      <c r="AA10" s="143"/>
      <c r="AB10" s="1580" t="s">
        <v>117</v>
      </c>
      <c r="AC10" s="1581"/>
      <c r="AD10" s="1582"/>
      <c r="AE10" s="145"/>
      <c r="AF10" s="1580" t="s">
        <v>107</v>
      </c>
      <c r="AG10" s="1581"/>
      <c r="AH10" s="1582"/>
      <c r="AI10" s="145"/>
      <c r="AJ10" s="58" t="s">
        <v>136</v>
      </c>
      <c r="AK10" s="58" t="s">
        <v>114</v>
      </c>
      <c r="AL10" s="145"/>
      <c r="AM10" s="1580" t="s">
        <v>117</v>
      </c>
      <c r="AN10" s="1581"/>
      <c r="AO10" s="1582"/>
      <c r="AP10" s="145"/>
      <c r="AQ10" s="60" t="s">
        <v>91</v>
      </c>
      <c r="AR10" s="281">
        <f>AR7+AR9</f>
        <v>3150188.2762063476</v>
      </c>
      <c r="AU10" s="1177"/>
      <c r="AV10" s="1178"/>
      <c r="AW10" s="613"/>
      <c r="AX10" s="613"/>
      <c r="AY10" s="613"/>
      <c r="AZ10" s="613"/>
    </row>
    <row r="11" spans="1:52" s="57" customFormat="1" ht="13.5" thickBot="1" x14ac:dyDescent="0.25">
      <c r="A11" s="86">
        <f t="shared" si="2"/>
        <v>4</v>
      </c>
      <c r="B11" s="147"/>
      <c r="C11" s="147"/>
      <c r="D11" s="145"/>
      <c r="E11" s="172" t="s">
        <v>98</v>
      </c>
      <c r="F11" s="1144"/>
      <c r="G11" s="145"/>
      <c r="H11" s="426" t="s">
        <v>106</v>
      </c>
      <c r="I11" s="784" t="s">
        <v>106</v>
      </c>
      <c r="J11" s="145"/>
      <c r="K11" s="333" t="s">
        <v>71</v>
      </c>
      <c r="L11" s="358" t="s">
        <v>71</v>
      </c>
      <c r="M11" s="334" t="s">
        <v>71</v>
      </c>
      <c r="N11" s="358" t="s">
        <v>71</v>
      </c>
      <c r="O11" s="334" t="s">
        <v>71</v>
      </c>
      <c r="P11" s="784" t="s">
        <v>71</v>
      </c>
      <c r="Q11" s="145"/>
      <c r="R11" s="286" t="s">
        <v>111</v>
      </c>
      <c r="S11" s="287" t="s">
        <v>113</v>
      </c>
      <c r="T11" s="287" t="s">
        <v>75</v>
      </c>
      <c r="U11" s="288" t="s">
        <v>112</v>
      </c>
      <c r="V11" s="145"/>
      <c r="W11" s="289" t="s">
        <v>114</v>
      </c>
      <c r="X11" s="145" t="s">
        <v>115</v>
      </c>
      <c r="Y11" s="267" t="s">
        <v>99</v>
      </c>
      <c r="Z11" s="274" t="s">
        <v>475</v>
      </c>
      <c r="AA11" s="58"/>
      <c r="AB11" s="289" t="s">
        <v>114</v>
      </c>
      <c r="AC11" s="145" t="s">
        <v>115</v>
      </c>
      <c r="AD11" s="274" t="s">
        <v>99</v>
      </c>
      <c r="AE11" s="145"/>
      <c r="AF11" s="289" t="s">
        <v>114</v>
      </c>
      <c r="AG11" s="145" t="s">
        <v>115</v>
      </c>
      <c r="AH11" s="274" t="s">
        <v>99</v>
      </c>
      <c r="AI11" s="145"/>
      <c r="AJ11" s="58" t="s">
        <v>27</v>
      </c>
      <c r="AK11" s="58" t="s">
        <v>27</v>
      </c>
      <c r="AL11" s="145"/>
      <c r="AM11" s="266" t="s">
        <v>114</v>
      </c>
      <c r="AN11" s="267" t="s">
        <v>115</v>
      </c>
      <c r="AO11" s="268" t="s">
        <v>99</v>
      </c>
      <c r="AP11" s="145"/>
      <c r="AQ11" s="278"/>
      <c r="AR11" s="278"/>
      <c r="AS11" s="145"/>
      <c r="AU11" s="596"/>
      <c r="AV11" s="293"/>
    </row>
    <row r="12" spans="1:52" s="57" customFormat="1" ht="15" x14ac:dyDescent="0.35">
      <c r="A12" s="86">
        <f t="shared" si="2"/>
        <v>5</v>
      </c>
      <c r="B12" s="56"/>
      <c r="C12" s="56"/>
      <c r="D12" s="58"/>
      <c r="E12" s="150"/>
      <c r="F12" s="150"/>
      <c r="G12" s="58"/>
      <c r="H12" s="151"/>
      <c r="I12" s="603"/>
      <c r="J12" s="58"/>
      <c r="K12" s="335"/>
      <c r="L12" s="336"/>
      <c r="M12" s="336"/>
      <c r="N12" s="336"/>
      <c r="O12" s="336"/>
      <c r="P12" s="337"/>
      <c r="Q12" s="58"/>
      <c r="R12" s="290"/>
      <c r="S12" s="146"/>
      <c r="T12" s="146"/>
      <c r="U12" s="291"/>
      <c r="V12" s="58"/>
      <c r="W12" s="151"/>
      <c r="Z12" s="149"/>
      <c r="AB12" s="151"/>
      <c r="AD12" s="149"/>
      <c r="AE12" s="58"/>
      <c r="AF12" s="151"/>
      <c r="AH12" s="149"/>
      <c r="AI12" s="58"/>
      <c r="AJ12" s="58" t="s">
        <v>128</v>
      </c>
      <c r="AK12" s="58" t="s">
        <v>128</v>
      </c>
      <c r="AL12" s="58"/>
      <c r="AM12" s="151"/>
      <c r="AO12" s="149"/>
      <c r="AP12" s="58"/>
      <c r="AQ12" s="145"/>
      <c r="AR12" s="292">
        <f>'Rate Spread Proposal'!D28</f>
        <v>3150116.0024598953</v>
      </c>
      <c r="AS12" s="293" t="s">
        <v>157</v>
      </c>
      <c r="AU12" s="1177"/>
      <c r="AV12" s="1178"/>
      <c r="AW12" s="614"/>
      <c r="AX12" s="614"/>
      <c r="AY12" s="614"/>
      <c r="AZ12" s="614"/>
    </row>
    <row r="13" spans="1:52" s="57" customFormat="1" ht="13.5" thickBot="1" x14ac:dyDescent="0.25">
      <c r="A13" s="86">
        <f t="shared" si="2"/>
        <v>6</v>
      </c>
      <c r="B13" s="771" t="s">
        <v>2</v>
      </c>
      <c r="C13" s="771" t="s">
        <v>3</v>
      </c>
      <c r="D13" s="294"/>
      <c r="E13" s="294" t="s">
        <v>35</v>
      </c>
      <c r="F13" s="294" t="s">
        <v>36</v>
      </c>
      <c r="G13" s="294"/>
      <c r="H13" s="295" t="s">
        <v>13</v>
      </c>
      <c r="I13" s="296" t="s">
        <v>37</v>
      </c>
      <c r="J13" s="294"/>
      <c r="K13" s="295" t="s">
        <v>38</v>
      </c>
      <c r="L13" s="294" t="s">
        <v>39</v>
      </c>
      <c r="M13" s="294" t="s">
        <v>40</v>
      </c>
      <c r="N13" s="294" t="s">
        <v>41</v>
      </c>
      <c r="O13" s="294" t="s">
        <v>42</v>
      </c>
      <c r="P13" s="296" t="s">
        <v>129</v>
      </c>
      <c r="Q13" s="294"/>
      <c r="R13" s="295" t="s">
        <v>130</v>
      </c>
      <c r="S13" s="294" t="s">
        <v>43</v>
      </c>
      <c r="T13" s="294" t="s">
        <v>131</v>
      </c>
      <c r="U13" s="296" t="s">
        <v>132</v>
      </c>
      <c r="V13" s="58"/>
      <c r="W13" s="148" t="s">
        <v>133</v>
      </c>
      <c r="X13" s="58" t="s">
        <v>134</v>
      </c>
      <c r="Y13" s="58" t="s">
        <v>135</v>
      </c>
      <c r="Z13" s="297" t="s">
        <v>89</v>
      </c>
      <c r="AA13" s="58"/>
      <c r="AB13" s="148" t="s">
        <v>92</v>
      </c>
      <c r="AC13" s="58" t="s">
        <v>93</v>
      </c>
      <c r="AD13" s="297" t="s">
        <v>94</v>
      </c>
      <c r="AE13" s="58"/>
      <c r="AF13" s="148" t="s">
        <v>186</v>
      </c>
      <c r="AG13" s="58" t="s">
        <v>232</v>
      </c>
      <c r="AH13" s="297" t="s">
        <v>227</v>
      </c>
      <c r="AI13" s="58"/>
      <c r="AJ13" s="58" t="s">
        <v>127</v>
      </c>
      <c r="AK13" s="58" t="s">
        <v>127</v>
      </c>
      <c r="AL13" s="58"/>
      <c r="AM13" s="148" t="s">
        <v>233</v>
      </c>
      <c r="AN13" s="58" t="s">
        <v>234</v>
      </c>
      <c r="AO13" s="297" t="s">
        <v>235</v>
      </c>
      <c r="AP13" s="58"/>
      <c r="AR13" s="931">
        <f>AR12-AR10</f>
        <v>-72.27374645229429</v>
      </c>
      <c r="AS13" s="293" t="s">
        <v>168</v>
      </c>
      <c r="AT13" s="932"/>
      <c r="AU13" s="1179"/>
      <c r="AV13" s="610"/>
    </row>
    <row r="14" spans="1:52" ht="12.95" customHeight="1" x14ac:dyDescent="0.2">
      <c r="A14" s="86">
        <f t="shared" si="2"/>
        <v>7</v>
      </c>
      <c r="B14" s="723" t="str">
        <f>'WA Volumes &amp; Revenues'!B15</f>
        <v>1R</v>
      </c>
      <c r="C14" s="723" t="s">
        <v>283</v>
      </c>
      <c r="D14" s="154"/>
      <c r="E14" s="772">
        <f>ROUND('Rates in Detail'!Y13,5)</f>
        <v>6.2010000000000003E-2</v>
      </c>
      <c r="F14" s="123"/>
      <c r="G14" s="154"/>
      <c r="H14" s="368">
        <f>ROUND('Rates in Detail'!R13,5)</f>
        <v>0.79967999999999995</v>
      </c>
      <c r="I14" s="773">
        <f>H14+E14</f>
        <v>0.86168999999999996</v>
      </c>
      <c r="J14" s="154"/>
      <c r="K14" s="155">
        <f>'WA Volumes &amp; Revenues'!O15</f>
        <v>5.5</v>
      </c>
      <c r="L14" s="156">
        <f>'WA Volumes &amp; Revenues'!N15</f>
        <v>5.5</v>
      </c>
      <c r="M14" s="122">
        <f>'Rates in Detail'!AF13</f>
        <v>0</v>
      </c>
      <c r="N14" s="122">
        <f>'Rates in Detail'!AG13</f>
        <v>0</v>
      </c>
      <c r="O14" s="122">
        <f>'Rates in Detail'!AH13</f>
        <v>0</v>
      </c>
      <c r="P14" s="774">
        <f>'Rates in Detail'!AI13</f>
        <v>0</v>
      </c>
      <c r="Q14" s="154"/>
      <c r="R14" s="298">
        <f>'WA Volumes &amp; Revenues'!E15</f>
        <v>214704.20066131229</v>
      </c>
      <c r="S14" s="299"/>
      <c r="T14" s="300">
        <f>'WA Volumes &amp; Revenues'!H15</f>
        <v>911</v>
      </c>
      <c r="U14" s="301">
        <f>'WA Volumes &amp; Revenues'!I15</f>
        <v>19.639970000000002</v>
      </c>
      <c r="V14" s="154"/>
      <c r="W14" s="302">
        <f>(H14*R14)</f>
        <v>171694.65518483819</v>
      </c>
      <c r="X14" s="303">
        <f>(K14*T14*12)</f>
        <v>60126</v>
      </c>
      <c r="Y14" s="303">
        <f t="shared" ref="Y14:Y21" si="3">(S14*(M14+O14))*12</f>
        <v>0</v>
      </c>
      <c r="Z14" s="304">
        <f>'Rate Spread Proposal'!E$74-SUM(W14:Y14)</f>
        <v>3255.5467165729206</v>
      </c>
      <c r="AA14" s="305"/>
      <c r="AB14" s="302">
        <f>(I14*R14)</f>
        <v>185008.46266784618</v>
      </c>
      <c r="AC14" s="303">
        <f t="shared" ref="AC14:AC21" si="4">(L14*T14*12)</f>
        <v>60126</v>
      </c>
      <c r="AD14" s="304">
        <f t="shared" ref="AD14:AD21" si="5">(S14*(N14+P14))*12</f>
        <v>0</v>
      </c>
      <c r="AE14" s="305"/>
      <c r="AF14" s="302">
        <f>AB14-W14</f>
        <v>13313.807483007986</v>
      </c>
      <c r="AG14" s="303">
        <f>AC14-X14</f>
        <v>0</v>
      </c>
      <c r="AH14" s="304">
        <f>AD14-Y14</f>
        <v>0</v>
      </c>
      <c r="AI14" s="305"/>
      <c r="AJ14" s="338"/>
      <c r="AK14" s="339"/>
      <c r="AL14" s="305"/>
      <c r="AM14" s="302">
        <f t="shared" ref="AM14:AM21" si="6">(F14*R14)</f>
        <v>0</v>
      </c>
      <c r="AN14" s="303">
        <v>0</v>
      </c>
      <c r="AO14" s="304">
        <f t="shared" ref="AO14:AO21" si="7">(AE14*(Y14+AB14))*12</f>
        <v>0</v>
      </c>
      <c r="AP14" s="305"/>
      <c r="AQ14" s="1579" t="s">
        <v>169</v>
      </c>
      <c r="AR14" s="1579"/>
      <c r="AS14" s="1579"/>
    </row>
    <row r="15" spans="1:52" x14ac:dyDescent="0.2">
      <c r="A15" s="86">
        <f t="shared" si="2"/>
        <v>8</v>
      </c>
      <c r="B15" s="724" t="str">
        <f>'WA Volumes &amp; Revenues'!B16</f>
        <v>1C</v>
      </c>
      <c r="C15" s="724" t="s">
        <v>283</v>
      </c>
      <c r="D15" s="157"/>
      <c r="E15" s="123">
        <f>ROUND('Rates in Detail'!Y14,5)</f>
        <v>5.1569999999999998E-2</v>
      </c>
      <c r="F15" s="123"/>
      <c r="G15" s="157"/>
      <c r="H15" s="368">
        <f>ROUND('Rates in Detail'!R14,5)</f>
        <v>0.83389999999999997</v>
      </c>
      <c r="I15" s="773">
        <f>H15+E15</f>
        <v>0.88546999999999998</v>
      </c>
      <c r="J15" s="157"/>
      <c r="K15" s="155">
        <f>'WA Volumes &amp; Revenues'!O16</f>
        <v>7</v>
      </c>
      <c r="L15" s="156">
        <f>'WA Volumes &amp; Revenues'!N16</f>
        <v>7</v>
      </c>
      <c r="M15" s="122">
        <f>'Rates in Detail'!AF14</f>
        <v>0</v>
      </c>
      <c r="N15" s="122">
        <f>'Rates in Detail'!AG14</f>
        <v>0</v>
      </c>
      <c r="O15" s="122">
        <f>'Rates in Detail'!AH14</f>
        <v>0</v>
      </c>
      <c r="P15" s="774">
        <f>'Rates in Detail'!AI14</f>
        <v>0</v>
      </c>
      <c r="Q15" s="157"/>
      <c r="R15" s="298">
        <f>'WA Volumes &amp; Revenues'!E16</f>
        <v>46539.057144390383</v>
      </c>
      <c r="S15" s="299"/>
      <c r="T15" s="300">
        <f>'WA Volumes &amp; Revenues'!H16</f>
        <v>34</v>
      </c>
      <c r="U15" s="301">
        <f>'WA Volumes &amp; Revenues'!I16</f>
        <v>114.06632</v>
      </c>
      <c r="V15" s="157"/>
      <c r="W15" s="306">
        <f>(H15*R15)</f>
        <v>38808.919752707137</v>
      </c>
      <c r="X15" s="307">
        <f>(K15*T15*12)</f>
        <v>2856</v>
      </c>
      <c r="Y15" s="307">
        <f t="shared" si="3"/>
        <v>0</v>
      </c>
      <c r="Z15" s="308">
        <f>'Rate Spread Proposal'!F$74-SUM(W15:Y15)</f>
        <v>705.19753651392966</v>
      </c>
      <c r="AA15" s="309"/>
      <c r="AB15" s="306">
        <f>(I15*R15)</f>
        <v>41208.938929643351</v>
      </c>
      <c r="AC15" s="307">
        <f>(L15*T15*12)</f>
        <v>2856</v>
      </c>
      <c r="AD15" s="308">
        <f>(S15*(N15+P15))*12</f>
        <v>0</v>
      </c>
      <c r="AE15" s="309"/>
      <c r="AF15" s="306">
        <f t="shared" ref="AF15:AH21" si="8">AB15-W15</f>
        <v>2400.0191769362136</v>
      </c>
      <c r="AG15" s="307">
        <f t="shared" si="8"/>
        <v>0</v>
      </c>
      <c r="AH15" s="308">
        <f t="shared" si="8"/>
        <v>0</v>
      </c>
      <c r="AI15" s="309"/>
      <c r="AJ15" s="338"/>
      <c r="AK15" s="339"/>
      <c r="AL15" s="309"/>
      <c r="AM15" s="306">
        <f>(F15*R15)</f>
        <v>0</v>
      </c>
      <c r="AN15" s="307">
        <v>0</v>
      </c>
      <c r="AO15" s="308">
        <f t="shared" si="7"/>
        <v>0</v>
      </c>
      <c r="AP15" s="309"/>
      <c r="AQ15" s="310"/>
      <c r="AR15" s="310"/>
      <c r="AS15" s="309"/>
    </row>
    <row r="16" spans="1:52" x14ac:dyDescent="0.2">
      <c r="A16" s="86">
        <f t="shared" si="2"/>
        <v>9</v>
      </c>
      <c r="B16" s="724" t="str">
        <f>'WA Volumes &amp; Revenues'!B17</f>
        <v>2R</v>
      </c>
      <c r="C16" s="724" t="s">
        <v>283</v>
      </c>
      <c r="D16" s="157"/>
      <c r="E16" s="772">
        <f>ROUND('Rates in Detail'!Y15,5)</f>
        <v>3.925E-2</v>
      </c>
      <c r="F16" s="772"/>
      <c r="G16" s="157"/>
      <c r="H16" s="368">
        <f>ROUND('Rates in Detail'!R15,5)</f>
        <v>0.53610000000000002</v>
      </c>
      <c r="I16" s="773">
        <f t="shared" ref="I16:I78" si="9">H16+E16</f>
        <v>0.57535000000000003</v>
      </c>
      <c r="J16" s="157"/>
      <c r="K16" s="155">
        <f>'WA Volumes &amp; Revenues'!O17</f>
        <v>8</v>
      </c>
      <c r="L16" s="156">
        <f>'WA Volumes &amp; Revenues'!N17</f>
        <v>8</v>
      </c>
      <c r="M16" s="122">
        <f>'Rates in Detail'!AF15</f>
        <v>0</v>
      </c>
      <c r="N16" s="122">
        <f>'Rates in Detail'!AG15</f>
        <v>0</v>
      </c>
      <c r="O16" s="122">
        <f>'Rates in Detail'!AH15</f>
        <v>0</v>
      </c>
      <c r="P16" s="774">
        <f>'Rates in Detail'!AI15</f>
        <v>0</v>
      </c>
      <c r="Q16" s="157"/>
      <c r="R16" s="298">
        <f>'WA Volumes &amp; Revenues'!E17</f>
        <v>54953515.785084128</v>
      </c>
      <c r="S16" s="311"/>
      <c r="T16" s="300">
        <f>'WA Volumes &amp; Revenues'!H17</f>
        <v>81119</v>
      </c>
      <c r="U16" s="301">
        <f>'WA Volumes &amp; Revenues'!I17</f>
        <v>56.453600000000002</v>
      </c>
      <c r="V16" s="157"/>
      <c r="W16" s="306">
        <f t="shared" ref="W16:W21" si="10">(H16*R16)</f>
        <v>29460579.812383603</v>
      </c>
      <c r="X16" s="307">
        <f t="shared" ref="X16:X18" si="11">(K16*T16*12)</f>
        <v>7787424</v>
      </c>
      <c r="Y16" s="307">
        <f t="shared" si="3"/>
        <v>0</v>
      </c>
      <c r="Z16" s="308">
        <f>'Rate Spread Proposal'!G$74-SUM(W16:Y16)</f>
        <v>833448.73301208019</v>
      </c>
      <c r="AA16" s="309"/>
      <c r="AB16" s="306">
        <f t="shared" ref="AB16:AB21" si="12">(I16*R16)</f>
        <v>31617505.306948155</v>
      </c>
      <c r="AC16" s="307">
        <f t="shared" si="4"/>
        <v>7787424</v>
      </c>
      <c r="AD16" s="308">
        <f t="shared" si="5"/>
        <v>0</v>
      </c>
      <c r="AE16" s="309"/>
      <c r="AF16" s="306">
        <f t="shared" si="8"/>
        <v>2156925.4945645519</v>
      </c>
      <c r="AG16" s="307">
        <f t="shared" si="8"/>
        <v>0</v>
      </c>
      <c r="AH16" s="308">
        <f t="shared" si="8"/>
        <v>0</v>
      </c>
      <c r="AI16" s="309"/>
      <c r="AJ16" s="338">
        <f>SUM(AF16:AH16)/SUM(W16:Y16)</f>
        <v>5.7907143304346757E-2</v>
      </c>
      <c r="AK16" s="339">
        <f t="shared" ref="AK16:AK41" si="13">SUM(AF16)/SUM(W16)</f>
        <v>7.321395262077969E-2</v>
      </c>
      <c r="AL16" s="309"/>
      <c r="AM16" s="306">
        <f t="shared" si="6"/>
        <v>0</v>
      </c>
      <c r="AN16" s="307">
        <v>0</v>
      </c>
      <c r="AO16" s="308">
        <f t="shared" si="7"/>
        <v>0</v>
      </c>
      <c r="AP16" s="309"/>
      <c r="AQ16" s="310"/>
      <c r="AR16" s="50"/>
      <c r="AS16" s="309"/>
    </row>
    <row r="17" spans="1:45" x14ac:dyDescent="0.2">
      <c r="A17" s="86">
        <f t="shared" si="2"/>
        <v>10</v>
      </c>
      <c r="B17" s="724" t="str">
        <f>'WA Volumes &amp; Revenues'!B18</f>
        <v>3 CFS</v>
      </c>
      <c r="C17" s="724" t="s">
        <v>283</v>
      </c>
      <c r="D17" s="157"/>
      <c r="E17" s="123">
        <f>ROUND('Rates in Detail'!Y16,5)</f>
        <v>3.524E-2</v>
      </c>
      <c r="F17" s="123"/>
      <c r="G17" s="157"/>
      <c r="H17" s="368">
        <f>ROUND('Rates in Detail'!R16,5)</f>
        <v>0.51366000000000001</v>
      </c>
      <c r="I17" s="773">
        <f t="shared" si="9"/>
        <v>0.54890000000000005</v>
      </c>
      <c r="J17" s="157"/>
      <c r="K17" s="155">
        <f>'WA Volumes &amp; Revenues'!O18</f>
        <v>22</v>
      </c>
      <c r="L17" s="156">
        <f>'WA Volumes &amp; Revenues'!N18</f>
        <v>22</v>
      </c>
      <c r="M17" s="122">
        <f>'Rates in Detail'!AF16</f>
        <v>0</v>
      </c>
      <c r="N17" s="122">
        <f>'Rates in Detail'!AG16</f>
        <v>0</v>
      </c>
      <c r="O17" s="122">
        <f>'Rates in Detail'!AH16</f>
        <v>0</v>
      </c>
      <c r="P17" s="774">
        <f>'Rates in Detail'!AI16</f>
        <v>0</v>
      </c>
      <c r="Q17" s="157"/>
      <c r="R17" s="298">
        <f>'WA Volumes &amp; Revenues'!E18</f>
        <v>17867210.60654201</v>
      </c>
      <c r="S17" s="311"/>
      <c r="T17" s="300">
        <f>'WA Volumes &amp; Revenues'!H18</f>
        <v>6318</v>
      </c>
      <c r="U17" s="301">
        <f>'WA Volumes &amp; Revenues'!I18</f>
        <v>235.66542999999999</v>
      </c>
      <c r="V17" s="157"/>
      <c r="W17" s="306">
        <f t="shared" si="10"/>
        <v>9177671.4001563694</v>
      </c>
      <c r="X17" s="307">
        <f t="shared" si="11"/>
        <v>1667952</v>
      </c>
      <c r="Y17" s="307">
        <f t="shared" si="3"/>
        <v>0</v>
      </c>
      <c r="Z17" s="308">
        <f>'Rate Spread Proposal'!H$74-SUM(W17:Y17)</f>
        <v>270919.11789412238</v>
      </c>
      <c r="AA17" s="309"/>
      <c r="AB17" s="306">
        <f t="shared" si="12"/>
        <v>9807311.9019309096</v>
      </c>
      <c r="AC17" s="307">
        <f t="shared" si="4"/>
        <v>1667952</v>
      </c>
      <c r="AD17" s="308">
        <f t="shared" si="5"/>
        <v>0</v>
      </c>
      <c r="AE17" s="309"/>
      <c r="AF17" s="306">
        <f t="shared" si="8"/>
        <v>629640.50177454017</v>
      </c>
      <c r="AG17" s="307">
        <f t="shared" si="8"/>
        <v>0</v>
      </c>
      <c r="AH17" s="308">
        <f t="shared" si="8"/>
        <v>0</v>
      </c>
      <c r="AI17" s="309"/>
      <c r="AJ17" s="338">
        <f>SUM(AF17:AH17)/SUM(W17:Y17)</f>
        <v>5.805480040598332E-2</v>
      </c>
      <c r="AK17" s="339">
        <f t="shared" si="13"/>
        <v>6.8605692481407896E-2</v>
      </c>
      <c r="AL17" s="309"/>
      <c r="AM17" s="306">
        <f t="shared" si="6"/>
        <v>0</v>
      </c>
      <c r="AN17" s="307">
        <v>0</v>
      </c>
      <c r="AO17" s="308">
        <f t="shared" si="7"/>
        <v>0</v>
      </c>
      <c r="AP17" s="309"/>
      <c r="AQ17" s="310"/>
      <c r="AR17" s="310"/>
      <c r="AS17" s="309"/>
    </row>
    <row r="18" spans="1:45" x14ac:dyDescent="0.2">
      <c r="A18" s="86">
        <f t="shared" si="2"/>
        <v>11</v>
      </c>
      <c r="B18" s="724" t="str">
        <f>'WA Volumes &amp; Revenues'!B19</f>
        <v>3 IFS</v>
      </c>
      <c r="C18" s="724" t="s">
        <v>283</v>
      </c>
      <c r="D18" s="157"/>
      <c r="E18" s="123">
        <f>ROUND('Rates in Detail'!Y17,5)</f>
        <v>3.1919999999999997E-2</v>
      </c>
      <c r="F18" s="123"/>
      <c r="G18" s="157"/>
      <c r="H18" s="368">
        <f>ROUND('Rates in Detail'!R17,5)</f>
        <v>0.52588000000000001</v>
      </c>
      <c r="I18" s="773">
        <f t="shared" si="9"/>
        <v>0.55779999999999996</v>
      </c>
      <c r="J18" s="157"/>
      <c r="K18" s="155">
        <f>'WA Volumes &amp; Revenues'!O19</f>
        <v>22</v>
      </c>
      <c r="L18" s="156">
        <f>'WA Volumes &amp; Revenues'!N19</f>
        <v>22</v>
      </c>
      <c r="M18" s="122">
        <f>'Rates in Detail'!AF17</f>
        <v>0</v>
      </c>
      <c r="N18" s="122">
        <f>'Rates in Detail'!AG17</f>
        <v>0</v>
      </c>
      <c r="O18" s="122">
        <f>'Rates in Detail'!AH17</f>
        <v>0</v>
      </c>
      <c r="P18" s="774">
        <f>'Rates in Detail'!AI17</f>
        <v>0</v>
      </c>
      <c r="Q18" s="157"/>
      <c r="R18" s="298">
        <f>'WA Volumes &amp; Revenues'!E19</f>
        <v>283651.99999999994</v>
      </c>
      <c r="S18" s="311"/>
      <c r="T18" s="300">
        <f>'WA Volumes &amp; Revenues'!H19</f>
        <v>24.25</v>
      </c>
      <c r="U18" s="301">
        <f>'WA Volumes &amp; Revenues'!I19</f>
        <v>974.74914000000001</v>
      </c>
      <c r="V18" s="157"/>
      <c r="W18" s="306">
        <f t="shared" si="10"/>
        <v>149166.91375999997</v>
      </c>
      <c r="X18" s="307">
        <f t="shared" si="11"/>
        <v>6402</v>
      </c>
      <c r="Y18" s="307">
        <f t="shared" si="3"/>
        <v>0</v>
      </c>
      <c r="Z18" s="308">
        <f>'Rate Spread Proposal'!I$74-SUM(W18:Y18)</f>
        <v>4301.8723311134963</v>
      </c>
      <c r="AA18" s="309"/>
      <c r="AB18" s="306">
        <f t="shared" si="12"/>
        <v>158221.08559999996</v>
      </c>
      <c r="AC18" s="307">
        <f t="shared" si="4"/>
        <v>6402</v>
      </c>
      <c r="AD18" s="308">
        <f t="shared" si="5"/>
        <v>0</v>
      </c>
      <c r="AE18" s="309"/>
      <c r="AF18" s="306">
        <f t="shared" si="8"/>
        <v>9054.1718399999954</v>
      </c>
      <c r="AG18" s="307">
        <f t="shared" si="8"/>
        <v>0</v>
      </c>
      <c r="AH18" s="308">
        <f t="shared" si="8"/>
        <v>0</v>
      </c>
      <c r="AI18" s="309"/>
      <c r="AJ18" s="338">
        <f>SUM(AF18:AH18)/SUM(W18:Y18)</f>
        <v>5.8200392489518131E-2</v>
      </c>
      <c r="AK18" s="339">
        <f t="shared" si="13"/>
        <v>6.0698258157754606E-2</v>
      </c>
      <c r="AL18" s="309"/>
      <c r="AM18" s="306">
        <f t="shared" si="6"/>
        <v>0</v>
      </c>
      <c r="AN18" s="307">
        <v>0</v>
      </c>
      <c r="AO18" s="308">
        <f t="shared" si="7"/>
        <v>0</v>
      </c>
      <c r="AP18" s="309"/>
      <c r="AQ18" s="310"/>
      <c r="AR18" s="310"/>
      <c r="AS18" s="309"/>
    </row>
    <row r="19" spans="1:45" x14ac:dyDescent="0.2">
      <c r="A19" s="86">
        <f t="shared" si="2"/>
        <v>12</v>
      </c>
      <c r="B19" s="724" t="str">
        <f>'WA Volumes &amp; Revenues'!B20</f>
        <v>27R</v>
      </c>
      <c r="C19" s="724" t="s">
        <v>283</v>
      </c>
      <c r="D19" s="157"/>
      <c r="E19" s="123">
        <f>ROUND('Rates in Detail'!Y18,5)</f>
        <v>2.793E-2</v>
      </c>
      <c r="F19" s="123"/>
      <c r="G19" s="157"/>
      <c r="H19" s="368">
        <f>ROUND('Rates in Detail'!R18,5)</f>
        <v>0.29635</v>
      </c>
      <c r="I19" s="773">
        <f t="shared" si="9"/>
        <v>0.32428000000000001</v>
      </c>
      <c r="J19" s="157"/>
      <c r="K19" s="155">
        <f>'WA Volumes &amp; Revenues'!O20</f>
        <v>9</v>
      </c>
      <c r="L19" s="156">
        <f>'WA Volumes &amp; Revenues'!N20</f>
        <v>9</v>
      </c>
      <c r="M19" s="122">
        <f>'Rates in Detail'!AF18</f>
        <v>0</v>
      </c>
      <c r="N19" s="122">
        <f>'Rates in Detail'!AG18</f>
        <v>0</v>
      </c>
      <c r="O19" s="122">
        <f>'Rates in Detail'!AH18</f>
        <v>0</v>
      </c>
      <c r="P19" s="774">
        <f>'Rates in Detail'!AI18</f>
        <v>0</v>
      </c>
      <c r="Q19" s="157"/>
      <c r="R19" s="298">
        <f>'WA Volumes &amp; Revenues'!E20</f>
        <v>461371.76933137607</v>
      </c>
      <c r="S19" s="311"/>
      <c r="T19" s="300">
        <f>'WA Volumes &amp; Revenues'!H20</f>
        <v>776</v>
      </c>
      <c r="U19" s="301">
        <f>'WA Volumes &amp; Revenues'!I20</f>
        <v>49.545940000000002</v>
      </c>
      <c r="V19" s="157"/>
      <c r="W19" s="306">
        <f t="shared" si="10"/>
        <v>136727.52384135331</v>
      </c>
      <c r="X19" s="307">
        <f>(K19*T19*12)</f>
        <v>83808</v>
      </c>
      <c r="Y19" s="307">
        <f t="shared" si="3"/>
        <v>0</v>
      </c>
      <c r="Z19" s="308">
        <f>'Rate Spread Proposal'!J$74-SUM(W19:Y19)</f>
        <v>6995.0249315144902</v>
      </c>
      <c r="AA19" s="309"/>
      <c r="AB19" s="306">
        <f t="shared" si="12"/>
        <v>149613.63735877865</v>
      </c>
      <c r="AC19" s="307">
        <f t="shared" si="4"/>
        <v>83808</v>
      </c>
      <c r="AD19" s="308">
        <f t="shared" si="5"/>
        <v>0</v>
      </c>
      <c r="AE19" s="309"/>
      <c r="AF19" s="306">
        <f t="shared" si="8"/>
        <v>12886.113517425343</v>
      </c>
      <c r="AG19" s="307">
        <f t="shared" si="8"/>
        <v>0</v>
      </c>
      <c r="AH19" s="308">
        <f t="shared" si="8"/>
        <v>0</v>
      </c>
      <c r="AI19" s="309"/>
      <c r="AJ19" s="338">
        <f>SUM(AF19:AH19)/SUM(W19:Y19)</f>
        <v>5.8431010537310216E-2</v>
      </c>
      <c r="AK19" s="339">
        <f t="shared" si="13"/>
        <v>9.424666779146286E-2</v>
      </c>
      <c r="AL19" s="309"/>
      <c r="AM19" s="306">
        <f t="shared" si="6"/>
        <v>0</v>
      </c>
      <c r="AN19" s="307">
        <v>0</v>
      </c>
      <c r="AO19" s="308">
        <f t="shared" si="7"/>
        <v>0</v>
      </c>
      <c r="AP19" s="309"/>
      <c r="AQ19" s="310"/>
      <c r="AR19" s="310"/>
      <c r="AS19" s="309"/>
    </row>
    <row r="20" spans="1:45" x14ac:dyDescent="0.2">
      <c r="A20" s="86">
        <f t="shared" si="2"/>
        <v>13</v>
      </c>
      <c r="B20" s="733" t="str">
        <f>'WA Volumes &amp; Revenues'!B21</f>
        <v>41C Firm Sales</v>
      </c>
      <c r="C20" s="726" t="s">
        <v>4</v>
      </c>
      <c r="D20" s="157"/>
      <c r="E20" s="122">
        <f>ROUND('Rates in Detail'!Y19,5)</f>
        <v>2.7990000000000001E-2</v>
      </c>
      <c r="F20" s="122"/>
      <c r="G20" s="157"/>
      <c r="H20" s="373">
        <f>ROUND('Rates in Detail'!R19,5)</f>
        <v>0.40031</v>
      </c>
      <c r="I20" s="774">
        <f t="shared" si="9"/>
        <v>0.42830000000000001</v>
      </c>
      <c r="J20" s="157"/>
      <c r="K20" s="155">
        <f>'WA Volumes &amp; Revenues'!O21</f>
        <v>250</v>
      </c>
      <c r="L20" s="156">
        <f>'WA Volumes &amp; Revenues'!N21</f>
        <v>250</v>
      </c>
      <c r="M20" s="122">
        <f>'Rates in Detail'!AF19</f>
        <v>0</v>
      </c>
      <c r="N20" s="122">
        <f>'Rates in Detail'!AG19</f>
        <v>0</v>
      </c>
      <c r="O20" s="122">
        <f>'Rates in Detail'!AH19</f>
        <v>0</v>
      </c>
      <c r="P20" s="774">
        <f>'Rates in Detail'!AI19</f>
        <v>0</v>
      </c>
      <c r="Q20" s="157"/>
      <c r="R20" s="298">
        <f>'WA Volumes &amp; Revenues'!E21</f>
        <v>1777065.1510316674</v>
      </c>
      <c r="S20" s="311"/>
      <c r="T20" s="300">
        <f>'WA Volumes &amp; Revenues'!H21</f>
        <v>91</v>
      </c>
      <c r="U20" s="301">
        <f>'WA Volumes &amp; Revenues'!I21</f>
        <v>3436</v>
      </c>
      <c r="V20" s="157"/>
      <c r="W20" s="313">
        <f t="shared" si="10"/>
        <v>711376.95060948678</v>
      </c>
      <c r="X20" s="309">
        <f t="shared" ref="X20:X21" si="14">(K20*T20*12)</f>
        <v>273000</v>
      </c>
      <c r="Y20" s="309">
        <f t="shared" si="3"/>
        <v>0</v>
      </c>
      <c r="Z20" s="314"/>
      <c r="AA20" s="309"/>
      <c r="AB20" s="313">
        <f t="shared" si="12"/>
        <v>761117.0041868632</v>
      </c>
      <c r="AC20" s="309">
        <f t="shared" si="4"/>
        <v>273000</v>
      </c>
      <c r="AD20" s="314">
        <f t="shared" si="5"/>
        <v>0</v>
      </c>
      <c r="AE20" s="309"/>
      <c r="AF20" s="313">
        <f t="shared" si="8"/>
        <v>49740.053577376413</v>
      </c>
      <c r="AG20" s="309">
        <f t="shared" si="8"/>
        <v>0</v>
      </c>
      <c r="AH20" s="314">
        <f t="shared" si="8"/>
        <v>0</v>
      </c>
      <c r="AI20" s="309"/>
      <c r="AJ20" s="338"/>
      <c r="AK20" s="340">
        <f t="shared" si="13"/>
        <v>6.9920811371187386E-2</v>
      </c>
      <c r="AL20" s="309"/>
      <c r="AM20" s="313">
        <f t="shared" si="6"/>
        <v>0</v>
      </c>
      <c r="AN20" s="309">
        <v>0</v>
      </c>
      <c r="AO20" s="314">
        <f t="shared" si="7"/>
        <v>0</v>
      </c>
      <c r="AP20" s="309"/>
      <c r="AQ20" s="310"/>
      <c r="AR20" s="310"/>
      <c r="AS20" s="309"/>
    </row>
    <row r="21" spans="1:45" x14ac:dyDescent="0.2">
      <c r="A21" s="86">
        <f t="shared" si="2"/>
        <v>14</v>
      </c>
      <c r="B21" s="725"/>
      <c r="C21" s="726" t="s">
        <v>5</v>
      </c>
      <c r="D21" s="157"/>
      <c r="E21" s="122">
        <f>ROUND('Rates in Detail'!Y20,5)</f>
        <v>2.4660000000000001E-2</v>
      </c>
      <c r="F21" s="122"/>
      <c r="G21" s="157"/>
      <c r="H21" s="373">
        <f>ROUND('Rates in Detail'!R20,5)</f>
        <v>0.35274</v>
      </c>
      <c r="I21" s="774">
        <f t="shared" si="9"/>
        <v>0.37740000000000001</v>
      </c>
      <c r="J21" s="157"/>
      <c r="K21" s="155"/>
      <c r="L21" s="156"/>
      <c r="M21" s="157"/>
      <c r="N21" s="157"/>
      <c r="O21" s="157"/>
      <c r="P21" s="158"/>
      <c r="Q21" s="157"/>
      <c r="R21" s="298">
        <f>'WA Volumes &amp; Revenues'!E22</f>
        <v>1974656.4658023661</v>
      </c>
      <c r="S21" s="311"/>
      <c r="T21" s="300"/>
      <c r="U21" s="301"/>
      <c r="V21" s="157"/>
      <c r="W21" s="313">
        <f t="shared" si="10"/>
        <v>696540.32174712664</v>
      </c>
      <c r="X21" s="309">
        <f t="shared" si="14"/>
        <v>0</v>
      </c>
      <c r="Y21" s="309">
        <f t="shared" si="3"/>
        <v>0</v>
      </c>
      <c r="Z21" s="314"/>
      <c r="AA21" s="309"/>
      <c r="AB21" s="313">
        <f t="shared" si="12"/>
        <v>745235.35019381298</v>
      </c>
      <c r="AC21" s="309">
        <f t="shared" si="4"/>
        <v>0</v>
      </c>
      <c r="AD21" s="314">
        <f t="shared" si="5"/>
        <v>0</v>
      </c>
      <c r="AE21" s="309"/>
      <c r="AF21" s="313">
        <f t="shared" si="8"/>
        <v>48695.028446686338</v>
      </c>
      <c r="AG21" s="309">
        <f t="shared" si="8"/>
        <v>0</v>
      </c>
      <c r="AH21" s="314">
        <f t="shared" si="8"/>
        <v>0</v>
      </c>
      <c r="AI21" s="309"/>
      <c r="AJ21" s="338"/>
      <c r="AK21" s="340">
        <f t="shared" si="13"/>
        <v>6.9909848613709802E-2</v>
      </c>
      <c r="AL21" s="309"/>
      <c r="AM21" s="313">
        <f t="shared" si="6"/>
        <v>0</v>
      </c>
      <c r="AN21" s="309">
        <v>0</v>
      </c>
      <c r="AO21" s="314">
        <f t="shared" si="7"/>
        <v>0</v>
      </c>
      <c r="AP21" s="309"/>
      <c r="AQ21" s="310"/>
      <c r="AR21" s="310"/>
      <c r="AS21" s="309"/>
    </row>
    <row r="22" spans="1:45" x14ac:dyDescent="0.2">
      <c r="A22" s="86">
        <f t="shared" si="2"/>
        <v>15</v>
      </c>
      <c r="B22" s="723"/>
      <c r="C22" s="742" t="s">
        <v>78</v>
      </c>
      <c r="D22" s="153"/>
      <c r="E22" s="123"/>
      <c r="F22" s="123"/>
      <c r="G22" s="153"/>
      <c r="H22" s="368"/>
      <c r="I22" s="773"/>
      <c r="J22" s="157"/>
      <c r="K22" s="155"/>
      <c r="L22" s="156"/>
      <c r="M22" s="157"/>
      <c r="N22" s="157"/>
      <c r="O22" s="157"/>
      <c r="P22" s="158"/>
      <c r="Q22" s="157"/>
      <c r="R22" s="298"/>
      <c r="S22" s="311"/>
      <c r="T22" s="300"/>
      <c r="U22" s="301"/>
      <c r="V22" s="157"/>
      <c r="W22" s="315">
        <f>SUM(W20:W21)</f>
        <v>1407917.2723566135</v>
      </c>
      <c r="X22" s="316">
        <f t="shared" ref="X22:Y22" si="15">SUM(X20:X21)</f>
        <v>273000</v>
      </c>
      <c r="Y22" s="316">
        <f t="shared" si="15"/>
        <v>0</v>
      </c>
      <c r="Z22" s="317">
        <f>'Rate Spread Proposal'!K$74-SUM(W22:Y22)</f>
        <v>56898.153947442072</v>
      </c>
      <c r="AA22" s="309"/>
      <c r="AB22" s="315">
        <f>SUM(AB20:AB21)</f>
        <v>1506352.3543806761</v>
      </c>
      <c r="AC22" s="316">
        <f t="shared" ref="AC22:AD22" si="16">SUM(AC20:AC21)</f>
        <v>273000</v>
      </c>
      <c r="AD22" s="317">
        <f t="shared" si="16"/>
        <v>0</v>
      </c>
      <c r="AE22" s="309"/>
      <c r="AF22" s="315">
        <f>SUM(AF20:AF21)</f>
        <v>98435.082024062751</v>
      </c>
      <c r="AG22" s="316">
        <f t="shared" ref="AG22:AH22" si="17">SUM(AG20:AG21)</f>
        <v>0</v>
      </c>
      <c r="AH22" s="317">
        <f t="shared" si="17"/>
        <v>0</v>
      </c>
      <c r="AI22" s="309"/>
      <c r="AJ22" s="338">
        <f>SUM(AF22:AH22)/SUM(W22:Y22)</f>
        <v>5.8560337051007078E-2</v>
      </c>
      <c r="AK22" s="339">
        <f t="shared" si="13"/>
        <v>6.9915387755204686E-2</v>
      </c>
      <c r="AL22" s="309"/>
      <c r="AM22" s="315">
        <f>SUM(AM20:AM21)</f>
        <v>0</v>
      </c>
      <c r="AN22" s="316">
        <f t="shared" ref="AN22:AO22" si="18">SUM(AN20:AN21)</f>
        <v>0</v>
      </c>
      <c r="AO22" s="317">
        <f t="shared" si="18"/>
        <v>0</v>
      </c>
      <c r="AP22" s="309"/>
      <c r="AQ22" s="310"/>
      <c r="AR22" s="310"/>
      <c r="AS22" s="309"/>
    </row>
    <row r="23" spans="1:45" x14ac:dyDescent="0.2">
      <c r="A23" s="86">
        <f t="shared" si="2"/>
        <v>16</v>
      </c>
      <c r="B23" s="733" t="str">
        <f>'WA Volumes &amp; Revenues'!B23</f>
        <v>41I Firm Sales</v>
      </c>
      <c r="C23" s="726" t="s">
        <v>4</v>
      </c>
      <c r="D23" s="157"/>
      <c r="E23" s="122">
        <f>ROUND('Rates in Detail'!Y21,5)</f>
        <v>2.664E-2</v>
      </c>
      <c r="F23" s="122"/>
      <c r="G23" s="157"/>
      <c r="H23" s="373">
        <f>ROUND('Rates in Detail'!R21,5)</f>
        <v>0.39706000000000002</v>
      </c>
      <c r="I23" s="774">
        <f t="shared" si="9"/>
        <v>0.42370000000000002</v>
      </c>
      <c r="J23" s="157"/>
      <c r="K23" s="155">
        <f>'WA Volumes &amp; Revenues'!O23</f>
        <v>250</v>
      </c>
      <c r="L23" s="156">
        <f>'WA Volumes &amp; Revenues'!N23</f>
        <v>250</v>
      </c>
      <c r="M23" s="122">
        <f>'Rates in Detail'!AF21</f>
        <v>0</v>
      </c>
      <c r="N23" s="122">
        <f>'Rates in Detail'!AG21</f>
        <v>0</v>
      </c>
      <c r="O23" s="122">
        <f>'Rates in Detail'!AH21</f>
        <v>0</v>
      </c>
      <c r="P23" s="774">
        <f>'Rates in Detail'!AI21</f>
        <v>0</v>
      </c>
      <c r="Q23" s="157"/>
      <c r="R23" s="298">
        <f>'WA Volumes &amp; Revenues'!E23</f>
        <v>392890.20000000007</v>
      </c>
      <c r="S23" s="311"/>
      <c r="T23" s="300">
        <f>'WA Volumes &amp; Revenues'!H23</f>
        <v>17.833333333333332</v>
      </c>
      <c r="U23" s="301">
        <f>'WA Volumes &amp; Revenues'!I23</f>
        <v>4741</v>
      </c>
      <c r="V23" s="157"/>
      <c r="W23" s="313">
        <f t="shared" ref="W23:W24" si="19">(H23*R23)</f>
        <v>156000.98281200003</v>
      </c>
      <c r="X23" s="309">
        <f t="shared" ref="X23:X24" si="20">(K23*T23*12)</f>
        <v>53500</v>
      </c>
      <c r="Y23" s="309">
        <f>(S23*(M23+O23))*12</f>
        <v>0</v>
      </c>
      <c r="Z23" s="314"/>
      <c r="AA23" s="309"/>
      <c r="AB23" s="313">
        <f>(I23*R23)</f>
        <v>166467.57774000004</v>
      </c>
      <c r="AC23" s="309">
        <f>(L23*T23*12)</f>
        <v>53500</v>
      </c>
      <c r="AD23" s="314">
        <f>(S23*(N23+P23))*12</f>
        <v>0</v>
      </c>
      <c r="AE23" s="309"/>
      <c r="AF23" s="313">
        <f>AB23-W23</f>
        <v>10466.594928000006</v>
      </c>
      <c r="AG23" s="309">
        <f>AC23-X23</f>
        <v>0</v>
      </c>
      <c r="AH23" s="314">
        <f t="shared" ref="AH23:AH24" si="21">AD23-Y23</f>
        <v>0</v>
      </c>
      <c r="AI23" s="309"/>
      <c r="AJ23" s="338"/>
      <c r="AK23" s="340">
        <f t="shared" si="13"/>
        <v>6.7093134538860649E-2</v>
      </c>
      <c r="AL23" s="309"/>
      <c r="AM23" s="313">
        <f>(F23*R23)</f>
        <v>0</v>
      </c>
      <c r="AN23" s="309">
        <v>0</v>
      </c>
      <c r="AO23" s="314">
        <f t="shared" ref="AO23:AO24" si="22">(AE23*(Y23+AB23))*12</f>
        <v>0</v>
      </c>
      <c r="AP23" s="309"/>
      <c r="AQ23" s="310"/>
      <c r="AR23" s="310"/>
      <c r="AS23" s="309"/>
    </row>
    <row r="24" spans="1:45" x14ac:dyDescent="0.2">
      <c r="A24" s="86">
        <f t="shared" si="2"/>
        <v>17</v>
      </c>
      <c r="B24" s="725"/>
      <c r="C24" s="726" t="s">
        <v>5</v>
      </c>
      <c r="D24" s="157"/>
      <c r="E24" s="122">
        <f>ROUND('Rates in Detail'!Y22,5)</f>
        <v>2.3470000000000001E-2</v>
      </c>
      <c r="F24" s="122"/>
      <c r="G24" s="157"/>
      <c r="H24" s="373">
        <f>ROUND('Rates in Detail'!R22,5)</f>
        <v>0.34986</v>
      </c>
      <c r="I24" s="774">
        <f t="shared" si="9"/>
        <v>0.37333</v>
      </c>
      <c r="J24" s="157"/>
      <c r="K24" s="155"/>
      <c r="L24" s="156"/>
      <c r="M24" s="157"/>
      <c r="N24" s="157"/>
      <c r="O24" s="157"/>
      <c r="P24" s="158"/>
      <c r="Q24" s="157"/>
      <c r="R24" s="298">
        <f>'WA Volumes &amp; Revenues'!E24</f>
        <v>621650.00000000012</v>
      </c>
      <c r="S24" s="311"/>
      <c r="T24" s="300"/>
      <c r="U24" s="301"/>
      <c r="V24" s="157"/>
      <c r="W24" s="313">
        <f t="shared" si="19"/>
        <v>217490.46900000004</v>
      </c>
      <c r="X24" s="309">
        <f t="shared" si="20"/>
        <v>0</v>
      </c>
      <c r="Y24" s="309">
        <f>(S24*(M24+O24))*12</f>
        <v>0</v>
      </c>
      <c r="Z24" s="314"/>
      <c r="AA24" s="309"/>
      <c r="AB24" s="313">
        <f>(I24*R24)</f>
        <v>232080.59450000004</v>
      </c>
      <c r="AC24" s="309">
        <f>(L24*T24*12)</f>
        <v>0</v>
      </c>
      <c r="AD24" s="314">
        <f>(S24*(N24+P24))*12</f>
        <v>0</v>
      </c>
      <c r="AE24" s="309"/>
      <c r="AF24" s="313">
        <f>AB24-W24</f>
        <v>14590.125499999995</v>
      </c>
      <c r="AG24" s="309">
        <f>AC24-X24</f>
        <v>0</v>
      </c>
      <c r="AH24" s="314">
        <f t="shared" si="21"/>
        <v>0</v>
      </c>
      <c r="AI24" s="309"/>
      <c r="AJ24" s="338"/>
      <c r="AK24" s="340">
        <f t="shared" si="13"/>
        <v>6.7083976447721905E-2</v>
      </c>
      <c r="AL24" s="309"/>
      <c r="AM24" s="313">
        <f>(F24*R24)</f>
        <v>0</v>
      </c>
      <c r="AN24" s="309">
        <v>0</v>
      </c>
      <c r="AO24" s="314">
        <f t="shared" si="22"/>
        <v>0</v>
      </c>
      <c r="AP24" s="309"/>
      <c r="AQ24" s="310"/>
      <c r="AR24" s="310"/>
      <c r="AS24" s="309"/>
    </row>
    <row r="25" spans="1:45" x14ac:dyDescent="0.2">
      <c r="A25" s="86">
        <f t="shared" si="2"/>
        <v>18</v>
      </c>
      <c r="B25" s="723"/>
      <c r="C25" s="742" t="s">
        <v>78</v>
      </c>
      <c r="D25" s="153"/>
      <c r="E25" s="123"/>
      <c r="F25" s="123"/>
      <c r="G25" s="153"/>
      <c r="H25" s="368"/>
      <c r="I25" s="773"/>
      <c r="J25" s="157"/>
      <c r="K25" s="155"/>
      <c r="L25" s="156"/>
      <c r="M25" s="157"/>
      <c r="N25" s="157"/>
      <c r="O25" s="157"/>
      <c r="P25" s="158"/>
      <c r="Q25" s="157"/>
      <c r="R25" s="298"/>
      <c r="S25" s="311"/>
      <c r="T25" s="300"/>
      <c r="U25" s="301"/>
      <c r="V25" s="157"/>
      <c r="W25" s="315">
        <f>SUM(W23:W24)</f>
        <v>373491.45181200007</v>
      </c>
      <c r="X25" s="316">
        <f t="shared" ref="X25:Y25" si="23">SUM(X23:X24)</f>
        <v>53500</v>
      </c>
      <c r="Y25" s="316">
        <f t="shared" si="23"/>
        <v>0</v>
      </c>
      <c r="Z25" s="317">
        <f>'Rate Spread Proposal'!L$74-SUM(W25:Y25)</f>
        <v>15380.228009918006</v>
      </c>
      <c r="AA25" s="309"/>
      <c r="AB25" s="315">
        <f>SUM(AB23:AB24)</f>
        <v>398548.1722400001</v>
      </c>
      <c r="AC25" s="316">
        <f t="shared" ref="AC25:AD25" si="24">SUM(AC23:AC24)</f>
        <v>53500</v>
      </c>
      <c r="AD25" s="317">
        <f t="shared" si="24"/>
        <v>0</v>
      </c>
      <c r="AE25" s="309"/>
      <c r="AF25" s="315">
        <f>SUM(AF23:AF24)</f>
        <v>25056.720428000001</v>
      </c>
      <c r="AG25" s="316">
        <f t="shared" ref="AG25:AH25" si="25">SUM(AG23:AG24)</f>
        <v>0</v>
      </c>
      <c r="AH25" s="317">
        <f t="shared" si="25"/>
        <v>0</v>
      </c>
      <c r="AI25" s="309"/>
      <c r="AJ25" s="338">
        <f>SUM(AF25:AH25)/SUM(W25:Y25)</f>
        <v>5.86820188593195E-2</v>
      </c>
      <c r="AK25" s="339">
        <f t="shared" si="13"/>
        <v>6.7087801625544299E-2</v>
      </c>
      <c r="AL25" s="309"/>
      <c r="AM25" s="315">
        <f>SUM(AM23:AM24)</f>
        <v>0</v>
      </c>
      <c r="AN25" s="316">
        <f t="shared" ref="AN25:AO25" si="26">SUM(AN23:AN24)</f>
        <v>0</v>
      </c>
      <c r="AO25" s="317">
        <f t="shared" si="26"/>
        <v>0</v>
      </c>
      <c r="AP25" s="309"/>
      <c r="AQ25" s="310"/>
      <c r="AR25" s="310"/>
      <c r="AS25" s="309"/>
    </row>
    <row r="26" spans="1:45" x14ac:dyDescent="0.2">
      <c r="A26" s="86">
        <f t="shared" si="2"/>
        <v>19</v>
      </c>
      <c r="B26" s="725" t="str">
        <f>'WA Volumes &amp; Revenues'!B25</f>
        <v>41C Interr Sales</v>
      </c>
      <c r="C26" s="726" t="s">
        <v>4</v>
      </c>
      <c r="D26" s="157"/>
      <c r="E26" s="122">
        <f>ROUND('Rates in Detail'!Y23,5)</f>
        <v>2.1749999999999999E-2</v>
      </c>
      <c r="F26" s="122"/>
      <c r="G26" s="157"/>
      <c r="H26" s="373">
        <f>ROUND('Rates in Detail'!R23,5)</f>
        <v>0.38407000000000002</v>
      </c>
      <c r="I26" s="774">
        <f t="shared" si="9"/>
        <v>0.40582000000000001</v>
      </c>
      <c r="J26" s="157"/>
      <c r="K26" s="155">
        <f>'WA Volumes &amp; Revenues'!O25</f>
        <v>250</v>
      </c>
      <c r="L26" s="156">
        <f>'WA Volumes &amp; Revenues'!N25</f>
        <v>250</v>
      </c>
      <c r="M26" s="122">
        <f>'Rates in Detail'!AF23</f>
        <v>0</v>
      </c>
      <c r="N26" s="122">
        <f>'Rates in Detail'!AG23</f>
        <v>0</v>
      </c>
      <c r="O26" s="122">
        <f>'Rates in Detail'!AH23</f>
        <v>0</v>
      </c>
      <c r="P26" s="774">
        <f>'Rates in Detail'!AI23</f>
        <v>0</v>
      </c>
      <c r="Q26" s="157"/>
      <c r="R26" s="298">
        <f>'WA Volumes &amp; Revenues'!E25</f>
        <v>0</v>
      </c>
      <c r="S26" s="311"/>
      <c r="T26" s="300">
        <f>'WA Volumes &amp; Revenues'!H25</f>
        <v>0</v>
      </c>
      <c r="U26" s="301">
        <f>'WA Volumes &amp; Revenues'!I25</f>
        <v>0</v>
      </c>
      <c r="V26" s="157"/>
      <c r="W26" s="313">
        <f t="shared" ref="W26:W27" si="27">(H26*R26)</f>
        <v>0</v>
      </c>
      <c r="X26" s="309">
        <f t="shared" ref="X26:X27" si="28">(K26*T26*12)</f>
        <v>0</v>
      </c>
      <c r="Y26" s="309">
        <f>(S26*(M26+O26))*12</f>
        <v>0</v>
      </c>
      <c r="Z26" s="314"/>
      <c r="AA26" s="309"/>
      <c r="AB26" s="313">
        <f>(I26*R26)</f>
        <v>0</v>
      </c>
      <c r="AC26" s="309">
        <f>(L26*T26*12)</f>
        <v>0</v>
      </c>
      <c r="AD26" s="314">
        <f>(S26*(N26+P26))*12</f>
        <v>0</v>
      </c>
      <c r="AE26" s="309"/>
      <c r="AF26" s="313">
        <f>AB26-W26</f>
        <v>0</v>
      </c>
      <c r="AG26" s="309">
        <f>AC26-X26</f>
        <v>0</v>
      </c>
      <c r="AH26" s="314">
        <f t="shared" ref="AH26:AH27" si="29">AD26-Y26</f>
        <v>0</v>
      </c>
      <c r="AI26" s="309"/>
      <c r="AJ26" s="338"/>
      <c r="AK26" s="340" t="e">
        <f t="shared" si="13"/>
        <v>#DIV/0!</v>
      </c>
      <c r="AL26" s="309"/>
      <c r="AM26" s="313">
        <f>(F26*R26)</f>
        <v>0</v>
      </c>
      <c r="AN26" s="309">
        <v>0</v>
      </c>
      <c r="AO26" s="314">
        <f t="shared" ref="AO26:AO27" si="30">(AE26*(Y26+AB26))*12</f>
        <v>0</v>
      </c>
      <c r="AP26" s="309"/>
      <c r="AQ26" s="310"/>
      <c r="AR26" s="310"/>
      <c r="AS26" s="309"/>
    </row>
    <row r="27" spans="1:45" x14ac:dyDescent="0.2">
      <c r="A27" s="86">
        <f t="shared" si="2"/>
        <v>20</v>
      </c>
      <c r="B27" s="725"/>
      <c r="C27" s="726" t="s">
        <v>5</v>
      </c>
      <c r="D27" s="157"/>
      <c r="E27" s="122">
        <f>ROUND('Rates in Detail'!Y24,5)</f>
        <v>1.917E-2</v>
      </c>
      <c r="F27" s="122"/>
      <c r="G27" s="157"/>
      <c r="H27" s="373">
        <f>ROUND('Rates in Detail'!R24,5)</f>
        <v>0.33839000000000002</v>
      </c>
      <c r="I27" s="774">
        <f t="shared" si="9"/>
        <v>0.35756000000000004</v>
      </c>
      <c r="J27" s="157"/>
      <c r="K27" s="155"/>
      <c r="L27" s="156"/>
      <c r="M27" s="157"/>
      <c r="N27" s="157"/>
      <c r="O27" s="157"/>
      <c r="P27" s="158"/>
      <c r="Q27" s="157"/>
      <c r="R27" s="298">
        <f>'WA Volumes &amp; Revenues'!E26</f>
        <v>0</v>
      </c>
      <c r="S27" s="311"/>
      <c r="T27" s="300"/>
      <c r="U27" s="301"/>
      <c r="V27" s="157"/>
      <c r="W27" s="313">
        <f t="shared" si="27"/>
        <v>0</v>
      </c>
      <c r="X27" s="309">
        <f t="shared" si="28"/>
        <v>0</v>
      </c>
      <c r="Y27" s="309">
        <f>(S27*(M27+O27))*12</f>
        <v>0</v>
      </c>
      <c r="Z27" s="314"/>
      <c r="AA27" s="309"/>
      <c r="AB27" s="313">
        <f>(I27*R27)</f>
        <v>0</v>
      </c>
      <c r="AC27" s="309">
        <f>(L27*T27*12)</f>
        <v>0</v>
      </c>
      <c r="AD27" s="314">
        <f>(S27*(N27+P27))*12</f>
        <v>0</v>
      </c>
      <c r="AE27" s="309"/>
      <c r="AF27" s="313">
        <f>AB27-W27</f>
        <v>0</v>
      </c>
      <c r="AG27" s="309">
        <f>AC27-X27</f>
        <v>0</v>
      </c>
      <c r="AH27" s="314">
        <f t="shared" si="29"/>
        <v>0</v>
      </c>
      <c r="AI27" s="309"/>
      <c r="AJ27" s="338"/>
      <c r="AK27" s="340" t="e">
        <f t="shared" si="13"/>
        <v>#DIV/0!</v>
      </c>
      <c r="AL27" s="309"/>
      <c r="AM27" s="313">
        <f>(F27*R27)</f>
        <v>0</v>
      </c>
      <c r="AN27" s="309">
        <v>0</v>
      </c>
      <c r="AO27" s="314">
        <f t="shared" si="30"/>
        <v>0</v>
      </c>
      <c r="AP27" s="309"/>
      <c r="AQ27" s="310"/>
      <c r="AR27" s="310"/>
      <c r="AS27" s="309"/>
    </row>
    <row r="28" spans="1:45" x14ac:dyDescent="0.2">
      <c r="A28" s="86">
        <f t="shared" si="2"/>
        <v>21</v>
      </c>
      <c r="B28" s="723"/>
      <c r="C28" s="742" t="s">
        <v>78</v>
      </c>
      <c r="D28" s="153"/>
      <c r="E28" s="123"/>
      <c r="F28" s="123"/>
      <c r="G28" s="153"/>
      <c r="H28" s="368"/>
      <c r="I28" s="773"/>
      <c r="J28" s="157"/>
      <c r="K28" s="155"/>
      <c r="L28" s="156"/>
      <c r="M28" s="157"/>
      <c r="N28" s="157"/>
      <c r="O28" s="157"/>
      <c r="P28" s="158"/>
      <c r="Q28" s="157"/>
      <c r="R28" s="298"/>
      <c r="S28" s="311"/>
      <c r="T28" s="300"/>
      <c r="U28" s="301"/>
      <c r="V28" s="157"/>
      <c r="W28" s="315">
        <f>SUM(W26:W27)</f>
        <v>0</v>
      </c>
      <c r="X28" s="316">
        <f t="shared" ref="X28:Y28" si="31">SUM(X26:X27)</f>
        <v>0</v>
      </c>
      <c r="Y28" s="316">
        <f t="shared" si="31"/>
        <v>0</v>
      </c>
      <c r="Z28" s="317">
        <f>'Rate Spread Proposal'!M$74-SUM(W28:Y28)</f>
        <v>0</v>
      </c>
      <c r="AA28" s="309"/>
      <c r="AB28" s="315">
        <f>SUM(AB26:AB27)</f>
        <v>0</v>
      </c>
      <c r="AC28" s="316">
        <f t="shared" ref="AC28:AD28" si="32">SUM(AC26:AC27)</f>
        <v>0</v>
      </c>
      <c r="AD28" s="317">
        <f t="shared" si="32"/>
        <v>0</v>
      </c>
      <c r="AE28" s="309"/>
      <c r="AF28" s="315">
        <f>SUM(AF26:AF27)</f>
        <v>0</v>
      </c>
      <c r="AG28" s="316">
        <f t="shared" ref="AG28:AH28" si="33">SUM(AG26:AG27)</f>
        <v>0</v>
      </c>
      <c r="AH28" s="317">
        <f t="shared" si="33"/>
        <v>0</v>
      </c>
      <c r="AI28" s="309"/>
      <c r="AJ28" s="338" t="e">
        <f>SUM(AF28:AH28)/SUM(W28:Y28)</f>
        <v>#DIV/0!</v>
      </c>
      <c r="AK28" s="339" t="e">
        <f t="shared" si="13"/>
        <v>#DIV/0!</v>
      </c>
      <c r="AL28" s="309"/>
      <c r="AM28" s="315">
        <f>SUM(AM26:AM27)</f>
        <v>0</v>
      </c>
      <c r="AN28" s="316">
        <f t="shared" ref="AN28:AO28" si="34">SUM(AN26:AN27)</f>
        <v>0</v>
      </c>
      <c r="AO28" s="317">
        <f t="shared" si="34"/>
        <v>0</v>
      </c>
      <c r="AP28" s="309"/>
      <c r="AQ28" s="310"/>
      <c r="AR28" s="310"/>
      <c r="AS28" s="309"/>
    </row>
    <row r="29" spans="1:45" x14ac:dyDescent="0.2">
      <c r="A29" s="86">
        <f t="shared" si="2"/>
        <v>22</v>
      </c>
      <c r="B29" s="725" t="str">
        <f>'WA Volumes &amp; Revenues'!B27</f>
        <v>41I Interr Sales</v>
      </c>
      <c r="C29" s="726" t="s">
        <v>4</v>
      </c>
      <c r="D29" s="157"/>
      <c r="E29" s="122">
        <f>ROUND('Rates in Detail'!Y25,5)</f>
        <v>2.1749999999999999E-2</v>
      </c>
      <c r="F29" s="122"/>
      <c r="G29" s="157"/>
      <c r="H29" s="373">
        <f>ROUND('Rates in Detail'!R25,5)</f>
        <v>0.38407000000000002</v>
      </c>
      <c r="I29" s="774">
        <f t="shared" si="9"/>
        <v>0.40582000000000001</v>
      </c>
      <c r="J29" s="157"/>
      <c r="K29" s="155">
        <f>'WA Volumes &amp; Revenues'!O27</f>
        <v>250</v>
      </c>
      <c r="L29" s="156">
        <f>'WA Volumes &amp; Revenues'!N27</f>
        <v>250</v>
      </c>
      <c r="M29" s="122">
        <f>'Rates in Detail'!AF25</f>
        <v>0</v>
      </c>
      <c r="N29" s="122">
        <f>'Rates in Detail'!AG25</f>
        <v>0</v>
      </c>
      <c r="O29" s="122">
        <f>'Rates in Detail'!AH25</f>
        <v>0</v>
      </c>
      <c r="P29" s="774">
        <f>'Rates in Detail'!AI25</f>
        <v>0</v>
      </c>
      <c r="Q29" s="157"/>
      <c r="R29" s="298">
        <f>'WA Volumes &amp; Revenues'!E27</f>
        <v>0</v>
      </c>
      <c r="S29" s="311"/>
      <c r="T29" s="300">
        <f>'WA Volumes &amp; Revenues'!H27</f>
        <v>0</v>
      </c>
      <c r="U29" s="301">
        <f>'WA Volumes &amp; Revenues'!I27</f>
        <v>0</v>
      </c>
      <c r="V29" s="157"/>
      <c r="W29" s="313">
        <f t="shared" ref="W29:W30" si="35">(H29*R29)</f>
        <v>0</v>
      </c>
      <c r="X29" s="309">
        <f t="shared" ref="X29:X30" si="36">(K29*T29*12)</f>
        <v>0</v>
      </c>
      <c r="Y29" s="309">
        <f>(S29*(M29+O29))*12</f>
        <v>0</v>
      </c>
      <c r="Z29" s="314"/>
      <c r="AA29" s="309"/>
      <c r="AB29" s="313">
        <f>(I29*R29)</f>
        <v>0</v>
      </c>
      <c r="AC29" s="309">
        <f>(L29*T29*12)</f>
        <v>0</v>
      </c>
      <c r="AD29" s="314">
        <f>(S29*(N29+P29))*12</f>
        <v>0</v>
      </c>
      <c r="AE29" s="309"/>
      <c r="AF29" s="313">
        <f>AB29-W29</f>
        <v>0</v>
      </c>
      <c r="AG29" s="309">
        <f>AC29-X29</f>
        <v>0</v>
      </c>
      <c r="AH29" s="314">
        <f t="shared" ref="AH29:AH30" si="37">AD29-Y29</f>
        <v>0</v>
      </c>
      <c r="AI29" s="309"/>
      <c r="AJ29" s="338"/>
      <c r="AK29" s="340" t="e">
        <f t="shared" si="13"/>
        <v>#DIV/0!</v>
      </c>
      <c r="AL29" s="309"/>
      <c r="AM29" s="313">
        <f>(F29*R29)</f>
        <v>0</v>
      </c>
      <c r="AN29" s="309">
        <v>0</v>
      </c>
      <c r="AO29" s="314">
        <f t="shared" ref="AO29:AO30" si="38">(AE29*(Y29+AB29))*12</f>
        <v>0</v>
      </c>
      <c r="AP29" s="309"/>
      <c r="AQ29" s="310"/>
      <c r="AR29" s="310"/>
      <c r="AS29" s="309"/>
    </row>
    <row r="30" spans="1:45" x14ac:dyDescent="0.2">
      <c r="A30" s="86">
        <f t="shared" si="2"/>
        <v>23</v>
      </c>
      <c r="B30" s="725"/>
      <c r="C30" s="726" t="s">
        <v>5</v>
      </c>
      <c r="D30" s="157"/>
      <c r="E30" s="122">
        <f>ROUND('Rates in Detail'!Y26,5)</f>
        <v>1.917E-2</v>
      </c>
      <c r="F30" s="122"/>
      <c r="G30" s="157"/>
      <c r="H30" s="373">
        <f>ROUND('Rates in Detail'!R26,5)</f>
        <v>0.33839000000000002</v>
      </c>
      <c r="I30" s="774">
        <f t="shared" si="9"/>
        <v>0.35756000000000004</v>
      </c>
      <c r="J30" s="157"/>
      <c r="K30" s="155"/>
      <c r="L30" s="156"/>
      <c r="M30" s="157"/>
      <c r="N30" s="157"/>
      <c r="O30" s="157"/>
      <c r="P30" s="158"/>
      <c r="Q30" s="157"/>
      <c r="R30" s="298">
        <f>'WA Volumes &amp; Revenues'!E28</f>
        <v>0</v>
      </c>
      <c r="S30" s="311"/>
      <c r="T30" s="300"/>
      <c r="U30" s="301"/>
      <c r="V30" s="157"/>
      <c r="W30" s="313">
        <f t="shared" si="35"/>
        <v>0</v>
      </c>
      <c r="X30" s="309">
        <f t="shared" si="36"/>
        <v>0</v>
      </c>
      <c r="Y30" s="309">
        <f>(S30*(M30+O30))*12</f>
        <v>0</v>
      </c>
      <c r="Z30" s="314"/>
      <c r="AA30" s="309"/>
      <c r="AB30" s="313">
        <f>(I30*R30)</f>
        <v>0</v>
      </c>
      <c r="AC30" s="309">
        <f>(L30*T30*12)</f>
        <v>0</v>
      </c>
      <c r="AD30" s="314">
        <f>(S30*(N30+P30))*12</f>
        <v>0</v>
      </c>
      <c r="AE30" s="309"/>
      <c r="AF30" s="313">
        <f>AB30-W30</f>
        <v>0</v>
      </c>
      <c r="AG30" s="309">
        <f>AC30-X30</f>
        <v>0</v>
      </c>
      <c r="AH30" s="314">
        <f t="shared" si="37"/>
        <v>0</v>
      </c>
      <c r="AI30" s="309"/>
      <c r="AJ30" s="338"/>
      <c r="AK30" s="340" t="e">
        <f t="shared" si="13"/>
        <v>#DIV/0!</v>
      </c>
      <c r="AL30" s="309"/>
      <c r="AM30" s="313">
        <f>(F30*R30)</f>
        <v>0</v>
      </c>
      <c r="AN30" s="309">
        <v>0</v>
      </c>
      <c r="AO30" s="314">
        <f t="shared" si="38"/>
        <v>0</v>
      </c>
      <c r="AP30" s="309"/>
      <c r="AQ30" s="310"/>
      <c r="AR30" s="310"/>
      <c r="AS30" s="309"/>
    </row>
    <row r="31" spans="1:45" x14ac:dyDescent="0.2">
      <c r="A31" s="86">
        <f t="shared" si="2"/>
        <v>24</v>
      </c>
      <c r="B31" s="723"/>
      <c r="C31" s="742" t="s">
        <v>78</v>
      </c>
      <c r="D31" s="153"/>
      <c r="E31" s="123"/>
      <c r="F31" s="123"/>
      <c r="G31" s="153"/>
      <c r="H31" s="368"/>
      <c r="I31" s="773"/>
      <c r="J31" s="157"/>
      <c r="K31" s="155"/>
      <c r="L31" s="156"/>
      <c r="M31" s="157"/>
      <c r="N31" s="157"/>
      <c r="O31" s="157"/>
      <c r="P31" s="158"/>
      <c r="Q31" s="157"/>
      <c r="R31" s="298"/>
      <c r="S31" s="311"/>
      <c r="T31" s="300"/>
      <c r="U31" s="301"/>
      <c r="V31" s="157"/>
      <c r="W31" s="315">
        <f>SUM(W29:W30)</f>
        <v>0</v>
      </c>
      <c r="X31" s="316">
        <f t="shared" ref="X31:Y31" si="39">SUM(X29:X30)</f>
        <v>0</v>
      </c>
      <c r="Y31" s="316">
        <f t="shared" si="39"/>
        <v>0</v>
      </c>
      <c r="Z31" s="317">
        <f>'Rate Spread Proposal'!N$74-SUM(W31:Y31)</f>
        <v>0</v>
      </c>
      <c r="AA31" s="309"/>
      <c r="AB31" s="315">
        <f>SUM(AB29:AB30)</f>
        <v>0</v>
      </c>
      <c r="AC31" s="316">
        <f t="shared" ref="AC31:AD31" si="40">SUM(AC29:AC30)</f>
        <v>0</v>
      </c>
      <c r="AD31" s="317">
        <f t="shared" si="40"/>
        <v>0</v>
      </c>
      <c r="AE31" s="309"/>
      <c r="AF31" s="315">
        <f>SUM(AF29:AF30)</f>
        <v>0</v>
      </c>
      <c r="AG31" s="316">
        <f t="shared" ref="AG31:AH31" si="41">SUM(AG29:AG30)</f>
        <v>0</v>
      </c>
      <c r="AH31" s="317">
        <f t="shared" si="41"/>
        <v>0</v>
      </c>
      <c r="AI31" s="309"/>
      <c r="AJ31" s="338" t="e">
        <f>SUM(AF31:AH31)/SUM(W31:Y31)</f>
        <v>#DIV/0!</v>
      </c>
      <c r="AK31" s="339" t="e">
        <f t="shared" si="13"/>
        <v>#DIV/0!</v>
      </c>
      <c r="AL31" s="309"/>
      <c r="AM31" s="315">
        <f>SUM(AM29:AM30)</f>
        <v>0</v>
      </c>
      <c r="AN31" s="316">
        <f t="shared" ref="AN31:AO31" si="42">SUM(AN29:AN30)</f>
        <v>0</v>
      </c>
      <c r="AO31" s="317">
        <f t="shared" si="42"/>
        <v>0</v>
      </c>
      <c r="AP31" s="309"/>
      <c r="AQ31" s="310"/>
      <c r="AR31" s="310"/>
      <c r="AS31" s="309"/>
    </row>
    <row r="32" spans="1:45" x14ac:dyDescent="0.2">
      <c r="A32" s="86">
        <f t="shared" si="2"/>
        <v>25</v>
      </c>
      <c r="B32" s="725" t="str">
        <f>'WA Volumes &amp; Revenues'!B29</f>
        <v>41C Firm Transpt</v>
      </c>
      <c r="C32" s="726" t="s">
        <v>4</v>
      </c>
      <c r="D32" s="157"/>
      <c r="E32" s="122">
        <f>ROUND('Rates in Detail'!Y27,5)</f>
        <v>2.9610000000000001E-2</v>
      </c>
      <c r="F32" s="122"/>
      <c r="G32" s="157"/>
      <c r="H32" s="373">
        <f>ROUND('Rates in Detail'!R27,5)</f>
        <v>0.40671000000000002</v>
      </c>
      <c r="I32" s="774">
        <f t="shared" si="9"/>
        <v>0.43632000000000004</v>
      </c>
      <c r="J32" s="157"/>
      <c r="K32" s="155">
        <f>'WA Volumes &amp; Revenues'!O29</f>
        <v>500</v>
      </c>
      <c r="L32" s="156">
        <f>'WA Volumes &amp; Revenues'!N29</f>
        <v>500</v>
      </c>
      <c r="M32" s="122">
        <f>'Rates in Detail'!AF27</f>
        <v>0</v>
      </c>
      <c r="N32" s="122">
        <f>'Rates in Detail'!AG27</f>
        <v>0</v>
      </c>
      <c r="O32" s="122">
        <f>'Rates in Detail'!AH27</f>
        <v>0</v>
      </c>
      <c r="P32" s="774">
        <f>'Rates in Detail'!AI27</f>
        <v>0</v>
      </c>
      <c r="Q32" s="157"/>
      <c r="R32" s="298">
        <f>'WA Volumes &amp; Revenues'!E29</f>
        <v>168721</v>
      </c>
      <c r="S32" s="311"/>
      <c r="T32" s="300">
        <f>'WA Volumes &amp; Revenues'!H29</f>
        <v>7.916666666666667</v>
      </c>
      <c r="U32" s="301">
        <f>'WA Volumes &amp; Revenues'!I29</f>
        <v>4648</v>
      </c>
      <c r="V32" s="157"/>
      <c r="W32" s="313">
        <f t="shared" ref="W32:W33" si="43">(H32*R32)</f>
        <v>68620.51791000001</v>
      </c>
      <c r="X32" s="309">
        <f t="shared" ref="X32:X33" si="44">(K32*T32*12)</f>
        <v>47500</v>
      </c>
      <c r="Y32" s="309">
        <f>(S32*(M32+O32))*12</f>
        <v>0</v>
      </c>
      <c r="Z32" s="314"/>
      <c r="AA32" s="309"/>
      <c r="AB32" s="313">
        <f>(I32*R32)</f>
        <v>73616.346720000001</v>
      </c>
      <c r="AC32" s="309">
        <f>(L32*T32*12)</f>
        <v>47500</v>
      </c>
      <c r="AD32" s="314">
        <f>(S32*(N32+P32))*12</f>
        <v>0</v>
      </c>
      <c r="AE32" s="309"/>
      <c r="AF32" s="313">
        <f>AB32-W32</f>
        <v>4995.8288099999918</v>
      </c>
      <c r="AG32" s="309">
        <f>AC32-X32</f>
        <v>0</v>
      </c>
      <c r="AH32" s="314">
        <f t="shared" ref="AH32:AH33" si="45">AD32-Y32</f>
        <v>0</v>
      </c>
      <c r="AI32" s="309"/>
      <c r="AJ32" s="338"/>
      <c r="AK32" s="340">
        <f t="shared" si="13"/>
        <v>7.2803717636645143E-2</v>
      </c>
      <c r="AL32" s="309"/>
      <c r="AM32" s="313">
        <f>(F32*R32)</f>
        <v>0</v>
      </c>
      <c r="AN32" s="309">
        <v>0</v>
      </c>
      <c r="AO32" s="314">
        <f t="shared" ref="AO32:AO33" si="46">(AE32*(Y32+AB32))*12</f>
        <v>0</v>
      </c>
      <c r="AP32" s="309"/>
      <c r="AQ32" s="310"/>
      <c r="AR32" s="310"/>
      <c r="AS32" s="309"/>
    </row>
    <row r="33" spans="1:45" x14ac:dyDescent="0.2">
      <c r="A33" s="86">
        <f t="shared" si="2"/>
        <v>26</v>
      </c>
      <c r="B33" s="725"/>
      <c r="C33" s="726" t="s">
        <v>5</v>
      </c>
      <c r="D33" s="157"/>
      <c r="E33" s="122">
        <f>ROUND('Rates in Detail'!Y28,5)</f>
        <v>2.6089999999999999E-2</v>
      </c>
      <c r="F33" s="122"/>
      <c r="G33" s="157"/>
      <c r="H33" s="373">
        <f>ROUND('Rates in Detail'!R28,5)</f>
        <v>0.35833999999999999</v>
      </c>
      <c r="I33" s="774">
        <f t="shared" si="9"/>
        <v>0.38442999999999999</v>
      </c>
      <c r="J33" s="157"/>
      <c r="K33" s="155"/>
      <c r="L33" s="156"/>
      <c r="M33" s="157"/>
      <c r="N33" s="157"/>
      <c r="O33" s="157"/>
      <c r="P33" s="158"/>
      <c r="Q33" s="157"/>
      <c r="R33" s="298">
        <f>'WA Volumes &amp; Revenues'!E30</f>
        <v>272866</v>
      </c>
      <c r="S33" s="311"/>
      <c r="T33" s="300"/>
      <c r="U33" s="301"/>
      <c r="V33" s="157"/>
      <c r="W33" s="313">
        <f t="shared" si="43"/>
        <v>97778.802439999999</v>
      </c>
      <c r="X33" s="309">
        <f t="shared" si="44"/>
        <v>0</v>
      </c>
      <c r="Y33" s="309">
        <f>(S33*(M33+O33))*12</f>
        <v>0</v>
      </c>
      <c r="Z33" s="314"/>
      <c r="AA33" s="309"/>
      <c r="AB33" s="313">
        <f>(I33*R33)</f>
        <v>104897.87638</v>
      </c>
      <c r="AC33" s="309">
        <f>(L33*T33*12)</f>
        <v>0</v>
      </c>
      <c r="AD33" s="314">
        <f>(S33*(N33+P33))*12</f>
        <v>0</v>
      </c>
      <c r="AE33" s="309"/>
      <c r="AF33" s="313">
        <f>AB33-W33</f>
        <v>7119.073940000002</v>
      </c>
      <c r="AG33" s="309">
        <f>AC33-X33</f>
        <v>0</v>
      </c>
      <c r="AH33" s="314">
        <f t="shared" si="45"/>
        <v>0</v>
      </c>
      <c r="AI33" s="309"/>
      <c r="AJ33" s="338"/>
      <c r="AK33" s="340">
        <f t="shared" si="13"/>
        <v>7.280794775911148E-2</v>
      </c>
      <c r="AL33" s="309"/>
      <c r="AM33" s="313">
        <f>(F33*R33)</f>
        <v>0</v>
      </c>
      <c r="AN33" s="309">
        <v>0</v>
      </c>
      <c r="AO33" s="314">
        <f t="shared" si="46"/>
        <v>0</v>
      </c>
      <c r="AP33" s="309"/>
      <c r="AQ33" s="310"/>
      <c r="AR33" s="310"/>
      <c r="AS33" s="309"/>
    </row>
    <row r="34" spans="1:45" x14ac:dyDescent="0.2">
      <c r="A34" s="86">
        <f t="shared" si="2"/>
        <v>27</v>
      </c>
      <c r="B34" s="723"/>
      <c r="C34" s="742" t="s">
        <v>78</v>
      </c>
      <c r="D34" s="153"/>
      <c r="E34" s="123"/>
      <c r="F34" s="123"/>
      <c r="G34" s="153"/>
      <c r="H34" s="368"/>
      <c r="I34" s="773"/>
      <c r="J34" s="157"/>
      <c r="K34" s="155"/>
      <c r="L34" s="156"/>
      <c r="M34" s="157"/>
      <c r="N34" s="157"/>
      <c r="O34" s="157"/>
      <c r="P34" s="158"/>
      <c r="Q34" s="157"/>
      <c r="R34" s="298"/>
      <c r="S34" s="311"/>
      <c r="T34" s="300"/>
      <c r="U34" s="301"/>
      <c r="V34" s="157"/>
      <c r="W34" s="315">
        <f>SUM(W32:W33)</f>
        <v>166399.32034999999</v>
      </c>
      <c r="X34" s="316">
        <f t="shared" ref="X34:Y34" si="47">SUM(X32:X33)</f>
        <v>47500</v>
      </c>
      <c r="Y34" s="316">
        <f t="shared" si="47"/>
        <v>0</v>
      </c>
      <c r="Z34" s="317">
        <f>'Rate Spread Proposal'!O$74-SUM(W34:Y34)</f>
        <v>1.2833937813993543</v>
      </c>
      <c r="AA34" s="309"/>
      <c r="AB34" s="315">
        <f>SUM(AB32:AB33)</f>
        <v>178514.2231</v>
      </c>
      <c r="AC34" s="316">
        <f t="shared" ref="AC34:AD34" si="48">SUM(AC32:AC33)</f>
        <v>47500</v>
      </c>
      <c r="AD34" s="317">
        <f t="shared" si="48"/>
        <v>0</v>
      </c>
      <c r="AE34" s="309"/>
      <c r="AF34" s="315">
        <f>SUM(AF32:AF33)</f>
        <v>12114.902749999994</v>
      </c>
      <c r="AG34" s="316">
        <f t="shared" ref="AG34:AH34" si="49">SUM(AG32:AG33)</f>
        <v>0</v>
      </c>
      <c r="AH34" s="317">
        <f t="shared" si="49"/>
        <v>0</v>
      </c>
      <c r="AI34" s="309"/>
      <c r="AJ34" s="338">
        <f>SUM(AF34:AH34)/SUM(W34:Y34)</f>
        <v>5.6638341487839111E-2</v>
      </c>
      <c r="AK34" s="339">
        <f t="shared" si="13"/>
        <v>7.2806203321731267E-2</v>
      </c>
      <c r="AL34" s="309"/>
      <c r="AM34" s="315">
        <f>SUM(AM32:AM33)</f>
        <v>0</v>
      </c>
      <c r="AN34" s="316">
        <f t="shared" ref="AN34:AO34" si="50">SUM(AN32:AN33)</f>
        <v>0</v>
      </c>
      <c r="AO34" s="317">
        <f t="shared" si="50"/>
        <v>0</v>
      </c>
      <c r="AP34" s="309"/>
      <c r="AQ34" s="310"/>
      <c r="AR34" s="310"/>
      <c r="AS34" s="309"/>
    </row>
    <row r="35" spans="1:45" x14ac:dyDescent="0.2">
      <c r="A35" s="86">
        <f t="shared" si="2"/>
        <v>28</v>
      </c>
      <c r="B35" s="725" t="str">
        <f>'WA Volumes &amp; Revenues'!B31</f>
        <v>41I Firm Transpt</v>
      </c>
      <c r="C35" s="726" t="s">
        <v>4</v>
      </c>
      <c r="D35" s="157"/>
      <c r="E35" s="122">
        <f>ROUND('Rates in Detail'!Y29,5)</f>
        <v>2.2020000000000001E-2</v>
      </c>
      <c r="F35" s="122"/>
      <c r="G35" s="157"/>
      <c r="H35" s="373">
        <f>ROUND('Rates in Detail'!R29,5)</f>
        <v>0.38873999999999997</v>
      </c>
      <c r="I35" s="774">
        <f t="shared" si="9"/>
        <v>0.41075999999999996</v>
      </c>
      <c r="J35" s="157"/>
      <c r="K35" s="155">
        <f>'WA Volumes &amp; Revenues'!O31</f>
        <v>500</v>
      </c>
      <c r="L35" s="156">
        <f>'WA Volumes &amp; Revenues'!N31</f>
        <v>500</v>
      </c>
      <c r="M35" s="122">
        <f>'Rates in Detail'!AF29</f>
        <v>0</v>
      </c>
      <c r="N35" s="122">
        <f>'Rates in Detail'!AG29</f>
        <v>0</v>
      </c>
      <c r="O35" s="122">
        <f>'Rates in Detail'!AH29</f>
        <v>0</v>
      </c>
      <c r="P35" s="774">
        <f>'Rates in Detail'!AI29</f>
        <v>0</v>
      </c>
      <c r="Q35" s="157"/>
      <c r="R35" s="298">
        <f>'WA Volumes &amp; Revenues'!E31</f>
        <v>0</v>
      </c>
      <c r="S35" s="311"/>
      <c r="T35" s="300">
        <f>'WA Volumes &amp; Revenues'!H31</f>
        <v>0</v>
      </c>
      <c r="U35" s="301">
        <f>'WA Volumes &amp; Revenues'!I31</f>
        <v>0</v>
      </c>
      <c r="V35" s="157"/>
      <c r="W35" s="313">
        <f t="shared" ref="W35:W36" si="51">(H35*R35)</f>
        <v>0</v>
      </c>
      <c r="X35" s="309">
        <f t="shared" ref="X35:X36" si="52">(K35*T35*12)</f>
        <v>0</v>
      </c>
      <c r="Y35" s="309">
        <f>(S35*(M35+O35))*12</f>
        <v>0</v>
      </c>
      <c r="Z35" s="314"/>
      <c r="AA35" s="309"/>
      <c r="AB35" s="313">
        <f>(I35*R35)</f>
        <v>0</v>
      </c>
      <c r="AC35" s="309">
        <f>(L35*T35*12)</f>
        <v>0</v>
      </c>
      <c r="AD35" s="314">
        <f>(S35*(N35+P35))*12</f>
        <v>0</v>
      </c>
      <c r="AE35" s="309"/>
      <c r="AF35" s="313">
        <f>AB35-W35</f>
        <v>0</v>
      </c>
      <c r="AG35" s="309">
        <f>AC35-X35</f>
        <v>0</v>
      </c>
      <c r="AH35" s="314">
        <f t="shared" ref="AH35:AH36" si="53">AD35-Y35</f>
        <v>0</v>
      </c>
      <c r="AI35" s="309"/>
      <c r="AJ35" s="338"/>
      <c r="AK35" s="340" t="e">
        <f t="shared" si="13"/>
        <v>#DIV/0!</v>
      </c>
      <c r="AL35" s="309"/>
      <c r="AM35" s="313">
        <f>(F35*R35)</f>
        <v>0</v>
      </c>
      <c r="AN35" s="309">
        <v>0</v>
      </c>
      <c r="AO35" s="314">
        <f t="shared" ref="AO35:AO36" si="54">(AE35*(Y35+AB35))*12</f>
        <v>0</v>
      </c>
      <c r="AP35" s="309"/>
      <c r="AQ35" s="310"/>
      <c r="AR35" s="310"/>
      <c r="AS35" s="309"/>
    </row>
    <row r="36" spans="1:45" x14ac:dyDescent="0.2">
      <c r="A36" s="86">
        <f t="shared" si="2"/>
        <v>29</v>
      </c>
      <c r="B36" s="725"/>
      <c r="C36" s="726" t="s">
        <v>5</v>
      </c>
      <c r="D36" s="157"/>
      <c r="E36" s="122">
        <f>ROUND('Rates in Detail'!Y30,5)</f>
        <v>1.9400000000000001E-2</v>
      </c>
      <c r="F36" s="122"/>
      <c r="G36" s="157"/>
      <c r="H36" s="373">
        <f>ROUND('Rates in Detail'!R30,5)</f>
        <v>0.34250999999999998</v>
      </c>
      <c r="I36" s="774">
        <f t="shared" si="9"/>
        <v>0.36190999999999995</v>
      </c>
      <c r="J36" s="157"/>
      <c r="K36" s="273"/>
      <c r="L36" s="55"/>
      <c r="M36" s="157"/>
      <c r="N36" s="157"/>
      <c r="O36" s="157"/>
      <c r="P36" s="158"/>
      <c r="Q36" s="157"/>
      <c r="R36" s="298">
        <f>'WA Volumes &amp; Revenues'!E32</f>
        <v>0</v>
      </c>
      <c r="S36" s="311"/>
      <c r="T36" s="300"/>
      <c r="U36" s="301"/>
      <c r="V36" s="157"/>
      <c r="W36" s="313">
        <f t="shared" si="51"/>
        <v>0</v>
      </c>
      <c r="X36" s="309">
        <f t="shared" si="52"/>
        <v>0</v>
      </c>
      <c r="Y36" s="309">
        <f>(S36*(M36+O36))*12</f>
        <v>0</v>
      </c>
      <c r="Z36" s="314"/>
      <c r="AA36" s="309"/>
      <c r="AB36" s="313">
        <f>(I36*R36)</f>
        <v>0</v>
      </c>
      <c r="AC36" s="309">
        <f>(L36*T36*12)</f>
        <v>0</v>
      </c>
      <c r="AD36" s="314">
        <f>(S36*(N36+P36))*12</f>
        <v>0</v>
      </c>
      <c r="AE36" s="309"/>
      <c r="AF36" s="313">
        <f>AB36-W36</f>
        <v>0</v>
      </c>
      <c r="AG36" s="309">
        <f>AC36-X36</f>
        <v>0</v>
      </c>
      <c r="AH36" s="314">
        <f t="shared" si="53"/>
        <v>0</v>
      </c>
      <c r="AI36" s="309"/>
      <c r="AJ36" s="338"/>
      <c r="AK36" s="340" t="e">
        <f t="shared" si="13"/>
        <v>#DIV/0!</v>
      </c>
      <c r="AL36" s="309"/>
      <c r="AM36" s="313">
        <f>(F36*R36)</f>
        <v>0</v>
      </c>
      <c r="AN36" s="309">
        <v>0</v>
      </c>
      <c r="AO36" s="314">
        <f t="shared" si="54"/>
        <v>0</v>
      </c>
      <c r="AP36" s="309"/>
      <c r="AQ36" s="310"/>
      <c r="AR36" s="310"/>
      <c r="AS36" s="309"/>
    </row>
    <row r="37" spans="1:45" x14ac:dyDescent="0.2">
      <c r="A37" s="86">
        <f t="shared" si="2"/>
        <v>30</v>
      </c>
      <c r="B37" s="723"/>
      <c r="C37" s="742" t="s">
        <v>78</v>
      </c>
      <c r="D37" s="153"/>
      <c r="E37" s="123"/>
      <c r="F37" s="123"/>
      <c r="G37" s="153"/>
      <c r="H37" s="368"/>
      <c r="I37" s="773"/>
      <c r="J37" s="157"/>
      <c r="K37" s="273"/>
      <c r="L37" s="55"/>
      <c r="M37" s="157"/>
      <c r="N37" s="157"/>
      <c r="O37" s="157"/>
      <c r="P37" s="158"/>
      <c r="Q37" s="157"/>
      <c r="R37" s="298"/>
      <c r="S37" s="311"/>
      <c r="T37" s="300"/>
      <c r="U37" s="301"/>
      <c r="V37" s="157"/>
      <c r="W37" s="315">
        <f>SUM(W35:W36)</f>
        <v>0</v>
      </c>
      <c r="X37" s="316">
        <f t="shared" ref="X37:Y37" si="55">SUM(X35:X36)</f>
        <v>0</v>
      </c>
      <c r="Y37" s="316">
        <f t="shared" si="55"/>
        <v>0</v>
      </c>
      <c r="Z37" s="317">
        <f>'Rate Spread Proposal'!P$74-SUM(W37:Y37)</f>
        <v>0</v>
      </c>
      <c r="AA37" s="309"/>
      <c r="AB37" s="315">
        <f>SUM(AB35:AB36)</f>
        <v>0</v>
      </c>
      <c r="AC37" s="316">
        <f t="shared" ref="AC37:AD37" si="56">SUM(AC35:AC36)</f>
        <v>0</v>
      </c>
      <c r="AD37" s="317">
        <f t="shared" si="56"/>
        <v>0</v>
      </c>
      <c r="AE37" s="309"/>
      <c r="AF37" s="315">
        <f>SUM(AF35:AF36)</f>
        <v>0</v>
      </c>
      <c r="AG37" s="316">
        <f t="shared" ref="AG37:AH37" si="57">SUM(AG35:AG36)</f>
        <v>0</v>
      </c>
      <c r="AH37" s="317">
        <f t="shared" si="57"/>
        <v>0</v>
      </c>
      <c r="AI37" s="309"/>
      <c r="AJ37" s="338" t="e">
        <f>SUM(AF37:AH37)/SUM(W37:Y37)</f>
        <v>#DIV/0!</v>
      </c>
      <c r="AK37" s="339" t="e">
        <f t="shared" si="13"/>
        <v>#DIV/0!</v>
      </c>
      <c r="AL37" s="309"/>
      <c r="AM37" s="315">
        <f>SUM(AM35:AM36)</f>
        <v>0</v>
      </c>
      <c r="AN37" s="316">
        <f t="shared" ref="AN37:AO37" si="58">SUM(AN35:AN36)</f>
        <v>0</v>
      </c>
      <c r="AO37" s="317">
        <f t="shared" si="58"/>
        <v>0</v>
      </c>
      <c r="AP37" s="309"/>
      <c r="AQ37" s="310"/>
      <c r="AR37" s="310"/>
      <c r="AS37" s="309"/>
    </row>
    <row r="38" spans="1:45" x14ac:dyDescent="0.2">
      <c r="A38" s="86">
        <f t="shared" si="2"/>
        <v>31</v>
      </c>
      <c r="B38" s="725" t="str">
        <f>'WA Volumes &amp; Revenues'!B33</f>
        <v>42C Firm Sales</v>
      </c>
      <c r="C38" s="726" t="s">
        <v>4</v>
      </c>
      <c r="D38" s="157"/>
      <c r="E38" s="122">
        <f>ROUND('Rates in Detail'!Y31,5)</f>
        <v>2.1080000000000002E-2</v>
      </c>
      <c r="F38" s="122"/>
      <c r="G38" s="157"/>
      <c r="H38" s="373">
        <f>ROUND('Rates in Detail'!R31,5)</f>
        <v>0.19431999999999999</v>
      </c>
      <c r="I38" s="774">
        <f t="shared" si="9"/>
        <v>0.21539999999999998</v>
      </c>
      <c r="J38" s="157"/>
      <c r="K38" s="155">
        <f>'WA Volumes &amp; Revenues'!O33</f>
        <v>1300</v>
      </c>
      <c r="L38" s="156">
        <f>'WA Volumes &amp; Revenues'!N33</f>
        <v>1300</v>
      </c>
      <c r="M38" s="122">
        <f>'Rates in Detail'!AF31</f>
        <v>0.15748000000000001</v>
      </c>
      <c r="N38" s="122">
        <f>'Rates in Detail'!AG31</f>
        <v>0.15748000000000001</v>
      </c>
      <c r="O38" s="122">
        <f>'Rates in Detail'!AH31</f>
        <v>0.20415</v>
      </c>
      <c r="P38" s="774">
        <f>'Rates in Detail'!AI31</f>
        <v>0.20415</v>
      </c>
      <c r="Q38" s="157"/>
      <c r="R38" s="298">
        <f>'WA Volumes &amp; Revenues'!E33</f>
        <v>350769.66174469434</v>
      </c>
      <c r="S38" s="311">
        <v>6761</v>
      </c>
      <c r="T38" s="300">
        <f>'WA Volumes &amp; Revenues'!H33</f>
        <v>5</v>
      </c>
      <c r="U38" s="301">
        <f>'WA Volumes &amp; Revenues'!I33</f>
        <v>11949</v>
      </c>
      <c r="V38" s="157"/>
      <c r="W38" s="313">
        <f t="shared" ref="W38:W43" si="59">(H38*R38)</f>
        <v>68161.560670228995</v>
      </c>
      <c r="X38" s="309">
        <f t="shared" ref="X38:X43" si="60">(K38*T38*12)</f>
        <v>78000</v>
      </c>
      <c r="Y38" s="309">
        <f t="shared" ref="Y38:Y43" si="61">(S38*(M38+O38))*12</f>
        <v>29339.765160000003</v>
      </c>
      <c r="Z38" s="314"/>
      <c r="AA38" s="309"/>
      <c r="AB38" s="313">
        <f t="shared" ref="AB38:AB43" si="62">(I38*R38)</f>
        <v>75555.785139807151</v>
      </c>
      <c r="AC38" s="309">
        <f t="shared" ref="AC38:AC43" si="63">(L38*T38*12)</f>
        <v>78000</v>
      </c>
      <c r="AD38" s="314">
        <f t="shared" ref="AD38:AD43" si="64">(S38*(N38+P38))*12</f>
        <v>29339.765160000003</v>
      </c>
      <c r="AE38" s="309"/>
      <c r="AF38" s="313">
        <f t="shared" ref="AF38:AH43" si="65">AB38-W38</f>
        <v>7394.2244695781555</v>
      </c>
      <c r="AG38" s="309">
        <f t="shared" si="65"/>
        <v>0</v>
      </c>
      <c r="AH38" s="314">
        <f t="shared" si="65"/>
        <v>0</v>
      </c>
      <c r="AI38" s="309"/>
      <c r="AJ38" s="338"/>
      <c r="AK38" s="340">
        <f t="shared" si="13"/>
        <v>0.10848085631947303</v>
      </c>
      <c r="AL38" s="309"/>
      <c r="AM38" s="313">
        <f t="shared" ref="AM38:AM43" si="66">(F38*R38)</f>
        <v>0</v>
      </c>
      <c r="AN38" s="309">
        <v>0</v>
      </c>
      <c r="AO38" s="314">
        <f t="shared" ref="AO38:AO43" si="67">(AE38*(Y38+AB38))*12</f>
        <v>0</v>
      </c>
      <c r="AP38" s="309"/>
      <c r="AQ38" s="310"/>
      <c r="AR38" s="310"/>
      <c r="AS38" s="309"/>
    </row>
    <row r="39" spans="1:45" x14ac:dyDescent="0.2">
      <c r="A39" s="86">
        <f t="shared" si="2"/>
        <v>32</v>
      </c>
      <c r="B39" s="725"/>
      <c r="C39" s="726" t="s">
        <v>5</v>
      </c>
      <c r="D39" s="157"/>
      <c r="E39" s="122">
        <f>ROUND('Rates in Detail'!Y32,5)</f>
        <v>1.8859999999999998E-2</v>
      </c>
      <c r="F39" s="122"/>
      <c r="G39" s="157"/>
      <c r="H39" s="373">
        <f>ROUND('Rates in Detail'!R32,5)</f>
        <v>0.17393</v>
      </c>
      <c r="I39" s="774">
        <f t="shared" si="9"/>
        <v>0.19278999999999999</v>
      </c>
      <c r="J39" s="157"/>
      <c r="K39" s="155"/>
      <c r="L39" s="156"/>
      <c r="M39" s="122"/>
      <c r="N39" s="122"/>
      <c r="O39" s="122"/>
      <c r="P39" s="774"/>
      <c r="Q39" s="157"/>
      <c r="R39" s="298">
        <f>'WA Volumes &amp; Revenues'!E34</f>
        <v>303088.75426472601</v>
      </c>
      <c r="S39" s="311"/>
      <c r="T39" s="300"/>
      <c r="U39" s="301"/>
      <c r="V39" s="157"/>
      <c r="W39" s="313">
        <f t="shared" si="59"/>
        <v>52716.227029263799</v>
      </c>
      <c r="X39" s="309">
        <f t="shared" si="60"/>
        <v>0</v>
      </c>
      <c r="Y39" s="309">
        <f t="shared" si="61"/>
        <v>0</v>
      </c>
      <c r="Z39" s="314"/>
      <c r="AA39" s="309"/>
      <c r="AB39" s="313">
        <f t="shared" si="62"/>
        <v>58432.480934696527</v>
      </c>
      <c r="AC39" s="309">
        <f t="shared" si="63"/>
        <v>0</v>
      </c>
      <c r="AD39" s="314">
        <f t="shared" si="64"/>
        <v>0</v>
      </c>
      <c r="AE39" s="309"/>
      <c r="AF39" s="313">
        <f t="shared" si="65"/>
        <v>5716.2539054327281</v>
      </c>
      <c r="AG39" s="309">
        <f t="shared" si="65"/>
        <v>0</v>
      </c>
      <c r="AH39" s="314">
        <f t="shared" si="65"/>
        <v>0</v>
      </c>
      <c r="AI39" s="309"/>
      <c r="AJ39" s="338"/>
      <c r="AK39" s="340">
        <f t="shared" si="13"/>
        <v>0.10843442764330469</v>
      </c>
      <c r="AL39" s="309"/>
      <c r="AM39" s="313">
        <f t="shared" si="66"/>
        <v>0</v>
      </c>
      <c r="AN39" s="309">
        <v>0</v>
      </c>
      <c r="AO39" s="314">
        <f t="shared" si="67"/>
        <v>0</v>
      </c>
      <c r="AP39" s="309"/>
      <c r="AQ39" s="310"/>
      <c r="AR39" s="310"/>
      <c r="AS39" s="309"/>
    </row>
    <row r="40" spans="1:45" x14ac:dyDescent="0.2">
      <c r="A40" s="86">
        <f t="shared" si="2"/>
        <v>33</v>
      </c>
      <c r="B40" s="725"/>
      <c r="C40" s="726" t="s">
        <v>6</v>
      </c>
      <c r="D40" s="157"/>
      <c r="E40" s="122">
        <f>ROUND('Rates in Detail'!Y33,5)</f>
        <v>1.447E-2</v>
      </c>
      <c r="F40" s="122"/>
      <c r="G40" s="157"/>
      <c r="H40" s="373">
        <f>ROUND('Rates in Detail'!R33,5)</f>
        <v>0.13341</v>
      </c>
      <c r="I40" s="774">
        <f t="shared" si="9"/>
        <v>0.14788000000000001</v>
      </c>
      <c r="J40" s="157"/>
      <c r="K40" s="743"/>
      <c r="L40" s="372"/>
      <c r="M40" s="122"/>
      <c r="N40" s="122"/>
      <c r="O40" s="122"/>
      <c r="P40" s="774"/>
      <c r="Q40" s="157"/>
      <c r="R40" s="298">
        <f>'WA Volumes &amp; Revenues'!E35</f>
        <v>59441.942130257296</v>
      </c>
      <c r="S40" s="311"/>
      <c r="T40" s="300"/>
      <c r="U40" s="301"/>
      <c r="V40" s="157"/>
      <c r="W40" s="313">
        <f t="shared" si="59"/>
        <v>7930.1494995976254</v>
      </c>
      <c r="X40" s="309">
        <f t="shared" si="60"/>
        <v>0</v>
      </c>
      <c r="Y40" s="309">
        <f t="shared" si="61"/>
        <v>0</v>
      </c>
      <c r="Z40" s="314"/>
      <c r="AA40" s="309"/>
      <c r="AB40" s="313">
        <f t="shared" si="62"/>
        <v>8790.2744022224488</v>
      </c>
      <c r="AC40" s="309">
        <f t="shared" si="63"/>
        <v>0</v>
      </c>
      <c r="AD40" s="314">
        <f t="shared" si="64"/>
        <v>0</v>
      </c>
      <c r="AE40" s="309"/>
      <c r="AF40" s="313">
        <f t="shared" si="65"/>
        <v>860.12490262482333</v>
      </c>
      <c r="AG40" s="309">
        <f t="shared" si="65"/>
        <v>0</v>
      </c>
      <c r="AH40" s="314">
        <f t="shared" si="65"/>
        <v>0</v>
      </c>
      <c r="AI40" s="309"/>
      <c r="AJ40" s="338"/>
      <c r="AK40" s="340">
        <f t="shared" si="13"/>
        <v>0.1084626339854584</v>
      </c>
      <c r="AL40" s="309"/>
      <c r="AM40" s="313">
        <f t="shared" si="66"/>
        <v>0</v>
      </c>
      <c r="AN40" s="309">
        <v>0</v>
      </c>
      <c r="AO40" s="314">
        <f t="shared" si="67"/>
        <v>0</v>
      </c>
      <c r="AP40" s="309"/>
      <c r="AQ40" s="310"/>
      <c r="AR40" s="310"/>
      <c r="AS40" s="309"/>
    </row>
    <row r="41" spans="1:45" x14ac:dyDescent="0.2">
      <c r="A41" s="86">
        <f t="shared" si="2"/>
        <v>34</v>
      </c>
      <c r="B41" s="725"/>
      <c r="C41" s="726" t="s">
        <v>7</v>
      </c>
      <c r="D41" s="157"/>
      <c r="E41" s="122">
        <f>ROUND('Rates in Detail'!Y34,5)</f>
        <v>1.157E-2</v>
      </c>
      <c r="F41" s="122"/>
      <c r="G41" s="157"/>
      <c r="H41" s="373">
        <f>ROUND('Rates in Detail'!R34,5)</f>
        <v>0.10671</v>
      </c>
      <c r="I41" s="774">
        <f t="shared" si="9"/>
        <v>0.11828</v>
      </c>
      <c r="J41" s="157"/>
      <c r="K41" s="155"/>
      <c r="L41" s="156"/>
      <c r="M41" s="122"/>
      <c r="N41" s="122"/>
      <c r="O41" s="122"/>
      <c r="P41" s="774"/>
      <c r="Q41" s="157"/>
      <c r="R41" s="298">
        <f>'WA Volumes &amp; Revenues'!E36</f>
        <v>3614.6071898605187</v>
      </c>
      <c r="S41" s="311"/>
      <c r="T41" s="300"/>
      <c r="U41" s="301"/>
      <c r="V41" s="157"/>
      <c r="W41" s="313">
        <f t="shared" si="59"/>
        <v>385.71473323001595</v>
      </c>
      <c r="X41" s="309">
        <f t="shared" si="60"/>
        <v>0</v>
      </c>
      <c r="Y41" s="309">
        <f t="shared" si="61"/>
        <v>0</v>
      </c>
      <c r="Z41" s="314"/>
      <c r="AA41" s="309"/>
      <c r="AB41" s="313">
        <f t="shared" si="62"/>
        <v>427.53573841670215</v>
      </c>
      <c r="AC41" s="309">
        <f t="shared" si="63"/>
        <v>0</v>
      </c>
      <c r="AD41" s="314">
        <f t="shared" si="64"/>
        <v>0</v>
      </c>
      <c r="AE41" s="309"/>
      <c r="AF41" s="313">
        <f t="shared" si="65"/>
        <v>41.821005186686193</v>
      </c>
      <c r="AG41" s="309">
        <f t="shared" si="65"/>
        <v>0</v>
      </c>
      <c r="AH41" s="314">
        <f t="shared" si="65"/>
        <v>0</v>
      </c>
      <c r="AI41" s="309"/>
      <c r="AJ41" s="338"/>
      <c r="AK41" s="340">
        <f t="shared" si="13"/>
        <v>0.10842470246462373</v>
      </c>
      <c r="AL41" s="309"/>
      <c r="AM41" s="313">
        <f t="shared" si="66"/>
        <v>0</v>
      </c>
      <c r="AN41" s="309">
        <v>0</v>
      </c>
      <c r="AO41" s="314">
        <f t="shared" si="67"/>
        <v>0</v>
      </c>
      <c r="AP41" s="309"/>
      <c r="AQ41" s="310"/>
      <c r="AR41" s="310"/>
      <c r="AS41" s="309"/>
    </row>
    <row r="42" spans="1:45" x14ac:dyDescent="0.2">
      <c r="A42" s="86">
        <f t="shared" si="2"/>
        <v>35</v>
      </c>
      <c r="B42" s="725"/>
      <c r="C42" s="726" t="s">
        <v>8</v>
      </c>
      <c r="D42" s="157"/>
      <c r="E42" s="122">
        <f>ROUND('Rates in Detail'!Y35,5)</f>
        <v>7.7099999999999998E-3</v>
      </c>
      <c r="F42" s="122"/>
      <c r="G42" s="157"/>
      <c r="H42" s="373">
        <f>ROUND('Rates in Detail'!R35,5)</f>
        <v>7.1129999999999999E-2</v>
      </c>
      <c r="I42" s="774">
        <f t="shared" si="9"/>
        <v>7.8839999999999993E-2</v>
      </c>
      <c r="J42" s="157"/>
      <c r="K42" s="155"/>
      <c r="L42" s="156"/>
      <c r="M42" s="122"/>
      <c r="N42" s="122"/>
      <c r="O42" s="122"/>
      <c r="P42" s="774"/>
      <c r="Q42" s="157"/>
      <c r="R42" s="298">
        <f>'WA Volumes &amp; Revenues'!E37</f>
        <v>0</v>
      </c>
      <c r="S42" s="311"/>
      <c r="T42" s="300"/>
      <c r="U42" s="301"/>
      <c r="V42" s="157"/>
      <c r="W42" s="313">
        <f t="shared" si="59"/>
        <v>0</v>
      </c>
      <c r="X42" s="309">
        <f t="shared" si="60"/>
        <v>0</v>
      </c>
      <c r="Y42" s="309">
        <f t="shared" si="61"/>
        <v>0</v>
      </c>
      <c r="Z42" s="314"/>
      <c r="AA42" s="309"/>
      <c r="AB42" s="313">
        <f t="shared" si="62"/>
        <v>0</v>
      </c>
      <c r="AC42" s="309">
        <f t="shared" si="63"/>
        <v>0</v>
      </c>
      <c r="AD42" s="314">
        <f t="shared" si="64"/>
        <v>0</v>
      </c>
      <c r="AE42" s="309"/>
      <c r="AF42" s="313">
        <f t="shared" si="65"/>
        <v>0</v>
      </c>
      <c r="AG42" s="309">
        <f t="shared" si="65"/>
        <v>0</v>
      </c>
      <c r="AH42" s="314">
        <f t="shared" si="65"/>
        <v>0</v>
      </c>
      <c r="AI42" s="309"/>
      <c r="AJ42" s="338"/>
      <c r="AK42" s="340">
        <f>AK41</f>
        <v>0.10842470246462373</v>
      </c>
      <c r="AL42" s="309"/>
      <c r="AM42" s="313">
        <f t="shared" si="66"/>
        <v>0</v>
      </c>
      <c r="AN42" s="309">
        <v>0</v>
      </c>
      <c r="AO42" s="314">
        <f t="shared" si="67"/>
        <v>0</v>
      </c>
      <c r="AP42" s="309"/>
      <c r="AQ42" s="310"/>
      <c r="AR42" s="310"/>
      <c r="AS42" s="309"/>
    </row>
    <row r="43" spans="1:45" x14ac:dyDescent="0.2">
      <c r="A43" s="86">
        <f t="shared" si="2"/>
        <v>36</v>
      </c>
      <c r="B43" s="725"/>
      <c r="C43" s="726" t="s">
        <v>9</v>
      </c>
      <c r="D43" s="157"/>
      <c r="E43" s="122">
        <f>ROUND('Rates in Detail'!Y36,5)</f>
        <v>2.8900000000000002E-3</v>
      </c>
      <c r="F43" s="122"/>
      <c r="G43" s="157"/>
      <c r="H43" s="373">
        <f>ROUND('Rates in Detail'!R36,5)</f>
        <v>2.6669999999999999E-2</v>
      </c>
      <c r="I43" s="774">
        <f t="shared" si="9"/>
        <v>2.9559999999999999E-2</v>
      </c>
      <c r="J43" s="157"/>
      <c r="K43" s="743"/>
      <c r="L43" s="372"/>
      <c r="M43" s="122"/>
      <c r="N43" s="122"/>
      <c r="O43" s="122"/>
      <c r="P43" s="774"/>
      <c r="Q43" s="157"/>
      <c r="R43" s="298">
        <f>'WA Volumes &amp; Revenues'!E38</f>
        <v>0</v>
      </c>
      <c r="S43" s="311"/>
      <c r="T43" s="300"/>
      <c r="U43" s="301"/>
      <c r="V43" s="157"/>
      <c r="W43" s="313">
        <f t="shared" si="59"/>
        <v>0</v>
      </c>
      <c r="X43" s="309">
        <f t="shared" si="60"/>
        <v>0</v>
      </c>
      <c r="Y43" s="309">
        <f t="shared" si="61"/>
        <v>0</v>
      </c>
      <c r="Z43" s="314"/>
      <c r="AA43" s="309"/>
      <c r="AB43" s="313">
        <f t="shared" si="62"/>
        <v>0</v>
      </c>
      <c r="AC43" s="309">
        <f t="shared" si="63"/>
        <v>0</v>
      </c>
      <c r="AD43" s="314">
        <f t="shared" si="64"/>
        <v>0</v>
      </c>
      <c r="AE43" s="309"/>
      <c r="AF43" s="313">
        <f t="shared" si="65"/>
        <v>0</v>
      </c>
      <c r="AG43" s="309">
        <f t="shared" si="65"/>
        <v>0</v>
      </c>
      <c r="AH43" s="314">
        <f t="shared" si="65"/>
        <v>0</v>
      </c>
      <c r="AI43" s="309"/>
      <c r="AJ43" s="338"/>
      <c r="AK43" s="340">
        <f>AK42</f>
        <v>0.10842470246462373</v>
      </c>
      <c r="AL43" s="309"/>
      <c r="AM43" s="313">
        <f t="shared" si="66"/>
        <v>0</v>
      </c>
      <c r="AN43" s="309">
        <v>0</v>
      </c>
      <c r="AO43" s="314">
        <f t="shared" si="67"/>
        <v>0</v>
      </c>
      <c r="AP43" s="309"/>
      <c r="AQ43" s="310"/>
      <c r="AR43" s="310"/>
      <c r="AS43" s="309"/>
    </row>
    <row r="44" spans="1:45" x14ac:dyDescent="0.2">
      <c r="A44" s="86">
        <f t="shared" si="2"/>
        <v>37</v>
      </c>
      <c r="B44" s="723"/>
      <c r="C44" s="742" t="s">
        <v>78</v>
      </c>
      <c r="D44" s="153"/>
      <c r="E44" s="123"/>
      <c r="F44" s="123"/>
      <c r="G44" s="153"/>
      <c r="H44" s="368"/>
      <c r="I44" s="773"/>
      <c r="J44" s="157"/>
      <c r="K44" s="743"/>
      <c r="L44" s="372"/>
      <c r="M44" s="122"/>
      <c r="N44" s="122"/>
      <c r="O44" s="122"/>
      <c r="P44" s="774"/>
      <c r="Q44" s="157"/>
      <c r="R44" s="298"/>
      <c r="S44" s="311"/>
      <c r="T44" s="300"/>
      <c r="U44" s="301"/>
      <c r="V44" s="157"/>
      <c r="W44" s="315">
        <f>SUM(W38:W43)</f>
        <v>129193.65193232044</v>
      </c>
      <c r="X44" s="316">
        <f>SUM(X38:X43)</f>
        <v>78000</v>
      </c>
      <c r="Y44" s="316">
        <f>SUM(Y38:Y43)</f>
        <v>29339.765160000003</v>
      </c>
      <c r="Z44" s="317">
        <f>'Rate Spread Proposal'!Q$74-SUM(W44:Y44)</f>
        <v>10868.651176767249</v>
      </c>
      <c r="AA44" s="309"/>
      <c r="AB44" s="315">
        <f>SUM(AB38:AB43)</f>
        <v>143206.07621514285</v>
      </c>
      <c r="AC44" s="316">
        <f>SUM(AC38:AC43)</f>
        <v>78000</v>
      </c>
      <c r="AD44" s="317">
        <f>SUM(AD38:AD43)</f>
        <v>29339.765160000003</v>
      </c>
      <c r="AE44" s="309"/>
      <c r="AF44" s="315">
        <f>SUM(AF38:AF43)</f>
        <v>14012.424282822392</v>
      </c>
      <c r="AG44" s="316">
        <f>SUM(AG38:AG43)</f>
        <v>0</v>
      </c>
      <c r="AH44" s="317">
        <f>SUM(AH38:AH43)</f>
        <v>0</v>
      </c>
      <c r="AI44" s="309"/>
      <c r="AJ44" s="338">
        <f>SUM(AF44:AH44)/SUM(W44:Y44)</f>
        <v>5.9240780668861077E-2</v>
      </c>
      <c r="AK44" s="339">
        <f>SUM(AF44)/SUM(W44)</f>
        <v>0.10846062537316431</v>
      </c>
      <c r="AL44" s="309"/>
      <c r="AM44" s="315">
        <f>SUM(AM38:AM43)</f>
        <v>0</v>
      </c>
      <c r="AN44" s="316">
        <f>SUM(AN38:AN43)</f>
        <v>0</v>
      </c>
      <c r="AO44" s="317">
        <f>SUM(AO38:AO43)</f>
        <v>0</v>
      </c>
      <c r="AP44" s="309"/>
      <c r="AQ44" s="310"/>
      <c r="AR44" s="310"/>
      <c r="AS44" s="309"/>
    </row>
    <row r="45" spans="1:45" x14ac:dyDescent="0.2">
      <c r="A45" s="86">
        <f t="shared" si="2"/>
        <v>38</v>
      </c>
      <c r="B45" s="725" t="str">
        <f>'WA Volumes &amp; Revenues'!B39</f>
        <v>42I Firm Sales</v>
      </c>
      <c r="C45" s="726" t="s">
        <v>4</v>
      </c>
      <c r="D45" s="157"/>
      <c r="E45" s="122">
        <f>ROUND('Rates in Detail'!Y37,5)</f>
        <v>1.8749999999999999E-2</v>
      </c>
      <c r="F45" s="122"/>
      <c r="G45" s="157"/>
      <c r="H45" s="373">
        <f>ROUND('Rates in Detail'!R37,5)</f>
        <v>0.18443999999999999</v>
      </c>
      <c r="I45" s="774">
        <f t="shared" si="9"/>
        <v>0.20318999999999998</v>
      </c>
      <c r="J45" s="157"/>
      <c r="K45" s="155">
        <f>'WA Volumes &amp; Revenues'!O39</f>
        <v>1300</v>
      </c>
      <c r="L45" s="156">
        <f>'WA Volumes &amp; Revenues'!N39</f>
        <v>1300</v>
      </c>
      <c r="M45" s="122">
        <f>'Rates in Detail'!AF37</f>
        <v>0.15748000000000001</v>
      </c>
      <c r="N45" s="122">
        <f>'Rates in Detail'!AG37</f>
        <v>0.15748000000000001</v>
      </c>
      <c r="O45" s="122">
        <f>'Rates in Detail'!AH37</f>
        <v>0.20415</v>
      </c>
      <c r="P45" s="774">
        <f>'Rates in Detail'!AI37</f>
        <v>0.20415</v>
      </c>
      <c r="Q45" s="157"/>
      <c r="R45" s="298">
        <f>'WA Volumes &amp; Revenues'!E39</f>
        <v>1093724.2000000002</v>
      </c>
      <c r="S45" s="311">
        <v>9556</v>
      </c>
      <c r="T45" s="300">
        <f>'WA Volumes &amp; Revenues'!H39</f>
        <v>11.916666666666666</v>
      </c>
      <c r="U45" s="301">
        <f>'WA Volumes &amp; Revenues'!I39</f>
        <v>12869</v>
      </c>
      <c r="V45" s="157"/>
      <c r="W45" s="313">
        <f t="shared" ref="W45:W50" si="68">(H45*R45)</f>
        <v>201726.49144800002</v>
      </c>
      <c r="X45" s="309">
        <f t="shared" ref="X45:X50" si="69">(K45*T45*12)</f>
        <v>185900</v>
      </c>
      <c r="Y45" s="309">
        <f t="shared" ref="Y45:Y50" si="70">(S45*(M45+O45))*12</f>
        <v>41468.835359999997</v>
      </c>
      <c r="Z45" s="314"/>
      <c r="AA45" s="309"/>
      <c r="AB45" s="313">
        <f t="shared" ref="AB45:AB50" si="71">(I45*R45)</f>
        <v>222233.82019800003</v>
      </c>
      <c r="AC45" s="309">
        <f t="shared" ref="AC45:AC50" si="72">(L45*T45*12)</f>
        <v>185900</v>
      </c>
      <c r="AD45" s="314">
        <f t="shared" ref="AD45:AD50" si="73">(S45*(N45+P45))*12</f>
        <v>41468.835359999997</v>
      </c>
      <c r="AE45" s="309"/>
      <c r="AF45" s="313">
        <f t="shared" ref="AF45:AH50" si="74">AB45-W45</f>
        <v>20507.328750000015</v>
      </c>
      <c r="AG45" s="309">
        <f t="shared" si="74"/>
        <v>0</v>
      </c>
      <c r="AH45" s="314">
        <f t="shared" si="74"/>
        <v>0</v>
      </c>
      <c r="AI45" s="309"/>
      <c r="AJ45" s="338"/>
      <c r="AK45" s="340">
        <f>SUM(AF45)/SUM(W45)</f>
        <v>0.10165907612231627</v>
      </c>
      <c r="AL45" s="309"/>
      <c r="AM45" s="313">
        <f t="shared" ref="AM45:AM50" si="75">(F45*R45)</f>
        <v>0</v>
      </c>
      <c r="AN45" s="309">
        <v>0</v>
      </c>
      <c r="AO45" s="314">
        <f t="shared" ref="AO45:AO50" si="76">(AE45*(Y45+AB45))*12</f>
        <v>0</v>
      </c>
      <c r="AP45" s="309"/>
      <c r="AQ45" s="310"/>
      <c r="AR45" s="310"/>
      <c r="AS45" s="309"/>
    </row>
    <row r="46" spans="1:45" x14ac:dyDescent="0.2">
      <c r="A46" s="86">
        <f t="shared" si="2"/>
        <v>39</v>
      </c>
      <c r="B46" s="725"/>
      <c r="C46" s="726" t="s">
        <v>5</v>
      </c>
      <c r="D46" s="157"/>
      <c r="E46" s="122">
        <f>ROUND('Rates in Detail'!Y38,5)</f>
        <v>1.678E-2</v>
      </c>
      <c r="F46" s="122"/>
      <c r="G46" s="157"/>
      <c r="H46" s="373">
        <f>ROUND('Rates in Detail'!R38,5)</f>
        <v>0.1651</v>
      </c>
      <c r="I46" s="774">
        <f t="shared" si="9"/>
        <v>0.18187999999999999</v>
      </c>
      <c r="J46" s="157"/>
      <c r="K46" s="155"/>
      <c r="L46" s="156"/>
      <c r="M46" s="122"/>
      <c r="N46" s="122"/>
      <c r="O46" s="122"/>
      <c r="P46" s="774"/>
      <c r="Q46" s="157"/>
      <c r="R46" s="298">
        <f>'WA Volumes &amp; Revenues'!E40</f>
        <v>655939.80000000005</v>
      </c>
      <c r="S46" s="311"/>
      <c r="T46" s="300"/>
      <c r="U46" s="301"/>
      <c r="V46" s="157"/>
      <c r="W46" s="313">
        <f t="shared" si="68"/>
        <v>108295.66098</v>
      </c>
      <c r="X46" s="309">
        <f t="shared" si="69"/>
        <v>0</v>
      </c>
      <c r="Y46" s="309">
        <f t="shared" si="70"/>
        <v>0</v>
      </c>
      <c r="Z46" s="314"/>
      <c r="AA46" s="309"/>
      <c r="AB46" s="313">
        <f t="shared" si="71"/>
        <v>119302.330824</v>
      </c>
      <c r="AC46" s="309">
        <f t="shared" si="72"/>
        <v>0</v>
      </c>
      <c r="AD46" s="314">
        <f t="shared" si="73"/>
        <v>0</v>
      </c>
      <c r="AE46" s="309"/>
      <c r="AF46" s="313">
        <f t="shared" si="74"/>
        <v>11006.669844000004</v>
      </c>
      <c r="AG46" s="309">
        <f t="shared" si="74"/>
        <v>0</v>
      </c>
      <c r="AH46" s="314">
        <f t="shared" si="74"/>
        <v>0</v>
      </c>
      <c r="AI46" s="309"/>
      <c r="AJ46" s="338"/>
      <c r="AK46" s="340">
        <f>SUM(AF46)/SUM(W46)</f>
        <v>0.10163537250151426</v>
      </c>
      <c r="AL46" s="309"/>
      <c r="AM46" s="313">
        <f t="shared" si="75"/>
        <v>0</v>
      </c>
      <c r="AN46" s="309">
        <v>0</v>
      </c>
      <c r="AO46" s="314">
        <f t="shared" si="76"/>
        <v>0</v>
      </c>
      <c r="AP46" s="309"/>
      <c r="AQ46" s="310"/>
      <c r="AR46" s="310"/>
      <c r="AS46" s="309"/>
    </row>
    <row r="47" spans="1:45" x14ac:dyDescent="0.2">
      <c r="A47" s="86">
        <f t="shared" si="2"/>
        <v>40</v>
      </c>
      <c r="B47" s="725"/>
      <c r="C47" s="726" t="s">
        <v>6</v>
      </c>
      <c r="D47" s="157"/>
      <c r="E47" s="122">
        <f>ROUND('Rates in Detail'!Y39,5)</f>
        <v>1.2869999999999999E-2</v>
      </c>
      <c r="F47" s="122"/>
      <c r="G47" s="157"/>
      <c r="H47" s="373">
        <f>ROUND('Rates in Detail'!R39,5)</f>
        <v>0.12659999999999999</v>
      </c>
      <c r="I47" s="774">
        <f t="shared" si="9"/>
        <v>0.13946999999999998</v>
      </c>
      <c r="J47" s="157"/>
      <c r="K47" s="155"/>
      <c r="L47" s="156"/>
      <c r="M47" s="122"/>
      <c r="N47" s="122"/>
      <c r="O47" s="122"/>
      <c r="P47" s="774"/>
      <c r="Q47" s="157"/>
      <c r="R47" s="298">
        <f>'WA Volumes &amp; Revenues'!E41</f>
        <v>81241.3</v>
      </c>
      <c r="S47" s="311"/>
      <c r="T47" s="300"/>
      <c r="U47" s="301"/>
      <c r="V47" s="157"/>
      <c r="W47" s="313">
        <f t="shared" si="68"/>
        <v>10285.148579999999</v>
      </c>
      <c r="X47" s="309">
        <f t="shared" si="69"/>
        <v>0</v>
      </c>
      <c r="Y47" s="309">
        <f t="shared" si="70"/>
        <v>0</v>
      </c>
      <c r="Z47" s="314"/>
      <c r="AA47" s="309"/>
      <c r="AB47" s="313">
        <f t="shared" si="71"/>
        <v>11330.724111</v>
      </c>
      <c r="AC47" s="309">
        <f t="shared" si="72"/>
        <v>0</v>
      </c>
      <c r="AD47" s="314">
        <f t="shared" si="73"/>
        <v>0</v>
      </c>
      <c r="AE47" s="309"/>
      <c r="AF47" s="313">
        <f t="shared" si="74"/>
        <v>1045.5755310000004</v>
      </c>
      <c r="AG47" s="309">
        <f t="shared" si="74"/>
        <v>0</v>
      </c>
      <c r="AH47" s="314">
        <f t="shared" si="74"/>
        <v>0</v>
      </c>
      <c r="AI47" s="309"/>
      <c r="AJ47" s="338"/>
      <c r="AK47" s="340">
        <f>SUM(AF47)/SUM(W47)</f>
        <v>0.1016587677725119</v>
      </c>
      <c r="AL47" s="309"/>
      <c r="AM47" s="313">
        <f t="shared" si="75"/>
        <v>0</v>
      </c>
      <c r="AN47" s="309">
        <v>0</v>
      </c>
      <c r="AO47" s="314">
        <f t="shared" si="76"/>
        <v>0</v>
      </c>
      <c r="AP47" s="309"/>
      <c r="AQ47" s="310"/>
      <c r="AR47" s="310"/>
      <c r="AS47" s="309"/>
    </row>
    <row r="48" spans="1:45" x14ac:dyDescent="0.2">
      <c r="A48" s="86">
        <f t="shared" si="2"/>
        <v>41</v>
      </c>
      <c r="B48" s="725"/>
      <c r="C48" s="726" t="s">
        <v>7</v>
      </c>
      <c r="D48" s="157"/>
      <c r="E48" s="122">
        <f>ROUND('Rates in Detail'!Y40,5)</f>
        <v>1.03E-2</v>
      </c>
      <c r="F48" s="122"/>
      <c r="G48" s="157"/>
      <c r="H48" s="373">
        <f>ROUND('Rates in Detail'!R40,5)</f>
        <v>0.10129000000000001</v>
      </c>
      <c r="I48" s="774">
        <f t="shared" si="9"/>
        <v>0.11159000000000001</v>
      </c>
      <c r="J48" s="157"/>
      <c r="K48" s="155"/>
      <c r="L48" s="156"/>
      <c r="M48" s="122"/>
      <c r="N48" s="122"/>
      <c r="O48" s="122"/>
      <c r="P48" s="774"/>
      <c r="Q48" s="157"/>
      <c r="R48" s="298">
        <f>'WA Volumes &amp; Revenues'!E42</f>
        <v>9320.1</v>
      </c>
      <c r="S48" s="311"/>
      <c r="T48" s="300"/>
      <c r="U48" s="301"/>
      <c r="V48" s="157"/>
      <c r="W48" s="313">
        <f t="shared" si="68"/>
        <v>944.03292900000008</v>
      </c>
      <c r="X48" s="309">
        <f t="shared" si="69"/>
        <v>0</v>
      </c>
      <c r="Y48" s="309">
        <f t="shared" si="70"/>
        <v>0</v>
      </c>
      <c r="Z48" s="314"/>
      <c r="AA48" s="309"/>
      <c r="AB48" s="313">
        <f t="shared" si="71"/>
        <v>1040.0299590000002</v>
      </c>
      <c r="AC48" s="309">
        <f t="shared" si="72"/>
        <v>0</v>
      </c>
      <c r="AD48" s="314">
        <f t="shared" si="73"/>
        <v>0</v>
      </c>
      <c r="AE48" s="309"/>
      <c r="AF48" s="313">
        <f t="shared" si="74"/>
        <v>95.997030000000109</v>
      </c>
      <c r="AG48" s="309">
        <f t="shared" si="74"/>
        <v>0</v>
      </c>
      <c r="AH48" s="314">
        <f t="shared" si="74"/>
        <v>0</v>
      </c>
      <c r="AI48" s="309"/>
      <c r="AJ48" s="338"/>
      <c r="AK48" s="340">
        <f>SUM(AF48)/SUM(W48)</f>
        <v>0.10168822193701264</v>
      </c>
      <c r="AL48" s="309"/>
      <c r="AM48" s="313">
        <f t="shared" si="75"/>
        <v>0</v>
      </c>
      <c r="AN48" s="309">
        <v>0</v>
      </c>
      <c r="AO48" s="314">
        <f t="shared" si="76"/>
        <v>0</v>
      </c>
      <c r="AP48" s="309"/>
      <c r="AQ48" s="310"/>
      <c r="AR48" s="310"/>
      <c r="AS48" s="309"/>
    </row>
    <row r="49" spans="1:45" x14ac:dyDescent="0.2">
      <c r="A49" s="86">
        <f t="shared" si="2"/>
        <v>42</v>
      </c>
      <c r="B49" s="725"/>
      <c r="C49" s="726" t="s">
        <v>8</v>
      </c>
      <c r="D49" s="157"/>
      <c r="E49" s="122">
        <f>ROUND('Rates in Detail'!Y41,5)</f>
        <v>6.8700000000000002E-3</v>
      </c>
      <c r="F49" s="122"/>
      <c r="G49" s="157"/>
      <c r="H49" s="373">
        <f>ROUND('Rates in Detail'!R41,5)</f>
        <v>6.7540000000000003E-2</v>
      </c>
      <c r="I49" s="774">
        <f t="shared" si="9"/>
        <v>7.4410000000000004E-2</v>
      </c>
      <c r="J49" s="157"/>
      <c r="K49" s="155"/>
      <c r="L49" s="156"/>
      <c r="M49" s="122"/>
      <c r="N49" s="122"/>
      <c r="O49" s="122"/>
      <c r="P49" s="774"/>
      <c r="Q49" s="157"/>
      <c r="R49" s="298">
        <f>'WA Volumes &amp; Revenues'!E43</f>
        <v>0</v>
      </c>
      <c r="S49" s="311"/>
      <c r="T49" s="300"/>
      <c r="U49" s="301"/>
      <c r="V49" s="157"/>
      <c r="W49" s="313">
        <f t="shared" si="68"/>
        <v>0</v>
      </c>
      <c r="X49" s="309">
        <f t="shared" si="69"/>
        <v>0</v>
      </c>
      <c r="Y49" s="309">
        <f t="shared" si="70"/>
        <v>0</v>
      </c>
      <c r="Z49" s="314"/>
      <c r="AA49" s="309"/>
      <c r="AB49" s="313">
        <f t="shared" si="71"/>
        <v>0</v>
      </c>
      <c r="AC49" s="309">
        <f t="shared" si="72"/>
        <v>0</v>
      </c>
      <c r="AD49" s="314">
        <f t="shared" si="73"/>
        <v>0</v>
      </c>
      <c r="AE49" s="309"/>
      <c r="AF49" s="313">
        <f t="shared" si="74"/>
        <v>0</v>
      </c>
      <c r="AG49" s="309">
        <f t="shared" si="74"/>
        <v>0</v>
      </c>
      <c r="AH49" s="314">
        <f t="shared" si="74"/>
        <v>0</v>
      </c>
      <c r="AI49" s="309"/>
      <c r="AJ49" s="338"/>
      <c r="AK49" s="340">
        <f>AK48</f>
        <v>0.10168822193701264</v>
      </c>
      <c r="AL49" s="309"/>
      <c r="AM49" s="313">
        <f t="shared" si="75"/>
        <v>0</v>
      </c>
      <c r="AN49" s="309">
        <v>0</v>
      </c>
      <c r="AO49" s="314">
        <f t="shared" si="76"/>
        <v>0</v>
      </c>
      <c r="AP49" s="309"/>
      <c r="AQ49" s="310"/>
      <c r="AR49" s="310"/>
      <c r="AS49" s="309"/>
    </row>
    <row r="50" spans="1:45" x14ac:dyDescent="0.2">
      <c r="A50" s="86">
        <f t="shared" si="2"/>
        <v>43</v>
      </c>
      <c r="B50" s="725"/>
      <c r="C50" s="726" t="s">
        <v>9</v>
      </c>
      <c r="D50" s="157"/>
      <c r="E50" s="122">
        <f>ROUND('Rates in Detail'!Y42,5)</f>
        <v>2.5699999999999998E-3</v>
      </c>
      <c r="F50" s="122"/>
      <c r="G50" s="157"/>
      <c r="H50" s="373">
        <f>ROUND('Rates in Detail'!R42,5)</f>
        <v>2.5309999999999999E-2</v>
      </c>
      <c r="I50" s="774">
        <f t="shared" si="9"/>
        <v>2.7879999999999999E-2</v>
      </c>
      <c r="J50" s="157"/>
      <c r="K50" s="155"/>
      <c r="L50" s="156"/>
      <c r="M50" s="122"/>
      <c r="N50" s="122"/>
      <c r="O50" s="122"/>
      <c r="P50" s="774"/>
      <c r="Q50" s="157"/>
      <c r="R50" s="298">
        <f>'WA Volumes &amp; Revenues'!E44</f>
        <v>0</v>
      </c>
      <c r="S50" s="311"/>
      <c r="T50" s="300"/>
      <c r="U50" s="301"/>
      <c r="V50" s="157"/>
      <c r="W50" s="313">
        <f t="shared" si="68"/>
        <v>0</v>
      </c>
      <c r="X50" s="309">
        <f t="shared" si="69"/>
        <v>0</v>
      </c>
      <c r="Y50" s="309">
        <f t="shared" si="70"/>
        <v>0</v>
      </c>
      <c r="Z50" s="314"/>
      <c r="AA50" s="309"/>
      <c r="AB50" s="313">
        <f t="shared" si="71"/>
        <v>0</v>
      </c>
      <c r="AC50" s="309">
        <f t="shared" si="72"/>
        <v>0</v>
      </c>
      <c r="AD50" s="314">
        <f t="shared" si="73"/>
        <v>0</v>
      </c>
      <c r="AE50" s="309"/>
      <c r="AF50" s="313">
        <f t="shared" si="74"/>
        <v>0</v>
      </c>
      <c r="AG50" s="309">
        <f t="shared" si="74"/>
        <v>0</v>
      </c>
      <c r="AH50" s="314">
        <f t="shared" si="74"/>
        <v>0</v>
      </c>
      <c r="AI50" s="309"/>
      <c r="AJ50" s="338"/>
      <c r="AK50" s="340">
        <f>AK49</f>
        <v>0.10168822193701264</v>
      </c>
      <c r="AL50" s="309"/>
      <c r="AM50" s="313">
        <f t="shared" si="75"/>
        <v>0</v>
      </c>
      <c r="AN50" s="309">
        <v>0</v>
      </c>
      <c r="AO50" s="314">
        <f t="shared" si="76"/>
        <v>0</v>
      </c>
      <c r="AP50" s="309"/>
      <c r="AQ50" s="310"/>
      <c r="AR50" s="310"/>
      <c r="AS50" s="309"/>
    </row>
    <row r="51" spans="1:45" x14ac:dyDescent="0.2">
      <c r="A51" s="86">
        <f t="shared" si="2"/>
        <v>44</v>
      </c>
      <c r="B51" s="723"/>
      <c r="C51" s="742" t="s">
        <v>78</v>
      </c>
      <c r="D51" s="153"/>
      <c r="E51" s="123"/>
      <c r="F51" s="123"/>
      <c r="G51" s="153"/>
      <c r="H51" s="368"/>
      <c r="I51" s="773"/>
      <c r="J51" s="157"/>
      <c r="K51" s="155"/>
      <c r="L51" s="156"/>
      <c r="M51" s="122"/>
      <c r="N51" s="122"/>
      <c r="O51" s="122"/>
      <c r="P51" s="774"/>
      <c r="Q51" s="157"/>
      <c r="R51" s="298"/>
      <c r="S51" s="311"/>
      <c r="T51" s="300"/>
      <c r="U51" s="301"/>
      <c r="V51" s="157"/>
      <c r="W51" s="315">
        <f>SUM(W45:W50)</f>
        <v>321251.33393699996</v>
      </c>
      <c r="X51" s="316">
        <f>SUM(X45:X50)</f>
        <v>185900</v>
      </c>
      <c r="Y51" s="316">
        <f>SUM(Y45:Y50)</f>
        <v>41468.835359999997</v>
      </c>
      <c r="Z51" s="317">
        <f>'Rate Spread Proposal'!R$74-SUM(W51:Y51)</f>
        <v>27898.26425673638</v>
      </c>
      <c r="AA51" s="309"/>
      <c r="AB51" s="315">
        <f>SUM(AB45:AB50)</f>
        <v>353906.90509200003</v>
      </c>
      <c r="AC51" s="316">
        <f>SUM(AC45:AC50)</f>
        <v>185900</v>
      </c>
      <c r="AD51" s="317">
        <f>SUM(AD45:AD50)</f>
        <v>41468.835359999997</v>
      </c>
      <c r="AE51" s="309"/>
      <c r="AF51" s="315">
        <f>SUM(AF45:AF50)</f>
        <v>32655.57115500002</v>
      </c>
      <c r="AG51" s="316">
        <f>SUM(AG45:AG50)</f>
        <v>0</v>
      </c>
      <c r="AH51" s="317">
        <f>SUM(AH45:AH50)</f>
        <v>0</v>
      </c>
      <c r="AI51" s="309"/>
      <c r="AJ51" s="338">
        <f>SUM(AF51:AH51)/SUM(W51:Y51)</f>
        <v>5.9523096274139466E-2</v>
      </c>
      <c r="AK51" s="339">
        <f t="shared" ref="AK51:AK56" si="77">SUM(AF51)/SUM(W51)</f>
        <v>0.10165116127238882</v>
      </c>
      <c r="AL51" s="309"/>
      <c r="AM51" s="315">
        <f>SUM(AM45:AM50)</f>
        <v>0</v>
      </c>
      <c r="AN51" s="316">
        <f>SUM(AN45:AN50)</f>
        <v>0</v>
      </c>
      <c r="AO51" s="317">
        <f>SUM(AO45:AO50)</f>
        <v>0</v>
      </c>
      <c r="AP51" s="309"/>
      <c r="AQ51" s="310"/>
      <c r="AR51" s="310"/>
      <c r="AS51" s="309"/>
    </row>
    <row r="52" spans="1:45" x14ac:dyDescent="0.2">
      <c r="A52" s="86">
        <f t="shared" si="2"/>
        <v>45</v>
      </c>
      <c r="B52" s="725" t="str">
        <f>'WA Volumes &amp; Revenues'!B45</f>
        <v>42C Firm Transpt</v>
      </c>
      <c r="C52" s="726" t="s">
        <v>4</v>
      </c>
      <c r="D52" s="157"/>
      <c r="E52" s="122">
        <f>ROUND('Rates in Detail'!Y43,5)</f>
        <v>1.191E-2</v>
      </c>
      <c r="F52" s="122"/>
      <c r="G52" s="157"/>
      <c r="H52" s="373">
        <f>ROUND('Rates in Detail'!R43,5)</f>
        <v>0.16156999999999999</v>
      </c>
      <c r="I52" s="774">
        <f t="shared" si="9"/>
        <v>0.17348</v>
      </c>
      <c r="J52" s="157"/>
      <c r="K52" s="155">
        <f>'WA Volumes &amp; Revenues'!O45</f>
        <v>1550</v>
      </c>
      <c r="L52" s="156">
        <f>'WA Volumes &amp; Revenues'!N45</f>
        <v>1550</v>
      </c>
      <c r="M52" s="122">
        <f>'Rates in Detail'!AF43</f>
        <v>0.15748000000000001</v>
      </c>
      <c r="N52" s="122">
        <f>'Rates in Detail'!AG43</f>
        <v>0.15748000000000001</v>
      </c>
      <c r="O52" s="122">
        <f>'Rates in Detail'!AH43</f>
        <v>0</v>
      </c>
      <c r="P52" s="774">
        <f>'Rates in Detail'!AI43</f>
        <v>0</v>
      </c>
      <c r="Q52" s="157"/>
      <c r="R52" s="298">
        <f>'WA Volumes &amp; Revenues'!E45</f>
        <v>480000</v>
      </c>
      <c r="S52" s="311">
        <v>10479</v>
      </c>
      <c r="T52" s="300">
        <f>'WA Volumes &amp; Revenues'!H45</f>
        <v>4</v>
      </c>
      <c r="U52" s="301">
        <f>'WA Volumes &amp; Revenues'!I45</f>
        <v>51470</v>
      </c>
      <c r="V52" s="157"/>
      <c r="W52" s="313">
        <f t="shared" ref="W52:W57" si="78">(H52*R52)</f>
        <v>77553.599999999991</v>
      </c>
      <c r="X52" s="309">
        <f t="shared" ref="X52:X57" si="79">(K52*T52*12)</f>
        <v>74400</v>
      </c>
      <c r="Y52" s="309">
        <f t="shared" ref="Y52:Y57" si="80">(S52*(M52+O52))*12</f>
        <v>19802.795040000001</v>
      </c>
      <c r="Z52" s="314"/>
      <c r="AA52" s="309"/>
      <c r="AB52" s="313">
        <f t="shared" ref="AB52:AB57" si="81">(I52*R52)</f>
        <v>83270.399999999994</v>
      </c>
      <c r="AC52" s="309">
        <f t="shared" ref="AC52:AC57" si="82">(L52*T52*12)</f>
        <v>74400</v>
      </c>
      <c r="AD52" s="314">
        <f t="shared" ref="AD52:AD57" si="83">(S52*(N52+P52))*12</f>
        <v>19802.795040000001</v>
      </c>
      <c r="AE52" s="309"/>
      <c r="AF52" s="313">
        <f t="shared" ref="AF52:AH57" si="84">AB52-W52</f>
        <v>5716.8000000000029</v>
      </c>
      <c r="AG52" s="309">
        <f t="shared" si="84"/>
        <v>0</v>
      </c>
      <c r="AH52" s="314">
        <f t="shared" si="84"/>
        <v>0</v>
      </c>
      <c r="AI52" s="309"/>
      <c r="AJ52" s="338"/>
      <c r="AK52" s="340">
        <f t="shared" si="77"/>
        <v>7.3714179612551875E-2</v>
      </c>
      <c r="AL52" s="309"/>
      <c r="AM52" s="313">
        <f t="shared" ref="AM52:AM57" si="85">(F52*R52)</f>
        <v>0</v>
      </c>
      <c r="AN52" s="309">
        <v>0</v>
      </c>
      <c r="AO52" s="314">
        <f t="shared" ref="AO52:AO57" si="86">(AE52*(Y52+AB52))*12</f>
        <v>0</v>
      </c>
      <c r="AP52" s="309"/>
      <c r="AQ52" s="310"/>
      <c r="AR52" s="310"/>
      <c r="AS52" s="309"/>
    </row>
    <row r="53" spans="1:45" x14ac:dyDescent="0.2">
      <c r="A53" s="86">
        <f t="shared" si="2"/>
        <v>46</v>
      </c>
      <c r="B53" s="725"/>
      <c r="C53" s="726" t="s">
        <v>5</v>
      </c>
      <c r="D53" s="157"/>
      <c r="E53" s="122">
        <f>ROUND('Rates in Detail'!Y44,5)</f>
        <v>1.0659999999999999E-2</v>
      </c>
      <c r="F53" s="122"/>
      <c r="G53" s="157"/>
      <c r="H53" s="373">
        <f>ROUND('Rates in Detail'!R44,5)</f>
        <v>0.14463999999999999</v>
      </c>
      <c r="I53" s="774">
        <f t="shared" si="9"/>
        <v>0.15529999999999999</v>
      </c>
      <c r="J53" s="157"/>
      <c r="K53" s="155"/>
      <c r="L53" s="156"/>
      <c r="M53" s="122"/>
      <c r="N53" s="122"/>
      <c r="O53" s="122"/>
      <c r="P53" s="774"/>
      <c r="Q53" s="157"/>
      <c r="R53" s="298">
        <f>'WA Volumes &amp; Revenues'!E46</f>
        <v>807846</v>
      </c>
      <c r="S53" s="311"/>
      <c r="T53" s="300"/>
      <c r="U53" s="301"/>
      <c r="V53" s="157"/>
      <c r="W53" s="313">
        <f t="shared" si="78"/>
        <v>116846.84543999999</v>
      </c>
      <c r="X53" s="309">
        <f t="shared" si="79"/>
        <v>0</v>
      </c>
      <c r="Y53" s="309">
        <f t="shared" si="80"/>
        <v>0</v>
      </c>
      <c r="Z53" s="314"/>
      <c r="AA53" s="309"/>
      <c r="AB53" s="313">
        <f t="shared" si="81"/>
        <v>125458.4838</v>
      </c>
      <c r="AC53" s="309">
        <f t="shared" si="82"/>
        <v>0</v>
      </c>
      <c r="AD53" s="314">
        <f t="shared" si="83"/>
        <v>0</v>
      </c>
      <c r="AE53" s="309"/>
      <c r="AF53" s="313">
        <f t="shared" si="84"/>
        <v>8611.6383600000117</v>
      </c>
      <c r="AG53" s="309">
        <f t="shared" si="84"/>
        <v>0</v>
      </c>
      <c r="AH53" s="314">
        <f t="shared" si="84"/>
        <v>0</v>
      </c>
      <c r="AI53" s="309"/>
      <c r="AJ53" s="338"/>
      <c r="AK53" s="340">
        <f t="shared" si="77"/>
        <v>7.3700221238938157E-2</v>
      </c>
      <c r="AL53" s="309"/>
      <c r="AM53" s="313">
        <f t="shared" si="85"/>
        <v>0</v>
      </c>
      <c r="AN53" s="309">
        <v>0</v>
      </c>
      <c r="AO53" s="314">
        <f t="shared" si="86"/>
        <v>0</v>
      </c>
      <c r="AP53" s="309"/>
      <c r="AQ53" s="310"/>
      <c r="AR53" s="310"/>
      <c r="AS53" s="309"/>
    </row>
    <row r="54" spans="1:45" x14ac:dyDescent="0.2">
      <c r="A54" s="86">
        <f t="shared" si="2"/>
        <v>47</v>
      </c>
      <c r="B54" s="725"/>
      <c r="C54" s="726" t="s">
        <v>6</v>
      </c>
      <c r="D54" s="157"/>
      <c r="E54" s="122">
        <f>ROUND('Rates in Detail'!Y45,5)</f>
        <v>8.1799999999999998E-3</v>
      </c>
      <c r="F54" s="122"/>
      <c r="G54" s="157"/>
      <c r="H54" s="373">
        <f>ROUND('Rates in Detail'!R45,5)</f>
        <v>0.11090999999999999</v>
      </c>
      <c r="I54" s="774">
        <f t="shared" si="9"/>
        <v>0.11909</v>
      </c>
      <c r="J54" s="157"/>
      <c r="K54" s="155"/>
      <c r="L54" s="156"/>
      <c r="M54" s="122"/>
      <c r="N54" s="122"/>
      <c r="O54" s="122"/>
      <c r="P54" s="774"/>
      <c r="Q54" s="157"/>
      <c r="R54" s="298">
        <f>'WA Volumes &amp; Revenues'!E47</f>
        <v>583779</v>
      </c>
      <c r="S54" s="311"/>
      <c r="T54" s="300"/>
      <c r="U54" s="301"/>
      <c r="V54" s="157"/>
      <c r="W54" s="313">
        <f t="shared" si="78"/>
        <v>64746.928889999996</v>
      </c>
      <c r="X54" s="309">
        <f t="shared" si="79"/>
        <v>0</v>
      </c>
      <c r="Y54" s="309">
        <f t="shared" si="80"/>
        <v>0</v>
      </c>
      <c r="Z54" s="314"/>
      <c r="AA54" s="309"/>
      <c r="AB54" s="313">
        <f t="shared" si="81"/>
        <v>69522.241110000003</v>
      </c>
      <c r="AC54" s="309">
        <f t="shared" si="82"/>
        <v>0</v>
      </c>
      <c r="AD54" s="314">
        <f t="shared" si="83"/>
        <v>0</v>
      </c>
      <c r="AE54" s="309"/>
      <c r="AF54" s="313">
        <f t="shared" si="84"/>
        <v>4775.3122200000071</v>
      </c>
      <c r="AG54" s="309">
        <f t="shared" si="84"/>
        <v>0</v>
      </c>
      <c r="AH54" s="314">
        <f t="shared" si="84"/>
        <v>0</v>
      </c>
      <c r="AI54" s="309"/>
      <c r="AJ54" s="338"/>
      <c r="AK54" s="340">
        <f t="shared" si="77"/>
        <v>7.3753493823821237E-2</v>
      </c>
      <c r="AL54" s="309"/>
      <c r="AM54" s="313">
        <f t="shared" si="85"/>
        <v>0</v>
      </c>
      <c r="AN54" s="309">
        <v>0</v>
      </c>
      <c r="AO54" s="314">
        <f t="shared" si="86"/>
        <v>0</v>
      </c>
      <c r="AP54" s="309"/>
      <c r="AQ54" s="310"/>
      <c r="AR54" s="310"/>
      <c r="AS54" s="309"/>
    </row>
    <row r="55" spans="1:45" x14ac:dyDescent="0.2">
      <c r="A55" s="86">
        <f t="shared" si="2"/>
        <v>48</v>
      </c>
      <c r="B55" s="725"/>
      <c r="C55" s="726" t="s">
        <v>7</v>
      </c>
      <c r="D55" s="157"/>
      <c r="E55" s="122">
        <f>ROUND('Rates in Detail'!Y46,5)</f>
        <v>6.5399999999999998E-3</v>
      </c>
      <c r="F55" s="122"/>
      <c r="G55" s="157"/>
      <c r="H55" s="373">
        <f>ROUND('Rates in Detail'!R46,5)</f>
        <v>8.8739999999999999E-2</v>
      </c>
      <c r="I55" s="774">
        <f t="shared" si="9"/>
        <v>9.5280000000000004E-2</v>
      </c>
      <c r="J55" s="157"/>
      <c r="K55" s="155"/>
      <c r="L55" s="156"/>
      <c r="M55" s="122"/>
      <c r="N55" s="122"/>
      <c r="O55" s="122"/>
      <c r="P55" s="774"/>
      <c r="Q55" s="157"/>
      <c r="R55" s="298">
        <f>'WA Volumes &amp; Revenues'!E48</f>
        <v>598933</v>
      </c>
      <c r="S55" s="311"/>
      <c r="T55" s="300"/>
      <c r="U55" s="301"/>
      <c r="V55" s="157"/>
      <c r="W55" s="313">
        <f t="shared" si="78"/>
        <v>53149.314420000002</v>
      </c>
      <c r="X55" s="309">
        <f t="shared" si="79"/>
        <v>0</v>
      </c>
      <c r="Y55" s="309">
        <f t="shared" si="80"/>
        <v>0</v>
      </c>
      <c r="Z55" s="314"/>
      <c r="AA55" s="309"/>
      <c r="AB55" s="313">
        <f t="shared" si="81"/>
        <v>57066.336240000004</v>
      </c>
      <c r="AC55" s="309">
        <f t="shared" si="82"/>
        <v>0</v>
      </c>
      <c r="AD55" s="314">
        <f t="shared" si="83"/>
        <v>0</v>
      </c>
      <c r="AE55" s="309"/>
      <c r="AF55" s="313">
        <f t="shared" si="84"/>
        <v>3917.0218200000018</v>
      </c>
      <c r="AG55" s="309">
        <f t="shared" si="84"/>
        <v>0</v>
      </c>
      <c r="AH55" s="314">
        <f t="shared" si="84"/>
        <v>0</v>
      </c>
      <c r="AI55" s="309"/>
      <c r="AJ55" s="338"/>
      <c r="AK55" s="340">
        <f t="shared" si="77"/>
        <v>7.3698444895199486E-2</v>
      </c>
      <c r="AL55" s="309"/>
      <c r="AM55" s="313">
        <f t="shared" si="85"/>
        <v>0</v>
      </c>
      <c r="AN55" s="309">
        <v>0</v>
      </c>
      <c r="AO55" s="314">
        <f t="shared" si="86"/>
        <v>0</v>
      </c>
      <c r="AP55" s="309"/>
      <c r="AQ55" s="310"/>
      <c r="AR55" s="310"/>
      <c r="AS55" s="309"/>
    </row>
    <row r="56" spans="1:45" x14ac:dyDescent="0.2">
      <c r="A56" s="86">
        <f t="shared" si="2"/>
        <v>49</v>
      </c>
      <c r="B56" s="725"/>
      <c r="C56" s="726" t="s">
        <v>8</v>
      </c>
      <c r="D56" s="157"/>
      <c r="E56" s="122">
        <f>ROUND('Rates in Detail'!Y47,5)</f>
        <v>4.3600000000000002E-3</v>
      </c>
      <c r="F56" s="122"/>
      <c r="G56" s="157"/>
      <c r="H56" s="373">
        <f>ROUND('Rates in Detail'!R47,5)</f>
        <v>5.9159999999999997E-2</v>
      </c>
      <c r="I56" s="774">
        <f t="shared" si="9"/>
        <v>6.3519999999999993E-2</v>
      </c>
      <c r="J56" s="157"/>
      <c r="K56" s="155"/>
      <c r="L56" s="156"/>
      <c r="M56" s="122"/>
      <c r="N56" s="122"/>
      <c r="O56" s="122"/>
      <c r="P56" s="774"/>
      <c r="Q56" s="157"/>
      <c r="R56" s="298">
        <f>'WA Volumes &amp; Revenues'!E49</f>
        <v>0</v>
      </c>
      <c r="S56" s="311"/>
      <c r="T56" s="300"/>
      <c r="U56" s="301"/>
      <c r="V56" s="157"/>
      <c r="W56" s="313">
        <f t="shared" si="78"/>
        <v>0</v>
      </c>
      <c r="X56" s="309">
        <f t="shared" si="79"/>
        <v>0</v>
      </c>
      <c r="Y56" s="309">
        <f t="shared" si="80"/>
        <v>0</v>
      </c>
      <c r="Z56" s="314"/>
      <c r="AA56" s="309"/>
      <c r="AB56" s="313">
        <f t="shared" si="81"/>
        <v>0</v>
      </c>
      <c r="AC56" s="309">
        <f t="shared" si="82"/>
        <v>0</v>
      </c>
      <c r="AD56" s="314">
        <f t="shared" si="83"/>
        <v>0</v>
      </c>
      <c r="AE56" s="309"/>
      <c r="AF56" s="313">
        <f t="shared" si="84"/>
        <v>0</v>
      </c>
      <c r="AG56" s="309">
        <f t="shared" si="84"/>
        <v>0</v>
      </c>
      <c r="AH56" s="314">
        <f t="shared" si="84"/>
        <v>0</v>
      </c>
      <c r="AI56" s="309"/>
      <c r="AJ56" s="338"/>
      <c r="AK56" s="340" t="e">
        <f t="shared" si="77"/>
        <v>#DIV/0!</v>
      </c>
      <c r="AL56" s="309"/>
      <c r="AM56" s="313">
        <f t="shared" si="85"/>
        <v>0</v>
      </c>
      <c r="AN56" s="309">
        <v>0</v>
      </c>
      <c r="AO56" s="314">
        <f t="shared" si="86"/>
        <v>0</v>
      </c>
      <c r="AP56" s="309"/>
      <c r="AQ56" s="310"/>
      <c r="AR56" s="310"/>
      <c r="AS56" s="309"/>
    </row>
    <row r="57" spans="1:45" x14ac:dyDescent="0.2">
      <c r="A57" s="86">
        <f t="shared" si="2"/>
        <v>50</v>
      </c>
      <c r="B57" s="725"/>
      <c r="C57" s="726" t="s">
        <v>9</v>
      </c>
      <c r="D57" s="157"/>
      <c r="E57" s="122">
        <f>ROUND('Rates in Detail'!Y48,5)</f>
        <v>1.64E-3</v>
      </c>
      <c r="F57" s="122"/>
      <c r="G57" s="157"/>
      <c r="H57" s="373">
        <f>ROUND('Rates in Detail'!R48,5)</f>
        <v>2.2179999999999998E-2</v>
      </c>
      <c r="I57" s="774">
        <f t="shared" si="9"/>
        <v>2.3819999999999997E-2</v>
      </c>
      <c r="J57" s="157"/>
      <c r="K57" s="155"/>
      <c r="L57" s="156"/>
      <c r="M57" s="122"/>
      <c r="N57" s="122"/>
      <c r="O57" s="122"/>
      <c r="P57" s="774"/>
      <c r="Q57" s="157"/>
      <c r="R57" s="298">
        <f>'WA Volumes &amp; Revenues'!E50</f>
        <v>0</v>
      </c>
      <c r="S57" s="311"/>
      <c r="T57" s="300"/>
      <c r="U57" s="301"/>
      <c r="V57" s="157"/>
      <c r="W57" s="313">
        <f t="shared" si="78"/>
        <v>0</v>
      </c>
      <c r="X57" s="309">
        <f t="shared" si="79"/>
        <v>0</v>
      </c>
      <c r="Y57" s="309">
        <f t="shared" si="80"/>
        <v>0</v>
      </c>
      <c r="Z57" s="314"/>
      <c r="AA57" s="309"/>
      <c r="AB57" s="313">
        <f t="shared" si="81"/>
        <v>0</v>
      </c>
      <c r="AC57" s="309">
        <f t="shared" si="82"/>
        <v>0</v>
      </c>
      <c r="AD57" s="314">
        <f t="shared" si="83"/>
        <v>0</v>
      </c>
      <c r="AE57" s="309"/>
      <c r="AF57" s="313">
        <f t="shared" si="84"/>
        <v>0</v>
      </c>
      <c r="AG57" s="309">
        <f t="shared" si="84"/>
        <v>0</v>
      </c>
      <c r="AH57" s="314">
        <f t="shared" si="84"/>
        <v>0</v>
      </c>
      <c r="AI57" s="309"/>
      <c r="AJ57" s="338"/>
      <c r="AK57" s="340" t="e">
        <f>AK56</f>
        <v>#DIV/0!</v>
      </c>
      <c r="AL57" s="309"/>
      <c r="AM57" s="313">
        <f t="shared" si="85"/>
        <v>0</v>
      </c>
      <c r="AN57" s="309">
        <v>0</v>
      </c>
      <c r="AO57" s="314">
        <f t="shared" si="86"/>
        <v>0</v>
      </c>
      <c r="AP57" s="309"/>
      <c r="AQ57" s="318"/>
      <c r="AR57" s="310"/>
      <c r="AS57" s="309"/>
    </row>
    <row r="58" spans="1:45" x14ac:dyDescent="0.2">
      <c r="A58" s="86">
        <f t="shared" si="2"/>
        <v>51</v>
      </c>
      <c r="B58" s="723"/>
      <c r="C58" s="742" t="s">
        <v>78</v>
      </c>
      <c r="D58" s="153"/>
      <c r="E58" s="123"/>
      <c r="F58" s="123"/>
      <c r="G58" s="153"/>
      <c r="H58" s="368"/>
      <c r="I58" s="773"/>
      <c r="J58" s="157"/>
      <c r="K58" s="155"/>
      <c r="L58" s="156"/>
      <c r="M58" s="122"/>
      <c r="N58" s="122"/>
      <c r="O58" s="122"/>
      <c r="P58" s="774"/>
      <c r="Q58" s="157"/>
      <c r="R58" s="298"/>
      <c r="S58" s="311"/>
      <c r="T58" s="300"/>
      <c r="U58" s="301"/>
      <c r="V58" s="157"/>
      <c r="W58" s="315">
        <f>SUM(W52:W57)</f>
        <v>312296.68874999997</v>
      </c>
      <c r="X58" s="316">
        <f>SUM(X52:X57)</f>
        <v>74400</v>
      </c>
      <c r="Y58" s="316">
        <f>SUM(Y52:Y57)</f>
        <v>19802.795040000001</v>
      </c>
      <c r="Z58" s="317">
        <f>'Rate Spread Proposal'!S$74-SUM(W58:Y58)</f>
        <v>8.7099751703790389</v>
      </c>
      <c r="AA58" s="309"/>
      <c r="AB58" s="315">
        <f>SUM(AB52:AB57)</f>
        <v>335317.46114999999</v>
      </c>
      <c r="AC58" s="316">
        <f>SUM(AC52:AC57)</f>
        <v>74400</v>
      </c>
      <c r="AD58" s="317">
        <f>SUM(AD52:AD57)</f>
        <v>19802.795040000001</v>
      </c>
      <c r="AE58" s="309"/>
      <c r="AF58" s="315">
        <f>SUM(AF52:AF57)</f>
        <v>23020.772400000023</v>
      </c>
      <c r="AG58" s="316">
        <f>SUM(AG52:AG57)</f>
        <v>0</v>
      </c>
      <c r="AH58" s="317">
        <f>SUM(AH52:AH57)</f>
        <v>0</v>
      </c>
      <c r="AI58" s="309"/>
      <c r="AJ58" s="338">
        <f>SUM(AF58:AH58)/SUM(W58:Y58)</f>
        <v>5.6631738336702757E-2</v>
      </c>
      <c r="AK58" s="339">
        <f t="shared" ref="AK58:AK70" si="87">SUM(AF58)/SUM(W58)</f>
        <v>7.3714429993295999E-2</v>
      </c>
      <c r="AL58" s="309"/>
      <c r="AM58" s="315">
        <f>SUM(AM52:AM57)</f>
        <v>0</v>
      </c>
      <c r="AN58" s="316">
        <f>SUM(AN52:AN57)</f>
        <v>0</v>
      </c>
      <c r="AO58" s="317">
        <f>SUM(AO52:AO57)</f>
        <v>0</v>
      </c>
      <c r="AP58" s="309"/>
      <c r="AQ58" s="310"/>
      <c r="AR58" s="310"/>
      <c r="AS58" s="309"/>
    </row>
    <row r="59" spans="1:45" x14ac:dyDescent="0.2">
      <c r="A59" s="86">
        <f t="shared" si="2"/>
        <v>52</v>
      </c>
      <c r="B59" s="725" t="str">
        <f>'WA Volumes &amp; Revenues'!B51</f>
        <v>42I Firm Transpt</v>
      </c>
      <c r="C59" s="726" t="s">
        <v>4</v>
      </c>
      <c r="D59" s="157"/>
      <c r="E59" s="122">
        <f>ROUND('Rates in Detail'!Y49,5)</f>
        <v>1.2070000000000001E-2</v>
      </c>
      <c r="F59" s="122"/>
      <c r="G59" s="157"/>
      <c r="H59" s="373">
        <f>ROUND('Rates in Detail'!R49,5)</f>
        <v>0.16338</v>
      </c>
      <c r="I59" s="774">
        <f t="shared" si="9"/>
        <v>0.17544999999999999</v>
      </c>
      <c r="J59" s="157"/>
      <c r="K59" s="155">
        <f>'WA Volumes &amp; Revenues'!O51</f>
        <v>1550</v>
      </c>
      <c r="L59" s="156">
        <f>'WA Volumes &amp; Revenues'!N51</f>
        <v>1550</v>
      </c>
      <c r="M59" s="122">
        <f>'Rates in Detail'!AF49</f>
        <v>0.15748000000000001</v>
      </c>
      <c r="N59" s="122">
        <f>'Rates in Detail'!AG49</f>
        <v>0.15748000000000001</v>
      </c>
      <c r="O59" s="122">
        <f>'Rates in Detail'!AH49</f>
        <v>0</v>
      </c>
      <c r="P59" s="774">
        <f>'Rates in Detail'!AI49</f>
        <v>0</v>
      </c>
      <c r="Q59" s="157"/>
      <c r="R59" s="298">
        <f>'WA Volumes &amp; Revenues'!E51</f>
        <v>924395</v>
      </c>
      <c r="S59" s="311">
        <v>26810</v>
      </c>
      <c r="T59" s="300">
        <f>'WA Volumes &amp; Revenues'!H51</f>
        <v>8.9166666666666661</v>
      </c>
      <c r="U59" s="301">
        <f>'WA Volumes &amp; Revenues'!I51</f>
        <v>63374</v>
      </c>
      <c r="V59" s="157"/>
      <c r="W59" s="313">
        <f t="shared" ref="W59:W64" si="88">(H59*R59)</f>
        <v>151027.6551</v>
      </c>
      <c r="X59" s="309">
        <f t="shared" ref="X59:X64" si="89">(K59*T59*12)</f>
        <v>165850</v>
      </c>
      <c r="Y59" s="309">
        <f t="shared" ref="Y59:Y64" si="90">(S59*(M59+O59))*12</f>
        <v>50664.465600000003</v>
      </c>
      <c r="Z59" s="314"/>
      <c r="AA59" s="309"/>
      <c r="AB59" s="313">
        <f t="shared" ref="AB59:AB64" si="91">(I59*R59)</f>
        <v>162185.10274999999</v>
      </c>
      <c r="AC59" s="309">
        <f t="shared" ref="AC59:AC64" si="92">(L59*T59*12)</f>
        <v>165850</v>
      </c>
      <c r="AD59" s="314">
        <f t="shared" ref="AD59:AD64" si="93">(S59*(N59+P59))*12</f>
        <v>50664.465600000003</v>
      </c>
      <c r="AE59" s="309"/>
      <c r="AF59" s="313">
        <f t="shared" ref="AF59:AH64" si="94">AB59-W59</f>
        <v>11157.447649999987</v>
      </c>
      <c r="AG59" s="309">
        <f t="shared" si="94"/>
        <v>0</v>
      </c>
      <c r="AH59" s="314">
        <f t="shared" si="94"/>
        <v>0</v>
      </c>
      <c r="AI59" s="309"/>
      <c r="AJ59" s="338"/>
      <c r="AK59" s="340">
        <f t="shared" si="87"/>
        <v>7.3876851511812863E-2</v>
      </c>
      <c r="AL59" s="309"/>
      <c r="AM59" s="313">
        <f t="shared" ref="AM59:AM64" si="95">(F59*R59)</f>
        <v>0</v>
      </c>
      <c r="AN59" s="309">
        <v>0</v>
      </c>
      <c r="AO59" s="314">
        <f t="shared" ref="AO59:AO64" si="96">(AE59*(Y59+AB59))*12</f>
        <v>0</v>
      </c>
      <c r="AP59" s="309"/>
      <c r="AQ59" s="310"/>
      <c r="AR59" s="310"/>
      <c r="AS59" s="309"/>
    </row>
    <row r="60" spans="1:45" x14ac:dyDescent="0.2">
      <c r="A60" s="86">
        <f t="shared" si="2"/>
        <v>53</v>
      </c>
      <c r="B60" s="725"/>
      <c r="C60" s="726" t="s">
        <v>5</v>
      </c>
      <c r="D60" s="157"/>
      <c r="E60" s="122">
        <f>ROUND('Rates in Detail'!Y50,5)</f>
        <v>1.0800000000000001E-2</v>
      </c>
      <c r="F60" s="122"/>
      <c r="G60" s="157"/>
      <c r="H60" s="373">
        <f>ROUND('Rates in Detail'!R50,5)</f>
        <v>0.14624000000000001</v>
      </c>
      <c r="I60" s="774">
        <f t="shared" si="9"/>
        <v>0.15704000000000001</v>
      </c>
      <c r="J60" s="157"/>
      <c r="K60" s="155"/>
      <c r="L60" s="156"/>
      <c r="M60" s="122"/>
      <c r="N60" s="122"/>
      <c r="O60" s="122"/>
      <c r="P60" s="774"/>
      <c r="Q60" s="157"/>
      <c r="R60" s="298">
        <f>'WA Volumes &amp; Revenues'!E52</f>
        <v>1036796</v>
      </c>
      <c r="S60" s="311"/>
      <c r="T60" s="300"/>
      <c r="U60" s="301"/>
      <c r="V60" s="157"/>
      <c r="W60" s="313">
        <f t="shared" si="88"/>
        <v>151621.04704</v>
      </c>
      <c r="X60" s="309">
        <f t="shared" si="89"/>
        <v>0</v>
      </c>
      <c r="Y60" s="309">
        <f t="shared" si="90"/>
        <v>0</v>
      </c>
      <c r="Z60" s="314"/>
      <c r="AA60" s="309"/>
      <c r="AB60" s="313">
        <f t="shared" si="91"/>
        <v>162818.44384000002</v>
      </c>
      <c r="AC60" s="309">
        <f t="shared" si="92"/>
        <v>0</v>
      </c>
      <c r="AD60" s="314">
        <f t="shared" si="93"/>
        <v>0</v>
      </c>
      <c r="AE60" s="309"/>
      <c r="AF60" s="313">
        <f t="shared" si="94"/>
        <v>11197.396800000017</v>
      </c>
      <c r="AG60" s="309">
        <f t="shared" si="94"/>
        <v>0</v>
      </c>
      <c r="AH60" s="314">
        <f t="shared" si="94"/>
        <v>0</v>
      </c>
      <c r="AI60" s="309"/>
      <c r="AJ60" s="338"/>
      <c r="AK60" s="340">
        <f t="shared" si="87"/>
        <v>7.3851203501094198E-2</v>
      </c>
      <c r="AL60" s="309"/>
      <c r="AM60" s="313">
        <f t="shared" si="95"/>
        <v>0</v>
      </c>
      <c r="AN60" s="309">
        <v>0</v>
      </c>
      <c r="AO60" s="314">
        <f t="shared" si="96"/>
        <v>0</v>
      </c>
      <c r="AP60" s="309"/>
      <c r="AQ60" s="310"/>
      <c r="AR60" s="310"/>
      <c r="AS60" s="309"/>
    </row>
    <row r="61" spans="1:45" x14ac:dyDescent="0.2">
      <c r="A61" s="86">
        <f t="shared" si="2"/>
        <v>54</v>
      </c>
      <c r="B61" s="725"/>
      <c r="C61" s="726" t="s">
        <v>6</v>
      </c>
      <c r="D61" s="157"/>
      <c r="E61" s="122">
        <f>ROUND('Rates in Detail'!Y51,5)</f>
        <v>8.2799999999999992E-3</v>
      </c>
      <c r="F61" s="122"/>
      <c r="G61" s="157"/>
      <c r="H61" s="373">
        <f>ROUND('Rates in Detail'!R51,5)</f>
        <v>0.11214</v>
      </c>
      <c r="I61" s="774">
        <f t="shared" si="9"/>
        <v>0.12042</v>
      </c>
      <c r="J61" s="157"/>
      <c r="K61" s="155"/>
      <c r="L61" s="156"/>
      <c r="M61" s="122"/>
      <c r="N61" s="122"/>
      <c r="O61" s="122"/>
      <c r="P61" s="774"/>
      <c r="Q61" s="157"/>
      <c r="R61" s="298">
        <f>'WA Volumes &amp; Revenues'!E53</f>
        <v>937215</v>
      </c>
      <c r="S61" s="311"/>
      <c r="T61" s="300"/>
      <c r="U61" s="301"/>
      <c r="V61" s="157"/>
      <c r="W61" s="313">
        <f t="shared" si="88"/>
        <v>105099.2901</v>
      </c>
      <c r="X61" s="309">
        <f t="shared" si="89"/>
        <v>0</v>
      </c>
      <c r="Y61" s="309">
        <f t="shared" si="90"/>
        <v>0</v>
      </c>
      <c r="Z61" s="314"/>
      <c r="AA61" s="309"/>
      <c r="AB61" s="313">
        <f t="shared" si="91"/>
        <v>112859.43029999999</v>
      </c>
      <c r="AC61" s="309">
        <f t="shared" si="92"/>
        <v>0</v>
      </c>
      <c r="AD61" s="314">
        <f t="shared" si="93"/>
        <v>0</v>
      </c>
      <c r="AE61" s="309"/>
      <c r="AF61" s="313">
        <f t="shared" si="94"/>
        <v>7760.1401999999944</v>
      </c>
      <c r="AG61" s="309">
        <f t="shared" si="94"/>
        <v>0</v>
      </c>
      <c r="AH61" s="314">
        <f t="shared" si="94"/>
        <v>0</v>
      </c>
      <c r="AI61" s="309"/>
      <c r="AJ61" s="338"/>
      <c r="AK61" s="340">
        <f t="shared" si="87"/>
        <v>7.3836276083467045E-2</v>
      </c>
      <c r="AL61" s="309"/>
      <c r="AM61" s="313">
        <f t="shared" si="95"/>
        <v>0</v>
      </c>
      <c r="AN61" s="309">
        <v>0</v>
      </c>
      <c r="AO61" s="314">
        <f t="shared" si="96"/>
        <v>0</v>
      </c>
      <c r="AP61" s="309"/>
      <c r="AQ61" s="310"/>
      <c r="AR61" s="310"/>
      <c r="AS61" s="309"/>
    </row>
    <row r="62" spans="1:45" x14ac:dyDescent="0.2">
      <c r="A62" s="86">
        <f t="shared" si="2"/>
        <v>55</v>
      </c>
      <c r="B62" s="725"/>
      <c r="C62" s="726" t="s">
        <v>7</v>
      </c>
      <c r="D62" s="157"/>
      <c r="E62" s="122">
        <f>ROUND('Rates in Detail'!Y52,5)</f>
        <v>6.6299999999999996E-3</v>
      </c>
      <c r="F62" s="122"/>
      <c r="G62" s="157"/>
      <c r="H62" s="373">
        <f>ROUND('Rates in Detail'!R52,5)</f>
        <v>8.9730000000000004E-2</v>
      </c>
      <c r="I62" s="774">
        <f t="shared" si="9"/>
        <v>9.6360000000000001E-2</v>
      </c>
      <c r="J62" s="157"/>
      <c r="K62" s="155"/>
      <c r="L62" s="156"/>
      <c r="M62" s="122"/>
      <c r="N62" s="122"/>
      <c r="O62" s="122"/>
      <c r="P62" s="774"/>
      <c r="Q62" s="157"/>
      <c r="R62" s="298">
        <f>'WA Volumes &amp; Revenues'!E54</f>
        <v>2390318</v>
      </c>
      <c r="S62" s="311"/>
      <c r="T62" s="300"/>
      <c r="U62" s="301"/>
      <c r="V62" s="157"/>
      <c r="W62" s="313">
        <f t="shared" si="88"/>
        <v>214483.23414000002</v>
      </c>
      <c r="X62" s="309">
        <f t="shared" si="89"/>
        <v>0</v>
      </c>
      <c r="Y62" s="309">
        <f t="shared" si="90"/>
        <v>0</v>
      </c>
      <c r="Z62" s="314"/>
      <c r="AA62" s="309"/>
      <c r="AB62" s="313">
        <f t="shared" si="91"/>
        <v>230331.04248</v>
      </c>
      <c r="AC62" s="309">
        <f t="shared" si="92"/>
        <v>0</v>
      </c>
      <c r="AD62" s="314">
        <f t="shared" si="93"/>
        <v>0</v>
      </c>
      <c r="AE62" s="309"/>
      <c r="AF62" s="313">
        <f t="shared" si="94"/>
        <v>15847.808339999989</v>
      </c>
      <c r="AG62" s="309">
        <f t="shared" si="94"/>
        <v>0</v>
      </c>
      <c r="AH62" s="314">
        <f t="shared" si="94"/>
        <v>0</v>
      </c>
      <c r="AI62" s="309"/>
      <c r="AJ62" s="338"/>
      <c r="AK62" s="340">
        <f t="shared" si="87"/>
        <v>7.3888331661651568E-2</v>
      </c>
      <c r="AL62" s="309"/>
      <c r="AM62" s="313">
        <f t="shared" si="95"/>
        <v>0</v>
      </c>
      <c r="AN62" s="309">
        <v>0</v>
      </c>
      <c r="AO62" s="314">
        <f t="shared" si="96"/>
        <v>0</v>
      </c>
      <c r="AP62" s="309"/>
      <c r="AQ62" s="310"/>
      <c r="AR62" s="310"/>
      <c r="AS62" s="309"/>
    </row>
    <row r="63" spans="1:45" x14ac:dyDescent="0.2">
      <c r="A63" s="86">
        <f t="shared" si="2"/>
        <v>56</v>
      </c>
      <c r="B63" s="725"/>
      <c r="C63" s="726" t="s">
        <v>8</v>
      </c>
      <c r="D63" s="157"/>
      <c r="E63" s="122">
        <f>ROUND('Rates in Detail'!Y53,5)</f>
        <v>4.4200000000000003E-3</v>
      </c>
      <c r="F63" s="122"/>
      <c r="G63" s="157"/>
      <c r="H63" s="373">
        <f>ROUND('Rates in Detail'!R53,5)</f>
        <v>5.9810000000000002E-2</v>
      </c>
      <c r="I63" s="774">
        <f t="shared" si="9"/>
        <v>6.4230000000000009E-2</v>
      </c>
      <c r="J63" s="157"/>
      <c r="K63" s="155"/>
      <c r="L63" s="156"/>
      <c r="M63" s="122"/>
      <c r="N63" s="122"/>
      <c r="O63" s="122"/>
      <c r="P63" s="774"/>
      <c r="Q63" s="157"/>
      <c r="R63" s="298">
        <f>'WA Volumes &amp; Revenues'!E55</f>
        <v>1492257</v>
      </c>
      <c r="S63" s="311"/>
      <c r="T63" s="300"/>
      <c r="U63" s="301"/>
      <c r="V63" s="157"/>
      <c r="W63" s="313">
        <f t="shared" si="88"/>
        <v>89251.891170000003</v>
      </c>
      <c r="X63" s="309">
        <f t="shared" si="89"/>
        <v>0</v>
      </c>
      <c r="Y63" s="309">
        <f t="shared" si="90"/>
        <v>0</v>
      </c>
      <c r="Z63" s="314"/>
      <c r="AA63" s="309"/>
      <c r="AB63" s="313">
        <f t="shared" si="91"/>
        <v>95847.667110000009</v>
      </c>
      <c r="AC63" s="309">
        <f t="shared" si="92"/>
        <v>0</v>
      </c>
      <c r="AD63" s="314">
        <f t="shared" si="93"/>
        <v>0</v>
      </c>
      <c r="AE63" s="309"/>
      <c r="AF63" s="313">
        <f t="shared" si="94"/>
        <v>6595.7759400000068</v>
      </c>
      <c r="AG63" s="309">
        <f t="shared" si="94"/>
        <v>0</v>
      </c>
      <c r="AH63" s="314">
        <f t="shared" si="94"/>
        <v>0</v>
      </c>
      <c r="AI63" s="309"/>
      <c r="AJ63" s="338"/>
      <c r="AK63" s="340">
        <f t="shared" si="87"/>
        <v>7.3900685504096383E-2</v>
      </c>
      <c r="AL63" s="309"/>
      <c r="AM63" s="313">
        <f t="shared" si="95"/>
        <v>0</v>
      </c>
      <c r="AN63" s="309">
        <v>0</v>
      </c>
      <c r="AO63" s="314">
        <f t="shared" si="96"/>
        <v>0</v>
      </c>
      <c r="AP63" s="309"/>
      <c r="AQ63" s="310"/>
      <c r="AR63" s="310"/>
      <c r="AS63" s="309"/>
    </row>
    <row r="64" spans="1:45" x14ac:dyDescent="0.2">
      <c r="A64" s="86">
        <f t="shared" si="2"/>
        <v>57</v>
      </c>
      <c r="B64" s="725"/>
      <c r="C64" s="726" t="s">
        <v>9</v>
      </c>
      <c r="D64" s="157"/>
      <c r="E64" s="122">
        <f>ROUND('Rates in Detail'!Y54,5)</f>
        <v>1.66E-3</v>
      </c>
      <c r="F64" s="122"/>
      <c r="G64" s="157"/>
      <c r="H64" s="373">
        <f>ROUND('Rates in Detail'!R54,5)</f>
        <v>2.2429999999999999E-2</v>
      </c>
      <c r="I64" s="774">
        <f t="shared" si="9"/>
        <v>2.409E-2</v>
      </c>
      <c r="J64" s="157"/>
      <c r="K64" s="155"/>
      <c r="L64" s="156"/>
      <c r="M64" s="122"/>
      <c r="N64" s="122"/>
      <c r="O64" s="122"/>
      <c r="P64" s="774"/>
      <c r="Q64" s="157"/>
      <c r="R64" s="298">
        <f>'WA Volumes &amp; Revenues'!E56</f>
        <v>0</v>
      </c>
      <c r="S64" s="311"/>
      <c r="T64" s="300"/>
      <c r="U64" s="301"/>
      <c r="V64" s="157"/>
      <c r="W64" s="313">
        <f t="shared" si="88"/>
        <v>0</v>
      </c>
      <c r="X64" s="309">
        <f t="shared" si="89"/>
        <v>0</v>
      </c>
      <c r="Y64" s="309">
        <f t="shared" si="90"/>
        <v>0</v>
      </c>
      <c r="Z64" s="314"/>
      <c r="AA64" s="309"/>
      <c r="AB64" s="313">
        <f t="shared" si="91"/>
        <v>0</v>
      </c>
      <c r="AC64" s="309">
        <f t="shared" si="92"/>
        <v>0</v>
      </c>
      <c r="AD64" s="314">
        <f t="shared" si="93"/>
        <v>0</v>
      </c>
      <c r="AE64" s="309"/>
      <c r="AF64" s="313">
        <f t="shared" si="94"/>
        <v>0</v>
      </c>
      <c r="AG64" s="309">
        <f t="shared" si="94"/>
        <v>0</v>
      </c>
      <c r="AH64" s="314">
        <f t="shared" si="94"/>
        <v>0</v>
      </c>
      <c r="AI64" s="309"/>
      <c r="AJ64" s="338"/>
      <c r="AK64" s="340" t="e">
        <f t="shared" si="87"/>
        <v>#DIV/0!</v>
      </c>
      <c r="AL64" s="309"/>
      <c r="AM64" s="313">
        <f t="shared" si="95"/>
        <v>0</v>
      </c>
      <c r="AN64" s="309">
        <v>0</v>
      </c>
      <c r="AO64" s="314">
        <f t="shared" si="96"/>
        <v>0</v>
      </c>
      <c r="AP64" s="309"/>
      <c r="AQ64" s="310"/>
      <c r="AR64" s="310"/>
      <c r="AS64" s="309"/>
    </row>
    <row r="65" spans="1:45" x14ac:dyDescent="0.2">
      <c r="A65" s="86">
        <f t="shared" si="2"/>
        <v>58</v>
      </c>
      <c r="B65" s="723"/>
      <c r="C65" s="742" t="s">
        <v>78</v>
      </c>
      <c r="D65" s="153"/>
      <c r="E65" s="123"/>
      <c r="F65" s="123"/>
      <c r="G65" s="153"/>
      <c r="H65" s="368"/>
      <c r="I65" s="773"/>
      <c r="J65" s="157"/>
      <c r="K65" s="155"/>
      <c r="L65" s="156"/>
      <c r="M65" s="122"/>
      <c r="N65" s="122"/>
      <c r="O65" s="122"/>
      <c r="P65" s="774"/>
      <c r="Q65" s="157"/>
      <c r="R65" s="298"/>
      <c r="S65" s="311"/>
      <c r="T65" s="300"/>
      <c r="U65" s="301"/>
      <c r="V65" s="157"/>
      <c r="W65" s="315">
        <f>SUM(W59:W64)</f>
        <v>711483.11754999997</v>
      </c>
      <c r="X65" s="316">
        <f>SUM(X59:X64)</f>
        <v>165850</v>
      </c>
      <c r="Y65" s="316">
        <f>SUM(Y59:Y64)</f>
        <v>50664.465600000003</v>
      </c>
      <c r="Z65" s="317">
        <f>'Rate Spread Proposal'!T$74-SUM(W65:Y65)</f>
        <v>-2.0424760130699724</v>
      </c>
      <c r="AA65" s="309"/>
      <c r="AB65" s="315">
        <f>SUM(AB59:AB64)</f>
        <v>764041.68648000015</v>
      </c>
      <c r="AC65" s="316">
        <f>SUM(AC59:AC64)</f>
        <v>165850</v>
      </c>
      <c r="AD65" s="317">
        <f>SUM(AD59:AD64)</f>
        <v>50664.465600000003</v>
      </c>
      <c r="AE65" s="309"/>
      <c r="AF65" s="315">
        <f>SUM(AF59:AF64)</f>
        <v>52558.568929999994</v>
      </c>
      <c r="AG65" s="316">
        <f>SUM(AG59:AG64)</f>
        <v>0</v>
      </c>
      <c r="AH65" s="317">
        <f>SUM(AH59:AH64)</f>
        <v>0</v>
      </c>
      <c r="AI65" s="309"/>
      <c r="AJ65" s="338">
        <f>SUM(AF65:AH65)/SUM(W65:Y65)</f>
        <v>5.6636536435358924E-2</v>
      </c>
      <c r="AK65" s="339">
        <f t="shared" si="87"/>
        <v>7.3871842681223432E-2</v>
      </c>
      <c r="AL65" s="309"/>
      <c r="AM65" s="315">
        <f>SUM(AM59:AM64)</f>
        <v>0</v>
      </c>
      <c r="AN65" s="316">
        <f>SUM(AN59:AN64)</f>
        <v>0</v>
      </c>
      <c r="AO65" s="317">
        <f>SUM(AO59:AO64)</f>
        <v>0</v>
      </c>
      <c r="AP65" s="309"/>
      <c r="AQ65" s="310"/>
      <c r="AR65" s="310"/>
      <c r="AS65" s="309"/>
    </row>
    <row r="66" spans="1:45" x14ac:dyDescent="0.2">
      <c r="A66" s="86">
        <f t="shared" si="2"/>
        <v>59</v>
      </c>
      <c r="B66" s="725" t="str">
        <f>'WA Volumes &amp; Revenues'!B57</f>
        <v>42C Interr Sales</v>
      </c>
      <c r="C66" s="726" t="s">
        <v>4</v>
      </c>
      <c r="D66" s="157"/>
      <c r="E66" s="122">
        <f>ROUND('Rates in Detail'!Y55,5)</f>
        <v>1.252E-2</v>
      </c>
      <c r="F66" s="122"/>
      <c r="G66" s="157"/>
      <c r="H66" s="373">
        <f>ROUND('Rates in Detail'!R55,5)</f>
        <v>0.16167999999999999</v>
      </c>
      <c r="I66" s="774">
        <f t="shared" si="9"/>
        <v>0.17419999999999999</v>
      </c>
      <c r="J66" s="157"/>
      <c r="K66" s="155">
        <f>'WA Volumes &amp; Revenues'!O57</f>
        <v>1300</v>
      </c>
      <c r="L66" s="156">
        <f>'WA Volumes &amp; Revenues'!N57</f>
        <v>1300</v>
      </c>
      <c r="M66" s="122">
        <f>'Rates in Detail'!AF55</f>
        <v>0</v>
      </c>
      <c r="N66" s="122">
        <f>'Rates in Detail'!AG55</f>
        <v>0</v>
      </c>
      <c r="O66" s="122">
        <f>'Rates in Detail'!AH55</f>
        <v>0</v>
      </c>
      <c r="P66" s="774">
        <f>'Rates in Detail'!AI55</f>
        <v>0</v>
      </c>
      <c r="Q66" s="157"/>
      <c r="R66" s="298">
        <f>'WA Volumes &amp; Revenues'!E57</f>
        <v>240000</v>
      </c>
      <c r="S66" s="311">
        <v>4620</v>
      </c>
      <c r="T66" s="300">
        <f>'WA Volumes &amp; Revenues'!H57</f>
        <v>2</v>
      </c>
      <c r="U66" s="301">
        <f>'WA Volumes &amp; Revenues'!I57</f>
        <v>39322</v>
      </c>
      <c r="V66" s="157"/>
      <c r="W66" s="313">
        <f t="shared" ref="W66:W71" si="97">(H66*R66)</f>
        <v>38803.199999999997</v>
      </c>
      <c r="X66" s="309">
        <f t="shared" ref="X66:X71" si="98">(K66*T66*12)</f>
        <v>31200</v>
      </c>
      <c r="Y66" s="309">
        <f t="shared" ref="Y66:Y71" si="99">(S66*(M66+O66))*12</f>
        <v>0</v>
      </c>
      <c r="Z66" s="314"/>
      <c r="AA66" s="309"/>
      <c r="AB66" s="313">
        <f t="shared" ref="AB66:AB71" si="100">(I66*R66)</f>
        <v>41808</v>
      </c>
      <c r="AC66" s="309">
        <f t="shared" ref="AC66:AC71" si="101">(L66*T66*12)</f>
        <v>31200</v>
      </c>
      <c r="AD66" s="314">
        <f t="shared" ref="AD66:AD71" si="102">(S66*(N66+P66))*12</f>
        <v>0</v>
      </c>
      <c r="AE66" s="309"/>
      <c r="AF66" s="313">
        <f t="shared" ref="AF66:AH71" si="103">AB66-W66</f>
        <v>3004.8000000000029</v>
      </c>
      <c r="AG66" s="309">
        <f t="shared" si="103"/>
        <v>0</v>
      </c>
      <c r="AH66" s="314">
        <f t="shared" si="103"/>
        <v>0</v>
      </c>
      <c r="AI66" s="309"/>
      <c r="AJ66" s="338"/>
      <c r="AK66" s="340">
        <f t="shared" si="87"/>
        <v>7.7436912419594342E-2</v>
      </c>
      <c r="AL66" s="309"/>
      <c r="AM66" s="313">
        <f t="shared" ref="AM66:AM71" si="104">(F66*R66)</f>
        <v>0</v>
      </c>
      <c r="AN66" s="309">
        <v>0</v>
      </c>
      <c r="AO66" s="314">
        <f t="shared" ref="AO66:AO71" si="105">(AE66*(Y66+AB66))*12</f>
        <v>0</v>
      </c>
      <c r="AP66" s="309"/>
      <c r="AQ66" s="310"/>
      <c r="AR66" s="310"/>
      <c r="AS66" s="309"/>
    </row>
    <row r="67" spans="1:45" x14ac:dyDescent="0.2">
      <c r="A67" s="86">
        <f t="shared" si="2"/>
        <v>60</v>
      </c>
      <c r="B67" s="725"/>
      <c r="C67" s="726" t="s">
        <v>5</v>
      </c>
      <c r="D67" s="157"/>
      <c r="E67" s="122">
        <f>ROUND('Rates in Detail'!Y56,5)</f>
        <v>1.1209999999999999E-2</v>
      </c>
      <c r="F67" s="122"/>
      <c r="G67" s="157"/>
      <c r="H67" s="373">
        <f>ROUND('Rates in Detail'!R56,5)</f>
        <v>0.14473</v>
      </c>
      <c r="I67" s="774">
        <f t="shared" si="9"/>
        <v>0.15594</v>
      </c>
      <c r="J67" s="157"/>
      <c r="K67" s="743"/>
      <c r="L67" s="372"/>
      <c r="M67" s="122"/>
      <c r="N67" s="122"/>
      <c r="O67" s="122"/>
      <c r="P67" s="774"/>
      <c r="Q67" s="157"/>
      <c r="R67" s="298">
        <f>'WA Volumes &amp; Revenues'!E58</f>
        <v>467511</v>
      </c>
      <c r="S67" s="311"/>
      <c r="T67" s="300"/>
      <c r="U67" s="301"/>
      <c r="V67" s="157"/>
      <c r="W67" s="313">
        <f t="shared" si="97"/>
        <v>67662.867029999994</v>
      </c>
      <c r="X67" s="309">
        <f t="shared" si="98"/>
        <v>0</v>
      </c>
      <c r="Y67" s="309">
        <f t="shared" si="99"/>
        <v>0</v>
      </c>
      <c r="Z67" s="314"/>
      <c r="AA67" s="309"/>
      <c r="AB67" s="313">
        <f t="shared" si="100"/>
        <v>72903.665339999992</v>
      </c>
      <c r="AC67" s="309">
        <f t="shared" si="101"/>
        <v>0</v>
      </c>
      <c r="AD67" s="314">
        <f t="shared" si="102"/>
        <v>0</v>
      </c>
      <c r="AE67" s="309"/>
      <c r="AF67" s="313">
        <f t="shared" si="103"/>
        <v>5240.7983099999983</v>
      </c>
      <c r="AG67" s="309">
        <f t="shared" si="103"/>
        <v>0</v>
      </c>
      <c r="AH67" s="314">
        <f t="shared" si="103"/>
        <v>0</v>
      </c>
      <c r="AI67" s="309"/>
      <c r="AJ67" s="338"/>
      <c r="AK67" s="340">
        <f t="shared" si="87"/>
        <v>7.7454570579700108E-2</v>
      </c>
      <c r="AL67" s="309"/>
      <c r="AM67" s="313">
        <f t="shared" si="104"/>
        <v>0</v>
      </c>
      <c r="AN67" s="309">
        <v>0</v>
      </c>
      <c r="AO67" s="314">
        <f t="shared" si="105"/>
        <v>0</v>
      </c>
      <c r="AP67" s="309"/>
      <c r="AQ67" s="310"/>
      <c r="AR67" s="310"/>
      <c r="AS67" s="309"/>
    </row>
    <row r="68" spans="1:45" x14ac:dyDescent="0.2">
      <c r="A68" s="86">
        <f t="shared" si="2"/>
        <v>61</v>
      </c>
      <c r="B68" s="725"/>
      <c r="C68" s="726" t="s">
        <v>6</v>
      </c>
      <c r="D68" s="157"/>
      <c r="E68" s="122">
        <f>ROUND('Rates in Detail'!Y57,5)</f>
        <v>8.5900000000000004E-3</v>
      </c>
      <c r="F68" s="122"/>
      <c r="G68" s="157"/>
      <c r="H68" s="373">
        <f>ROUND('Rates in Detail'!R57,5)</f>
        <v>0.11098</v>
      </c>
      <c r="I68" s="774">
        <f t="shared" si="9"/>
        <v>0.11957</v>
      </c>
      <c r="J68" s="157"/>
      <c r="K68" s="155"/>
      <c r="L68" s="156"/>
      <c r="M68" s="122"/>
      <c r="N68" s="122"/>
      <c r="O68" s="122"/>
      <c r="P68" s="774"/>
      <c r="Q68" s="157"/>
      <c r="R68" s="298">
        <f>'WA Volumes &amp; Revenues'!E59</f>
        <v>218004</v>
      </c>
      <c r="S68" s="311"/>
      <c r="T68" s="300"/>
      <c r="U68" s="301"/>
      <c r="V68" s="157"/>
      <c r="W68" s="313">
        <f t="shared" si="97"/>
        <v>24194.083919999997</v>
      </c>
      <c r="X68" s="309">
        <f t="shared" si="98"/>
        <v>0</v>
      </c>
      <c r="Y68" s="309">
        <f t="shared" si="99"/>
        <v>0</v>
      </c>
      <c r="Z68" s="314"/>
      <c r="AA68" s="309"/>
      <c r="AB68" s="313">
        <f t="shared" si="100"/>
        <v>26066.738279999998</v>
      </c>
      <c r="AC68" s="309">
        <f t="shared" si="101"/>
        <v>0</v>
      </c>
      <c r="AD68" s="314">
        <f t="shared" si="102"/>
        <v>0</v>
      </c>
      <c r="AE68" s="309"/>
      <c r="AF68" s="313">
        <f t="shared" si="103"/>
        <v>1872.6543600000005</v>
      </c>
      <c r="AG68" s="309">
        <f t="shared" si="103"/>
        <v>0</v>
      </c>
      <c r="AH68" s="314">
        <f t="shared" si="103"/>
        <v>0</v>
      </c>
      <c r="AI68" s="309"/>
      <c r="AJ68" s="338"/>
      <c r="AK68" s="340">
        <f t="shared" si="87"/>
        <v>7.7401333573616893E-2</v>
      </c>
      <c r="AL68" s="309"/>
      <c r="AM68" s="313">
        <f t="shared" si="104"/>
        <v>0</v>
      </c>
      <c r="AN68" s="309">
        <v>0</v>
      </c>
      <c r="AO68" s="314">
        <f t="shared" si="105"/>
        <v>0</v>
      </c>
      <c r="AP68" s="309"/>
      <c r="AQ68" s="310"/>
      <c r="AR68" s="310"/>
      <c r="AS68" s="309"/>
    </row>
    <row r="69" spans="1:45" x14ac:dyDescent="0.2">
      <c r="A69" s="86">
        <f t="shared" si="2"/>
        <v>62</v>
      </c>
      <c r="B69" s="725"/>
      <c r="C69" s="726" t="s">
        <v>7</v>
      </c>
      <c r="D69" s="157"/>
      <c r="E69" s="122">
        <f>ROUND('Rates in Detail'!Y58,5)</f>
        <v>6.8799999999999998E-3</v>
      </c>
      <c r="F69" s="122"/>
      <c r="G69" s="157"/>
      <c r="H69" s="373">
        <f>ROUND('Rates in Detail'!R58,5)</f>
        <v>8.8779999999999998E-2</v>
      </c>
      <c r="I69" s="774">
        <f t="shared" si="9"/>
        <v>9.5659999999999995E-2</v>
      </c>
      <c r="J69" s="157"/>
      <c r="K69" s="155"/>
      <c r="L69" s="156"/>
      <c r="M69" s="122"/>
      <c r="N69" s="122"/>
      <c r="O69" s="122"/>
      <c r="P69" s="774"/>
      <c r="Q69" s="157"/>
      <c r="R69" s="298">
        <f>'WA Volumes &amp; Revenues'!E60</f>
        <v>18208</v>
      </c>
      <c r="S69" s="311"/>
      <c r="T69" s="300"/>
      <c r="U69" s="301"/>
      <c r="V69" s="157"/>
      <c r="W69" s="313">
        <f t="shared" si="97"/>
        <v>1616.5062399999999</v>
      </c>
      <c r="X69" s="309">
        <f t="shared" si="98"/>
        <v>0</v>
      </c>
      <c r="Y69" s="309">
        <f t="shared" si="99"/>
        <v>0</v>
      </c>
      <c r="Z69" s="314"/>
      <c r="AA69" s="309"/>
      <c r="AB69" s="313">
        <f t="shared" si="100"/>
        <v>1741.77728</v>
      </c>
      <c r="AC69" s="309">
        <f t="shared" si="101"/>
        <v>0</v>
      </c>
      <c r="AD69" s="314">
        <f t="shared" si="102"/>
        <v>0</v>
      </c>
      <c r="AE69" s="309"/>
      <c r="AF69" s="313">
        <f t="shared" si="103"/>
        <v>125.27104000000008</v>
      </c>
      <c r="AG69" s="309">
        <f t="shared" si="103"/>
        <v>0</v>
      </c>
      <c r="AH69" s="314">
        <f t="shared" si="103"/>
        <v>0</v>
      </c>
      <c r="AI69" s="309"/>
      <c r="AJ69" s="338"/>
      <c r="AK69" s="340">
        <f t="shared" si="87"/>
        <v>7.749493129083132E-2</v>
      </c>
      <c r="AL69" s="309"/>
      <c r="AM69" s="313">
        <f t="shared" si="104"/>
        <v>0</v>
      </c>
      <c r="AN69" s="309">
        <v>0</v>
      </c>
      <c r="AO69" s="314">
        <f t="shared" si="105"/>
        <v>0</v>
      </c>
      <c r="AP69" s="309"/>
      <c r="AQ69" s="310"/>
      <c r="AR69" s="310"/>
      <c r="AS69" s="309"/>
    </row>
    <row r="70" spans="1:45" x14ac:dyDescent="0.2">
      <c r="A70" s="86">
        <f t="shared" si="2"/>
        <v>63</v>
      </c>
      <c r="B70" s="725"/>
      <c r="C70" s="726" t="s">
        <v>8</v>
      </c>
      <c r="D70" s="157"/>
      <c r="E70" s="122">
        <f>ROUND('Rates in Detail'!Y59,5)</f>
        <v>4.5799999999999999E-3</v>
      </c>
      <c r="F70" s="122"/>
      <c r="G70" s="157"/>
      <c r="H70" s="373">
        <f>ROUND('Rates in Detail'!R59,5)</f>
        <v>5.9200000000000003E-2</v>
      </c>
      <c r="I70" s="774">
        <f t="shared" si="9"/>
        <v>6.3780000000000003E-2</v>
      </c>
      <c r="J70" s="157"/>
      <c r="K70" s="155"/>
      <c r="L70" s="156"/>
      <c r="M70" s="122"/>
      <c r="N70" s="122"/>
      <c r="O70" s="122"/>
      <c r="P70" s="774"/>
      <c r="Q70" s="157"/>
      <c r="R70" s="298">
        <f>'WA Volumes &amp; Revenues'!E61</f>
        <v>0</v>
      </c>
      <c r="S70" s="311"/>
      <c r="T70" s="300"/>
      <c r="U70" s="301"/>
      <c r="V70" s="157"/>
      <c r="W70" s="313">
        <f t="shared" si="97"/>
        <v>0</v>
      </c>
      <c r="X70" s="309">
        <f t="shared" si="98"/>
        <v>0</v>
      </c>
      <c r="Y70" s="309">
        <f t="shared" si="99"/>
        <v>0</v>
      </c>
      <c r="Z70" s="314"/>
      <c r="AA70" s="309"/>
      <c r="AB70" s="313">
        <f t="shared" si="100"/>
        <v>0</v>
      </c>
      <c r="AC70" s="309">
        <f t="shared" si="101"/>
        <v>0</v>
      </c>
      <c r="AD70" s="314">
        <f t="shared" si="102"/>
        <v>0</v>
      </c>
      <c r="AE70" s="309"/>
      <c r="AF70" s="313">
        <f t="shared" si="103"/>
        <v>0</v>
      </c>
      <c r="AG70" s="309">
        <f t="shared" si="103"/>
        <v>0</v>
      </c>
      <c r="AH70" s="314">
        <f t="shared" si="103"/>
        <v>0</v>
      </c>
      <c r="AI70" s="309"/>
      <c r="AJ70" s="338"/>
      <c r="AK70" s="340" t="e">
        <f t="shared" si="87"/>
        <v>#DIV/0!</v>
      </c>
      <c r="AL70" s="309"/>
      <c r="AM70" s="313">
        <f t="shared" si="104"/>
        <v>0</v>
      </c>
      <c r="AN70" s="309">
        <v>0</v>
      </c>
      <c r="AO70" s="314">
        <f t="shared" si="105"/>
        <v>0</v>
      </c>
      <c r="AP70" s="309"/>
      <c r="AQ70" s="310"/>
      <c r="AR70" s="310"/>
      <c r="AS70" s="309"/>
    </row>
    <row r="71" spans="1:45" x14ac:dyDescent="0.2">
      <c r="A71" s="86">
        <f t="shared" si="2"/>
        <v>64</v>
      </c>
      <c r="B71" s="725"/>
      <c r="C71" s="726" t="s">
        <v>9</v>
      </c>
      <c r="D71" s="157"/>
      <c r="E71" s="122">
        <f>ROUND('Rates in Detail'!Y60,5)</f>
        <v>1.72E-3</v>
      </c>
      <c r="F71" s="122"/>
      <c r="G71" s="157"/>
      <c r="H71" s="373">
        <f>ROUND('Rates in Detail'!R60,5)</f>
        <v>2.2210000000000001E-2</v>
      </c>
      <c r="I71" s="774">
        <f t="shared" si="9"/>
        <v>2.393E-2</v>
      </c>
      <c r="J71" s="157"/>
      <c r="K71" s="155"/>
      <c r="L71" s="156"/>
      <c r="M71" s="122"/>
      <c r="N71" s="122"/>
      <c r="O71" s="122"/>
      <c r="P71" s="774"/>
      <c r="Q71" s="157"/>
      <c r="R71" s="298">
        <f>'WA Volumes &amp; Revenues'!E62</f>
        <v>0</v>
      </c>
      <c r="S71" s="311"/>
      <c r="T71" s="300"/>
      <c r="U71" s="301"/>
      <c r="V71" s="157"/>
      <c r="W71" s="313">
        <f t="shared" si="97"/>
        <v>0</v>
      </c>
      <c r="X71" s="309">
        <f t="shared" si="98"/>
        <v>0</v>
      </c>
      <c r="Y71" s="309">
        <f t="shared" si="99"/>
        <v>0</v>
      </c>
      <c r="Z71" s="314"/>
      <c r="AA71" s="309"/>
      <c r="AB71" s="313">
        <f t="shared" si="100"/>
        <v>0</v>
      </c>
      <c r="AC71" s="309">
        <f t="shared" si="101"/>
        <v>0</v>
      </c>
      <c r="AD71" s="314">
        <f t="shared" si="102"/>
        <v>0</v>
      </c>
      <c r="AE71" s="309"/>
      <c r="AF71" s="313">
        <f t="shared" si="103"/>
        <v>0</v>
      </c>
      <c r="AG71" s="309">
        <f t="shared" si="103"/>
        <v>0</v>
      </c>
      <c r="AH71" s="314">
        <f t="shared" si="103"/>
        <v>0</v>
      </c>
      <c r="AI71" s="309"/>
      <c r="AJ71" s="338"/>
      <c r="AK71" s="340" t="e">
        <f>AK70</f>
        <v>#DIV/0!</v>
      </c>
      <c r="AL71" s="309"/>
      <c r="AM71" s="313">
        <f t="shared" si="104"/>
        <v>0</v>
      </c>
      <c r="AN71" s="309">
        <v>0</v>
      </c>
      <c r="AO71" s="314">
        <f t="shared" si="105"/>
        <v>0</v>
      </c>
      <c r="AP71" s="309"/>
      <c r="AQ71" s="310"/>
      <c r="AR71" s="310"/>
      <c r="AS71" s="309"/>
    </row>
    <row r="72" spans="1:45" x14ac:dyDescent="0.2">
      <c r="A72" s="86">
        <f t="shared" si="2"/>
        <v>65</v>
      </c>
      <c r="B72" s="723"/>
      <c r="C72" s="742" t="s">
        <v>78</v>
      </c>
      <c r="D72" s="153"/>
      <c r="E72" s="123"/>
      <c r="F72" s="123"/>
      <c r="G72" s="153"/>
      <c r="H72" s="368"/>
      <c r="I72" s="773"/>
      <c r="J72" s="157"/>
      <c r="K72" s="155"/>
      <c r="L72" s="156"/>
      <c r="M72" s="122"/>
      <c r="N72" s="122"/>
      <c r="O72" s="122"/>
      <c r="P72" s="774"/>
      <c r="Q72" s="157"/>
      <c r="R72" s="298"/>
      <c r="S72" s="311"/>
      <c r="T72" s="300"/>
      <c r="U72" s="301"/>
      <c r="V72" s="157"/>
      <c r="W72" s="315">
        <f>SUM(W66:W71)</f>
        <v>132276.65718999997</v>
      </c>
      <c r="X72" s="316">
        <f>SUM(X66:X71)</f>
        <v>31200</v>
      </c>
      <c r="Y72" s="316">
        <f>SUM(Y66:Y71)</f>
        <v>0</v>
      </c>
      <c r="Z72" s="317">
        <f>'Rate Spread Proposal'!U$74-SUM(W72:Y72)</f>
        <v>17378.286917371413</v>
      </c>
      <c r="AA72" s="309"/>
      <c r="AB72" s="315">
        <f>SUM(AB66:AB71)</f>
        <v>142520.18090000001</v>
      </c>
      <c r="AC72" s="316">
        <f>SUM(AC66:AC71)</f>
        <v>31200</v>
      </c>
      <c r="AD72" s="317">
        <f>SUM(AD66:AD71)</f>
        <v>0</v>
      </c>
      <c r="AE72" s="309"/>
      <c r="AF72" s="315">
        <f>SUM(AF66:AF71)</f>
        <v>10243.523710000001</v>
      </c>
      <c r="AG72" s="316">
        <f>SUM(AG66:AG71)</f>
        <v>0</v>
      </c>
      <c r="AH72" s="317">
        <f>SUM(AH66:AH71)</f>
        <v>0</v>
      </c>
      <c r="AI72" s="309"/>
      <c r="AJ72" s="338">
        <f>SUM(AF72:AH72)/SUM(W72:Y72)</f>
        <v>6.266046716440081E-2</v>
      </c>
      <c r="AK72" s="339">
        <f t="shared" ref="AK72:AK77" si="106">SUM(AF72)/SUM(W72)</f>
        <v>7.7440146489991618E-2</v>
      </c>
      <c r="AL72" s="309"/>
      <c r="AM72" s="315">
        <f>SUM(AM66:AM71)</f>
        <v>0</v>
      </c>
      <c r="AN72" s="316">
        <f>SUM(AN66:AN71)</f>
        <v>0</v>
      </c>
      <c r="AO72" s="317">
        <f>SUM(AO66:AO71)</f>
        <v>0</v>
      </c>
      <c r="AP72" s="309"/>
      <c r="AQ72" s="319"/>
      <c r="AR72" s="310"/>
      <c r="AS72" s="309"/>
    </row>
    <row r="73" spans="1:45" x14ac:dyDescent="0.2">
      <c r="A73" s="86">
        <f t="shared" si="2"/>
        <v>66</v>
      </c>
      <c r="B73" s="725" t="str">
        <f>'WA Volumes &amp; Revenues'!B63</f>
        <v>42I Interr Sales</v>
      </c>
      <c r="C73" s="726" t="s">
        <v>4</v>
      </c>
      <c r="D73" s="157"/>
      <c r="E73" s="122">
        <f>ROUND('Rates in Detail'!Y61,5)</f>
        <v>1.728E-2</v>
      </c>
      <c r="F73" s="122"/>
      <c r="G73" s="157"/>
      <c r="H73" s="373">
        <f>ROUND('Rates in Detail'!R61,5)</f>
        <v>0.18013999999999999</v>
      </c>
      <c r="I73" s="774">
        <f t="shared" si="9"/>
        <v>0.19741999999999998</v>
      </c>
      <c r="J73" s="157"/>
      <c r="K73" s="155">
        <f>'WA Volumes &amp; Revenues'!O63</f>
        <v>1300</v>
      </c>
      <c r="L73" s="156">
        <f>'WA Volumes &amp; Revenues'!N63</f>
        <v>1300</v>
      </c>
      <c r="M73" s="122">
        <f>'Rates in Detail'!AF61</f>
        <v>0</v>
      </c>
      <c r="N73" s="122">
        <f>'Rates in Detail'!AG61</f>
        <v>0</v>
      </c>
      <c r="O73" s="122">
        <f>'Rates in Detail'!AH61</f>
        <v>0</v>
      </c>
      <c r="P73" s="774">
        <f>'Rates in Detail'!AI61</f>
        <v>0</v>
      </c>
      <c r="Q73" s="157"/>
      <c r="R73" s="298">
        <f>'WA Volumes &amp; Revenues'!E63</f>
        <v>156740</v>
      </c>
      <c r="S73" s="311">
        <v>2934</v>
      </c>
      <c r="T73" s="300">
        <f>'WA Volumes &amp; Revenues'!H63</f>
        <v>1.9166666666666701</v>
      </c>
      <c r="U73" s="301">
        <f>'WA Volumes &amp; Revenues'!I63</f>
        <v>13758</v>
      </c>
      <c r="V73" s="157"/>
      <c r="W73" s="313">
        <f t="shared" ref="W73:W78" si="107">(H73*R73)</f>
        <v>28235.143599999999</v>
      </c>
      <c r="X73" s="309">
        <f t="shared" ref="X73:X78" si="108">(K73*T73*12)</f>
        <v>29900.000000000051</v>
      </c>
      <c r="Y73" s="309">
        <f t="shared" ref="Y73:Y78" si="109">(S73*(M73+O73))*12</f>
        <v>0</v>
      </c>
      <c r="Z73" s="314"/>
      <c r="AA73" s="309"/>
      <c r="AB73" s="313">
        <f t="shared" ref="AB73:AB78" si="110">(I73*R73)</f>
        <v>30943.610799999999</v>
      </c>
      <c r="AC73" s="309">
        <f t="shared" ref="AC73:AC78" si="111">(L73*T73*12)</f>
        <v>29900.000000000051</v>
      </c>
      <c r="AD73" s="314">
        <f t="shared" ref="AD73:AD78" si="112">(S73*(N73+P73))*12</f>
        <v>0</v>
      </c>
      <c r="AE73" s="309"/>
      <c r="AF73" s="313">
        <f t="shared" ref="AF73:AH78" si="113">AB73-W73</f>
        <v>2708.4671999999991</v>
      </c>
      <c r="AG73" s="309">
        <f t="shared" si="113"/>
        <v>0</v>
      </c>
      <c r="AH73" s="314">
        <f t="shared" si="113"/>
        <v>0</v>
      </c>
      <c r="AI73" s="309"/>
      <c r="AJ73" s="338"/>
      <c r="AK73" s="340">
        <f t="shared" si="106"/>
        <v>9.5925391362273765E-2</v>
      </c>
      <c r="AL73" s="309"/>
      <c r="AM73" s="313">
        <f t="shared" ref="AM73:AM78" si="114">(F73*R73)</f>
        <v>0</v>
      </c>
      <c r="AN73" s="309">
        <v>0</v>
      </c>
      <c r="AO73" s="314">
        <f t="shared" ref="AO73:AO78" si="115">(AE73*(Y73+AB73))*12</f>
        <v>0</v>
      </c>
      <c r="AP73" s="309"/>
      <c r="AQ73" s="310"/>
      <c r="AR73" s="310"/>
      <c r="AS73" s="309"/>
    </row>
    <row r="74" spans="1:45" x14ac:dyDescent="0.2">
      <c r="A74" s="86">
        <f t="shared" ref="A74:A102" si="116">+A73+1</f>
        <v>67</v>
      </c>
      <c r="B74" s="725"/>
      <c r="C74" s="726" t="s">
        <v>5</v>
      </c>
      <c r="D74" s="157"/>
      <c r="E74" s="122">
        <f>ROUND('Rates in Detail'!Y62,5)</f>
        <v>1.546E-2</v>
      </c>
      <c r="F74" s="122"/>
      <c r="G74" s="157"/>
      <c r="H74" s="373">
        <f>ROUND('Rates in Detail'!R62,5)</f>
        <v>0.16125999999999999</v>
      </c>
      <c r="I74" s="774">
        <f t="shared" si="9"/>
        <v>0.17671999999999999</v>
      </c>
      <c r="J74" s="157"/>
      <c r="K74" s="155"/>
      <c r="L74" s="156"/>
      <c r="M74" s="122"/>
      <c r="N74" s="122"/>
      <c r="O74" s="122"/>
      <c r="P74" s="774"/>
      <c r="Q74" s="157"/>
      <c r="R74" s="298">
        <f>'WA Volumes &amp; Revenues'!E64</f>
        <v>159690</v>
      </c>
      <c r="S74" s="311"/>
      <c r="T74" s="300"/>
      <c r="U74" s="301"/>
      <c r="V74" s="157"/>
      <c r="W74" s="313">
        <f t="shared" si="107"/>
        <v>25751.609399999998</v>
      </c>
      <c r="X74" s="309">
        <f t="shared" si="108"/>
        <v>0</v>
      </c>
      <c r="Y74" s="309">
        <f t="shared" si="109"/>
        <v>0</v>
      </c>
      <c r="Z74" s="314"/>
      <c r="AA74" s="309"/>
      <c r="AB74" s="313">
        <f t="shared" si="110"/>
        <v>28220.416799999999</v>
      </c>
      <c r="AC74" s="309">
        <f t="shared" si="111"/>
        <v>0</v>
      </c>
      <c r="AD74" s="314">
        <f t="shared" si="112"/>
        <v>0</v>
      </c>
      <c r="AE74" s="309"/>
      <c r="AF74" s="313">
        <f t="shared" si="113"/>
        <v>2468.8074000000015</v>
      </c>
      <c r="AG74" s="309">
        <f t="shared" si="113"/>
        <v>0</v>
      </c>
      <c r="AH74" s="314">
        <f t="shared" si="113"/>
        <v>0</v>
      </c>
      <c r="AI74" s="309"/>
      <c r="AJ74" s="338"/>
      <c r="AK74" s="340">
        <f t="shared" si="106"/>
        <v>9.5870023564430182E-2</v>
      </c>
      <c r="AL74" s="309"/>
      <c r="AM74" s="313">
        <f t="shared" si="114"/>
        <v>0</v>
      </c>
      <c r="AN74" s="309">
        <v>0</v>
      </c>
      <c r="AO74" s="314">
        <f t="shared" si="115"/>
        <v>0</v>
      </c>
      <c r="AP74" s="309"/>
      <c r="AQ74" s="310"/>
      <c r="AR74" s="310"/>
      <c r="AS74" s="309"/>
    </row>
    <row r="75" spans="1:45" x14ac:dyDescent="0.2">
      <c r="A75" s="86">
        <f t="shared" si="116"/>
        <v>68</v>
      </c>
      <c r="B75" s="725"/>
      <c r="C75" s="726" t="s">
        <v>6</v>
      </c>
      <c r="D75" s="157"/>
      <c r="E75" s="122">
        <f>ROUND('Rates in Detail'!Y63,5)</f>
        <v>1.1860000000000001E-2</v>
      </c>
      <c r="F75" s="122"/>
      <c r="G75" s="157"/>
      <c r="H75" s="373">
        <f>ROUND('Rates in Detail'!R63,5)</f>
        <v>0.12366000000000001</v>
      </c>
      <c r="I75" s="774">
        <f t="shared" si="9"/>
        <v>0.13552</v>
      </c>
      <c r="J75" s="157"/>
      <c r="K75" s="155"/>
      <c r="L75" s="156"/>
      <c r="M75" s="122"/>
      <c r="N75" s="122"/>
      <c r="O75" s="122"/>
      <c r="P75" s="774"/>
      <c r="Q75" s="157"/>
      <c r="R75" s="298">
        <f>'WA Volumes &amp; Revenues'!E65</f>
        <v>0</v>
      </c>
      <c r="S75" s="311"/>
      <c r="T75" s="300"/>
      <c r="U75" s="301"/>
      <c r="V75" s="157"/>
      <c r="W75" s="313">
        <f t="shared" si="107"/>
        <v>0</v>
      </c>
      <c r="X75" s="309">
        <f t="shared" si="108"/>
        <v>0</v>
      </c>
      <c r="Y75" s="309">
        <f t="shared" si="109"/>
        <v>0</v>
      </c>
      <c r="Z75" s="314"/>
      <c r="AA75" s="309"/>
      <c r="AB75" s="313">
        <f t="shared" si="110"/>
        <v>0</v>
      </c>
      <c r="AC75" s="309">
        <f t="shared" si="111"/>
        <v>0</v>
      </c>
      <c r="AD75" s="314">
        <f t="shared" si="112"/>
        <v>0</v>
      </c>
      <c r="AE75" s="309"/>
      <c r="AF75" s="313">
        <f t="shared" si="113"/>
        <v>0</v>
      </c>
      <c r="AG75" s="309">
        <f t="shared" si="113"/>
        <v>0</v>
      </c>
      <c r="AH75" s="314">
        <f t="shared" si="113"/>
        <v>0</v>
      </c>
      <c r="AI75" s="309"/>
      <c r="AJ75" s="338"/>
      <c r="AK75" s="340" t="e">
        <f t="shared" si="106"/>
        <v>#DIV/0!</v>
      </c>
      <c r="AL75" s="309"/>
      <c r="AM75" s="313">
        <f t="shared" si="114"/>
        <v>0</v>
      </c>
      <c r="AN75" s="309">
        <v>0</v>
      </c>
      <c r="AO75" s="314">
        <f t="shared" si="115"/>
        <v>0</v>
      </c>
      <c r="AP75" s="309"/>
      <c r="AQ75" s="310"/>
      <c r="AR75" s="310"/>
      <c r="AS75" s="309"/>
    </row>
    <row r="76" spans="1:45" x14ac:dyDescent="0.2">
      <c r="A76" s="86">
        <f t="shared" si="116"/>
        <v>69</v>
      </c>
      <c r="B76" s="725"/>
      <c r="C76" s="726" t="s">
        <v>7</v>
      </c>
      <c r="D76" s="157"/>
      <c r="E76" s="122">
        <f>ROUND('Rates in Detail'!Y64,5)</f>
        <v>9.4900000000000002E-3</v>
      </c>
      <c r="F76" s="122"/>
      <c r="G76" s="157"/>
      <c r="H76" s="373">
        <f>ROUND('Rates in Detail'!R64,5)</f>
        <v>9.8930000000000004E-2</v>
      </c>
      <c r="I76" s="774">
        <f t="shared" si="9"/>
        <v>0.10842</v>
      </c>
      <c r="J76" s="157"/>
      <c r="K76" s="155"/>
      <c r="L76" s="156"/>
      <c r="M76" s="122"/>
      <c r="N76" s="122"/>
      <c r="O76" s="122"/>
      <c r="P76" s="774"/>
      <c r="Q76" s="157"/>
      <c r="R76" s="298">
        <f>'WA Volumes &amp; Revenues'!E66</f>
        <v>0</v>
      </c>
      <c r="S76" s="311"/>
      <c r="T76" s="300"/>
      <c r="U76" s="301"/>
      <c r="V76" s="157"/>
      <c r="W76" s="313">
        <f t="shared" si="107"/>
        <v>0</v>
      </c>
      <c r="X76" s="309">
        <f t="shared" si="108"/>
        <v>0</v>
      </c>
      <c r="Y76" s="309">
        <f t="shared" si="109"/>
        <v>0</v>
      </c>
      <c r="Z76" s="314"/>
      <c r="AA76" s="309"/>
      <c r="AB76" s="313">
        <f t="shared" si="110"/>
        <v>0</v>
      </c>
      <c r="AC76" s="309">
        <f t="shared" si="111"/>
        <v>0</v>
      </c>
      <c r="AD76" s="314">
        <f t="shared" si="112"/>
        <v>0</v>
      </c>
      <c r="AE76" s="309"/>
      <c r="AF76" s="313">
        <f t="shared" si="113"/>
        <v>0</v>
      </c>
      <c r="AG76" s="309">
        <f t="shared" si="113"/>
        <v>0</v>
      </c>
      <c r="AH76" s="314">
        <f t="shared" si="113"/>
        <v>0</v>
      </c>
      <c r="AI76" s="309"/>
      <c r="AJ76" s="338"/>
      <c r="AK76" s="340" t="e">
        <f t="shared" si="106"/>
        <v>#DIV/0!</v>
      </c>
      <c r="AL76" s="309"/>
      <c r="AM76" s="313">
        <f t="shared" si="114"/>
        <v>0</v>
      </c>
      <c r="AN76" s="309">
        <v>0</v>
      </c>
      <c r="AO76" s="314">
        <f t="shared" si="115"/>
        <v>0</v>
      </c>
      <c r="AP76" s="309"/>
      <c r="AQ76" s="310"/>
      <c r="AR76" s="310"/>
      <c r="AS76" s="309"/>
    </row>
    <row r="77" spans="1:45" x14ac:dyDescent="0.2">
      <c r="A77" s="86">
        <f t="shared" si="116"/>
        <v>70</v>
      </c>
      <c r="B77" s="725"/>
      <c r="C77" s="726" t="s">
        <v>8</v>
      </c>
      <c r="D77" s="157"/>
      <c r="E77" s="122">
        <f>ROUND('Rates in Detail'!Y65,5)</f>
        <v>6.3200000000000001E-3</v>
      </c>
      <c r="F77" s="122"/>
      <c r="G77" s="157"/>
      <c r="H77" s="373">
        <f>ROUND('Rates in Detail'!R65,5)</f>
        <v>6.5949999999999995E-2</v>
      </c>
      <c r="I77" s="774">
        <f t="shared" si="9"/>
        <v>7.2270000000000001E-2</v>
      </c>
      <c r="J77" s="157"/>
      <c r="K77" s="155"/>
      <c r="L77" s="156"/>
      <c r="M77" s="122"/>
      <c r="N77" s="122"/>
      <c r="O77" s="122"/>
      <c r="P77" s="774"/>
      <c r="Q77" s="157"/>
      <c r="R77" s="298">
        <f>'WA Volumes &amp; Revenues'!E67</f>
        <v>0</v>
      </c>
      <c r="S77" s="311"/>
      <c r="T77" s="300"/>
      <c r="U77" s="301"/>
      <c r="V77" s="157"/>
      <c r="W77" s="313">
        <f t="shared" si="107"/>
        <v>0</v>
      </c>
      <c r="X77" s="309">
        <f t="shared" si="108"/>
        <v>0</v>
      </c>
      <c r="Y77" s="309">
        <f t="shared" si="109"/>
        <v>0</v>
      </c>
      <c r="Z77" s="314"/>
      <c r="AA77" s="309"/>
      <c r="AB77" s="313">
        <f t="shared" si="110"/>
        <v>0</v>
      </c>
      <c r="AC77" s="309">
        <f t="shared" si="111"/>
        <v>0</v>
      </c>
      <c r="AD77" s="314">
        <f t="shared" si="112"/>
        <v>0</v>
      </c>
      <c r="AE77" s="309"/>
      <c r="AF77" s="313">
        <f t="shared" si="113"/>
        <v>0</v>
      </c>
      <c r="AG77" s="309">
        <f t="shared" si="113"/>
        <v>0</v>
      </c>
      <c r="AH77" s="314">
        <f t="shared" si="113"/>
        <v>0</v>
      </c>
      <c r="AI77" s="309"/>
      <c r="AJ77" s="338"/>
      <c r="AK77" s="340" t="e">
        <f t="shared" si="106"/>
        <v>#DIV/0!</v>
      </c>
      <c r="AL77" s="309"/>
      <c r="AM77" s="313">
        <f t="shared" si="114"/>
        <v>0</v>
      </c>
      <c r="AN77" s="309">
        <v>0</v>
      </c>
      <c r="AO77" s="314">
        <f t="shared" si="115"/>
        <v>0</v>
      </c>
      <c r="AP77" s="309"/>
      <c r="AQ77" s="310"/>
      <c r="AR77" s="310"/>
      <c r="AS77" s="309"/>
    </row>
    <row r="78" spans="1:45" x14ac:dyDescent="0.2">
      <c r="A78" s="86">
        <f t="shared" si="116"/>
        <v>71</v>
      </c>
      <c r="B78" s="725"/>
      <c r="C78" s="726" t="s">
        <v>9</v>
      </c>
      <c r="D78" s="157"/>
      <c r="E78" s="122">
        <f>ROUND('Rates in Detail'!Y66,5)</f>
        <v>2.3700000000000001E-3</v>
      </c>
      <c r="F78" s="122"/>
      <c r="G78" s="157"/>
      <c r="H78" s="373">
        <f>ROUND('Rates in Detail'!R66,5)</f>
        <v>2.4729999999999999E-2</v>
      </c>
      <c r="I78" s="774">
        <f t="shared" si="9"/>
        <v>2.7099999999999999E-2</v>
      </c>
      <c r="J78" s="157"/>
      <c r="K78" s="743"/>
      <c r="L78" s="372"/>
      <c r="M78" s="122"/>
      <c r="N78" s="122"/>
      <c r="O78" s="122"/>
      <c r="P78" s="774"/>
      <c r="Q78" s="157"/>
      <c r="R78" s="298">
        <f>'WA Volumes &amp; Revenues'!E68</f>
        <v>0</v>
      </c>
      <c r="S78" s="311"/>
      <c r="T78" s="300"/>
      <c r="U78" s="301"/>
      <c r="V78" s="157"/>
      <c r="W78" s="313">
        <f t="shared" si="107"/>
        <v>0</v>
      </c>
      <c r="X78" s="309">
        <f t="shared" si="108"/>
        <v>0</v>
      </c>
      <c r="Y78" s="309">
        <f t="shared" si="109"/>
        <v>0</v>
      </c>
      <c r="Z78" s="314"/>
      <c r="AA78" s="309"/>
      <c r="AB78" s="313">
        <f t="shared" si="110"/>
        <v>0</v>
      </c>
      <c r="AC78" s="309">
        <f t="shared" si="111"/>
        <v>0</v>
      </c>
      <c r="AD78" s="314">
        <f t="shared" si="112"/>
        <v>0</v>
      </c>
      <c r="AE78" s="309"/>
      <c r="AF78" s="313">
        <f t="shared" si="113"/>
        <v>0</v>
      </c>
      <c r="AG78" s="309">
        <f t="shared" si="113"/>
        <v>0</v>
      </c>
      <c r="AH78" s="314">
        <f t="shared" si="113"/>
        <v>0</v>
      </c>
      <c r="AI78" s="309"/>
      <c r="AJ78" s="338"/>
      <c r="AK78" s="340" t="e">
        <f>AK77</f>
        <v>#DIV/0!</v>
      </c>
      <c r="AL78" s="309"/>
      <c r="AM78" s="313">
        <f t="shared" si="114"/>
        <v>0</v>
      </c>
      <c r="AN78" s="309">
        <v>0</v>
      </c>
      <c r="AO78" s="314">
        <f t="shared" si="115"/>
        <v>0</v>
      </c>
      <c r="AP78" s="309"/>
      <c r="AQ78" s="310"/>
      <c r="AR78" s="310"/>
      <c r="AS78" s="309"/>
    </row>
    <row r="79" spans="1:45" x14ac:dyDescent="0.2">
      <c r="A79" s="86">
        <f t="shared" si="116"/>
        <v>72</v>
      </c>
      <c r="B79" s="723"/>
      <c r="C79" s="742" t="s">
        <v>78</v>
      </c>
      <c r="D79" s="153"/>
      <c r="E79" s="123"/>
      <c r="F79" s="123"/>
      <c r="G79" s="153"/>
      <c r="H79" s="368"/>
      <c r="I79" s="773"/>
      <c r="J79" s="157"/>
      <c r="K79" s="743"/>
      <c r="L79" s="372"/>
      <c r="M79" s="122"/>
      <c r="N79" s="122"/>
      <c r="O79" s="122"/>
      <c r="P79" s="774"/>
      <c r="Q79" s="157"/>
      <c r="R79" s="298"/>
      <c r="S79" s="311"/>
      <c r="T79" s="300"/>
      <c r="U79" s="301"/>
      <c r="V79" s="157"/>
      <c r="W79" s="315">
        <f>SUM(W73:W78)</f>
        <v>53986.752999999997</v>
      </c>
      <c r="X79" s="316">
        <f>SUM(X73:X78)</f>
        <v>29900.000000000051</v>
      </c>
      <c r="Y79" s="316">
        <f>SUM(Y73:Y78)</f>
        <v>0</v>
      </c>
      <c r="Z79" s="317">
        <f>'Rate Spread Proposal'!V$74-SUM(W79:Y79)</f>
        <v>7525.1784393445123</v>
      </c>
      <c r="AA79" s="309"/>
      <c r="AB79" s="315">
        <f>SUM(AB73:AB78)</f>
        <v>59164.027600000001</v>
      </c>
      <c r="AC79" s="316">
        <f>SUM(AC73:AC78)</f>
        <v>29900.000000000051</v>
      </c>
      <c r="AD79" s="317">
        <f>SUM(AD73:AD78)</f>
        <v>0</v>
      </c>
      <c r="AE79" s="309"/>
      <c r="AF79" s="315">
        <f>SUM(AF73:AF78)</f>
        <v>5177.2746000000006</v>
      </c>
      <c r="AG79" s="316">
        <f>SUM(AG73:AG78)</f>
        <v>0</v>
      </c>
      <c r="AH79" s="317">
        <f>SUM(AH73:AH78)</f>
        <v>0</v>
      </c>
      <c r="AI79" s="309"/>
      <c r="AJ79" s="338">
        <f>SUM(AF79:AH79)/SUM(W79:Y79)</f>
        <v>6.1717427541867036E-2</v>
      </c>
      <c r="AK79" s="339">
        <f t="shared" ref="AK79:AK84" si="117">SUM(AF79)/SUM(W79)</f>
        <v>9.5898980996319619E-2</v>
      </c>
      <c r="AL79" s="309"/>
      <c r="AM79" s="315">
        <f>SUM(AM73:AM78)</f>
        <v>0</v>
      </c>
      <c r="AN79" s="316">
        <f>SUM(AN73:AN78)</f>
        <v>0</v>
      </c>
      <c r="AO79" s="317">
        <f>SUM(AO73:AO78)</f>
        <v>0</v>
      </c>
      <c r="AP79" s="309"/>
      <c r="AQ79" s="310"/>
      <c r="AR79" s="310"/>
      <c r="AS79" s="309"/>
    </row>
    <row r="80" spans="1:45" x14ac:dyDescent="0.2">
      <c r="A80" s="86">
        <f t="shared" si="116"/>
        <v>73</v>
      </c>
      <c r="B80" s="725" t="str">
        <f>'WA Volumes &amp; Revenues'!B69</f>
        <v>42C Inter Transpt</v>
      </c>
      <c r="C80" s="726" t="s">
        <v>4</v>
      </c>
      <c r="D80" s="157"/>
      <c r="E80" s="122">
        <f>ROUND('Rates in Detail'!Y67,5)</f>
        <v>8.4799999999999997E-3</v>
      </c>
      <c r="F80" s="122"/>
      <c r="G80" s="157"/>
      <c r="H80" s="373">
        <f>ROUND('Rates in Detail'!R67,5)</f>
        <v>0.14976</v>
      </c>
      <c r="I80" s="774">
        <f t="shared" ref="I80:I96" si="118">H80+E80</f>
        <v>0.15823999999999999</v>
      </c>
      <c r="J80" s="157"/>
      <c r="K80" s="155">
        <f>'WA Volumes &amp; Revenues'!O69</f>
        <v>1550</v>
      </c>
      <c r="L80" s="156">
        <f>'WA Volumes &amp; Revenues'!N69</f>
        <v>1550</v>
      </c>
      <c r="M80" s="122">
        <f>'Rates in Detail'!AF67</f>
        <v>0</v>
      </c>
      <c r="N80" s="122">
        <f>'Rates in Detail'!AG67</f>
        <v>0</v>
      </c>
      <c r="O80" s="122">
        <f>'Rates in Detail'!AH67</f>
        <v>0</v>
      </c>
      <c r="P80" s="774">
        <f>'Rates in Detail'!AI67</f>
        <v>0</v>
      </c>
      <c r="Q80" s="157"/>
      <c r="R80" s="298">
        <f>'WA Volumes &amp; Revenues'!E69</f>
        <v>0</v>
      </c>
      <c r="S80" s="311"/>
      <c r="T80" s="300">
        <f>'WA Volumes &amp; Revenues'!H69</f>
        <v>0</v>
      </c>
      <c r="U80" s="301">
        <f>'WA Volumes &amp; Revenues'!I69</f>
        <v>0</v>
      </c>
      <c r="V80" s="157"/>
      <c r="W80" s="313">
        <f t="shared" ref="W80:W85" si="119">(H80*R80)</f>
        <v>0</v>
      </c>
      <c r="X80" s="309">
        <f t="shared" ref="X80:X85" si="120">(K80*T80*12)</f>
        <v>0</v>
      </c>
      <c r="Y80" s="309">
        <f t="shared" ref="Y80:Y85" si="121">(S80*(M80+O80))*12</f>
        <v>0</v>
      </c>
      <c r="Z80" s="314"/>
      <c r="AA80" s="309"/>
      <c r="AB80" s="313">
        <f t="shared" ref="AB80:AB85" si="122">(I80*R80)</f>
        <v>0</v>
      </c>
      <c r="AC80" s="309">
        <f t="shared" ref="AC80:AC85" si="123">(L80*T80*12)</f>
        <v>0</v>
      </c>
      <c r="AD80" s="314">
        <f t="shared" ref="AD80:AD85" si="124">(S80*(N80+P80))*12</f>
        <v>0</v>
      </c>
      <c r="AE80" s="309"/>
      <c r="AF80" s="313">
        <f t="shared" ref="AF80:AH85" si="125">AB80-W80</f>
        <v>0</v>
      </c>
      <c r="AG80" s="309">
        <f t="shared" si="125"/>
        <v>0</v>
      </c>
      <c r="AH80" s="314">
        <f t="shared" si="125"/>
        <v>0</v>
      </c>
      <c r="AI80" s="309"/>
      <c r="AJ80" s="338"/>
      <c r="AK80" s="340" t="e">
        <f t="shared" si="117"/>
        <v>#DIV/0!</v>
      </c>
      <c r="AL80" s="309"/>
      <c r="AM80" s="313">
        <f t="shared" ref="AM80:AM85" si="126">(F80*R80)</f>
        <v>0</v>
      </c>
      <c r="AN80" s="309">
        <v>0</v>
      </c>
      <c r="AO80" s="314">
        <f t="shared" ref="AO80:AO85" si="127">(AE80*(Y80+AB80))*12</f>
        <v>0</v>
      </c>
      <c r="AP80" s="309"/>
      <c r="AQ80" s="310"/>
      <c r="AR80" s="310"/>
      <c r="AS80" s="309"/>
    </row>
    <row r="81" spans="1:45" x14ac:dyDescent="0.2">
      <c r="A81" s="86">
        <f t="shared" si="116"/>
        <v>74</v>
      </c>
      <c r="B81" s="725"/>
      <c r="C81" s="726" t="s">
        <v>5</v>
      </c>
      <c r="D81" s="157"/>
      <c r="E81" s="122">
        <f>ROUND('Rates in Detail'!Y68,5)</f>
        <v>7.5900000000000004E-3</v>
      </c>
      <c r="F81" s="122"/>
      <c r="G81" s="157"/>
      <c r="H81" s="373">
        <f>ROUND('Rates in Detail'!R68,5)</f>
        <v>0.13406999999999999</v>
      </c>
      <c r="I81" s="774">
        <f t="shared" si="118"/>
        <v>0.14166000000000001</v>
      </c>
      <c r="J81" s="157"/>
      <c r="K81" s="155"/>
      <c r="L81" s="156"/>
      <c r="M81" s="122"/>
      <c r="N81" s="122"/>
      <c r="O81" s="122"/>
      <c r="P81" s="774"/>
      <c r="Q81" s="157"/>
      <c r="R81" s="298">
        <f>'WA Volumes &amp; Revenues'!E70</f>
        <v>0</v>
      </c>
      <c r="S81" s="311"/>
      <c r="T81" s="300"/>
      <c r="U81" s="301"/>
      <c r="V81" s="157"/>
      <c r="W81" s="313">
        <f t="shared" si="119"/>
        <v>0</v>
      </c>
      <c r="X81" s="309">
        <f t="shared" si="120"/>
        <v>0</v>
      </c>
      <c r="Y81" s="309">
        <f t="shared" si="121"/>
        <v>0</v>
      </c>
      <c r="Z81" s="314"/>
      <c r="AA81" s="309"/>
      <c r="AB81" s="313">
        <f t="shared" si="122"/>
        <v>0</v>
      </c>
      <c r="AC81" s="309">
        <f t="shared" si="123"/>
        <v>0</v>
      </c>
      <c r="AD81" s="314">
        <f t="shared" si="124"/>
        <v>0</v>
      </c>
      <c r="AE81" s="309"/>
      <c r="AF81" s="313">
        <f t="shared" si="125"/>
        <v>0</v>
      </c>
      <c r="AG81" s="309">
        <f t="shared" si="125"/>
        <v>0</v>
      </c>
      <c r="AH81" s="314">
        <f t="shared" si="125"/>
        <v>0</v>
      </c>
      <c r="AI81" s="309"/>
      <c r="AJ81" s="338"/>
      <c r="AK81" s="340" t="e">
        <f t="shared" si="117"/>
        <v>#DIV/0!</v>
      </c>
      <c r="AL81" s="309"/>
      <c r="AM81" s="313">
        <f t="shared" si="126"/>
        <v>0</v>
      </c>
      <c r="AN81" s="309">
        <v>0</v>
      </c>
      <c r="AO81" s="314">
        <f t="shared" si="127"/>
        <v>0</v>
      </c>
      <c r="AP81" s="309"/>
      <c r="AQ81" s="310"/>
      <c r="AR81" s="310"/>
      <c r="AS81" s="309"/>
    </row>
    <row r="82" spans="1:45" x14ac:dyDescent="0.2">
      <c r="A82" s="86">
        <f t="shared" si="116"/>
        <v>75</v>
      </c>
      <c r="B82" s="725"/>
      <c r="C82" s="726" t="s">
        <v>6</v>
      </c>
      <c r="D82" s="157"/>
      <c r="E82" s="122">
        <f>ROUND('Rates in Detail'!Y69,5)</f>
        <v>5.8199999999999997E-3</v>
      </c>
      <c r="F82" s="122"/>
      <c r="G82" s="157"/>
      <c r="H82" s="373">
        <f>ROUND('Rates in Detail'!R69,5)</f>
        <v>0.1028</v>
      </c>
      <c r="I82" s="774">
        <f t="shared" si="118"/>
        <v>0.10862000000000001</v>
      </c>
      <c r="J82" s="157"/>
      <c r="K82" s="155"/>
      <c r="L82" s="156"/>
      <c r="M82" s="122"/>
      <c r="N82" s="122"/>
      <c r="O82" s="122"/>
      <c r="P82" s="774"/>
      <c r="Q82" s="157"/>
      <c r="R82" s="298">
        <f>'WA Volumes &amp; Revenues'!E71</f>
        <v>0</v>
      </c>
      <c r="S82" s="311"/>
      <c r="T82" s="300"/>
      <c r="U82" s="301"/>
      <c r="V82" s="157"/>
      <c r="W82" s="313">
        <f t="shared" si="119"/>
        <v>0</v>
      </c>
      <c r="X82" s="309">
        <f t="shared" si="120"/>
        <v>0</v>
      </c>
      <c r="Y82" s="309">
        <f t="shared" si="121"/>
        <v>0</v>
      </c>
      <c r="Z82" s="314"/>
      <c r="AA82" s="309"/>
      <c r="AB82" s="313">
        <f t="shared" si="122"/>
        <v>0</v>
      </c>
      <c r="AC82" s="309">
        <f t="shared" si="123"/>
        <v>0</v>
      </c>
      <c r="AD82" s="314">
        <f t="shared" si="124"/>
        <v>0</v>
      </c>
      <c r="AE82" s="309"/>
      <c r="AF82" s="313">
        <f t="shared" si="125"/>
        <v>0</v>
      </c>
      <c r="AG82" s="309">
        <f t="shared" si="125"/>
        <v>0</v>
      </c>
      <c r="AH82" s="314">
        <f t="shared" si="125"/>
        <v>0</v>
      </c>
      <c r="AI82" s="309"/>
      <c r="AJ82" s="338"/>
      <c r="AK82" s="340" t="e">
        <f t="shared" si="117"/>
        <v>#DIV/0!</v>
      </c>
      <c r="AL82" s="309"/>
      <c r="AM82" s="313">
        <f t="shared" si="126"/>
        <v>0</v>
      </c>
      <c r="AN82" s="309">
        <v>0</v>
      </c>
      <c r="AO82" s="314">
        <f t="shared" si="127"/>
        <v>0</v>
      </c>
      <c r="AP82" s="309"/>
      <c r="AQ82" s="310"/>
      <c r="AR82" s="310"/>
      <c r="AS82" s="309"/>
    </row>
    <row r="83" spans="1:45" x14ac:dyDescent="0.2">
      <c r="A83" s="86">
        <f t="shared" si="116"/>
        <v>76</v>
      </c>
      <c r="B83" s="725"/>
      <c r="C83" s="726" t="s">
        <v>7</v>
      </c>
      <c r="D83" s="157"/>
      <c r="E83" s="122">
        <f>ROUND('Rates in Detail'!Y70,5)</f>
        <v>4.6600000000000001E-3</v>
      </c>
      <c r="F83" s="122"/>
      <c r="G83" s="157"/>
      <c r="H83" s="373">
        <f>ROUND('Rates in Detail'!R70,5)</f>
        <v>8.2250000000000004E-2</v>
      </c>
      <c r="I83" s="774">
        <f t="shared" si="118"/>
        <v>8.6910000000000001E-2</v>
      </c>
      <c r="J83" s="157"/>
      <c r="K83" s="155"/>
      <c r="L83" s="156"/>
      <c r="M83" s="122"/>
      <c r="N83" s="122"/>
      <c r="O83" s="122"/>
      <c r="P83" s="774"/>
      <c r="Q83" s="157"/>
      <c r="R83" s="298">
        <f>'WA Volumes &amp; Revenues'!E72</f>
        <v>0</v>
      </c>
      <c r="S83" s="311"/>
      <c r="T83" s="300"/>
      <c r="U83" s="301"/>
      <c r="V83" s="157"/>
      <c r="W83" s="313">
        <f t="shared" si="119"/>
        <v>0</v>
      </c>
      <c r="X83" s="309">
        <f t="shared" si="120"/>
        <v>0</v>
      </c>
      <c r="Y83" s="309">
        <f t="shared" si="121"/>
        <v>0</v>
      </c>
      <c r="Z83" s="314"/>
      <c r="AA83" s="309"/>
      <c r="AB83" s="313">
        <f t="shared" si="122"/>
        <v>0</v>
      </c>
      <c r="AC83" s="309">
        <f t="shared" si="123"/>
        <v>0</v>
      </c>
      <c r="AD83" s="314">
        <f t="shared" si="124"/>
        <v>0</v>
      </c>
      <c r="AE83" s="309"/>
      <c r="AF83" s="313">
        <f t="shared" si="125"/>
        <v>0</v>
      </c>
      <c r="AG83" s="309">
        <f t="shared" si="125"/>
        <v>0</v>
      </c>
      <c r="AH83" s="314">
        <f t="shared" si="125"/>
        <v>0</v>
      </c>
      <c r="AI83" s="309"/>
      <c r="AJ83" s="338"/>
      <c r="AK83" s="340" t="e">
        <f t="shared" si="117"/>
        <v>#DIV/0!</v>
      </c>
      <c r="AL83" s="309"/>
      <c r="AM83" s="313">
        <f t="shared" si="126"/>
        <v>0</v>
      </c>
      <c r="AN83" s="309">
        <v>0</v>
      </c>
      <c r="AO83" s="314">
        <f t="shared" si="127"/>
        <v>0</v>
      </c>
      <c r="AP83" s="309"/>
      <c r="AQ83" s="310"/>
      <c r="AR83" s="310"/>
      <c r="AS83" s="309"/>
    </row>
    <row r="84" spans="1:45" x14ac:dyDescent="0.2">
      <c r="A84" s="86">
        <f t="shared" si="116"/>
        <v>77</v>
      </c>
      <c r="B84" s="725"/>
      <c r="C84" s="726" t="s">
        <v>8</v>
      </c>
      <c r="D84" s="157"/>
      <c r="E84" s="122">
        <f>ROUND('Rates in Detail'!Y71,5)</f>
        <v>3.1099999999999999E-3</v>
      </c>
      <c r="F84" s="122"/>
      <c r="G84" s="157"/>
      <c r="H84" s="373">
        <f>ROUND('Rates in Detail'!R71,5)</f>
        <v>5.484E-2</v>
      </c>
      <c r="I84" s="774">
        <f t="shared" si="118"/>
        <v>5.7950000000000002E-2</v>
      </c>
      <c r="J84" s="157"/>
      <c r="K84" s="155"/>
      <c r="L84" s="156"/>
      <c r="M84" s="122"/>
      <c r="N84" s="122"/>
      <c r="O84" s="122"/>
      <c r="P84" s="774"/>
      <c r="Q84" s="157"/>
      <c r="R84" s="298">
        <f>'WA Volumes &amp; Revenues'!E73</f>
        <v>0</v>
      </c>
      <c r="S84" s="311"/>
      <c r="T84" s="300"/>
      <c r="U84" s="301"/>
      <c r="V84" s="157"/>
      <c r="W84" s="313">
        <f t="shared" si="119"/>
        <v>0</v>
      </c>
      <c r="X84" s="309">
        <f t="shared" si="120"/>
        <v>0</v>
      </c>
      <c r="Y84" s="309">
        <f t="shared" si="121"/>
        <v>0</v>
      </c>
      <c r="Z84" s="314"/>
      <c r="AA84" s="309"/>
      <c r="AB84" s="313">
        <f t="shared" si="122"/>
        <v>0</v>
      </c>
      <c r="AC84" s="309">
        <f t="shared" si="123"/>
        <v>0</v>
      </c>
      <c r="AD84" s="314">
        <f t="shared" si="124"/>
        <v>0</v>
      </c>
      <c r="AE84" s="309"/>
      <c r="AF84" s="313">
        <f t="shared" si="125"/>
        <v>0</v>
      </c>
      <c r="AG84" s="309">
        <f t="shared" si="125"/>
        <v>0</v>
      </c>
      <c r="AH84" s="314">
        <f t="shared" si="125"/>
        <v>0</v>
      </c>
      <c r="AI84" s="309"/>
      <c r="AJ84" s="338"/>
      <c r="AK84" s="340" t="e">
        <f t="shared" si="117"/>
        <v>#DIV/0!</v>
      </c>
      <c r="AL84" s="309"/>
      <c r="AM84" s="313">
        <f t="shared" si="126"/>
        <v>0</v>
      </c>
      <c r="AN84" s="309">
        <v>0</v>
      </c>
      <c r="AO84" s="314">
        <f t="shared" si="127"/>
        <v>0</v>
      </c>
      <c r="AP84" s="309"/>
      <c r="AQ84" s="310"/>
      <c r="AR84" s="310"/>
      <c r="AS84" s="309"/>
    </row>
    <row r="85" spans="1:45" x14ac:dyDescent="0.2">
      <c r="A85" s="86">
        <f t="shared" si="116"/>
        <v>78</v>
      </c>
      <c r="B85" s="725"/>
      <c r="C85" s="726" t="s">
        <v>9</v>
      </c>
      <c r="D85" s="157"/>
      <c r="E85" s="122">
        <f>ROUND('Rates in Detail'!Y72,5)</f>
        <v>1.16E-3</v>
      </c>
      <c r="F85" s="122"/>
      <c r="G85" s="157"/>
      <c r="H85" s="373">
        <f>ROUND('Rates in Detail'!R72,5)</f>
        <v>2.0549999999999999E-2</v>
      </c>
      <c r="I85" s="774">
        <f t="shared" si="118"/>
        <v>2.171E-2</v>
      </c>
      <c r="J85" s="157"/>
      <c r="K85" s="743"/>
      <c r="L85" s="372"/>
      <c r="M85" s="122"/>
      <c r="N85" s="122"/>
      <c r="O85" s="122"/>
      <c r="P85" s="774"/>
      <c r="Q85" s="157"/>
      <c r="R85" s="298">
        <f>'WA Volumes &amp; Revenues'!E74</f>
        <v>0</v>
      </c>
      <c r="S85" s="311"/>
      <c r="T85" s="300"/>
      <c r="U85" s="301"/>
      <c r="V85" s="157"/>
      <c r="W85" s="313">
        <f t="shared" si="119"/>
        <v>0</v>
      </c>
      <c r="X85" s="309">
        <f t="shared" si="120"/>
        <v>0</v>
      </c>
      <c r="Y85" s="309">
        <f t="shared" si="121"/>
        <v>0</v>
      </c>
      <c r="Z85" s="314"/>
      <c r="AA85" s="309"/>
      <c r="AB85" s="313">
        <f t="shared" si="122"/>
        <v>0</v>
      </c>
      <c r="AC85" s="309">
        <f t="shared" si="123"/>
        <v>0</v>
      </c>
      <c r="AD85" s="314">
        <f t="shared" si="124"/>
        <v>0</v>
      </c>
      <c r="AE85" s="309"/>
      <c r="AF85" s="313">
        <f t="shared" si="125"/>
        <v>0</v>
      </c>
      <c r="AG85" s="309">
        <f t="shared" si="125"/>
        <v>0</v>
      </c>
      <c r="AH85" s="314">
        <f t="shared" si="125"/>
        <v>0</v>
      </c>
      <c r="AI85" s="309"/>
      <c r="AJ85" s="338"/>
      <c r="AK85" s="340" t="e">
        <f>AK84</f>
        <v>#DIV/0!</v>
      </c>
      <c r="AL85" s="309"/>
      <c r="AM85" s="313">
        <f t="shared" si="126"/>
        <v>0</v>
      </c>
      <c r="AN85" s="309">
        <v>0</v>
      </c>
      <c r="AO85" s="314">
        <f t="shared" si="127"/>
        <v>0</v>
      </c>
      <c r="AP85" s="309"/>
      <c r="AQ85" s="310"/>
      <c r="AR85" s="310"/>
      <c r="AS85" s="309"/>
    </row>
    <row r="86" spans="1:45" x14ac:dyDescent="0.2">
      <c r="A86" s="86">
        <f t="shared" si="116"/>
        <v>79</v>
      </c>
      <c r="B86" s="723"/>
      <c r="C86" s="742" t="s">
        <v>78</v>
      </c>
      <c r="D86" s="153"/>
      <c r="E86" s="123"/>
      <c r="F86" s="123"/>
      <c r="G86" s="153"/>
      <c r="H86" s="368"/>
      <c r="I86" s="773"/>
      <c r="J86" s="157"/>
      <c r="K86" s="743"/>
      <c r="L86" s="372"/>
      <c r="M86" s="122"/>
      <c r="N86" s="122"/>
      <c r="O86" s="122"/>
      <c r="P86" s="774"/>
      <c r="Q86" s="157"/>
      <c r="R86" s="298"/>
      <c r="S86" s="311"/>
      <c r="T86" s="300"/>
      <c r="U86" s="301"/>
      <c r="V86" s="157"/>
      <c r="W86" s="315">
        <f>SUM(W80:W85)</f>
        <v>0</v>
      </c>
      <c r="X86" s="316">
        <f>SUM(X80:X85)</f>
        <v>0</v>
      </c>
      <c r="Y86" s="316">
        <f>SUM(Y80:Y85)</f>
        <v>0</v>
      </c>
      <c r="Z86" s="317">
        <f>'Rate Spread Proposal'!W$74-SUM(W86:Y86)</f>
        <v>0</v>
      </c>
      <c r="AA86" s="309"/>
      <c r="AB86" s="315">
        <f>SUM(AB80:AB85)</f>
        <v>0</v>
      </c>
      <c r="AC86" s="316">
        <f>SUM(AC80:AC85)</f>
        <v>0</v>
      </c>
      <c r="AD86" s="317">
        <f>SUM(AD80:AD85)</f>
        <v>0</v>
      </c>
      <c r="AE86" s="309"/>
      <c r="AF86" s="315">
        <f>SUM(AF80:AF85)</f>
        <v>0</v>
      </c>
      <c r="AG86" s="316">
        <f>SUM(AG80:AG85)</f>
        <v>0</v>
      </c>
      <c r="AH86" s="317">
        <f>SUM(AH80:AH85)</f>
        <v>0</v>
      </c>
      <c r="AI86" s="309"/>
      <c r="AJ86" s="338" t="e">
        <f>SUM(AF86:AH86)/SUM(W86:Y86)</f>
        <v>#DIV/0!</v>
      </c>
      <c r="AK86" s="339" t="e">
        <f t="shared" ref="AK86:AK93" si="128">SUM(AF86)/SUM(W86)</f>
        <v>#DIV/0!</v>
      </c>
      <c r="AL86" s="309"/>
      <c r="AM86" s="315">
        <f>SUM(AM80:AM85)</f>
        <v>0</v>
      </c>
      <c r="AN86" s="316">
        <f>SUM(AN80:AN85)</f>
        <v>0</v>
      </c>
      <c r="AO86" s="317">
        <f>SUM(AO80:AO85)</f>
        <v>0</v>
      </c>
      <c r="AP86" s="309"/>
      <c r="AQ86" s="310"/>
      <c r="AR86" s="310"/>
      <c r="AS86" s="309"/>
    </row>
    <row r="87" spans="1:45" x14ac:dyDescent="0.2">
      <c r="A87" s="86">
        <f t="shared" si="116"/>
        <v>80</v>
      </c>
      <c r="B87" s="725" t="str">
        <f>'WA Volumes &amp; Revenues'!B75</f>
        <v>42I Inter Transpt</v>
      </c>
      <c r="C87" s="726" t="s">
        <v>4</v>
      </c>
      <c r="D87" s="162"/>
      <c r="E87" s="122">
        <f>ROUND('Rates in Detail'!Y73,5)</f>
        <v>1.0160000000000001E-2</v>
      </c>
      <c r="F87" s="122"/>
      <c r="G87" s="162"/>
      <c r="H87" s="373">
        <f>ROUND('Rates in Detail'!R73,5)</f>
        <v>0.1542</v>
      </c>
      <c r="I87" s="774">
        <f t="shared" si="118"/>
        <v>0.16436000000000001</v>
      </c>
      <c r="J87" s="162"/>
      <c r="K87" s="155">
        <f>'WA Volumes &amp; Revenues'!O75</f>
        <v>1550</v>
      </c>
      <c r="L87" s="156">
        <f>'WA Volumes &amp; Revenues'!N75</f>
        <v>1550</v>
      </c>
      <c r="M87" s="122">
        <f>'Rates in Detail'!AF73</f>
        <v>0</v>
      </c>
      <c r="N87" s="122">
        <f>'Rates in Detail'!AG73</f>
        <v>0</v>
      </c>
      <c r="O87" s="122">
        <f>'Rates in Detail'!AH73</f>
        <v>0</v>
      </c>
      <c r="P87" s="774">
        <f>'Rates in Detail'!AI73</f>
        <v>0</v>
      </c>
      <c r="Q87" s="162"/>
      <c r="R87" s="298">
        <f>'WA Volumes &amp; Revenues'!E75</f>
        <v>844078</v>
      </c>
      <c r="S87" s="311"/>
      <c r="T87" s="300">
        <f>'WA Volumes &amp; Revenues'!H75</f>
        <v>7</v>
      </c>
      <c r="U87" s="301">
        <f>'WA Volumes &amp; Revenues'!I75</f>
        <v>95634</v>
      </c>
      <c r="V87" s="162"/>
      <c r="W87" s="313">
        <f t="shared" ref="W87:W92" si="129">(H87*R87)</f>
        <v>130156.8276</v>
      </c>
      <c r="X87" s="309">
        <f t="shared" ref="X87:X92" si="130">(K87*T87*12)</f>
        <v>130200</v>
      </c>
      <c r="Y87" s="309">
        <f t="shared" ref="Y87:Y92" si="131">(S87*(M87+O87))*12</f>
        <v>0</v>
      </c>
      <c r="Z87" s="314"/>
      <c r="AA87" s="320"/>
      <c r="AB87" s="313">
        <f t="shared" ref="AB87:AB92" si="132">(I87*R87)</f>
        <v>138732.66008</v>
      </c>
      <c r="AC87" s="309">
        <f t="shared" ref="AC87:AC92" si="133">(L87*T87*12)</f>
        <v>130200</v>
      </c>
      <c r="AD87" s="314">
        <f t="shared" ref="AD87:AD92" si="134">(S87*(N87+P87))*12</f>
        <v>0</v>
      </c>
      <c r="AE87" s="320"/>
      <c r="AF87" s="313">
        <f t="shared" ref="AF87:AH92" si="135">AB87-W87</f>
        <v>8575.8324799999973</v>
      </c>
      <c r="AG87" s="309">
        <f t="shared" si="135"/>
        <v>0</v>
      </c>
      <c r="AH87" s="314">
        <f t="shared" si="135"/>
        <v>0</v>
      </c>
      <c r="AI87" s="320"/>
      <c r="AJ87" s="338"/>
      <c r="AK87" s="340">
        <f t="shared" si="128"/>
        <v>6.5888456549935123E-2</v>
      </c>
      <c r="AL87" s="320"/>
      <c r="AM87" s="313">
        <f t="shared" ref="AM87:AM92" si="136">(F87*R87)</f>
        <v>0</v>
      </c>
      <c r="AN87" s="309">
        <v>0</v>
      </c>
      <c r="AO87" s="314">
        <f t="shared" ref="AO87:AO92" si="137">(AE87*(Y87+AB87))*12</f>
        <v>0</v>
      </c>
      <c r="AP87" s="320"/>
      <c r="AQ87" s="310"/>
      <c r="AR87" s="310"/>
      <c r="AS87" s="320"/>
    </row>
    <row r="88" spans="1:45" x14ac:dyDescent="0.2">
      <c r="A88" s="86">
        <f t="shared" si="116"/>
        <v>81</v>
      </c>
      <c r="B88" s="725"/>
      <c r="C88" s="726" t="s">
        <v>5</v>
      </c>
      <c r="D88" s="162"/>
      <c r="E88" s="122">
        <f>ROUND('Rates in Detail'!Y74,5)</f>
        <v>9.0900000000000009E-3</v>
      </c>
      <c r="F88" s="122"/>
      <c r="G88" s="162"/>
      <c r="H88" s="373">
        <f>ROUND('Rates in Detail'!R74,5)</f>
        <v>0.13804</v>
      </c>
      <c r="I88" s="774">
        <f t="shared" si="118"/>
        <v>0.14712999999999998</v>
      </c>
      <c r="J88" s="162"/>
      <c r="K88" s="743"/>
      <c r="L88" s="372"/>
      <c r="M88" s="122"/>
      <c r="N88" s="122"/>
      <c r="O88" s="122"/>
      <c r="P88" s="774"/>
      <c r="Q88" s="162"/>
      <c r="R88" s="298">
        <f>'WA Volumes &amp; Revenues'!E76</f>
        <v>1445175</v>
      </c>
      <c r="S88" s="160"/>
      <c r="T88" s="157"/>
      <c r="U88" s="158"/>
      <c r="V88" s="162"/>
      <c r="W88" s="313">
        <f t="shared" si="129"/>
        <v>199491.95699999999</v>
      </c>
      <c r="X88" s="309">
        <f t="shared" si="130"/>
        <v>0</v>
      </c>
      <c r="Y88" s="309">
        <f t="shared" si="131"/>
        <v>0</v>
      </c>
      <c r="Z88" s="314"/>
      <c r="AA88" s="320"/>
      <c r="AB88" s="313">
        <f t="shared" si="132"/>
        <v>212628.59774999999</v>
      </c>
      <c r="AC88" s="309">
        <f t="shared" si="133"/>
        <v>0</v>
      </c>
      <c r="AD88" s="314">
        <f t="shared" si="134"/>
        <v>0</v>
      </c>
      <c r="AE88" s="320"/>
      <c r="AF88" s="313">
        <f t="shared" si="135"/>
        <v>13136.640749999991</v>
      </c>
      <c r="AG88" s="309">
        <f t="shared" si="135"/>
        <v>0</v>
      </c>
      <c r="AH88" s="314">
        <f t="shared" si="135"/>
        <v>0</v>
      </c>
      <c r="AI88" s="320"/>
      <c r="AJ88" s="338"/>
      <c r="AK88" s="340">
        <f t="shared" si="128"/>
        <v>6.5850478122283354E-2</v>
      </c>
      <c r="AL88" s="320"/>
      <c r="AM88" s="313">
        <f t="shared" si="136"/>
        <v>0</v>
      </c>
      <c r="AN88" s="309">
        <v>0</v>
      </c>
      <c r="AO88" s="314">
        <f t="shared" si="137"/>
        <v>0</v>
      </c>
      <c r="AP88" s="320"/>
      <c r="AQ88" s="310"/>
      <c r="AR88" s="156"/>
      <c r="AS88" s="320"/>
    </row>
    <row r="89" spans="1:45" x14ac:dyDescent="0.2">
      <c r="A89" s="86">
        <f t="shared" si="116"/>
        <v>82</v>
      </c>
      <c r="B89" s="725"/>
      <c r="C89" s="726" t="s">
        <v>6</v>
      </c>
      <c r="D89" s="162"/>
      <c r="E89" s="122">
        <f>ROUND('Rates in Detail'!Y75,5)</f>
        <v>6.9699999999999996E-3</v>
      </c>
      <c r="F89" s="122"/>
      <c r="G89" s="162"/>
      <c r="H89" s="373">
        <f>ROUND('Rates in Detail'!R75,5)</f>
        <v>0.10585</v>
      </c>
      <c r="I89" s="774">
        <f t="shared" si="118"/>
        <v>0.11282</v>
      </c>
      <c r="J89" s="162"/>
      <c r="K89" s="155"/>
      <c r="L89" s="156"/>
      <c r="M89" s="122"/>
      <c r="N89" s="122"/>
      <c r="O89" s="122"/>
      <c r="P89" s="774"/>
      <c r="Q89" s="162"/>
      <c r="R89" s="298">
        <f>'WA Volumes &amp; Revenues'!E77</f>
        <v>1034978</v>
      </c>
      <c r="S89" s="160"/>
      <c r="T89" s="157"/>
      <c r="U89" s="158"/>
      <c r="V89" s="162"/>
      <c r="W89" s="313">
        <f t="shared" si="129"/>
        <v>109552.4213</v>
      </c>
      <c r="X89" s="309">
        <f t="shared" si="130"/>
        <v>0</v>
      </c>
      <c r="Y89" s="309">
        <f t="shared" si="131"/>
        <v>0</v>
      </c>
      <c r="Z89" s="314"/>
      <c r="AA89" s="320"/>
      <c r="AB89" s="313">
        <f t="shared" si="132"/>
        <v>116766.21796000001</v>
      </c>
      <c r="AC89" s="309">
        <f t="shared" si="133"/>
        <v>0</v>
      </c>
      <c r="AD89" s="314">
        <f t="shared" si="134"/>
        <v>0</v>
      </c>
      <c r="AE89" s="320"/>
      <c r="AF89" s="313">
        <f t="shared" si="135"/>
        <v>7213.7966600000073</v>
      </c>
      <c r="AG89" s="309">
        <f t="shared" si="135"/>
        <v>0</v>
      </c>
      <c r="AH89" s="314">
        <f t="shared" si="135"/>
        <v>0</v>
      </c>
      <c r="AI89" s="320"/>
      <c r="AJ89" s="338"/>
      <c r="AK89" s="340">
        <f t="shared" si="128"/>
        <v>6.5847897968823871E-2</v>
      </c>
      <c r="AL89" s="320"/>
      <c r="AM89" s="313">
        <f t="shared" si="136"/>
        <v>0</v>
      </c>
      <c r="AN89" s="309">
        <v>0</v>
      </c>
      <c r="AO89" s="314">
        <f t="shared" si="137"/>
        <v>0</v>
      </c>
      <c r="AP89" s="320"/>
      <c r="AQ89" s="310"/>
      <c r="AR89" s="156"/>
      <c r="AS89" s="320"/>
    </row>
    <row r="90" spans="1:45" x14ac:dyDescent="0.2">
      <c r="A90" s="86">
        <f t="shared" si="116"/>
        <v>83</v>
      </c>
      <c r="B90" s="725"/>
      <c r="C90" s="726" t="s">
        <v>7</v>
      </c>
      <c r="D90" s="162"/>
      <c r="E90" s="122">
        <f>ROUND('Rates in Detail'!Y76,5)</f>
        <v>5.5799999999999999E-3</v>
      </c>
      <c r="F90" s="122"/>
      <c r="G90" s="162"/>
      <c r="H90" s="373">
        <f>ROUND('Rates in Detail'!R76,5)</f>
        <v>8.4680000000000005E-2</v>
      </c>
      <c r="I90" s="774">
        <f t="shared" si="118"/>
        <v>9.0260000000000007E-2</v>
      </c>
      <c r="J90" s="162"/>
      <c r="K90" s="155"/>
      <c r="L90" s="156"/>
      <c r="M90" s="122"/>
      <c r="N90" s="122"/>
      <c r="O90" s="122"/>
      <c r="P90" s="774"/>
      <c r="Q90" s="162"/>
      <c r="R90" s="298">
        <f>'WA Volumes &amp; Revenues'!E78</f>
        <v>3359916</v>
      </c>
      <c r="S90" s="160"/>
      <c r="T90" s="157"/>
      <c r="U90" s="158"/>
      <c r="V90" s="162"/>
      <c r="W90" s="313">
        <f t="shared" si="129"/>
        <v>284517.68687999999</v>
      </c>
      <c r="X90" s="309">
        <f t="shared" si="130"/>
        <v>0</v>
      </c>
      <c r="Y90" s="309">
        <f t="shared" si="131"/>
        <v>0</v>
      </c>
      <c r="Z90" s="314"/>
      <c r="AA90" s="320"/>
      <c r="AB90" s="313">
        <f t="shared" si="132"/>
        <v>303266.01816000004</v>
      </c>
      <c r="AC90" s="309">
        <f t="shared" si="133"/>
        <v>0</v>
      </c>
      <c r="AD90" s="314">
        <f t="shared" si="134"/>
        <v>0</v>
      </c>
      <c r="AE90" s="320"/>
      <c r="AF90" s="313">
        <f t="shared" si="135"/>
        <v>18748.331280000042</v>
      </c>
      <c r="AG90" s="309">
        <f t="shared" si="135"/>
        <v>0</v>
      </c>
      <c r="AH90" s="314">
        <f t="shared" si="135"/>
        <v>0</v>
      </c>
      <c r="AI90" s="320"/>
      <c r="AJ90" s="338"/>
      <c r="AK90" s="340">
        <f t="shared" si="128"/>
        <v>6.5895134624468735E-2</v>
      </c>
      <c r="AL90" s="320"/>
      <c r="AM90" s="313">
        <f t="shared" si="136"/>
        <v>0</v>
      </c>
      <c r="AN90" s="309">
        <v>0</v>
      </c>
      <c r="AO90" s="314">
        <f t="shared" si="137"/>
        <v>0</v>
      </c>
      <c r="AP90" s="320"/>
      <c r="AQ90" s="310"/>
      <c r="AR90" s="156"/>
      <c r="AS90" s="320"/>
    </row>
    <row r="91" spans="1:45" x14ac:dyDescent="0.2">
      <c r="A91" s="86">
        <f t="shared" si="116"/>
        <v>84</v>
      </c>
      <c r="B91" s="725"/>
      <c r="C91" s="726" t="s">
        <v>8</v>
      </c>
      <c r="D91" s="162"/>
      <c r="E91" s="122">
        <f>ROUND('Rates in Detail'!Y77,5)</f>
        <v>3.7200000000000002E-3</v>
      </c>
      <c r="F91" s="122"/>
      <c r="G91" s="162"/>
      <c r="H91" s="373">
        <f>ROUND('Rates in Detail'!R77,5)</f>
        <v>5.6460000000000003E-2</v>
      </c>
      <c r="I91" s="774">
        <f t="shared" si="118"/>
        <v>6.0180000000000004E-2</v>
      </c>
      <c r="J91" s="162"/>
      <c r="K91" s="155"/>
      <c r="L91" s="156"/>
      <c r="M91" s="122"/>
      <c r="N91" s="122"/>
      <c r="O91" s="122"/>
      <c r="P91" s="774"/>
      <c r="Q91" s="162"/>
      <c r="R91" s="298">
        <f>'WA Volumes &amp; Revenues'!E79</f>
        <v>1349120</v>
      </c>
      <c r="S91" s="160"/>
      <c r="T91" s="157"/>
      <c r="U91" s="158"/>
      <c r="V91" s="162"/>
      <c r="W91" s="313">
        <f t="shared" si="129"/>
        <v>76171.315199999997</v>
      </c>
      <c r="X91" s="309">
        <f t="shared" si="130"/>
        <v>0</v>
      </c>
      <c r="Y91" s="309">
        <f t="shared" si="131"/>
        <v>0</v>
      </c>
      <c r="Z91" s="314"/>
      <c r="AA91" s="320"/>
      <c r="AB91" s="313">
        <f t="shared" si="132"/>
        <v>81190.041600000011</v>
      </c>
      <c r="AC91" s="309">
        <f t="shared" si="133"/>
        <v>0</v>
      </c>
      <c r="AD91" s="314">
        <f t="shared" si="134"/>
        <v>0</v>
      </c>
      <c r="AE91" s="320"/>
      <c r="AF91" s="313">
        <f t="shared" si="135"/>
        <v>5018.7264000000141</v>
      </c>
      <c r="AG91" s="309">
        <f t="shared" si="135"/>
        <v>0</v>
      </c>
      <c r="AH91" s="314">
        <f t="shared" si="135"/>
        <v>0</v>
      </c>
      <c r="AI91" s="320"/>
      <c r="AJ91" s="338"/>
      <c r="AK91" s="340">
        <f t="shared" si="128"/>
        <v>6.5887353878852473E-2</v>
      </c>
      <c r="AL91" s="320"/>
      <c r="AM91" s="313">
        <f t="shared" si="136"/>
        <v>0</v>
      </c>
      <c r="AN91" s="309">
        <v>0</v>
      </c>
      <c r="AO91" s="314">
        <f t="shared" si="137"/>
        <v>0</v>
      </c>
      <c r="AP91" s="320"/>
      <c r="AQ91" s="310"/>
      <c r="AR91" s="154"/>
      <c r="AS91" s="320"/>
    </row>
    <row r="92" spans="1:45" x14ac:dyDescent="0.2">
      <c r="A92" s="86">
        <f t="shared" si="116"/>
        <v>85</v>
      </c>
      <c r="B92" s="725"/>
      <c r="C92" s="726" t="s">
        <v>9</v>
      </c>
      <c r="D92" s="162"/>
      <c r="E92" s="122">
        <f>ROUND('Rates in Detail'!Y78,5)</f>
        <v>1.39E-3</v>
      </c>
      <c r="F92" s="122"/>
      <c r="G92" s="162"/>
      <c r="H92" s="373">
        <f>ROUND('Rates in Detail'!R78,5)</f>
        <v>2.1160000000000002E-2</v>
      </c>
      <c r="I92" s="774">
        <f t="shared" si="118"/>
        <v>2.2550000000000001E-2</v>
      </c>
      <c r="J92" s="162"/>
      <c r="K92" s="155"/>
      <c r="L92" s="156"/>
      <c r="M92" s="122"/>
      <c r="N92" s="122"/>
      <c r="O92" s="122"/>
      <c r="P92" s="774"/>
      <c r="Q92" s="162"/>
      <c r="R92" s="298">
        <f>'WA Volumes &amp; Revenues'!E80</f>
        <v>0</v>
      </c>
      <c r="S92" s="160"/>
      <c r="T92" s="157"/>
      <c r="U92" s="158"/>
      <c r="V92" s="162"/>
      <c r="W92" s="313">
        <f t="shared" si="129"/>
        <v>0</v>
      </c>
      <c r="X92" s="309">
        <f t="shared" si="130"/>
        <v>0</v>
      </c>
      <c r="Y92" s="309">
        <f t="shared" si="131"/>
        <v>0</v>
      </c>
      <c r="Z92" s="314"/>
      <c r="AA92" s="320"/>
      <c r="AB92" s="313">
        <f t="shared" si="132"/>
        <v>0</v>
      </c>
      <c r="AC92" s="309">
        <f t="shared" si="133"/>
        <v>0</v>
      </c>
      <c r="AD92" s="314">
        <f t="shared" si="134"/>
        <v>0</v>
      </c>
      <c r="AE92" s="320"/>
      <c r="AF92" s="313">
        <f t="shared" si="135"/>
        <v>0</v>
      </c>
      <c r="AG92" s="309">
        <f t="shared" si="135"/>
        <v>0</v>
      </c>
      <c r="AH92" s="314">
        <f t="shared" si="135"/>
        <v>0</v>
      </c>
      <c r="AI92" s="320"/>
      <c r="AJ92" s="338"/>
      <c r="AK92" s="340" t="e">
        <f t="shared" si="128"/>
        <v>#DIV/0!</v>
      </c>
      <c r="AL92" s="320"/>
      <c r="AM92" s="313">
        <f t="shared" si="136"/>
        <v>0</v>
      </c>
      <c r="AN92" s="309">
        <v>0</v>
      </c>
      <c r="AO92" s="314">
        <f t="shared" si="137"/>
        <v>0</v>
      </c>
      <c r="AP92" s="320"/>
      <c r="AQ92" s="310"/>
      <c r="AR92" s="154"/>
      <c r="AS92" s="320"/>
    </row>
    <row r="93" spans="1:45" x14ac:dyDescent="0.2">
      <c r="A93" s="86">
        <f t="shared" si="116"/>
        <v>86</v>
      </c>
      <c r="B93" s="723"/>
      <c r="C93" s="742" t="s">
        <v>78</v>
      </c>
      <c r="D93" s="163"/>
      <c r="E93" s="123"/>
      <c r="F93" s="123"/>
      <c r="G93" s="163"/>
      <c r="H93" s="368"/>
      <c r="I93" s="773"/>
      <c r="J93" s="162"/>
      <c r="K93" s="155"/>
      <c r="L93" s="156"/>
      <c r="M93" s="122"/>
      <c r="N93" s="122"/>
      <c r="O93" s="122"/>
      <c r="P93" s="774"/>
      <c r="Q93" s="162"/>
      <c r="R93" s="298"/>
      <c r="S93" s="160"/>
      <c r="T93" s="157"/>
      <c r="U93" s="158"/>
      <c r="V93" s="162"/>
      <c r="W93" s="315">
        <f>SUM(W87:W92)</f>
        <v>799890.20797999995</v>
      </c>
      <c r="X93" s="316">
        <f>SUM(X87:X92)</f>
        <v>130200</v>
      </c>
      <c r="Y93" s="316">
        <f>SUM(Y87:Y92)</f>
        <v>0</v>
      </c>
      <c r="Z93" s="317">
        <f>'Rate Spread Proposal'!X$74-SUM(W93:Y93)</f>
        <v>5.8807455871719867</v>
      </c>
      <c r="AA93" s="320"/>
      <c r="AB93" s="315">
        <f>SUM(AB87:AB92)</f>
        <v>852583.53555000003</v>
      </c>
      <c r="AC93" s="316">
        <f>SUM(AC87:AC92)</f>
        <v>130200</v>
      </c>
      <c r="AD93" s="317">
        <f>SUM(AD87:AD92)</f>
        <v>0</v>
      </c>
      <c r="AE93" s="320"/>
      <c r="AF93" s="315">
        <f>SUM(AF87:AF92)</f>
        <v>52693.327570000052</v>
      </c>
      <c r="AG93" s="316">
        <f>SUM(AG87:AG92)</f>
        <v>0</v>
      </c>
      <c r="AH93" s="317">
        <f>SUM(AH87:AH92)</f>
        <v>0</v>
      </c>
      <c r="AI93" s="320"/>
      <c r="AJ93" s="338">
        <f>SUM(AF93:AH93)/SUM(W93:Y93)</f>
        <v>5.6653996696128139E-2</v>
      </c>
      <c r="AK93" s="339">
        <f t="shared" si="128"/>
        <v>6.5875700245248622E-2</v>
      </c>
      <c r="AL93" s="320"/>
      <c r="AM93" s="315">
        <f>SUM(AM87:AM92)</f>
        <v>0</v>
      </c>
      <c r="AN93" s="316">
        <f>SUM(AN87:AN92)</f>
        <v>0</v>
      </c>
      <c r="AO93" s="317">
        <f>SUM(AO87:AO92)</f>
        <v>0</v>
      </c>
      <c r="AP93" s="320"/>
      <c r="AQ93" s="310"/>
      <c r="AR93" s="154"/>
      <c r="AS93" s="320"/>
    </row>
    <row r="94" spans="1:45" x14ac:dyDescent="0.2">
      <c r="A94" s="86">
        <f t="shared" si="116"/>
        <v>87</v>
      </c>
      <c r="B94" s="723" t="str">
        <f>'WA Volumes &amp; Revenues'!B81</f>
        <v>43 Firm Transpt</v>
      </c>
      <c r="C94" s="723" t="s">
        <v>283</v>
      </c>
      <c r="D94" s="162"/>
      <c r="E94" s="392">
        <f>ROUND('Rates in Detail'!Y79,5)</f>
        <v>0</v>
      </c>
      <c r="F94" s="392"/>
      <c r="G94" s="162"/>
      <c r="H94" s="393">
        <f>ROUND('Rates in Detail'!R79,5)</f>
        <v>4.9100000000000003E-3</v>
      </c>
      <c r="I94" s="775">
        <f t="shared" si="118"/>
        <v>4.9100000000000003E-3</v>
      </c>
      <c r="J94" s="162"/>
      <c r="K94" s="155">
        <f>'WA Volumes &amp; Revenues'!O81</f>
        <v>38000</v>
      </c>
      <c r="L94" s="156">
        <f>'WA Volumes &amp; Revenues'!N81</f>
        <v>38000</v>
      </c>
      <c r="M94" s="122">
        <f>'Rates in Detail'!AF79</f>
        <v>0.15748000000000001</v>
      </c>
      <c r="N94" s="122">
        <f>'Rates in Detail'!AG79</f>
        <v>0</v>
      </c>
      <c r="O94" s="122">
        <f>'Rates in Detail'!AH79</f>
        <v>0</v>
      </c>
      <c r="P94" s="774">
        <f>'Rates in Detail'!AI79</f>
        <v>0</v>
      </c>
      <c r="Q94" s="162"/>
      <c r="R94" s="298">
        <f>'WA Volumes &amp; Revenues'!E81</f>
        <v>0</v>
      </c>
      <c r="S94" s="311"/>
      <c r="T94" s="300">
        <f>'WA Volumes &amp; Revenues'!H81</f>
        <v>0</v>
      </c>
      <c r="U94" s="301">
        <f>'WA Volumes &amp; Revenues'!I81</f>
        <v>0</v>
      </c>
      <c r="V94" s="162"/>
      <c r="W94" s="306">
        <f t="shared" ref="W94:W96" si="138">(H94*R94)</f>
        <v>0</v>
      </c>
      <c r="X94" s="307">
        <f t="shared" ref="X94:X96" si="139">(K94*T94*12)</f>
        <v>0</v>
      </c>
      <c r="Y94" s="307">
        <f>(S94*(M94+O94))*12</f>
        <v>0</v>
      </c>
      <c r="Z94" s="308"/>
      <c r="AA94" s="321"/>
      <c r="AB94" s="306">
        <f>(I94*R94)</f>
        <v>0</v>
      </c>
      <c r="AC94" s="307">
        <f>(L94*T94*12)</f>
        <v>0</v>
      </c>
      <c r="AD94" s="308">
        <f>(S94*(N94+P94))*12</f>
        <v>0</v>
      </c>
      <c r="AE94" s="321"/>
      <c r="AF94" s="306">
        <f t="shared" ref="AF94:AH96" si="140">AB94-W94</f>
        <v>0</v>
      </c>
      <c r="AG94" s="307">
        <f t="shared" si="140"/>
        <v>0</v>
      </c>
      <c r="AH94" s="308">
        <f t="shared" si="140"/>
        <v>0</v>
      </c>
      <c r="AI94" s="320"/>
      <c r="AJ94" s="338"/>
      <c r="AK94" s="339"/>
      <c r="AL94" s="320"/>
      <c r="AM94" s="306">
        <f>(F94*R94)</f>
        <v>0</v>
      </c>
      <c r="AN94" s="307">
        <v>0</v>
      </c>
      <c r="AO94" s="308">
        <f t="shared" ref="AO94:AO96" si="141">(AE94*(Y94+AB94))*12</f>
        <v>0</v>
      </c>
      <c r="AP94" s="320"/>
      <c r="AQ94" s="154"/>
      <c r="AR94" s="154"/>
      <c r="AS94" s="320"/>
    </row>
    <row r="95" spans="1:45" x14ac:dyDescent="0.2">
      <c r="A95" s="86">
        <f t="shared" si="116"/>
        <v>88</v>
      </c>
      <c r="B95" s="723" t="str">
        <f>'WA Volumes &amp; Revenues'!B82</f>
        <v>43 Interr Transpt</v>
      </c>
      <c r="C95" s="724" t="s">
        <v>283</v>
      </c>
      <c r="D95" s="162"/>
      <c r="E95" s="392">
        <f>ROUND('Rates in Detail'!Y80,5)</f>
        <v>0</v>
      </c>
      <c r="F95" s="392"/>
      <c r="G95" s="162"/>
      <c r="H95" s="396">
        <f>ROUND('Rates in Detail'!R80,5)</f>
        <v>4.9100000000000003E-3</v>
      </c>
      <c r="I95" s="776">
        <f t="shared" si="118"/>
        <v>4.9100000000000003E-3</v>
      </c>
      <c r="J95" s="162"/>
      <c r="K95" s="155">
        <f>'WA Volumes &amp; Revenues'!O82</f>
        <v>38000</v>
      </c>
      <c r="L95" s="156">
        <f>'WA Volumes &amp; Revenues'!N82</f>
        <v>38000</v>
      </c>
      <c r="M95" s="122">
        <f>'Rates in Detail'!AF80</f>
        <v>0</v>
      </c>
      <c r="N95" s="122">
        <f>'Rates in Detail'!AG80</f>
        <v>0</v>
      </c>
      <c r="O95" s="122">
        <f>'Rates in Detail'!AH80</f>
        <v>0</v>
      </c>
      <c r="P95" s="774">
        <f>'Rates in Detail'!AI80</f>
        <v>0</v>
      </c>
      <c r="Q95" s="162"/>
      <c r="R95" s="298">
        <f>'WA Volumes &amp; Revenues'!E82</f>
        <v>0</v>
      </c>
      <c r="S95" s="160"/>
      <c r="T95" s="300">
        <f>'WA Volumes &amp; Revenues'!H82</f>
        <v>0</v>
      </c>
      <c r="U95" s="301">
        <f>'WA Volumes &amp; Revenues'!I82</f>
        <v>0</v>
      </c>
      <c r="V95" s="162"/>
      <c r="W95" s="322">
        <f t="shared" si="138"/>
        <v>0</v>
      </c>
      <c r="X95" s="321">
        <f t="shared" si="139"/>
        <v>0</v>
      </c>
      <c r="Y95" s="321">
        <f>(S95*(M95+O95))*12</f>
        <v>0</v>
      </c>
      <c r="Z95" s="323"/>
      <c r="AA95" s="320"/>
      <c r="AB95" s="322">
        <f>(I95*R95)</f>
        <v>0</v>
      </c>
      <c r="AC95" s="321">
        <f>(L95*T95*12)</f>
        <v>0</v>
      </c>
      <c r="AD95" s="323">
        <f>(S95*(N95+P95))*12</f>
        <v>0</v>
      </c>
      <c r="AE95" s="320"/>
      <c r="AF95" s="322">
        <f t="shared" si="140"/>
        <v>0</v>
      </c>
      <c r="AG95" s="321">
        <f t="shared" si="140"/>
        <v>0</v>
      </c>
      <c r="AH95" s="323">
        <f t="shared" si="140"/>
        <v>0</v>
      </c>
      <c r="AI95" s="320"/>
      <c r="AJ95" s="320"/>
      <c r="AK95" s="320"/>
      <c r="AL95" s="320"/>
      <c r="AM95" s="322">
        <f>(F95*R95)</f>
        <v>0</v>
      </c>
      <c r="AN95" s="321">
        <v>0</v>
      </c>
      <c r="AO95" s="323">
        <f t="shared" si="141"/>
        <v>0</v>
      </c>
      <c r="AP95" s="320"/>
      <c r="AQ95" s="154"/>
      <c r="AR95" s="154"/>
      <c r="AS95" s="320"/>
    </row>
    <row r="96" spans="1:45" ht="13.5" thickBot="1" x14ac:dyDescent="0.25">
      <c r="A96" s="86">
        <f t="shared" si="116"/>
        <v>89</v>
      </c>
      <c r="B96" s="779" t="str">
        <f>'WA Volumes &amp; Revenues'!B83</f>
        <v>Special Contract</v>
      </c>
      <c r="C96" s="780" t="s">
        <v>283</v>
      </c>
      <c r="D96" s="166"/>
      <c r="E96" s="781">
        <f>ROUND('Rates in Detail'!Y81,5)</f>
        <v>0</v>
      </c>
      <c r="F96" s="836"/>
      <c r="G96" s="782"/>
      <c r="H96" s="777">
        <f>ROUND('Rates in Detail'!R81,5)</f>
        <v>0</v>
      </c>
      <c r="I96" s="778">
        <f t="shared" si="118"/>
        <v>0</v>
      </c>
      <c r="J96" s="162"/>
      <c r="K96" s="785">
        <f>'WA Volumes &amp; Revenues'!O83</f>
        <v>0</v>
      </c>
      <c r="L96" s="786">
        <f>'WA Volumes &amp; Revenues'!N83</f>
        <v>0</v>
      </c>
      <c r="M96" s="795">
        <f>'Rates in Detail'!AF81</f>
        <v>0</v>
      </c>
      <c r="N96" s="795">
        <f>'Rates in Detail'!AG81</f>
        <v>0</v>
      </c>
      <c r="O96" s="795">
        <f>'Rates in Detail'!AH81</f>
        <v>0</v>
      </c>
      <c r="P96" s="778">
        <f>'Rates in Detail'!AI81</f>
        <v>0</v>
      </c>
      <c r="Q96" s="162"/>
      <c r="R96" s="796">
        <f>'WA Volumes &amp; Revenues'!E83</f>
        <v>2895114</v>
      </c>
      <c r="S96" s="167"/>
      <c r="T96" s="801">
        <f>'WA Volumes &amp; Revenues'!H83</f>
        <v>1</v>
      </c>
      <c r="U96" s="802">
        <f>'WA Volumes &amp; Revenues'!I83</f>
        <v>241259.5</v>
      </c>
      <c r="V96" s="162"/>
      <c r="W96" s="597">
        <f t="shared" si="138"/>
        <v>0</v>
      </c>
      <c r="X96" s="598">
        <f t="shared" si="139"/>
        <v>0</v>
      </c>
      <c r="Y96" s="598">
        <f>(S96*(M96+O96))*12</f>
        <v>0</v>
      </c>
      <c r="Z96" s="599"/>
      <c r="AA96" s="320"/>
      <c r="AB96" s="324">
        <f>(I96*R96)</f>
        <v>0</v>
      </c>
      <c r="AC96" s="325">
        <f>(L96*T96*12)</f>
        <v>0</v>
      </c>
      <c r="AD96" s="326">
        <f>(S96*(N96+P96))*12</f>
        <v>0</v>
      </c>
      <c r="AE96" s="320"/>
      <c r="AF96" s="324">
        <f t="shared" si="140"/>
        <v>0</v>
      </c>
      <c r="AG96" s="325">
        <f t="shared" si="140"/>
        <v>0</v>
      </c>
      <c r="AH96" s="326">
        <f t="shared" si="140"/>
        <v>0</v>
      </c>
      <c r="AI96" s="320"/>
      <c r="AJ96" s="320"/>
      <c r="AK96" s="320"/>
      <c r="AL96" s="320"/>
      <c r="AM96" s="597">
        <f>(F96*R96)</f>
        <v>0</v>
      </c>
      <c r="AN96" s="598">
        <v>0</v>
      </c>
      <c r="AO96" s="599">
        <f t="shared" si="141"/>
        <v>0</v>
      </c>
      <c r="AP96" s="320"/>
      <c r="AQ96" s="162"/>
      <c r="AR96" s="162"/>
      <c r="AS96" s="320"/>
    </row>
    <row r="97" spans="1:45" x14ac:dyDescent="0.2">
      <c r="A97" s="86">
        <f t="shared" si="116"/>
        <v>90</v>
      </c>
      <c r="F97" s="1137"/>
    </row>
    <row r="98" spans="1:45" x14ac:dyDescent="0.2">
      <c r="A98" s="86">
        <f t="shared" si="116"/>
        <v>91</v>
      </c>
      <c r="B98" s="168" t="s">
        <v>58</v>
      </c>
    </row>
    <row r="99" spans="1:45" x14ac:dyDescent="0.2">
      <c r="A99" s="86">
        <f t="shared" si="116"/>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65"/>
      <c r="AJ99" s="765"/>
      <c r="AK99" s="765"/>
      <c r="AL99" s="765"/>
      <c r="AM99" s="798"/>
      <c r="AN99" s="798"/>
      <c r="AO99" s="798"/>
      <c r="AP99" s="799"/>
      <c r="AS99" s="55"/>
    </row>
    <row r="100" spans="1:45" x14ac:dyDescent="0.2">
      <c r="A100" s="86">
        <f t="shared" si="116"/>
        <v>93</v>
      </c>
      <c r="B100" s="169"/>
      <c r="R100" s="327"/>
      <c r="S100" s="327"/>
      <c r="T100" s="327"/>
    </row>
    <row r="101" spans="1:45" x14ac:dyDescent="0.2">
      <c r="A101" s="86">
        <f t="shared" si="116"/>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800"/>
      <c r="AS101" s="55"/>
    </row>
    <row r="102" spans="1:45" x14ac:dyDescent="0.2">
      <c r="A102" s="86">
        <f t="shared" si="116"/>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800"/>
      <c r="AS102" s="55"/>
    </row>
    <row r="103" spans="1:45" x14ac:dyDescent="0.2">
      <c r="A103" s="86"/>
      <c r="B103" s="169"/>
      <c r="F103" s="1137"/>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&amp;RExh. RJW-3 Wyman WP1</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AP105"/>
  <sheetViews>
    <sheetView workbookViewId="0">
      <pane xSplit="4" ySplit="13" topLeftCell="Y14" activePane="bottomRight" state="frozen"/>
      <selection pane="topRight" activeCell="E1" sqref="E1"/>
      <selection pane="bottomLeft" activeCell="A14" sqref="A14"/>
      <selection pane="bottomRight" activeCell="G2" sqref="G2"/>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5" width="17.1640625" style="56" hidden="1" customWidth="1"/>
    <col min="6" max="8" width="14.83203125" style="56" customWidth="1"/>
    <col min="9" max="9" width="2.83203125" style="56" customWidth="1"/>
    <col min="10" max="10" width="19.33203125" style="56" customWidth="1"/>
    <col min="11" max="11" width="17.1640625" style="56" customWidth="1"/>
    <col min="12" max="14" width="15.83203125" style="56" customWidth="1"/>
    <col min="15" max="15" width="2.83203125" style="56" customWidth="1"/>
    <col min="16" max="18" width="15.83203125" style="56" hidden="1" customWidth="1" outlineLevel="1"/>
    <col min="19" max="19" width="2.83203125" style="56" hidden="1" customWidth="1" outlineLevel="1"/>
    <col min="20" max="20" width="15.83203125" style="56" customWidth="1" collapsed="1"/>
    <col min="21"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23.83203125" style="56" customWidth="1"/>
    <col min="37" max="37" width="22.1640625" style="56" customWidth="1"/>
    <col min="38" max="38" width="2.83203125" style="56" customWidth="1"/>
    <col min="39" max="39" width="9.33203125" style="55"/>
    <col min="40" max="40" width="15.6640625" style="55" bestFit="1" customWidth="1"/>
    <col min="41" max="16384" width="9.33203125" style="55"/>
  </cols>
  <sheetData>
    <row r="1" spans="1:42" ht="15.75" thickBot="1" x14ac:dyDescent="0.3">
      <c r="A1" s="173" t="str">
        <f>+'WA Volumes &amp; Revenues'!A1</f>
        <v>NW Natural</v>
      </c>
    </row>
    <row r="2" spans="1:42" ht="15.75" thickBot="1" x14ac:dyDescent="0.3">
      <c r="A2" s="173" t="str">
        <f>+'WA Volumes &amp; Revenues'!A2</f>
        <v>Rates &amp; Regulatory Affairs</v>
      </c>
      <c r="E2" s="140"/>
      <c r="F2" s="140"/>
      <c r="K2" s="264"/>
      <c r="M2" s="265"/>
      <c r="P2" s="266" t="s">
        <v>114</v>
      </c>
      <c r="Q2" s="267" t="s">
        <v>115</v>
      </c>
      <c r="R2" s="268" t="s">
        <v>99</v>
      </c>
      <c r="T2" s="266" t="s">
        <v>114</v>
      </c>
      <c r="U2" s="267" t="s">
        <v>115</v>
      </c>
      <c r="V2" s="268" t="s">
        <v>99</v>
      </c>
      <c r="X2" s="266" t="s">
        <v>114</v>
      </c>
      <c r="Y2" s="267" t="s">
        <v>115</v>
      </c>
      <c r="Z2" s="268" t="s">
        <v>99</v>
      </c>
      <c r="AA2" s="145"/>
      <c r="AB2" s="266" t="s">
        <v>114</v>
      </c>
      <c r="AC2" s="267" t="s">
        <v>115</v>
      </c>
      <c r="AD2" s="268" t="s">
        <v>99</v>
      </c>
      <c r="AF2" s="266" t="s">
        <v>114</v>
      </c>
      <c r="AG2" s="267" t="s">
        <v>115</v>
      </c>
      <c r="AH2" s="268" t="s">
        <v>99</v>
      </c>
      <c r="AJ2" s="1583" t="s">
        <v>279</v>
      </c>
      <c r="AK2" s="1584"/>
    </row>
    <row r="3" spans="1:42" ht="15" x14ac:dyDescent="0.25">
      <c r="A3" s="173" t="str">
        <f>+'WA Volumes &amp; Revenues'!A3</f>
        <v>Test Year Ending September 30, 2020</v>
      </c>
      <c r="E3" s="140"/>
      <c r="F3" s="140"/>
      <c r="K3" s="264"/>
      <c r="P3" s="269">
        <f>SUM(P14:P19)+P22+P28+P31+P37+P44+P51+P58+P65+P72+P79+P93+P94+P25+P34+P86+P95+P96</f>
        <v>0</v>
      </c>
      <c r="Q3" s="270">
        <f t="shared" ref="Q3:R3" si="0">SUM(Q14:Q19)+Q22+Q28+Q31+Q37+Q44+Q51+Q58+Q65+Q72+Q79+Q93+Q94+Q25+Q34+Q86+Q95+Q96</f>
        <v>0</v>
      </c>
      <c r="R3" s="271">
        <f t="shared" si="0"/>
        <v>0</v>
      </c>
      <c r="T3" s="269">
        <f t="shared" ref="T3:V3" si="1">SUM(T14:T19)+T22+T28+T31+T37+T44+T51+T58+T65+T72+T79+T93+T94+T25+T34+T86+T95+T96</f>
        <v>-1477662.7677191028</v>
      </c>
      <c r="U3" s="270">
        <f t="shared" si="1"/>
        <v>0</v>
      </c>
      <c r="V3" s="271">
        <f t="shared" si="1"/>
        <v>0</v>
      </c>
      <c r="X3" s="269">
        <f>SUM(X14:X19)+X22+X28+X31+X37+X44+X51+X58+X65+X72+X79+X93+X94+X25+X34+X86+X95+X96</f>
        <v>-875717.69437402359</v>
      </c>
      <c r="Y3" s="270">
        <f t="shared" ref="Y3:Z3" si="2">SUM(Y14:Y19)+Y22+Y28+Y31+Y37+Y44+Y51+Y58+Y65+Y72+Y79+Y93+Y94+Y25+Y34+Y86+Y95+Y96</f>
        <v>0</v>
      </c>
      <c r="Z3" s="271">
        <f t="shared" si="2"/>
        <v>0</v>
      </c>
      <c r="AA3" s="270"/>
      <c r="AB3" s="269">
        <f t="shared" ref="AB3:AD3" si="3">SUM(AB14:AB19)+AB22+AB28+AB31+AB37+AB44+AB51+AB58+AB65+AB72+AB79+AB93+AB94+AB25+AB34+AB86+AB95+AB96</f>
        <v>-44306.090475598678</v>
      </c>
      <c r="AC3" s="270">
        <f t="shared" si="3"/>
        <v>0</v>
      </c>
      <c r="AD3" s="271">
        <f t="shared" si="3"/>
        <v>0</v>
      </c>
      <c r="AF3" s="269">
        <f t="shared" ref="AF3:AH3" si="4">SUM(AF14:AF19)+AF22+AF28+AF31+AF37+AF44+AF51+AF58+AF65+AF72+AF79+AF93+AF94+AF25+AF34+AF86+AF95+AF96</f>
        <v>-2397686.5525687248</v>
      </c>
      <c r="AG3" s="270">
        <f t="shared" si="4"/>
        <v>0</v>
      </c>
      <c r="AH3" s="271">
        <f t="shared" si="4"/>
        <v>0</v>
      </c>
      <c r="AJ3" s="168" t="s">
        <v>422</v>
      </c>
      <c r="AK3" s="272"/>
    </row>
    <row r="4" spans="1:42" ht="15" x14ac:dyDescent="0.25">
      <c r="A4" s="173" t="s">
        <v>642</v>
      </c>
      <c r="D4" s="140"/>
      <c r="E4" s="140"/>
      <c r="F4" s="140"/>
      <c r="I4" s="140"/>
      <c r="J4" s="140"/>
      <c r="K4" s="264"/>
      <c r="O4" s="140"/>
      <c r="P4" s="273"/>
      <c r="Q4" s="55"/>
      <c r="R4" s="274" t="s">
        <v>78</v>
      </c>
      <c r="S4" s="140"/>
      <c r="T4" s="273"/>
      <c r="U4" s="55"/>
      <c r="V4" s="274" t="s">
        <v>78</v>
      </c>
      <c r="W4" s="140"/>
      <c r="X4" s="273"/>
      <c r="Y4" s="55"/>
      <c r="Z4" s="274" t="s">
        <v>78</v>
      </c>
      <c r="AA4" s="145"/>
      <c r="AB4" s="273"/>
      <c r="AC4" s="55"/>
      <c r="AD4" s="274" t="s">
        <v>78</v>
      </c>
      <c r="AE4" s="140"/>
      <c r="AF4" s="273"/>
      <c r="AG4" s="55"/>
      <c r="AH4" s="274" t="s">
        <v>78</v>
      </c>
      <c r="AI4" s="140"/>
      <c r="AJ4" s="56" t="s">
        <v>484</v>
      </c>
      <c r="AK4" s="272">
        <f>V5</f>
        <v>-1477662.7677191028</v>
      </c>
    </row>
    <row r="5" spans="1:42" ht="15.75" thickBot="1" x14ac:dyDescent="0.3">
      <c r="A5" s="804"/>
      <c r="E5" s="140"/>
      <c r="F5" s="140"/>
      <c r="P5" s="275"/>
      <c r="Q5" s="276"/>
      <c r="R5" s="277">
        <f>SUM(P3:R3)</f>
        <v>0</v>
      </c>
      <c r="T5" s="275"/>
      <c r="U5" s="276"/>
      <c r="V5" s="277">
        <f>SUM(T3:V3)</f>
        <v>-1477662.7677191028</v>
      </c>
      <c r="X5" s="275"/>
      <c r="Y5" s="276"/>
      <c r="Z5" s="277">
        <f>SUM(X3:Z3)</f>
        <v>-875717.69437402359</v>
      </c>
      <c r="AA5" s="270"/>
      <c r="AB5" s="275"/>
      <c r="AC5" s="276"/>
      <c r="AD5" s="277">
        <f>SUM(AB3:AD3)</f>
        <v>-44306.090475598678</v>
      </c>
      <c r="AF5" s="275"/>
      <c r="AG5" s="276"/>
      <c r="AH5" s="277">
        <f>SUM(AF3:AH3)</f>
        <v>-2397686.5525687248</v>
      </c>
      <c r="AJ5" s="56" t="s">
        <v>407</v>
      </c>
      <c r="AK5" s="272">
        <f>Z5</f>
        <v>-875717.69437402359</v>
      </c>
    </row>
    <row r="6" spans="1:42" ht="15.75" thickBot="1" x14ac:dyDescent="0.3">
      <c r="A6" s="132"/>
      <c r="E6" s="140"/>
      <c r="F6" s="140"/>
      <c r="P6" s="55"/>
      <c r="Q6" s="278" t="s">
        <v>187</v>
      </c>
      <c r="R6" s="270"/>
      <c r="T6" s="55"/>
      <c r="U6" s="278" t="s">
        <v>187</v>
      </c>
      <c r="V6" s="270"/>
      <c r="X6" s="55"/>
      <c r="Y6" s="278" t="s">
        <v>187</v>
      </c>
      <c r="Z6" s="270"/>
      <c r="AA6" s="270"/>
      <c r="AB6" s="55"/>
      <c r="AC6" s="278" t="s">
        <v>187</v>
      </c>
      <c r="AD6" s="270"/>
      <c r="AF6" s="55"/>
      <c r="AG6" s="278" t="s">
        <v>196</v>
      </c>
      <c r="AH6" s="270"/>
      <c r="AJ6" s="56" t="s">
        <v>485</v>
      </c>
      <c r="AK6" s="281">
        <f>SUM(AK4:AK5)</f>
        <v>-2353380.4620931265</v>
      </c>
    </row>
    <row r="7" spans="1:42" ht="13.5" thickBot="1" x14ac:dyDescent="0.25">
      <c r="E7" s="140"/>
      <c r="F7" s="1151" t="s">
        <v>422</v>
      </c>
      <c r="G7" s="442" t="s">
        <v>422</v>
      </c>
      <c r="H7" s="442" t="s">
        <v>417</v>
      </c>
      <c r="J7" s="559"/>
      <c r="K7" s="1585" t="s">
        <v>124</v>
      </c>
      <c r="L7" s="1587"/>
      <c r="M7" s="1587"/>
      <c r="N7" s="1586"/>
      <c r="Q7" s="279"/>
      <c r="R7" s="280"/>
      <c r="U7" s="1152" t="s">
        <v>422</v>
      </c>
      <c r="V7" s="280"/>
      <c r="Y7" s="1152" t="s">
        <v>422</v>
      </c>
      <c r="Z7" s="280"/>
      <c r="AA7" s="280"/>
      <c r="AC7" s="1152" t="s">
        <v>417</v>
      </c>
      <c r="AD7" s="280"/>
      <c r="AG7" s="279"/>
      <c r="AH7" s="280"/>
      <c r="AJ7" s="168" t="s">
        <v>417</v>
      </c>
    </row>
    <row r="8" spans="1:42" x14ac:dyDescent="0.2">
      <c r="A8" s="86">
        <v>1</v>
      </c>
      <c r="D8" s="142"/>
      <c r="E8" s="518" t="str">
        <f>'Allocation = ¢ per Therm'!D11</f>
        <v>UG XXXXXX</v>
      </c>
      <c r="F8" s="518" t="s">
        <v>557</v>
      </c>
      <c r="G8" s="518" t="str">
        <f>F8</f>
        <v>UG-20XXXX</v>
      </c>
      <c r="H8" s="518" t="str">
        <f>F8</f>
        <v>UG-20XXXX</v>
      </c>
      <c r="I8" s="142"/>
      <c r="J8" s="560" t="s">
        <v>243</v>
      </c>
      <c r="K8" s="141"/>
      <c r="L8" s="282"/>
      <c r="M8" s="282"/>
      <c r="N8" s="283"/>
      <c r="O8" s="142"/>
      <c r="P8" s="278"/>
      <c r="Q8" s="1096" t="s">
        <v>375</v>
      </c>
      <c r="R8" s="278"/>
      <c r="S8" s="142"/>
      <c r="T8" s="278"/>
      <c r="U8" s="279" t="s">
        <v>401</v>
      </c>
      <c r="V8" s="278"/>
      <c r="W8" s="142"/>
      <c r="X8" s="278"/>
      <c r="Y8" s="279" t="s">
        <v>407</v>
      </c>
      <c r="Z8" s="278"/>
      <c r="AA8" s="278"/>
      <c r="AB8" s="278"/>
      <c r="AC8" s="1181" t="s">
        <v>482</v>
      </c>
      <c r="AD8" s="278"/>
      <c r="AE8" s="142"/>
      <c r="AF8" s="278"/>
      <c r="AG8" s="807" t="s">
        <v>78</v>
      </c>
      <c r="AH8" s="278"/>
      <c r="AI8" s="142"/>
      <c r="AJ8" s="1153" t="s">
        <v>482</v>
      </c>
      <c r="AK8" s="467">
        <f>AD5</f>
        <v>-44306.090475598678</v>
      </c>
    </row>
    <row r="9" spans="1:42" ht="13.5" thickBot="1" x14ac:dyDescent="0.25">
      <c r="A9" s="86">
        <f>+A8+1</f>
        <v>2</v>
      </c>
      <c r="D9" s="143"/>
      <c r="E9" s="1095" t="s">
        <v>380</v>
      </c>
      <c r="F9" s="263" t="s">
        <v>401</v>
      </c>
      <c r="G9" s="263" t="s">
        <v>412</v>
      </c>
      <c r="H9" s="1182" t="s">
        <v>483</v>
      </c>
      <c r="I9" s="143"/>
      <c r="J9" s="561" t="s">
        <v>236</v>
      </c>
      <c r="K9" s="1016" t="str">
        <f>F8</f>
        <v>UG-20XXXX</v>
      </c>
      <c r="L9" s="1017" t="str">
        <f>K9</f>
        <v>UG-20XXXX</v>
      </c>
      <c r="M9" s="1017" t="str">
        <f>L9</f>
        <v>UG-20XXXX</v>
      </c>
      <c r="N9" s="1018" t="str">
        <f>M9</f>
        <v>UG-20XXXX</v>
      </c>
      <c r="O9" s="143"/>
      <c r="P9" s="278"/>
      <c r="Q9" s="279"/>
      <c r="R9" s="278"/>
      <c r="S9" s="143"/>
      <c r="T9" s="278"/>
      <c r="U9" s="279" t="s">
        <v>247</v>
      </c>
      <c r="V9" s="278"/>
      <c r="W9" s="143"/>
      <c r="X9" s="278"/>
      <c r="Y9" s="279"/>
      <c r="Z9" s="278"/>
      <c r="AA9" s="278"/>
      <c r="AB9" s="278"/>
      <c r="AC9" s="279"/>
      <c r="AD9" s="278"/>
      <c r="AE9" s="143"/>
      <c r="AF9" s="278"/>
      <c r="AG9" s="279"/>
      <c r="AH9" s="278"/>
      <c r="AI9" s="143"/>
      <c r="AJ9" s="1154" t="s">
        <v>486</v>
      </c>
      <c r="AK9" s="1155">
        <f>AK8</f>
        <v>-44306.090475598678</v>
      </c>
      <c r="AN9" s="272">
        <f>'Allocation = % of Margin'!M10</f>
        <v>-1477729</v>
      </c>
      <c r="AO9" s="299" t="str">
        <f>U8</f>
        <v>Historical EE</v>
      </c>
    </row>
    <row r="10" spans="1:42" ht="14.25" thickTop="1" thickBot="1" x14ac:dyDescent="0.25">
      <c r="A10" s="86">
        <f t="shared" ref="A10:A73" si="5">+A9+1</f>
        <v>3</v>
      </c>
      <c r="D10" s="145"/>
      <c r="E10" s="1019" t="s">
        <v>377</v>
      </c>
      <c r="F10" s="59" t="s">
        <v>378</v>
      </c>
      <c r="G10" s="59" t="s">
        <v>378</v>
      </c>
      <c r="H10" s="58" t="s">
        <v>379</v>
      </c>
      <c r="I10" s="145"/>
      <c r="J10" s="561" t="s">
        <v>110</v>
      </c>
      <c r="K10" s="284" t="s">
        <v>110</v>
      </c>
      <c r="L10" s="278" t="s">
        <v>110</v>
      </c>
      <c r="M10" s="278" t="s">
        <v>120</v>
      </c>
      <c r="N10" s="285" t="s">
        <v>70</v>
      </c>
      <c r="O10" s="145"/>
      <c r="P10" s="1580" t="s">
        <v>117</v>
      </c>
      <c r="Q10" s="1581"/>
      <c r="R10" s="1582"/>
      <c r="S10" s="145"/>
      <c r="T10" s="1580" t="s">
        <v>117</v>
      </c>
      <c r="U10" s="1581"/>
      <c r="V10" s="1582"/>
      <c r="W10" s="145"/>
      <c r="X10" s="1580" t="s">
        <v>117</v>
      </c>
      <c r="Y10" s="1581"/>
      <c r="Z10" s="1582"/>
      <c r="AA10" s="58"/>
      <c r="AB10" s="1580" t="s">
        <v>117</v>
      </c>
      <c r="AC10" s="1581"/>
      <c r="AD10" s="1582"/>
      <c r="AE10" s="145"/>
      <c r="AF10" s="1580" t="s">
        <v>117</v>
      </c>
      <c r="AG10" s="1581"/>
      <c r="AH10" s="1582"/>
      <c r="AI10" s="145"/>
      <c r="AJ10" s="60" t="s">
        <v>91</v>
      </c>
      <c r="AK10" s="474">
        <f>AK6+AK9</f>
        <v>-2397686.5525687253</v>
      </c>
      <c r="AN10" s="272">
        <f>'Allocation = % of Margin'!P10</f>
        <v>-875740</v>
      </c>
      <c r="AO10" s="55" t="str">
        <f>Y8</f>
        <v>Block 24 (Truck Lot) Sale</v>
      </c>
    </row>
    <row r="11" spans="1:42" s="57" customFormat="1" ht="13.5" thickBot="1" x14ac:dyDescent="0.25">
      <c r="A11" s="86">
        <f t="shared" si="5"/>
        <v>4</v>
      </c>
      <c r="B11" s="147"/>
      <c r="C11" s="147"/>
      <c r="D11" s="145"/>
      <c r="E11" s="172" t="s">
        <v>185</v>
      </c>
      <c r="F11" s="172" t="s">
        <v>185</v>
      </c>
      <c r="G11" s="172" t="s">
        <v>185</v>
      </c>
      <c r="H11" s="172" t="s">
        <v>185</v>
      </c>
      <c r="I11" s="145"/>
      <c r="J11" s="562" t="s">
        <v>111</v>
      </c>
      <c r="K11" s="286" t="s">
        <v>111</v>
      </c>
      <c r="L11" s="287" t="s">
        <v>113</v>
      </c>
      <c r="M11" s="287" t="s">
        <v>75</v>
      </c>
      <c r="N11" s="288" t="s">
        <v>112</v>
      </c>
      <c r="O11" s="145"/>
      <c r="P11" s="289" t="s">
        <v>114</v>
      </c>
      <c r="Q11" s="145" t="s">
        <v>115</v>
      </c>
      <c r="R11" s="274" t="s">
        <v>99</v>
      </c>
      <c r="S11" s="145"/>
      <c r="T11" s="289" t="s">
        <v>114</v>
      </c>
      <c r="U11" s="145" t="s">
        <v>115</v>
      </c>
      <c r="V11" s="274" t="s">
        <v>99</v>
      </c>
      <c r="W11" s="145"/>
      <c r="X11" s="289" t="s">
        <v>114</v>
      </c>
      <c r="Y11" s="145" t="s">
        <v>115</v>
      </c>
      <c r="Z11" s="274" t="s">
        <v>99</v>
      </c>
      <c r="AA11" s="145"/>
      <c r="AB11" s="289" t="s">
        <v>114</v>
      </c>
      <c r="AC11" s="145" t="s">
        <v>115</v>
      </c>
      <c r="AD11" s="274" t="s">
        <v>99</v>
      </c>
      <c r="AE11" s="145"/>
      <c r="AF11" s="289" t="s">
        <v>114</v>
      </c>
      <c r="AG11" s="145" t="s">
        <v>115</v>
      </c>
      <c r="AH11" s="274" t="s">
        <v>99</v>
      </c>
      <c r="AI11" s="145"/>
      <c r="AJ11" s="278"/>
      <c r="AK11" s="278"/>
      <c r="AL11" s="145"/>
      <c r="AN11" s="1156">
        <f>'Allocation = % of Margin'!V10</f>
        <v>-44544</v>
      </c>
      <c r="AO11" s="1157" t="s">
        <v>482</v>
      </c>
      <c r="AP11" s="1158"/>
    </row>
    <row r="12" spans="1:42" s="57" customFormat="1" x14ac:dyDescent="0.2">
      <c r="A12" s="86">
        <f t="shared" si="5"/>
        <v>5</v>
      </c>
      <c r="B12" s="56"/>
      <c r="C12" s="56"/>
      <c r="D12" s="58"/>
      <c r="E12" s="150"/>
      <c r="F12" s="150"/>
      <c r="H12" s="150"/>
      <c r="I12" s="58"/>
      <c r="J12" s="547"/>
      <c r="K12" s="290"/>
      <c r="L12" s="146"/>
      <c r="M12" s="146"/>
      <c r="N12" s="291"/>
      <c r="O12" s="58"/>
      <c r="P12" s="151"/>
      <c r="R12" s="149"/>
      <c r="S12" s="58"/>
      <c r="T12" s="151"/>
      <c r="V12" s="149"/>
      <c r="W12" s="58"/>
      <c r="X12" s="151"/>
      <c r="Z12" s="149"/>
      <c r="AB12" s="151"/>
      <c r="AD12" s="149"/>
      <c r="AE12" s="58"/>
      <c r="AF12" s="151"/>
      <c r="AH12" s="149"/>
      <c r="AI12" s="58"/>
      <c r="AJ12" s="145"/>
      <c r="AK12" s="292">
        <f>AN12</f>
        <v>-2398013</v>
      </c>
      <c r="AL12" s="293" t="s">
        <v>157</v>
      </c>
      <c r="AN12" s="611">
        <f>SUM(AN9:AN11)</f>
        <v>-2398013</v>
      </c>
      <c r="AO12" s="139" t="s">
        <v>32</v>
      </c>
    </row>
    <row r="13" spans="1:42" s="57" customFormat="1" ht="13.5" thickBot="1" x14ac:dyDescent="0.25">
      <c r="A13" s="86">
        <f t="shared" si="5"/>
        <v>6</v>
      </c>
      <c r="B13" s="771" t="s">
        <v>2</v>
      </c>
      <c r="C13" s="771" t="s">
        <v>3</v>
      </c>
      <c r="D13" s="294"/>
      <c r="E13" s="294" t="s">
        <v>35</v>
      </c>
      <c r="F13" s="294" t="s">
        <v>36</v>
      </c>
      <c r="G13" s="294" t="s">
        <v>13</v>
      </c>
      <c r="H13" s="294" t="s">
        <v>37</v>
      </c>
      <c r="I13" s="294"/>
      <c r="J13" s="549" t="s">
        <v>38</v>
      </c>
      <c r="K13" s="295" t="s">
        <v>37</v>
      </c>
      <c r="L13" s="294" t="s">
        <v>38</v>
      </c>
      <c r="M13" s="294" t="s">
        <v>39</v>
      </c>
      <c r="N13" s="296" t="s">
        <v>40</v>
      </c>
      <c r="O13" s="58"/>
      <c r="P13" s="148" t="s">
        <v>41</v>
      </c>
      <c r="Q13" s="58" t="s">
        <v>42</v>
      </c>
      <c r="R13" s="297" t="s">
        <v>129</v>
      </c>
      <c r="S13" s="58"/>
      <c r="T13" s="148" t="s">
        <v>130</v>
      </c>
      <c r="U13" s="58" t="s">
        <v>43</v>
      </c>
      <c r="V13" s="297" t="s">
        <v>131</v>
      </c>
      <c r="W13" s="58"/>
      <c r="X13" s="148" t="s">
        <v>132</v>
      </c>
      <c r="Y13" s="58" t="s">
        <v>133</v>
      </c>
      <c r="Z13" s="297" t="s">
        <v>134</v>
      </c>
      <c r="AA13" s="58"/>
      <c r="AB13" s="148" t="s">
        <v>132</v>
      </c>
      <c r="AC13" s="58" t="s">
        <v>133</v>
      </c>
      <c r="AD13" s="297" t="s">
        <v>134</v>
      </c>
      <c r="AE13" s="58"/>
      <c r="AF13" s="148" t="s">
        <v>135</v>
      </c>
      <c r="AG13" s="58" t="s">
        <v>89</v>
      </c>
      <c r="AH13" s="297" t="s">
        <v>92</v>
      </c>
      <c r="AI13" s="58"/>
      <c r="AK13" s="1180">
        <f>AK12-AK10</f>
        <v>-326.44743127468973</v>
      </c>
      <c r="AL13" s="293" t="s">
        <v>168</v>
      </c>
    </row>
    <row r="14" spans="1:42" ht="12.95" customHeight="1" x14ac:dyDescent="0.2">
      <c r="A14" s="86">
        <f t="shared" si="5"/>
        <v>7</v>
      </c>
      <c r="B14" s="723" t="str">
        <f>'Rev Req Proof Yr1'!B14</f>
        <v>1R</v>
      </c>
      <c r="C14" s="723" t="str">
        <f>'Rev Req Proof Yr1'!C14</f>
        <v>n/a</v>
      </c>
      <c r="D14" s="154"/>
      <c r="E14" s="159">
        <f>ROUND('Allocation = ¢ per Therm'!K17,5)</f>
        <v>0</v>
      </c>
      <c r="F14" s="153">
        <f>ROUND('Allocation = % of Margin'!O14,5)</f>
        <v>-3.1189999999999999E-2</v>
      </c>
      <c r="G14" s="159">
        <f>ROUND('Allocation = % of Margin'!R14,5)</f>
        <v>-1.7239999999999998E-2</v>
      </c>
      <c r="H14" s="159">
        <f>ROUND('Allocation = % of Margin'!X14,5)</f>
        <v>-8.8000000000000003E-4</v>
      </c>
      <c r="I14" s="154"/>
      <c r="J14" s="808">
        <f>'WA Volumes &amp; Revenues'!F15</f>
        <v>218577.4</v>
      </c>
      <c r="K14" s="298">
        <f>'Rev Req Proof Yr1'!R14</f>
        <v>214704.20066131229</v>
      </c>
      <c r="L14" s="299">
        <f>'Rev Req Proof Yr1'!S14</f>
        <v>0</v>
      </c>
      <c r="M14" s="300">
        <f>'Rev Req Proof Yr1'!T14</f>
        <v>911</v>
      </c>
      <c r="N14" s="301">
        <f>'Rev Req Proof Yr1'!U14</f>
        <v>19.639970000000002</v>
      </c>
      <c r="O14" s="154"/>
      <c r="P14" s="302">
        <f t="shared" ref="P14:P15" si="6">((E14)*K14)</f>
        <v>0</v>
      </c>
      <c r="Q14" s="303">
        <v>0</v>
      </c>
      <c r="R14" s="304">
        <v>0</v>
      </c>
      <c r="S14" s="154"/>
      <c r="T14" s="302">
        <f>((F14)*K14)</f>
        <v>-6696.6240186263303</v>
      </c>
      <c r="U14" s="303">
        <v>0</v>
      </c>
      <c r="V14" s="304">
        <v>0</v>
      </c>
      <c r="W14" s="154"/>
      <c r="X14" s="302">
        <f>((G14)*K14)</f>
        <v>-3701.5004194010235</v>
      </c>
      <c r="Y14" s="303">
        <v>0</v>
      </c>
      <c r="Z14" s="304">
        <v>0</v>
      </c>
      <c r="AA14" s="309"/>
      <c r="AB14" s="302">
        <f>((H14)*K14)</f>
        <v>-188.93969658195482</v>
      </c>
      <c r="AC14" s="303">
        <v>0</v>
      </c>
      <c r="AD14" s="304">
        <v>0</v>
      </c>
      <c r="AE14" s="154"/>
      <c r="AF14" s="302">
        <f>((E14+F14+G14+H14)*K14)</f>
        <v>-10587.064134609309</v>
      </c>
      <c r="AG14" s="303">
        <v>0</v>
      </c>
      <c r="AH14" s="304">
        <v>0</v>
      </c>
      <c r="AI14" s="305"/>
      <c r="AJ14" s="1589" t="s">
        <v>169</v>
      </c>
      <c r="AK14" s="1589"/>
      <c r="AL14" s="1589"/>
    </row>
    <row r="15" spans="1:42" x14ac:dyDescent="0.2">
      <c r="A15" s="86">
        <f t="shared" si="5"/>
        <v>8</v>
      </c>
      <c r="B15" s="723" t="str">
        <f>'Rev Req Proof Yr1'!B15</f>
        <v>1C</v>
      </c>
      <c r="C15" s="723" t="str">
        <f>'Rev Req Proof Yr1'!C15</f>
        <v>n/a</v>
      </c>
      <c r="D15" s="157"/>
      <c r="E15" s="159">
        <f>ROUND('Allocation = ¢ per Therm'!K18,5)</f>
        <v>0</v>
      </c>
      <c r="F15" s="153">
        <f>ROUND('Allocation = % of Margin'!O15,5)</f>
        <v>-2.5940000000000001E-2</v>
      </c>
      <c r="G15" s="159">
        <f>ROUND('Allocation = % of Margin'!R15,5)</f>
        <v>-1.4330000000000001E-2</v>
      </c>
      <c r="H15" s="159">
        <f>ROUND('Allocation = % of Margin'!X15,5)</f>
        <v>-7.2999999999999996E-4</v>
      </c>
      <c r="I15" s="157"/>
      <c r="J15" s="808">
        <f>'WA Volumes &amp; Revenues'!F16</f>
        <v>38726</v>
      </c>
      <c r="K15" s="298">
        <f>'Rev Req Proof Yr1'!R15</f>
        <v>46539.057144390383</v>
      </c>
      <c r="L15" s="299">
        <f>'Rev Req Proof Yr1'!S15</f>
        <v>0</v>
      </c>
      <c r="M15" s="300">
        <f>'Rev Req Proof Yr1'!T15</f>
        <v>34</v>
      </c>
      <c r="N15" s="301">
        <f>'Rev Req Proof Yr1'!U15</f>
        <v>114.06632</v>
      </c>
      <c r="O15" s="157"/>
      <c r="P15" s="306">
        <f t="shared" si="6"/>
        <v>0</v>
      </c>
      <c r="Q15" s="307">
        <v>0</v>
      </c>
      <c r="R15" s="308">
        <v>0</v>
      </c>
      <c r="S15" s="157"/>
      <c r="T15" s="306">
        <f t="shared" ref="T15:T36" si="7">((F15)*K15)</f>
        <v>-1207.2231423254866</v>
      </c>
      <c r="U15" s="307">
        <v>0</v>
      </c>
      <c r="V15" s="308">
        <v>0</v>
      </c>
      <c r="W15" s="157"/>
      <c r="X15" s="306">
        <f t="shared" ref="X15" si="8">((G15)*K15)</f>
        <v>-666.90468887911425</v>
      </c>
      <c r="Y15" s="307">
        <v>0</v>
      </c>
      <c r="Z15" s="308">
        <v>0</v>
      </c>
      <c r="AA15" s="309"/>
      <c r="AB15" s="306">
        <f t="shared" ref="AB15:AB80" si="9">((H15)*K15)</f>
        <v>-33.973511715404975</v>
      </c>
      <c r="AC15" s="307">
        <v>0</v>
      </c>
      <c r="AD15" s="308">
        <v>0</v>
      </c>
      <c r="AE15" s="157"/>
      <c r="AF15" s="306">
        <f t="shared" ref="AF15:AF21" si="10">((E15+F15+G15+H15)*K15)</f>
        <v>-1908.1013429200057</v>
      </c>
      <c r="AG15" s="307">
        <v>0</v>
      </c>
      <c r="AH15" s="308">
        <v>0</v>
      </c>
      <c r="AI15" s="309"/>
      <c r="AJ15" s="310"/>
      <c r="AK15" s="310"/>
      <c r="AL15" s="309"/>
    </row>
    <row r="16" spans="1:42" x14ac:dyDescent="0.2">
      <c r="A16" s="86">
        <f t="shared" si="5"/>
        <v>9</v>
      </c>
      <c r="B16" s="723" t="str">
        <f>'Rev Req Proof Yr1'!B16</f>
        <v>2R</v>
      </c>
      <c r="C16" s="723" t="str">
        <f>'Rev Req Proof Yr1'!C16</f>
        <v>n/a</v>
      </c>
      <c r="D16" s="157"/>
      <c r="E16" s="159">
        <f>ROUND('Allocation = ¢ per Therm'!K19,5)</f>
        <v>0</v>
      </c>
      <c r="F16" s="159">
        <f>ROUND('Allocation = % of Margin'!O16,5)</f>
        <v>-1.9740000000000001E-2</v>
      </c>
      <c r="G16" s="159">
        <f>ROUND('Allocation = % of Margin'!R16,5)</f>
        <v>-1.091E-2</v>
      </c>
      <c r="H16" s="159">
        <f>ROUND('Allocation = % of Margin'!X16,5)</f>
        <v>-5.5000000000000003E-4</v>
      </c>
      <c r="I16" s="157"/>
      <c r="J16" s="564">
        <f>'WA Volumes &amp; Revenues'!F17</f>
        <v>55009539.100000001</v>
      </c>
      <c r="K16" s="298">
        <f>'Rev Req Proof Yr1'!R16</f>
        <v>54953515.785084128</v>
      </c>
      <c r="L16" s="299">
        <f>'Rev Req Proof Yr1'!S16</f>
        <v>0</v>
      </c>
      <c r="M16" s="300">
        <f>'Rev Req Proof Yr1'!T16</f>
        <v>81119</v>
      </c>
      <c r="N16" s="301">
        <f>'Rev Req Proof Yr1'!U16</f>
        <v>56.453600000000002</v>
      </c>
      <c r="O16" s="157"/>
      <c r="P16" s="306">
        <f>((E16)*K16)</f>
        <v>0</v>
      </c>
      <c r="Q16" s="307">
        <v>0</v>
      </c>
      <c r="R16" s="308">
        <v>0</v>
      </c>
      <c r="S16" s="157"/>
      <c r="T16" s="306">
        <f t="shared" si="7"/>
        <v>-1084782.4015975606</v>
      </c>
      <c r="U16" s="307">
        <v>0</v>
      </c>
      <c r="V16" s="308">
        <v>0</v>
      </c>
      <c r="W16" s="157"/>
      <c r="X16" s="306">
        <f t="shared" ref="X16:X21" si="11">((G16)*K16)</f>
        <v>-599542.85721526784</v>
      </c>
      <c r="Y16" s="307">
        <v>0</v>
      </c>
      <c r="Z16" s="308">
        <v>0</v>
      </c>
      <c r="AA16" s="309"/>
      <c r="AB16" s="306">
        <f t="shared" si="9"/>
        <v>-30224.433681796272</v>
      </c>
      <c r="AC16" s="307">
        <v>0</v>
      </c>
      <c r="AD16" s="308">
        <v>0</v>
      </c>
      <c r="AE16" s="157"/>
      <c r="AF16" s="306">
        <f t="shared" si="10"/>
        <v>-1714549.6924946248</v>
      </c>
      <c r="AG16" s="307">
        <v>0</v>
      </c>
      <c r="AH16" s="308">
        <v>0</v>
      </c>
      <c r="AI16" s="309"/>
      <c r="AJ16" s="310"/>
      <c r="AK16" s="310"/>
      <c r="AL16" s="309"/>
    </row>
    <row r="17" spans="1:38" x14ac:dyDescent="0.2">
      <c r="A17" s="86">
        <f t="shared" si="5"/>
        <v>10</v>
      </c>
      <c r="B17" s="723" t="str">
        <f>'Rev Req Proof Yr1'!B17</f>
        <v>3 CFS</v>
      </c>
      <c r="C17" s="723" t="str">
        <f>'Rev Req Proof Yr1'!C17</f>
        <v>n/a</v>
      </c>
      <c r="D17" s="157"/>
      <c r="E17" s="159">
        <f>ROUND('Allocation = ¢ per Therm'!K20,5)</f>
        <v>0</v>
      </c>
      <c r="F17" s="153">
        <f>ROUND('Allocation = % of Margin'!O17,5)</f>
        <v>-1.7729999999999999E-2</v>
      </c>
      <c r="G17" s="159">
        <f>ROUND('Allocation = % of Margin'!R17,5)</f>
        <v>-9.7999999999999997E-3</v>
      </c>
      <c r="H17" s="159">
        <f>ROUND('Allocation = % of Margin'!X17,5)</f>
        <v>-5.0000000000000001E-4</v>
      </c>
      <c r="I17" s="157"/>
      <c r="J17" s="564">
        <f>'WA Volumes &amp; Revenues'!F18</f>
        <v>18385904.899999999</v>
      </c>
      <c r="K17" s="298">
        <f>'Rev Req Proof Yr1'!R17</f>
        <v>17867210.60654201</v>
      </c>
      <c r="L17" s="299">
        <f>'Rev Req Proof Yr1'!S17</f>
        <v>0</v>
      </c>
      <c r="M17" s="300">
        <f>'Rev Req Proof Yr1'!T17</f>
        <v>6318</v>
      </c>
      <c r="N17" s="301">
        <f>'Rev Req Proof Yr1'!U17</f>
        <v>235.66542999999999</v>
      </c>
      <c r="O17" s="157"/>
      <c r="P17" s="306">
        <f t="shared" ref="P17:P21" si="12">((E17)*K17)</f>
        <v>0</v>
      </c>
      <c r="Q17" s="307">
        <v>0</v>
      </c>
      <c r="R17" s="308">
        <v>0</v>
      </c>
      <c r="S17" s="157"/>
      <c r="T17" s="306">
        <f t="shared" si="7"/>
        <v>-316785.64405398985</v>
      </c>
      <c r="U17" s="307">
        <v>0</v>
      </c>
      <c r="V17" s="308">
        <v>0</v>
      </c>
      <c r="W17" s="157"/>
      <c r="X17" s="306">
        <f t="shared" si="11"/>
        <v>-175098.6639441117</v>
      </c>
      <c r="Y17" s="307">
        <v>0</v>
      </c>
      <c r="Z17" s="308">
        <v>0</v>
      </c>
      <c r="AA17" s="309"/>
      <c r="AB17" s="306">
        <f t="shared" si="9"/>
        <v>-8933.6053032710042</v>
      </c>
      <c r="AC17" s="307">
        <v>0</v>
      </c>
      <c r="AD17" s="308">
        <v>0</v>
      </c>
      <c r="AE17" s="157"/>
      <c r="AF17" s="306">
        <f t="shared" si="10"/>
        <v>-500817.91330137255</v>
      </c>
      <c r="AG17" s="307">
        <v>0</v>
      </c>
      <c r="AH17" s="308">
        <v>0</v>
      </c>
      <c r="AI17" s="309"/>
      <c r="AJ17" s="310"/>
      <c r="AK17" s="310"/>
      <c r="AL17" s="309"/>
    </row>
    <row r="18" spans="1:38" x14ac:dyDescent="0.2">
      <c r="A18" s="86">
        <f t="shared" si="5"/>
        <v>11</v>
      </c>
      <c r="B18" s="723" t="str">
        <f>'Rev Req Proof Yr1'!B18</f>
        <v>3 IFS</v>
      </c>
      <c r="C18" s="723" t="str">
        <f>'Rev Req Proof Yr1'!C18</f>
        <v>n/a</v>
      </c>
      <c r="D18" s="157"/>
      <c r="E18" s="159">
        <f>ROUND('Allocation = ¢ per Therm'!K21,5)</f>
        <v>0</v>
      </c>
      <c r="F18" s="153">
        <f>ROUND('Allocation = % of Margin'!O18,5)</f>
        <v>0</v>
      </c>
      <c r="G18" s="159">
        <f>ROUND('Allocation = % of Margin'!R18,5)</f>
        <v>-8.8699999999999994E-3</v>
      </c>
      <c r="H18" s="159">
        <f>ROUND('Allocation = % of Margin'!X18,5)</f>
        <v>-4.4999999999999999E-4</v>
      </c>
      <c r="I18" s="157"/>
      <c r="J18" s="564">
        <f>'WA Volumes &amp; Revenues'!F19</f>
        <v>263842</v>
      </c>
      <c r="K18" s="298">
        <f>'Rev Req Proof Yr1'!R18</f>
        <v>283651.99999999994</v>
      </c>
      <c r="L18" s="299">
        <f>'Rev Req Proof Yr1'!S18</f>
        <v>0</v>
      </c>
      <c r="M18" s="300">
        <f>'Rev Req Proof Yr1'!T18</f>
        <v>24.25</v>
      </c>
      <c r="N18" s="301">
        <f>'Rev Req Proof Yr1'!U18</f>
        <v>974.74914000000001</v>
      </c>
      <c r="O18" s="157"/>
      <c r="P18" s="306">
        <f t="shared" si="12"/>
        <v>0</v>
      </c>
      <c r="Q18" s="307">
        <v>0</v>
      </c>
      <c r="R18" s="308">
        <v>0</v>
      </c>
      <c r="S18" s="157"/>
      <c r="T18" s="306">
        <f t="shared" si="7"/>
        <v>0</v>
      </c>
      <c r="U18" s="307">
        <v>0</v>
      </c>
      <c r="V18" s="308">
        <v>0</v>
      </c>
      <c r="W18" s="157"/>
      <c r="X18" s="306">
        <f t="shared" si="11"/>
        <v>-2515.9932399999993</v>
      </c>
      <c r="Y18" s="307">
        <v>0</v>
      </c>
      <c r="Z18" s="308">
        <v>0</v>
      </c>
      <c r="AA18" s="309"/>
      <c r="AB18" s="306">
        <f t="shared" si="9"/>
        <v>-127.64339999999997</v>
      </c>
      <c r="AC18" s="307">
        <v>0</v>
      </c>
      <c r="AD18" s="308">
        <v>0</v>
      </c>
      <c r="AE18" s="157"/>
      <c r="AF18" s="306">
        <f t="shared" si="10"/>
        <v>-2643.6366399999997</v>
      </c>
      <c r="AG18" s="307">
        <v>0</v>
      </c>
      <c r="AH18" s="308">
        <v>0</v>
      </c>
      <c r="AI18" s="309"/>
      <c r="AJ18" s="310"/>
      <c r="AK18" s="310"/>
      <c r="AL18" s="309"/>
    </row>
    <row r="19" spans="1:38" x14ac:dyDescent="0.2">
      <c r="A19" s="86">
        <f t="shared" si="5"/>
        <v>12</v>
      </c>
      <c r="B19" s="723" t="str">
        <f>'Rev Req Proof Yr1'!B19</f>
        <v>27R</v>
      </c>
      <c r="C19" s="723" t="str">
        <f>'Rev Req Proof Yr1'!C19</f>
        <v>n/a</v>
      </c>
      <c r="D19" s="157"/>
      <c r="E19" s="159">
        <f>ROUND('Allocation = ¢ per Therm'!K22,5)</f>
        <v>0</v>
      </c>
      <c r="F19" s="153">
        <f>ROUND('Allocation = % of Margin'!O19,5)</f>
        <v>-1.405E-2</v>
      </c>
      <c r="G19" s="159">
        <f>ROUND('Allocation = % of Margin'!R19,5)</f>
        <v>-7.77E-3</v>
      </c>
      <c r="H19" s="159">
        <f>ROUND('Allocation = % of Margin'!X19,5)</f>
        <v>-3.8999999999999999E-4</v>
      </c>
      <c r="I19" s="157"/>
      <c r="J19" s="564">
        <f>'WA Volumes &amp; Revenues'!F20</f>
        <v>591910</v>
      </c>
      <c r="K19" s="298">
        <f>'Rev Req Proof Yr1'!R19</f>
        <v>461371.76933137607</v>
      </c>
      <c r="L19" s="299">
        <f>'Rev Req Proof Yr1'!S19</f>
        <v>0</v>
      </c>
      <c r="M19" s="300">
        <f>'Rev Req Proof Yr1'!T19</f>
        <v>776</v>
      </c>
      <c r="N19" s="301">
        <f>'Rev Req Proof Yr1'!U19</f>
        <v>49.545940000000002</v>
      </c>
      <c r="O19" s="157"/>
      <c r="P19" s="306">
        <f t="shared" si="12"/>
        <v>0</v>
      </c>
      <c r="Q19" s="307">
        <v>0</v>
      </c>
      <c r="R19" s="308">
        <v>0</v>
      </c>
      <c r="S19" s="157"/>
      <c r="T19" s="306">
        <f t="shared" si="7"/>
        <v>-6482.2733591058341</v>
      </c>
      <c r="U19" s="307">
        <v>0</v>
      </c>
      <c r="V19" s="308">
        <v>0</v>
      </c>
      <c r="W19" s="157"/>
      <c r="X19" s="306">
        <f t="shared" si="11"/>
        <v>-3584.858647704792</v>
      </c>
      <c r="Y19" s="307">
        <v>0</v>
      </c>
      <c r="Z19" s="308">
        <v>0</v>
      </c>
      <c r="AA19" s="309"/>
      <c r="AB19" s="306">
        <f t="shared" si="9"/>
        <v>-179.93499003923665</v>
      </c>
      <c r="AC19" s="307">
        <v>0</v>
      </c>
      <c r="AD19" s="308">
        <v>0</v>
      </c>
      <c r="AE19" s="157"/>
      <c r="AF19" s="306">
        <f t="shared" si="10"/>
        <v>-10247.066996849862</v>
      </c>
      <c r="AG19" s="307">
        <v>0</v>
      </c>
      <c r="AH19" s="308">
        <v>0</v>
      </c>
      <c r="AI19" s="309"/>
      <c r="AJ19" s="310"/>
      <c r="AK19" s="310"/>
      <c r="AL19" s="309"/>
    </row>
    <row r="20" spans="1:38" x14ac:dyDescent="0.2">
      <c r="A20" s="86">
        <f t="shared" si="5"/>
        <v>13</v>
      </c>
      <c r="B20" s="733" t="str">
        <f>'Rev Req Proof Yr1'!B20</f>
        <v>41C Firm Sales</v>
      </c>
      <c r="C20" s="726" t="s">
        <v>4</v>
      </c>
      <c r="D20" s="157"/>
      <c r="E20" s="157">
        <f>ROUND('Allocation = ¢ per Therm'!K23,5)</f>
        <v>0</v>
      </c>
      <c r="F20" s="157">
        <f>ROUND('Allocation = % of Margin'!O20,5)</f>
        <v>-1.4080000000000001E-2</v>
      </c>
      <c r="G20" s="312">
        <f>ROUND('Allocation = % of Margin'!R20,5)</f>
        <v>-7.7799999999999996E-3</v>
      </c>
      <c r="H20" s="312">
        <f>ROUND('Allocation = % of Margin'!X20,5)</f>
        <v>-4.0000000000000002E-4</v>
      </c>
      <c r="I20" s="157"/>
      <c r="J20" s="564">
        <f>'WA Volumes &amp; Revenues'!F21</f>
        <v>1992236.2</v>
      </c>
      <c r="K20" s="298">
        <f>'Rev Req Proof Yr1'!R20</f>
        <v>1777065.1510316674</v>
      </c>
      <c r="L20" s="299">
        <f>'Rev Req Proof Yr1'!S20</f>
        <v>0</v>
      </c>
      <c r="M20" s="300">
        <f>'Rev Req Proof Yr1'!T20</f>
        <v>91</v>
      </c>
      <c r="N20" s="301">
        <f>'Rev Req Proof Yr1'!U20</f>
        <v>3436</v>
      </c>
      <c r="O20" s="157"/>
      <c r="P20" s="313">
        <f t="shared" si="12"/>
        <v>0</v>
      </c>
      <c r="Q20" s="309">
        <v>0</v>
      </c>
      <c r="R20" s="314">
        <v>0</v>
      </c>
      <c r="S20" s="157"/>
      <c r="T20" s="313">
        <f t="shared" si="7"/>
        <v>-25021.077326525876</v>
      </c>
      <c r="U20" s="309">
        <v>0</v>
      </c>
      <c r="V20" s="314">
        <v>0</v>
      </c>
      <c r="W20" s="157"/>
      <c r="X20" s="313">
        <f t="shared" si="11"/>
        <v>-13825.566875026372</v>
      </c>
      <c r="Y20" s="309">
        <v>0</v>
      </c>
      <c r="Z20" s="314">
        <v>0</v>
      </c>
      <c r="AA20" s="309"/>
      <c r="AB20" s="313">
        <f t="shared" si="9"/>
        <v>-710.82606041266695</v>
      </c>
      <c r="AC20" s="309">
        <v>0</v>
      </c>
      <c r="AD20" s="314">
        <v>0</v>
      </c>
      <c r="AE20" s="157"/>
      <c r="AF20" s="313">
        <f t="shared" si="10"/>
        <v>-39557.470261964918</v>
      </c>
      <c r="AG20" s="309">
        <v>0</v>
      </c>
      <c r="AH20" s="314">
        <v>0</v>
      </c>
      <c r="AI20" s="309"/>
      <c r="AJ20" s="310"/>
      <c r="AK20" s="310"/>
      <c r="AL20" s="309"/>
    </row>
    <row r="21" spans="1:38" x14ac:dyDescent="0.2">
      <c r="A21" s="86">
        <f t="shared" si="5"/>
        <v>14</v>
      </c>
      <c r="B21" s="725"/>
      <c r="C21" s="726" t="s">
        <v>5</v>
      </c>
      <c r="D21" s="157"/>
      <c r="E21" s="157">
        <f>ROUND('Allocation = ¢ per Therm'!K24,5)</f>
        <v>0</v>
      </c>
      <c r="F21" s="157">
        <f>ROUND('Allocation = % of Margin'!O21,5)</f>
        <v>-1.24E-2</v>
      </c>
      <c r="G21" s="157">
        <f>ROUND('Allocation = % of Margin'!R21,5)</f>
        <v>-6.8599999999999998E-3</v>
      </c>
      <c r="H21" s="157">
        <f>ROUND('Allocation = % of Margin'!X21,5)</f>
        <v>-3.5E-4</v>
      </c>
      <c r="I21" s="157"/>
      <c r="J21" s="564">
        <f>'WA Volumes &amp; Revenues'!F22</f>
        <v>2142067.7000000002</v>
      </c>
      <c r="K21" s="298">
        <f>'Rev Req Proof Yr1'!R21</f>
        <v>1974656.4658023661</v>
      </c>
      <c r="L21" s="299">
        <f>'Rev Req Proof Yr1'!S21</f>
        <v>0</v>
      </c>
      <c r="M21" s="300">
        <f>'Rev Req Proof Yr1'!T21</f>
        <v>0</v>
      </c>
      <c r="N21" s="301">
        <f>'Rev Req Proof Yr1'!U21</f>
        <v>0</v>
      </c>
      <c r="O21" s="157"/>
      <c r="P21" s="313">
        <f t="shared" si="12"/>
        <v>0</v>
      </c>
      <c r="Q21" s="309">
        <v>0</v>
      </c>
      <c r="R21" s="314">
        <v>0</v>
      </c>
      <c r="S21" s="157"/>
      <c r="T21" s="313">
        <f t="shared" si="7"/>
        <v>-24485.74017594934</v>
      </c>
      <c r="U21" s="309">
        <v>0</v>
      </c>
      <c r="V21" s="314">
        <v>0</v>
      </c>
      <c r="W21" s="157"/>
      <c r="X21" s="313">
        <f t="shared" si="11"/>
        <v>-13546.143355404231</v>
      </c>
      <c r="Y21" s="309">
        <v>0</v>
      </c>
      <c r="Z21" s="314">
        <v>0</v>
      </c>
      <c r="AA21" s="309"/>
      <c r="AB21" s="313">
        <f t="shared" si="9"/>
        <v>-691.12976303082814</v>
      </c>
      <c r="AC21" s="309">
        <v>0</v>
      </c>
      <c r="AD21" s="314">
        <v>0</v>
      </c>
      <c r="AE21" s="157"/>
      <c r="AF21" s="313">
        <f t="shared" si="10"/>
        <v>-38723.0132943844</v>
      </c>
      <c r="AG21" s="309">
        <v>0</v>
      </c>
      <c r="AH21" s="314">
        <v>0</v>
      </c>
      <c r="AI21" s="309"/>
      <c r="AJ21" s="310"/>
      <c r="AK21" s="310"/>
      <c r="AL21" s="309"/>
    </row>
    <row r="22" spans="1:38" x14ac:dyDescent="0.2">
      <c r="A22" s="86">
        <f t="shared" si="5"/>
        <v>15</v>
      </c>
      <c r="B22" s="723"/>
      <c r="C22" s="742" t="s">
        <v>78</v>
      </c>
      <c r="D22" s="153"/>
      <c r="E22" s="153"/>
      <c r="F22" s="153"/>
      <c r="G22" s="810"/>
      <c r="H22" s="810"/>
      <c r="I22" s="153"/>
      <c r="J22" s="564"/>
      <c r="K22" s="298"/>
      <c r="L22" s="299"/>
      <c r="M22" s="300"/>
      <c r="N22" s="301"/>
      <c r="O22" s="157"/>
      <c r="P22" s="315">
        <f>SUM(P20:P21)</f>
        <v>0</v>
      </c>
      <c r="Q22" s="316">
        <f t="shared" ref="Q22:R22" si="13">SUM(Q20:Q21)</f>
        <v>0</v>
      </c>
      <c r="R22" s="317">
        <f t="shared" si="13"/>
        <v>0</v>
      </c>
      <c r="S22" s="157"/>
      <c r="T22" s="315">
        <f>SUM(T20:T21)</f>
        <v>-49506.817502475213</v>
      </c>
      <c r="U22" s="316">
        <f t="shared" ref="U22:V22" si="14">SUM(U20:U21)</f>
        <v>0</v>
      </c>
      <c r="V22" s="317">
        <f t="shared" si="14"/>
        <v>0</v>
      </c>
      <c r="W22" s="157"/>
      <c r="X22" s="315">
        <f>SUM(X20:X21)</f>
        <v>-27371.710230430603</v>
      </c>
      <c r="Y22" s="316">
        <f t="shared" ref="Y22:Z22" si="15">SUM(Y20:Y21)</f>
        <v>0</v>
      </c>
      <c r="Z22" s="317">
        <f t="shared" si="15"/>
        <v>0</v>
      </c>
      <c r="AA22" s="328"/>
      <c r="AB22" s="315">
        <f>SUM(AB20:AB21)</f>
        <v>-1401.9558234434951</v>
      </c>
      <c r="AC22" s="316">
        <f t="shared" ref="AC22:AD22" si="16">SUM(AC20:AC21)</f>
        <v>0</v>
      </c>
      <c r="AD22" s="317">
        <f t="shared" si="16"/>
        <v>0</v>
      </c>
      <c r="AE22" s="157"/>
      <c r="AF22" s="315">
        <f>SUM(AF20:AF21)</f>
        <v>-78280.483556349325</v>
      </c>
      <c r="AG22" s="316">
        <f t="shared" ref="AG22" si="17">SUM(AG20:AG21)</f>
        <v>0</v>
      </c>
      <c r="AH22" s="317">
        <f t="shared" ref="AH22" si="18">SUM(AH20:AH21)</f>
        <v>0</v>
      </c>
      <c r="AI22" s="309"/>
      <c r="AJ22" s="310"/>
      <c r="AK22" s="310"/>
      <c r="AL22" s="309"/>
    </row>
    <row r="23" spans="1:38" x14ac:dyDescent="0.2">
      <c r="A23" s="86">
        <f t="shared" si="5"/>
        <v>16</v>
      </c>
      <c r="B23" s="733" t="str">
        <f>'Rev Req Proof Yr1'!B23</f>
        <v>41I Firm Sales</v>
      </c>
      <c r="C23" s="726" t="s">
        <v>4</v>
      </c>
      <c r="D23" s="157"/>
      <c r="E23" s="157">
        <f>ROUND('Allocation = ¢ per Therm'!K25,5)</f>
        <v>0</v>
      </c>
      <c r="F23" s="157">
        <f>ROUND('Allocation = % of Margin'!O22,5)</f>
        <v>0</v>
      </c>
      <c r="G23" s="312">
        <f>ROUND('Allocation = % of Margin'!R22,5)</f>
        <v>-7.4000000000000003E-3</v>
      </c>
      <c r="H23" s="312">
        <f>ROUND('Allocation = % of Margin'!X22,5)</f>
        <v>-3.8000000000000002E-4</v>
      </c>
      <c r="I23" s="157"/>
      <c r="J23" s="564">
        <f>'WA Volumes &amp; Revenues'!F23</f>
        <v>399967</v>
      </c>
      <c r="K23" s="298">
        <f>'Rev Req Proof Yr1'!R23</f>
        <v>392890.20000000007</v>
      </c>
      <c r="L23" s="299">
        <f>'Rev Req Proof Yr1'!S23</f>
        <v>0</v>
      </c>
      <c r="M23" s="300">
        <f>'Rev Req Proof Yr1'!T23</f>
        <v>17.833333333333332</v>
      </c>
      <c r="N23" s="301">
        <f>'Rev Req Proof Yr1'!U23</f>
        <v>4741</v>
      </c>
      <c r="O23" s="157"/>
      <c r="P23" s="313">
        <f t="shared" ref="P23:P24" si="19">((E23)*K23)</f>
        <v>0</v>
      </c>
      <c r="Q23" s="309">
        <v>0</v>
      </c>
      <c r="R23" s="314">
        <v>0</v>
      </c>
      <c r="S23" s="157"/>
      <c r="T23" s="313">
        <f t="shared" si="7"/>
        <v>0</v>
      </c>
      <c r="U23" s="309">
        <v>0</v>
      </c>
      <c r="V23" s="314">
        <v>0</v>
      </c>
      <c r="W23" s="157"/>
      <c r="X23" s="313">
        <f t="shared" ref="X23:X24" si="20">((G23)*K23)</f>
        <v>-2907.3874800000008</v>
      </c>
      <c r="Y23" s="309">
        <v>0</v>
      </c>
      <c r="Z23" s="314">
        <v>0</v>
      </c>
      <c r="AA23" s="309"/>
      <c r="AB23" s="313">
        <f t="shared" si="9"/>
        <v>-149.29827600000004</v>
      </c>
      <c r="AC23" s="309">
        <v>0</v>
      </c>
      <c r="AD23" s="314">
        <v>0</v>
      </c>
      <c r="AE23" s="157"/>
      <c r="AF23" s="313">
        <f t="shared" ref="AF23:AF24" si="21">((E23+F23+G23+H23)*K23)</f>
        <v>-3056.6857560000008</v>
      </c>
      <c r="AG23" s="309">
        <v>0</v>
      </c>
      <c r="AH23" s="314">
        <v>0</v>
      </c>
      <c r="AI23" s="309"/>
      <c r="AJ23" s="310"/>
      <c r="AK23" s="310"/>
      <c r="AL23" s="309"/>
    </row>
    <row r="24" spans="1:38" x14ac:dyDescent="0.2">
      <c r="A24" s="86">
        <f t="shared" si="5"/>
        <v>17</v>
      </c>
      <c r="B24" s="725"/>
      <c r="C24" s="726" t="s">
        <v>5</v>
      </c>
      <c r="D24" s="157"/>
      <c r="E24" s="157">
        <f>ROUND('Allocation = ¢ per Therm'!K26,5)</f>
        <v>0</v>
      </c>
      <c r="F24" s="157">
        <f>ROUND('Allocation = % of Margin'!O23,5)</f>
        <v>0</v>
      </c>
      <c r="G24" s="157">
        <f>ROUND('Allocation = % of Margin'!R23,5)</f>
        <v>-6.5199999999999998E-3</v>
      </c>
      <c r="H24" s="157">
        <f>ROUND('Allocation = % of Margin'!X23,5)</f>
        <v>-3.3E-4</v>
      </c>
      <c r="I24" s="157"/>
      <c r="J24" s="564">
        <f>'WA Volumes &amp; Revenues'!F24</f>
        <v>630361</v>
      </c>
      <c r="K24" s="298">
        <f>'Rev Req Proof Yr1'!R24</f>
        <v>621650.00000000012</v>
      </c>
      <c r="L24" s="299">
        <f>'Rev Req Proof Yr1'!S24</f>
        <v>0</v>
      </c>
      <c r="M24" s="300">
        <f>'Rev Req Proof Yr1'!T24</f>
        <v>0</v>
      </c>
      <c r="N24" s="301">
        <f>'Rev Req Proof Yr1'!U24</f>
        <v>0</v>
      </c>
      <c r="O24" s="157"/>
      <c r="P24" s="313">
        <f t="shared" si="19"/>
        <v>0</v>
      </c>
      <c r="Q24" s="309">
        <v>0</v>
      </c>
      <c r="R24" s="314">
        <v>0</v>
      </c>
      <c r="S24" s="157"/>
      <c r="T24" s="313">
        <f t="shared" si="7"/>
        <v>0</v>
      </c>
      <c r="U24" s="309">
        <v>0</v>
      </c>
      <c r="V24" s="314">
        <v>0</v>
      </c>
      <c r="W24" s="157"/>
      <c r="X24" s="313">
        <f t="shared" si="20"/>
        <v>-4053.1580000000008</v>
      </c>
      <c r="Y24" s="309">
        <v>0</v>
      </c>
      <c r="Z24" s="314">
        <v>0</v>
      </c>
      <c r="AA24" s="309"/>
      <c r="AB24" s="313">
        <f t="shared" si="9"/>
        <v>-205.14450000000005</v>
      </c>
      <c r="AC24" s="309">
        <v>0</v>
      </c>
      <c r="AD24" s="314">
        <v>0</v>
      </c>
      <c r="AE24" s="157"/>
      <c r="AF24" s="313">
        <f t="shared" si="21"/>
        <v>-4258.3025000000007</v>
      </c>
      <c r="AG24" s="309">
        <v>0</v>
      </c>
      <c r="AH24" s="314">
        <v>0</v>
      </c>
      <c r="AI24" s="309"/>
      <c r="AJ24" s="310"/>
      <c r="AK24" s="310"/>
      <c r="AL24" s="309"/>
    </row>
    <row r="25" spans="1:38" x14ac:dyDescent="0.2">
      <c r="A25" s="86">
        <f t="shared" si="5"/>
        <v>18</v>
      </c>
      <c r="B25" s="723"/>
      <c r="C25" s="742" t="s">
        <v>78</v>
      </c>
      <c r="D25" s="153"/>
      <c r="E25" s="153"/>
      <c r="F25" s="153"/>
      <c r="G25" s="810"/>
      <c r="H25" s="810"/>
      <c r="I25" s="153"/>
      <c r="J25" s="564"/>
      <c r="K25" s="298"/>
      <c r="L25" s="299"/>
      <c r="M25" s="300"/>
      <c r="N25" s="301"/>
      <c r="O25" s="157"/>
      <c r="P25" s="315">
        <f>SUM(P23:P24)</f>
        <v>0</v>
      </c>
      <c r="Q25" s="316">
        <f t="shared" ref="Q25:R25" si="22">SUM(Q23:Q24)</f>
        <v>0</v>
      </c>
      <c r="R25" s="317">
        <f t="shared" si="22"/>
        <v>0</v>
      </c>
      <c r="S25" s="157"/>
      <c r="T25" s="315">
        <f>SUM(T23:T24)</f>
        <v>0</v>
      </c>
      <c r="U25" s="316">
        <f t="shared" ref="U25:V25" si="23">SUM(U23:U24)</f>
        <v>0</v>
      </c>
      <c r="V25" s="317">
        <f t="shared" si="23"/>
        <v>0</v>
      </c>
      <c r="W25" s="157"/>
      <c r="X25" s="315">
        <f>SUM(X23:X24)</f>
        <v>-6960.5454800000016</v>
      </c>
      <c r="Y25" s="316">
        <f t="shared" ref="Y25:Z25" si="24">SUM(Y23:Y24)</f>
        <v>0</v>
      </c>
      <c r="Z25" s="317">
        <f t="shared" si="24"/>
        <v>0</v>
      </c>
      <c r="AA25" s="328"/>
      <c r="AB25" s="315">
        <f>SUM(AB23:AB24)</f>
        <v>-354.44277600000009</v>
      </c>
      <c r="AC25" s="316">
        <f t="shared" ref="AC25:AD25" si="25">SUM(AC23:AC24)</f>
        <v>0</v>
      </c>
      <c r="AD25" s="317">
        <f t="shared" si="25"/>
        <v>0</v>
      </c>
      <c r="AE25" s="157"/>
      <c r="AF25" s="315">
        <f>SUM(AF23:AF24)</f>
        <v>-7314.9882560000015</v>
      </c>
      <c r="AG25" s="316">
        <f t="shared" ref="AG25:AH25" si="26">SUM(AG23:AG24)</f>
        <v>0</v>
      </c>
      <c r="AH25" s="317">
        <f t="shared" si="26"/>
        <v>0</v>
      </c>
      <c r="AI25" s="309"/>
      <c r="AJ25" s="310"/>
      <c r="AK25" s="310"/>
      <c r="AL25" s="309"/>
    </row>
    <row r="26" spans="1:38" x14ac:dyDescent="0.2">
      <c r="A26" s="86">
        <f t="shared" si="5"/>
        <v>19</v>
      </c>
      <c r="B26" s="725" t="str">
        <f>'Rev Req Proof Yr1'!B26</f>
        <v>41C Interr Sales</v>
      </c>
      <c r="C26" s="726" t="s">
        <v>4</v>
      </c>
      <c r="D26" s="157"/>
      <c r="E26" s="157">
        <f>ROUND('Allocation = ¢ per Therm'!K27,5)</f>
        <v>0</v>
      </c>
      <c r="F26" s="157">
        <f>ROUND('Allocation = % of Margin'!O24,5)</f>
        <v>-1.404E-2</v>
      </c>
      <c r="G26" s="312">
        <f>ROUND('Allocation = % of Margin'!R24,5)</f>
        <v>-6.1000000000000004E-3</v>
      </c>
      <c r="H26" s="312">
        <f>ROUND('Allocation = % of Margin'!X24,5)</f>
        <v>-3.1E-4</v>
      </c>
      <c r="I26" s="157"/>
      <c r="J26" s="564">
        <f>'WA Volumes &amp; Revenues'!F25</f>
        <v>0</v>
      </c>
      <c r="K26" s="298">
        <f>'Rev Req Proof Yr1'!R26</f>
        <v>0</v>
      </c>
      <c r="L26" s="299">
        <f>'Rev Req Proof Yr1'!S26</f>
        <v>0</v>
      </c>
      <c r="M26" s="300">
        <f>'Rev Req Proof Yr1'!T26</f>
        <v>0</v>
      </c>
      <c r="N26" s="301">
        <f>'Rev Req Proof Yr1'!U26</f>
        <v>0</v>
      </c>
      <c r="O26" s="157"/>
      <c r="P26" s="313">
        <f>((E26)*K26)</f>
        <v>0</v>
      </c>
      <c r="Q26" s="309">
        <v>0</v>
      </c>
      <c r="R26" s="314">
        <v>0</v>
      </c>
      <c r="S26" s="157"/>
      <c r="T26" s="313">
        <f t="shared" si="7"/>
        <v>0</v>
      </c>
      <c r="U26" s="309">
        <v>0</v>
      </c>
      <c r="V26" s="314">
        <v>0</v>
      </c>
      <c r="W26" s="157"/>
      <c r="X26" s="313">
        <f>((G26)*K26)</f>
        <v>0</v>
      </c>
      <c r="Y26" s="309">
        <v>0</v>
      </c>
      <c r="Z26" s="314">
        <v>0</v>
      </c>
      <c r="AA26" s="309"/>
      <c r="AB26" s="313">
        <f t="shared" si="9"/>
        <v>0</v>
      </c>
      <c r="AC26" s="309">
        <v>0</v>
      </c>
      <c r="AD26" s="314">
        <v>0</v>
      </c>
      <c r="AE26" s="157"/>
      <c r="AF26" s="313">
        <f t="shared" ref="AF26:AF27" si="27">((E26+F26+G26+H26)*K26)</f>
        <v>0</v>
      </c>
      <c r="AG26" s="309">
        <v>0</v>
      </c>
      <c r="AH26" s="314">
        <v>0</v>
      </c>
      <c r="AI26" s="309"/>
      <c r="AJ26" s="310"/>
      <c r="AK26" s="310"/>
      <c r="AL26" s="309"/>
    </row>
    <row r="27" spans="1:38" x14ac:dyDescent="0.2">
      <c r="A27" s="86">
        <f t="shared" si="5"/>
        <v>20</v>
      </c>
      <c r="B27" s="725"/>
      <c r="C27" s="726" t="s">
        <v>5</v>
      </c>
      <c r="D27" s="157"/>
      <c r="E27" s="157">
        <f>ROUND('Allocation = ¢ per Therm'!K28,5)</f>
        <v>0</v>
      </c>
      <c r="F27" s="157">
        <f>ROUND('Allocation = % of Margin'!O25,5)</f>
        <v>-1.2370000000000001E-2</v>
      </c>
      <c r="G27" s="157">
        <f>ROUND('Allocation = % of Margin'!R25,5)</f>
        <v>-5.3699999999999998E-3</v>
      </c>
      <c r="H27" s="157">
        <f>ROUND('Allocation = % of Margin'!X25,5)</f>
        <v>-2.7E-4</v>
      </c>
      <c r="I27" s="157"/>
      <c r="J27" s="564">
        <f>'WA Volumes &amp; Revenues'!F26</f>
        <v>0</v>
      </c>
      <c r="K27" s="298">
        <f>'Rev Req Proof Yr1'!R27</f>
        <v>0</v>
      </c>
      <c r="L27" s="299">
        <f>'Rev Req Proof Yr1'!S27</f>
        <v>0</v>
      </c>
      <c r="M27" s="300">
        <f>'Rev Req Proof Yr1'!T27</f>
        <v>0</v>
      </c>
      <c r="N27" s="301">
        <f>'Rev Req Proof Yr1'!U27</f>
        <v>0</v>
      </c>
      <c r="O27" s="157"/>
      <c r="P27" s="313">
        <f>((E27)*K27)</f>
        <v>0</v>
      </c>
      <c r="Q27" s="309">
        <v>0</v>
      </c>
      <c r="R27" s="314">
        <v>0</v>
      </c>
      <c r="S27" s="157"/>
      <c r="T27" s="313">
        <f t="shared" si="7"/>
        <v>0</v>
      </c>
      <c r="U27" s="309">
        <v>0</v>
      </c>
      <c r="V27" s="314">
        <v>0</v>
      </c>
      <c r="W27" s="157"/>
      <c r="X27" s="313">
        <f>((G27)*K27)</f>
        <v>0</v>
      </c>
      <c r="Y27" s="309">
        <v>0</v>
      </c>
      <c r="Z27" s="314">
        <v>0</v>
      </c>
      <c r="AA27" s="309"/>
      <c r="AB27" s="313">
        <f t="shared" si="9"/>
        <v>0</v>
      </c>
      <c r="AC27" s="309">
        <v>0</v>
      </c>
      <c r="AD27" s="314">
        <v>0</v>
      </c>
      <c r="AE27" s="157"/>
      <c r="AF27" s="313">
        <f t="shared" si="27"/>
        <v>0</v>
      </c>
      <c r="AG27" s="309">
        <v>0</v>
      </c>
      <c r="AH27" s="314">
        <v>0</v>
      </c>
      <c r="AI27" s="309"/>
      <c r="AJ27" s="310"/>
      <c r="AK27" s="310"/>
      <c r="AL27" s="309"/>
    </row>
    <row r="28" spans="1:38" x14ac:dyDescent="0.2">
      <c r="A28" s="86">
        <f t="shared" si="5"/>
        <v>21</v>
      </c>
      <c r="B28" s="723"/>
      <c r="C28" s="742" t="s">
        <v>78</v>
      </c>
      <c r="D28" s="153"/>
      <c r="E28" s="153"/>
      <c r="F28" s="153"/>
      <c r="G28" s="810"/>
      <c r="H28" s="810"/>
      <c r="I28" s="153"/>
      <c r="J28" s="564"/>
      <c r="K28" s="298"/>
      <c r="L28" s="299"/>
      <c r="M28" s="300"/>
      <c r="N28" s="301"/>
      <c r="O28" s="157"/>
      <c r="P28" s="315">
        <f>SUM(P26:P27)</f>
        <v>0</v>
      </c>
      <c r="Q28" s="316">
        <f t="shared" ref="Q28:R28" si="28">SUM(Q26:Q27)</f>
        <v>0</v>
      </c>
      <c r="R28" s="317">
        <f t="shared" si="28"/>
        <v>0</v>
      </c>
      <c r="S28" s="157"/>
      <c r="T28" s="315">
        <f>SUM(T26:T27)</f>
        <v>0</v>
      </c>
      <c r="U28" s="316">
        <f t="shared" ref="U28:V28" si="29">SUM(U26:U27)</f>
        <v>0</v>
      </c>
      <c r="V28" s="317">
        <f t="shared" si="29"/>
        <v>0</v>
      </c>
      <c r="W28" s="157"/>
      <c r="X28" s="315">
        <f>SUM(X26:X27)</f>
        <v>0</v>
      </c>
      <c r="Y28" s="316">
        <f t="shared" ref="Y28:Z28" si="30">SUM(Y26:Y27)</f>
        <v>0</v>
      </c>
      <c r="Z28" s="317">
        <f t="shared" si="30"/>
        <v>0</v>
      </c>
      <c r="AA28" s="328"/>
      <c r="AB28" s="315">
        <f>SUM(AB26:AB27)</f>
        <v>0</v>
      </c>
      <c r="AC28" s="316">
        <f t="shared" ref="AC28:AD28" si="31">SUM(AC26:AC27)</f>
        <v>0</v>
      </c>
      <c r="AD28" s="317">
        <f t="shared" si="31"/>
        <v>0</v>
      </c>
      <c r="AE28" s="157"/>
      <c r="AF28" s="315">
        <f>SUM(AF26:AF27)</f>
        <v>0</v>
      </c>
      <c r="AG28" s="316">
        <f t="shared" ref="AG28" si="32">SUM(AG26:AG27)</f>
        <v>0</v>
      </c>
      <c r="AH28" s="317">
        <f t="shared" ref="AH28" si="33">SUM(AH26:AH27)</f>
        <v>0</v>
      </c>
      <c r="AI28" s="309"/>
      <c r="AJ28" s="310"/>
      <c r="AK28" s="310"/>
      <c r="AL28" s="309"/>
    </row>
    <row r="29" spans="1:38" x14ac:dyDescent="0.2">
      <c r="A29" s="86">
        <f t="shared" si="5"/>
        <v>22</v>
      </c>
      <c r="B29" s="725" t="str">
        <f>'Rev Req Proof Yr1'!B29</f>
        <v>41I Interr Sales</v>
      </c>
      <c r="C29" s="726" t="s">
        <v>4</v>
      </c>
      <c r="D29" s="157"/>
      <c r="E29" s="157">
        <f>ROUND('Allocation = ¢ per Therm'!K29,5)</f>
        <v>0</v>
      </c>
      <c r="F29" s="157">
        <f>ROUND('Allocation = % of Margin'!O26,5)</f>
        <v>0</v>
      </c>
      <c r="G29" s="312">
        <f>ROUND('Allocation = % of Margin'!R26,5)</f>
        <v>-6.1000000000000004E-3</v>
      </c>
      <c r="H29" s="312">
        <f>ROUND('Allocation = % of Margin'!X26,5)</f>
        <v>-3.1E-4</v>
      </c>
      <c r="I29" s="157"/>
      <c r="J29" s="564">
        <f>'WA Volumes &amp; Revenues'!F27</f>
        <v>0</v>
      </c>
      <c r="K29" s="298">
        <f>'Rev Req Proof Yr1'!R29</f>
        <v>0</v>
      </c>
      <c r="L29" s="299">
        <f>'Rev Req Proof Yr1'!S29</f>
        <v>0</v>
      </c>
      <c r="M29" s="300">
        <f>'Rev Req Proof Yr1'!T29</f>
        <v>0</v>
      </c>
      <c r="N29" s="301">
        <f>'Rev Req Proof Yr1'!U29</f>
        <v>0</v>
      </c>
      <c r="O29" s="157"/>
      <c r="P29" s="313">
        <f>((E29)*K29)</f>
        <v>0</v>
      </c>
      <c r="Q29" s="309">
        <v>0</v>
      </c>
      <c r="R29" s="314">
        <v>0</v>
      </c>
      <c r="S29" s="157"/>
      <c r="T29" s="313">
        <f t="shared" si="7"/>
        <v>0</v>
      </c>
      <c r="U29" s="309">
        <v>0</v>
      </c>
      <c r="V29" s="314">
        <v>0</v>
      </c>
      <c r="W29" s="157"/>
      <c r="X29" s="313">
        <f>((G29)*K29)</f>
        <v>0</v>
      </c>
      <c r="Y29" s="309">
        <v>0</v>
      </c>
      <c r="Z29" s="314">
        <v>0</v>
      </c>
      <c r="AA29" s="309"/>
      <c r="AB29" s="313">
        <f t="shared" si="9"/>
        <v>0</v>
      </c>
      <c r="AC29" s="309">
        <v>0</v>
      </c>
      <c r="AD29" s="314">
        <v>0</v>
      </c>
      <c r="AE29" s="157"/>
      <c r="AF29" s="313">
        <f t="shared" ref="AF29:AF30" si="34">((E29+F29+G29+H29)*K29)</f>
        <v>0</v>
      </c>
      <c r="AG29" s="309">
        <v>0</v>
      </c>
      <c r="AH29" s="314">
        <v>0</v>
      </c>
      <c r="AI29" s="309"/>
      <c r="AJ29" s="310"/>
      <c r="AK29" s="310"/>
      <c r="AL29" s="309"/>
    </row>
    <row r="30" spans="1:38" x14ac:dyDescent="0.2">
      <c r="A30" s="86">
        <f t="shared" si="5"/>
        <v>23</v>
      </c>
      <c r="B30" s="725"/>
      <c r="C30" s="726" t="s">
        <v>5</v>
      </c>
      <c r="D30" s="157"/>
      <c r="E30" s="157">
        <f>ROUND('Allocation = ¢ per Therm'!K30,5)</f>
        <v>0</v>
      </c>
      <c r="F30" s="157">
        <f>ROUND('Allocation = % of Margin'!O27,5)</f>
        <v>0</v>
      </c>
      <c r="G30" s="157">
        <f>ROUND('Allocation = % of Margin'!R27,5)</f>
        <v>-5.3699999999999998E-3</v>
      </c>
      <c r="H30" s="157">
        <f>ROUND('Allocation = % of Margin'!X27,5)</f>
        <v>-2.7E-4</v>
      </c>
      <c r="I30" s="157"/>
      <c r="J30" s="564">
        <f>'WA Volumes &amp; Revenues'!F28</f>
        <v>0</v>
      </c>
      <c r="K30" s="298">
        <f>'Rev Req Proof Yr1'!R30</f>
        <v>0</v>
      </c>
      <c r="L30" s="299">
        <f>'Rev Req Proof Yr1'!S30</f>
        <v>0</v>
      </c>
      <c r="M30" s="300">
        <f>'Rev Req Proof Yr1'!T30</f>
        <v>0</v>
      </c>
      <c r="N30" s="301">
        <f>'Rev Req Proof Yr1'!U30</f>
        <v>0</v>
      </c>
      <c r="O30" s="157"/>
      <c r="P30" s="313">
        <f>((E30)*K30)</f>
        <v>0</v>
      </c>
      <c r="Q30" s="309">
        <v>0</v>
      </c>
      <c r="R30" s="314">
        <v>0</v>
      </c>
      <c r="S30" s="157"/>
      <c r="T30" s="313">
        <f t="shared" si="7"/>
        <v>0</v>
      </c>
      <c r="U30" s="309">
        <v>0</v>
      </c>
      <c r="V30" s="314">
        <v>0</v>
      </c>
      <c r="W30" s="157"/>
      <c r="X30" s="313">
        <f>((G30)*K30)</f>
        <v>0</v>
      </c>
      <c r="Y30" s="309">
        <v>0</v>
      </c>
      <c r="Z30" s="314">
        <v>0</v>
      </c>
      <c r="AA30" s="309"/>
      <c r="AB30" s="313">
        <f t="shared" si="9"/>
        <v>0</v>
      </c>
      <c r="AC30" s="309">
        <v>0</v>
      </c>
      <c r="AD30" s="314">
        <v>0</v>
      </c>
      <c r="AE30" s="157"/>
      <c r="AF30" s="313">
        <f t="shared" si="34"/>
        <v>0</v>
      </c>
      <c r="AG30" s="309">
        <v>0</v>
      </c>
      <c r="AH30" s="314">
        <v>0</v>
      </c>
      <c r="AI30" s="309"/>
      <c r="AJ30" s="310"/>
      <c r="AK30" s="310"/>
      <c r="AL30" s="309"/>
    </row>
    <row r="31" spans="1:38" x14ac:dyDescent="0.2">
      <c r="A31" s="86">
        <f t="shared" si="5"/>
        <v>24</v>
      </c>
      <c r="B31" s="723"/>
      <c r="C31" s="742" t="s">
        <v>78</v>
      </c>
      <c r="D31" s="153"/>
      <c r="E31" s="153"/>
      <c r="F31" s="153"/>
      <c r="G31" s="810"/>
      <c r="H31" s="810"/>
      <c r="I31" s="153"/>
      <c r="J31" s="564"/>
      <c r="K31" s="298"/>
      <c r="L31" s="299"/>
      <c r="M31" s="300"/>
      <c r="N31" s="301"/>
      <c r="O31" s="157"/>
      <c r="P31" s="315">
        <f>SUM(P29:P30)</f>
        <v>0</v>
      </c>
      <c r="Q31" s="316">
        <f t="shared" ref="Q31:R31" si="35">SUM(Q29:Q30)</f>
        <v>0</v>
      </c>
      <c r="R31" s="317">
        <f t="shared" si="35"/>
        <v>0</v>
      </c>
      <c r="S31" s="157"/>
      <c r="T31" s="315">
        <f>SUM(T29:T30)</f>
        <v>0</v>
      </c>
      <c r="U31" s="316">
        <f t="shared" ref="U31:V31" si="36">SUM(U29:U30)</f>
        <v>0</v>
      </c>
      <c r="V31" s="317">
        <f t="shared" si="36"/>
        <v>0</v>
      </c>
      <c r="W31" s="157"/>
      <c r="X31" s="315">
        <f>SUM(X29:X30)</f>
        <v>0</v>
      </c>
      <c r="Y31" s="316">
        <f t="shared" ref="Y31:Z31" si="37">SUM(Y29:Y30)</f>
        <v>0</v>
      </c>
      <c r="Z31" s="317">
        <f t="shared" si="37"/>
        <v>0</v>
      </c>
      <c r="AA31" s="328"/>
      <c r="AB31" s="315">
        <f>SUM(AB29:AB30)</f>
        <v>0</v>
      </c>
      <c r="AC31" s="316">
        <f t="shared" ref="AC31:AD31" si="38">SUM(AC29:AC30)</f>
        <v>0</v>
      </c>
      <c r="AD31" s="317">
        <f t="shared" si="38"/>
        <v>0</v>
      </c>
      <c r="AE31" s="157"/>
      <c r="AF31" s="315">
        <f>SUM(AF29:AF30)</f>
        <v>0</v>
      </c>
      <c r="AG31" s="316">
        <f t="shared" ref="AG31" si="39">SUM(AG29:AG30)</f>
        <v>0</v>
      </c>
      <c r="AH31" s="317">
        <f t="shared" ref="AH31" si="40">SUM(AH29:AH30)</f>
        <v>0</v>
      </c>
      <c r="AI31" s="309"/>
      <c r="AJ31" s="310"/>
      <c r="AK31" s="310"/>
      <c r="AL31" s="309"/>
    </row>
    <row r="32" spans="1:38" x14ac:dyDescent="0.2">
      <c r="A32" s="86">
        <f t="shared" si="5"/>
        <v>25</v>
      </c>
      <c r="B32" s="725" t="str">
        <f>'Rev Req Proof Yr1'!B32</f>
        <v>41C Firm Transpt</v>
      </c>
      <c r="C32" s="726" t="s">
        <v>4</v>
      </c>
      <c r="D32" s="157"/>
      <c r="E32" s="157">
        <f>ROUND('Allocation = ¢ per Therm'!K31,5)</f>
        <v>0</v>
      </c>
      <c r="F32" s="157">
        <f>ROUND('Allocation = % of Margin'!O28,5)</f>
        <v>0</v>
      </c>
      <c r="G32" s="312">
        <f>ROUND('Allocation = % of Margin'!R28,5)</f>
        <v>-8.2299999999999995E-3</v>
      </c>
      <c r="H32" s="312">
        <f>ROUND('Allocation = % of Margin'!X28,5)</f>
        <v>-4.2000000000000002E-4</v>
      </c>
      <c r="I32" s="157"/>
      <c r="J32" s="564">
        <f>'WA Volumes &amp; Revenues'!F29</f>
        <v>169264</v>
      </c>
      <c r="K32" s="298">
        <f>'Rev Req Proof Yr1'!R32</f>
        <v>168721</v>
      </c>
      <c r="L32" s="299">
        <f>'Rev Req Proof Yr1'!S32</f>
        <v>0</v>
      </c>
      <c r="M32" s="300">
        <f>'Rev Req Proof Yr1'!T32</f>
        <v>7.916666666666667</v>
      </c>
      <c r="N32" s="301">
        <f>'Rev Req Proof Yr1'!U32</f>
        <v>4648</v>
      </c>
      <c r="O32" s="157"/>
      <c r="P32" s="313">
        <f>((E32)*K32)</f>
        <v>0</v>
      </c>
      <c r="Q32" s="309">
        <v>0</v>
      </c>
      <c r="R32" s="314">
        <v>0</v>
      </c>
      <c r="S32" s="157"/>
      <c r="T32" s="313">
        <f t="shared" si="7"/>
        <v>0</v>
      </c>
      <c r="U32" s="309">
        <v>0</v>
      </c>
      <c r="V32" s="314">
        <v>0</v>
      </c>
      <c r="W32" s="157"/>
      <c r="X32" s="313">
        <f>((G32)*K32)</f>
        <v>-1388.5738299999998</v>
      </c>
      <c r="Y32" s="309">
        <v>0</v>
      </c>
      <c r="Z32" s="314">
        <v>0</v>
      </c>
      <c r="AA32" s="309"/>
      <c r="AB32" s="313">
        <f t="shared" si="9"/>
        <v>-70.862819999999999</v>
      </c>
      <c r="AC32" s="309">
        <v>0</v>
      </c>
      <c r="AD32" s="314">
        <v>0</v>
      </c>
      <c r="AE32" s="157"/>
      <c r="AF32" s="313">
        <f t="shared" ref="AF32:AF33" si="41">((E32+F32+G32+H32)*K32)</f>
        <v>-1459.4366499999999</v>
      </c>
      <c r="AG32" s="309">
        <v>0</v>
      </c>
      <c r="AH32" s="314">
        <v>0</v>
      </c>
      <c r="AI32" s="309"/>
      <c r="AJ32" s="310"/>
      <c r="AK32" s="310"/>
      <c r="AL32" s="309"/>
    </row>
    <row r="33" spans="1:38" x14ac:dyDescent="0.2">
      <c r="A33" s="86">
        <f t="shared" si="5"/>
        <v>26</v>
      </c>
      <c r="B33" s="725"/>
      <c r="C33" s="726" t="s">
        <v>5</v>
      </c>
      <c r="D33" s="157"/>
      <c r="E33" s="157">
        <f>ROUND('Allocation = ¢ per Therm'!K32,5)</f>
        <v>0</v>
      </c>
      <c r="F33" s="157">
        <f>ROUND('Allocation = % of Margin'!O29,5)</f>
        <v>0</v>
      </c>
      <c r="G33" s="157">
        <f>ROUND('Allocation = % of Margin'!R29,5)</f>
        <v>-7.2500000000000004E-3</v>
      </c>
      <c r="H33" s="157">
        <f>ROUND('Allocation = % of Margin'!X29,5)</f>
        <v>-3.6999999999999999E-4</v>
      </c>
      <c r="I33" s="157"/>
      <c r="J33" s="564">
        <f>'WA Volumes &amp; Revenues'!F30</f>
        <v>260994</v>
      </c>
      <c r="K33" s="298">
        <f>'Rev Req Proof Yr1'!R33</f>
        <v>272866</v>
      </c>
      <c r="L33" s="299">
        <f>'Rev Req Proof Yr1'!S33</f>
        <v>0</v>
      </c>
      <c r="M33" s="300">
        <f>'Rev Req Proof Yr1'!T33</f>
        <v>0</v>
      </c>
      <c r="N33" s="301">
        <f>'Rev Req Proof Yr1'!U33</f>
        <v>0</v>
      </c>
      <c r="O33" s="157"/>
      <c r="P33" s="313">
        <f>((E33)*K33)</f>
        <v>0</v>
      </c>
      <c r="Q33" s="309">
        <v>0</v>
      </c>
      <c r="R33" s="314">
        <v>0</v>
      </c>
      <c r="S33" s="157"/>
      <c r="T33" s="313">
        <f t="shared" si="7"/>
        <v>0</v>
      </c>
      <c r="U33" s="309">
        <v>0</v>
      </c>
      <c r="V33" s="314">
        <v>0</v>
      </c>
      <c r="W33" s="157"/>
      <c r="X33" s="313">
        <f>((G33)*K33)</f>
        <v>-1978.2785000000001</v>
      </c>
      <c r="Y33" s="309">
        <v>0</v>
      </c>
      <c r="Z33" s="314">
        <v>0</v>
      </c>
      <c r="AA33" s="309"/>
      <c r="AB33" s="313">
        <f t="shared" si="9"/>
        <v>-100.96042</v>
      </c>
      <c r="AC33" s="309">
        <v>0</v>
      </c>
      <c r="AD33" s="314">
        <v>0</v>
      </c>
      <c r="AE33" s="157"/>
      <c r="AF33" s="313">
        <f t="shared" si="41"/>
        <v>-2079.2389200000002</v>
      </c>
      <c r="AG33" s="309">
        <v>0</v>
      </c>
      <c r="AH33" s="314">
        <v>0</v>
      </c>
      <c r="AI33" s="309"/>
      <c r="AJ33" s="310"/>
      <c r="AK33" s="310"/>
      <c r="AL33" s="309"/>
    </row>
    <row r="34" spans="1:38" x14ac:dyDescent="0.2">
      <c r="A34" s="86">
        <f t="shared" si="5"/>
        <v>27</v>
      </c>
      <c r="B34" s="723"/>
      <c r="C34" s="742" t="s">
        <v>78</v>
      </c>
      <c r="D34" s="153"/>
      <c r="E34" s="153"/>
      <c r="F34" s="153"/>
      <c r="G34" s="810"/>
      <c r="H34" s="810"/>
      <c r="I34" s="153"/>
      <c r="J34" s="564"/>
      <c r="K34" s="298"/>
      <c r="L34" s="299"/>
      <c r="M34" s="300"/>
      <c r="N34" s="301"/>
      <c r="O34" s="157"/>
      <c r="P34" s="315">
        <f>SUM(P32:P33)</f>
        <v>0</v>
      </c>
      <c r="Q34" s="316">
        <f t="shared" ref="Q34:R34" si="42">SUM(Q32:Q33)</f>
        <v>0</v>
      </c>
      <c r="R34" s="317">
        <f t="shared" si="42"/>
        <v>0</v>
      </c>
      <c r="S34" s="157"/>
      <c r="T34" s="315">
        <f>SUM(T32:T33)</f>
        <v>0</v>
      </c>
      <c r="U34" s="316">
        <f t="shared" ref="U34:V34" si="43">SUM(U32:U33)</f>
        <v>0</v>
      </c>
      <c r="V34" s="317">
        <f t="shared" si="43"/>
        <v>0</v>
      </c>
      <c r="W34" s="157"/>
      <c r="X34" s="315">
        <f>SUM(X32:X33)</f>
        <v>-3366.8523299999997</v>
      </c>
      <c r="Y34" s="316">
        <f t="shared" ref="Y34:Z34" si="44">SUM(Y32:Y33)</f>
        <v>0</v>
      </c>
      <c r="Z34" s="317">
        <f t="shared" si="44"/>
        <v>0</v>
      </c>
      <c r="AA34" s="328"/>
      <c r="AB34" s="315">
        <f>SUM(AB32:AB33)</f>
        <v>-171.82324</v>
      </c>
      <c r="AC34" s="316">
        <f t="shared" ref="AC34:AD34" si="45">SUM(AC32:AC33)</f>
        <v>0</v>
      </c>
      <c r="AD34" s="317">
        <f t="shared" si="45"/>
        <v>0</v>
      </c>
      <c r="AE34" s="157"/>
      <c r="AF34" s="315">
        <f>SUM(AF32:AF33)</f>
        <v>-3538.6755700000003</v>
      </c>
      <c r="AG34" s="316">
        <f t="shared" ref="AG34:AH34" si="46">SUM(AG32:AG33)</f>
        <v>0</v>
      </c>
      <c r="AH34" s="317">
        <f t="shared" si="46"/>
        <v>0</v>
      </c>
      <c r="AI34" s="309"/>
      <c r="AJ34" s="310"/>
      <c r="AK34" s="310"/>
      <c r="AL34" s="309"/>
    </row>
    <row r="35" spans="1:38" x14ac:dyDescent="0.2">
      <c r="A35" s="86">
        <f t="shared" si="5"/>
        <v>28</v>
      </c>
      <c r="B35" s="725" t="str">
        <f>'Rev Req Proof Yr1'!B35</f>
        <v>41I Firm Transpt</v>
      </c>
      <c r="C35" s="726" t="s">
        <v>4</v>
      </c>
      <c r="D35" s="157"/>
      <c r="E35" s="157">
        <f>ROUND('Allocation = ¢ per Therm'!K33,5)</f>
        <v>0</v>
      </c>
      <c r="F35" s="157">
        <f>ROUND('Allocation = % of Margin'!O30,5)</f>
        <v>0</v>
      </c>
      <c r="G35" s="157">
        <f>ROUND('Allocation = % of Margin'!R30,5)</f>
        <v>-6.1700000000000001E-3</v>
      </c>
      <c r="H35" s="157">
        <f>ROUND('Allocation = % of Margin'!X30,5)</f>
        <v>-3.1E-4</v>
      </c>
      <c r="I35" s="157"/>
      <c r="J35" s="564">
        <f>'WA Volumes &amp; Revenues'!F31</f>
        <v>0</v>
      </c>
      <c r="K35" s="298">
        <f>'Rev Req Proof Yr1'!R35</f>
        <v>0</v>
      </c>
      <c r="L35" s="299">
        <f>'Rev Req Proof Yr1'!S35</f>
        <v>0</v>
      </c>
      <c r="M35" s="300">
        <f>'Rev Req Proof Yr1'!T35</f>
        <v>0</v>
      </c>
      <c r="N35" s="301">
        <f>'Rev Req Proof Yr1'!U35</f>
        <v>0</v>
      </c>
      <c r="O35" s="157"/>
      <c r="P35" s="313">
        <f>((E35)*K35)</f>
        <v>0</v>
      </c>
      <c r="Q35" s="309">
        <v>0</v>
      </c>
      <c r="R35" s="314">
        <v>0</v>
      </c>
      <c r="S35" s="157"/>
      <c r="T35" s="313">
        <f t="shared" si="7"/>
        <v>0</v>
      </c>
      <c r="U35" s="309">
        <v>0</v>
      </c>
      <c r="V35" s="314">
        <v>0</v>
      </c>
      <c r="W35" s="157"/>
      <c r="X35" s="313">
        <f>((G35)*K35)</f>
        <v>0</v>
      </c>
      <c r="Y35" s="309">
        <v>0</v>
      </c>
      <c r="Z35" s="314">
        <v>0</v>
      </c>
      <c r="AA35" s="309"/>
      <c r="AB35" s="313">
        <f t="shared" si="9"/>
        <v>0</v>
      </c>
      <c r="AC35" s="309">
        <v>0</v>
      </c>
      <c r="AD35" s="314">
        <v>0</v>
      </c>
      <c r="AE35" s="157"/>
      <c r="AF35" s="313">
        <f t="shared" ref="AF35:AF36" si="47">((E35+F35+G35+H35)*K35)</f>
        <v>0</v>
      </c>
      <c r="AG35" s="309">
        <v>0</v>
      </c>
      <c r="AH35" s="314">
        <v>0</v>
      </c>
      <c r="AI35" s="309"/>
      <c r="AJ35" s="310"/>
      <c r="AK35" s="310"/>
      <c r="AL35" s="309"/>
    </row>
    <row r="36" spans="1:38" x14ac:dyDescent="0.2">
      <c r="A36" s="86">
        <f t="shared" si="5"/>
        <v>29</v>
      </c>
      <c r="B36" s="725"/>
      <c r="C36" s="726" t="s">
        <v>5</v>
      </c>
      <c r="D36" s="157"/>
      <c r="E36" s="157">
        <f>ROUND('Allocation = ¢ per Therm'!K34,5)</f>
        <v>0</v>
      </c>
      <c r="F36" s="157">
        <f>ROUND('Allocation = % of Margin'!O31,5)</f>
        <v>0</v>
      </c>
      <c r="G36" s="157">
        <f>ROUND('Allocation = % of Margin'!R31,5)</f>
        <v>-5.4400000000000004E-3</v>
      </c>
      <c r="H36" s="157">
        <f>ROUND('Allocation = % of Margin'!X31,5)</f>
        <v>-2.7999999999999998E-4</v>
      </c>
      <c r="I36" s="157"/>
      <c r="J36" s="564">
        <f>'WA Volumes &amp; Revenues'!F32</f>
        <v>0</v>
      </c>
      <c r="K36" s="298">
        <f>'Rev Req Proof Yr1'!R36</f>
        <v>0</v>
      </c>
      <c r="L36" s="299">
        <f>'Rev Req Proof Yr1'!S36</f>
        <v>0</v>
      </c>
      <c r="M36" s="300">
        <f>'Rev Req Proof Yr1'!T36</f>
        <v>0</v>
      </c>
      <c r="N36" s="301">
        <f>'Rev Req Proof Yr1'!U36</f>
        <v>0</v>
      </c>
      <c r="O36" s="157"/>
      <c r="P36" s="313">
        <f>((E36)*K36)</f>
        <v>0</v>
      </c>
      <c r="Q36" s="309">
        <v>0</v>
      </c>
      <c r="R36" s="314">
        <v>0</v>
      </c>
      <c r="S36" s="157"/>
      <c r="T36" s="313">
        <f t="shared" si="7"/>
        <v>0</v>
      </c>
      <c r="U36" s="309">
        <v>0</v>
      </c>
      <c r="V36" s="314">
        <v>0</v>
      </c>
      <c r="W36" s="157"/>
      <c r="X36" s="313">
        <f>((G36)*K36)</f>
        <v>0</v>
      </c>
      <c r="Y36" s="309">
        <v>0</v>
      </c>
      <c r="Z36" s="314">
        <v>0</v>
      </c>
      <c r="AA36" s="309"/>
      <c r="AB36" s="313">
        <f t="shared" si="9"/>
        <v>0</v>
      </c>
      <c r="AC36" s="309">
        <v>0</v>
      </c>
      <c r="AD36" s="314">
        <v>0</v>
      </c>
      <c r="AE36" s="157"/>
      <c r="AF36" s="313">
        <f t="shared" si="47"/>
        <v>0</v>
      </c>
      <c r="AG36" s="309">
        <v>0</v>
      </c>
      <c r="AH36" s="314">
        <v>0</v>
      </c>
      <c r="AI36" s="309"/>
      <c r="AJ36" s="310"/>
      <c r="AK36" s="310"/>
      <c r="AL36" s="309"/>
    </row>
    <row r="37" spans="1:38" x14ac:dyDescent="0.2">
      <c r="A37" s="86">
        <f t="shared" si="5"/>
        <v>30</v>
      </c>
      <c r="B37" s="723"/>
      <c r="C37" s="742" t="s">
        <v>78</v>
      </c>
      <c r="D37" s="153"/>
      <c r="E37" s="153"/>
      <c r="F37" s="153"/>
      <c r="G37" s="810"/>
      <c r="H37" s="810"/>
      <c r="I37" s="153"/>
      <c r="J37" s="564"/>
      <c r="K37" s="298"/>
      <c r="L37" s="299"/>
      <c r="M37" s="300"/>
      <c r="N37" s="301"/>
      <c r="O37" s="157"/>
      <c r="P37" s="315">
        <f>SUM(P35:P36)</f>
        <v>0</v>
      </c>
      <c r="Q37" s="316">
        <f t="shared" ref="Q37:R37" si="48">SUM(Q35:Q36)</f>
        <v>0</v>
      </c>
      <c r="R37" s="317">
        <f t="shared" si="48"/>
        <v>0</v>
      </c>
      <c r="S37" s="157"/>
      <c r="T37" s="315">
        <f>SUM(T35:T36)</f>
        <v>0</v>
      </c>
      <c r="U37" s="316">
        <f t="shared" ref="U37:V37" si="49">SUM(U35:U36)</f>
        <v>0</v>
      </c>
      <c r="V37" s="317">
        <f t="shared" si="49"/>
        <v>0</v>
      </c>
      <c r="W37" s="157"/>
      <c r="X37" s="315">
        <f>SUM(X35:X36)</f>
        <v>0</v>
      </c>
      <c r="Y37" s="316">
        <f t="shared" ref="Y37:Z37" si="50">SUM(Y35:Y36)</f>
        <v>0</v>
      </c>
      <c r="Z37" s="317">
        <f t="shared" si="50"/>
        <v>0</v>
      </c>
      <c r="AA37" s="328"/>
      <c r="AB37" s="315">
        <f>SUM(AB35:AB36)</f>
        <v>0</v>
      </c>
      <c r="AC37" s="316">
        <f t="shared" ref="AC37:AD37" si="51">SUM(AC35:AC36)</f>
        <v>0</v>
      </c>
      <c r="AD37" s="317">
        <f t="shared" si="51"/>
        <v>0</v>
      </c>
      <c r="AE37" s="157"/>
      <c r="AF37" s="315">
        <f>SUM(AF35:AF36)</f>
        <v>0</v>
      </c>
      <c r="AG37" s="316">
        <f t="shared" ref="AG37" si="52">SUM(AG35:AG36)</f>
        <v>0</v>
      </c>
      <c r="AH37" s="317">
        <f t="shared" ref="AH37" si="53">SUM(AH35:AH36)</f>
        <v>0</v>
      </c>
      <c r="AI37" s="309"/>
      <c r="AJ37" s="310"/>
      <c r="AK37" s="310"/>
      <c r="AL37" s="309"/>
    </row>
    <row r="38" spans="1:38" x14ac:dyDescent="0.2">
      <c r="A38" s="86">
        <f t="shared" si="5"/>
        <v>31</v>
      </c>
      <c r="B38" s="725" t="str">
        <f>'Rev Req Proof Yr1'!B38</f>
        <v>42C Firm Sales</v>
      </c>
      <c r="C38" s="726" t="s">
        <v>4</v>
      </c>
      <c r="D38" s="157"/>
      <c r="E38" s="157">
        <f>ROUND('Allocation = ¢ per Therm'!K35,5)</f>
        <v>0</v>
      </c>
      <c r="F38" s="157">
        <f>ROUND('Allocation = % of Margin'!O32,5)</f>
        <v>-1.06E-2</v>
      </c>
      <c r="G38" s="157">
        <f>ROUND('Allocation = % of Margin'!R32,5)</f>
        <v>-5.8599999999999998E-3</v>
      </c>
      <c r="H38" s="157">
        <f>ROUND('Allocation = % of Margin'!X32,5)</f>
        <v>-2.9999999999999997E-4</v>
      </c>
      <c r="I38" s="157"/>
      <c r="J38" s="564">
        <f>'WA Volumes &amp; Revenues'!F33</f>
        <v>542975.5</v>
      </c>
      <c r="K38" s="298">
        <f>'Rev Req Proof Yr1'!R38</f>
        <v>350769.66174469434</v>
      </c>
      <c r="L38" s="299">
        <f>'Rev Req Proof Yr1'!S38</f>
        <v>6761</v>
      </c>
      <c r="M38" s="300">
        <f>'Rev Req Proof Yr1'!T38</f>
        <v>5</v>
      </c>
      <c r="N38" s="301">
        <f>'Rev Req Proof Yr1'!U38</f>
        <v>11949</v>
      </c>
      <c r="O38" s="157"/>
      <c r="P38" s="313">
        <f t="shared" ref="P38:P43" si="54">((E38)*K38)</f>
        <v>0</v>
      </c>
      <c r="Q38" s="309">
        <v>0</v>
      </c>
      <c r="R38" s="314">
        <v>0</v>
      </c>
      <c r="S38" s="157"/>
      <c r="T38" s="313">
        <f>((F38)*K38)</f>
        <v>-3718.1584144937601</v>
      </c>
      <c r="U38" s="309">
        <v>0</v>
      </c>
      <c r="V38" s="314">
        <v>0</v>
      </c>
      <c r="W38" s="157"/>
      <c r="X38" s="313">
        <f t="shared" ref="X38:X43" si="55">((G38)*K38)</f>
        <v>-2055.5102178239085</v>
      </c>
      <c r="Y38" s="309">
        <v>0</v>
      </c>
      <c r="Z38" s="314">
        <v>0</v>
      </c>
      <c r="AA38" s="309"/>
      <c r="AB38" s="313">
        <f t="shared" si="9"/>
        <v>-105.2308985234083</v>
      </c>
      <c r="AC38" s="309">
        <v>0</v>
      </c>
      <c r="AD38" s="314">
        <v>0</v>
      </c>
      <c r="AE38" s="157"/>
      <c r="AF38" s="313">
        <f t="shared" ref="AF38:AF43" si="56">((E38+F38+G38+H38)*K38)</f>
        <v>-5878.8995308410776</v>
      </c>
      <c r="AG38" s="309">
        <v>0</v>
      </c>
      <c r="AH38" s="314">
        <v>0</v>
      </c>
      <c r="AI38" s="309"/>
      <c r="AJ38" s="310"/>
      <c r="AK38" s="310"/>
      <c r="AL38" s="309"/>
    </row>
    <row r="39" spans="1:38" x14ac:dyDescent="0.2">
      <c r="A39" s="86">
        <f t="shared" si="5"/>
        <v>32</v>
      </c>
      <c r="B39" s="725"/>
      <c r="C39" s="726" t="s">
        <v>5</v>
      </c>
      <c r="D39" s="157"/>
      <c r="E39" s="157">
        <f>ROUND('Allocation = ¢ per Therm'!K36,5)</f>
        <v>0</v>
      </c>
      <c r="F39" s="157">
        <f>ROUND('Allocation = % of Margin'!O33,5)</f>
        <v>-9.4900000000000002E-3</v>
      </c>
      <c r="G39" s="157">
        <f>ROUND('Allocation = % of Margin'!R33,5)</f>
        <v>-5.2500000000000003E-3</v>
      </c>
      <c r="H39" s="157">
        <f>ROUND('Allocation = % of Margin'!X33,5)</f>
        <v>-2.7E-4</v>
      </c>
      <c r="I39" s="157"/>
      <c r="J39" s="564">
        <f>'WA Volumes &amp; Revenues'!F34</f>
        <v>474167</v>
      </c>
      <c r="K39" s="298">
        <f>'Rev Req Proof Yr1'!R39</f>
        <v>303088.75426472601</v>
      </c>
      <c r="L39" s="299">
        <f>'Rev Req Proof Yr1'!S39</f>
        <v>0</v>
      </c>
      <c r="M39" s="300">
        <f>'Rev Req Proof Yr1'!T39</f>
        <v>0</v>
      </c>
      <c r="N39" s="301">
        <f>'Rev Req Proof Yr1'!U39</f>
        <v>0</v>
      </c>
      <c r="O39" s="157"/>
      <c r="P39" s="313">
        <f t="shared" si="54"/>
        <v>0</v>
      </c>
      <c r="Q39" s="309">
        <v>0</v>
      </c>
      <c r="R39" s="314">
        <v>0</v>
      </c>
      <c r="S39" s="157"/>
      <c r="T39" s="313">
        <f t="shared" ref="T39:T43" si="57">((F39)*K39)</f>
        <v>-2876.3122779722498</v>
      </c>
      <c r="U39" s="309">
        <v>0</v>
      </c>
      <c r="V39" s="314">
        <v>0</v>
      </c>
      <c r="W39" s="157"/>
      <c r="X39" s="313">
        <f t="shared" si="55"/>
        <v>-1591.2159598898118</v>
      </c>
      <c r="Y39" s="309">
        <v>0</v>
      </c>
      <c r="Z39" s="314">
        <v>0</v>
      </c>
      <c r="AA39" s="309"/>
      <c r="AB39" s="313">
        <f t="shared" si="9"/>
        <v>-81.833963651476026</v>
      </c>
      <c r="AC39" s="309">
        <v>0</v>
      </c>
      <c r="AD39" s="314">
        <v>0</v>
      </c>
      <c r="AE39" s="157"/>
      <c r="AF39" s="313">
        <f t="shared" si="56"/>
        <v>-4549.362201513537</v>
      </c>
      <c r="AG39" s="309">
        <v>0</v>
      </c>
      <c r="AH39" s="314">
        <v>0</v>
      </c>
      <c r="AI39" s="309"/>
      <c r="AJ39" s="310"/>
      <c r="AK39" s="310"/>
      <c r="AL39" s="309"/>
    </row>
    <row r="40" spans="1:38" x14ac:dyDescent="0.2">
      <c r="A40" s="86">
        <f t="shared" si="5"/>
        <v>33</v>
      </c>
      <c r="B40" s="725"/>
      <c r="C40" s="726" t="s">
        <v>6</v>
      </c>
      <c r="D40" s="157"/>
      <c r="E40" s="157">
        <f>ROUND('Allocation = ¢ per Therm'!K37,5)</f>
        <v>0</v>
      </c>
      <c r="F40" s="157">
        <f>ROUND('Allocation = % of Margin'!O34,5)</f>
        <v>-7.28E-3</v>
      </c>
      <c r="G40" s="157">
        <f>ROUND('Allocation = % of Margin'!R34,5)</f>
        <v>-4.0200000000000001E-3</v>
      </c>
      <c r="H40" s="157">
        <f>ROUND('Allocation = % of Margin'!X34,5)</f>
        <v>-2.0000000000000001E-4</v>
      </c>
      <c r="I40" s="157"/>
      <c r="J40" s="564">
        <f>'WA Volumes &amp; Revenues'!F35</f>
        <v>97890.5</v>
      </c>
      <c r="K40" s="298">
        <f>'Rev Req Proof Yr1'!R40</f>
        <v>59441.942130257296</v>
      </c>
      <c r="L40" s="299">
        <f>'Rev Req Proof Yr1'!S40</f>
        <v>0</v>
      </c>
      <c r="M40" s="300">
        <f>'Rev Req Proof Yr1'!T40</f>
        <v>0</v>
      </c>
      <c r="N40" s="301">
        <f>'Rev Req Proof Yr1'!U40</f>
        <v>0</v>
      </c>
      <c r="O40" s="157"/>
      <c r="P40" s="313">
        <f t="shared" si="54"/>
        <v>0</v>
      </c>
      <c r="Q40" s="309">
        <v>0</v>
      </c>
      <c r="R40" s="314">
        <v>0</v>
      </c>
      <c r="S40" s="157"/>
      <c r="T40" s="313">
        <f t="shared" si="57"/>
        <v>-432.73733870827311</v>
      </c>
      <c r="U40" s="309">
        <v>0</v>
      </c>
      <c r="V40" s="314">
        <v>0</v>
      </c>
      <c r="W40" s="157"/>
      <c r="X40" s="313">
        <f t="shared" si="55"/>
        <v>-238.95660736363433</v>
      </c>
      <c r="Y40" s="309">
        <v>0</v>
      </c>
      <c r="Z40" s="314">
        <v>0</v>
      </c>
      <c r="AA40" s="309"/>
      <c r="AB40" s="313">
        <f t="shared" si="9"/>
        <v>-11.88838842605146</v>
      </c>
      <c r="AC40" s="309">
        <v>0</v>
      </c>
      <c r="AD40" s="314">
        <v>0</v>
      </c>
      <c r="AE40" s="157"/>
      <c r="AF40" s="313">
        <f t="shared" si="56"/>
        <v>-683.58233449795898</v>
      </c>
      <c r="AG40" s="309">
        <v>0</v>
      </c>
      <c r="AH40" s="314">
        <v>0</v>
      </c>
      <c r="AI40" s="309"/>
      <c r="AJ40" s="310"/>
      <c r="AK40" s="310"/>
      <c r="AL40" s="309"/>
    </row>
    <row r="41" spans="1:38" x14ac:dyDescent="0.2">
      <c r="A41" s="86">
        <f t="shared" si="5"/>
        <v>34</v>
      </c>
      <c r="B41" s="725"/>
      <c r="C41" s="726" t="s">
        <v>7</v>
      </c>
      <c r="D41" s="157"/>
      <c r="E41" s="157">
        <f>ROUND('Allocation = ¢ per Therm'!K38,5)</f>
        <v>0</v>
      </c>
      <c r="F41" s="157">
        <f>ROUND('Allocation = % of Margin'!O35,5)</f>
        <v>-5.8199999999999997E-3</v>
      </c>
      <c r="G41" s="157">
        <f>ROUND('Allocation = % of Margin'!R35,5)</f>
        <v>-3.2200000000000002E-3</v>
      </c>
      <c r="H41" s="157">
        <f>ROUND('Allocation = % of Margin'!X35,5)</f>
        <v>-1.6000000000000001E-4</v>
      </c>
      <c r="I41" s="157"/>
      <c r="J41" s="564">
        <f>'WA Volumes &amp; Revenues'!F36</f>
        <v>6094</v>
      </c>
      <c r="K41" s="298">
        <f>'Rev Req Proof Yr1'!R41</f>
        <v>3614.6071898605187</v>
      </c>
      <c r="L41" s="299">
        <f>'Rev Req Proof Yr1'!S41</f>
        <v>0</v>
      </c>
      <c r="M41" s="300">
        <f>'Rev Req Proof Yr1'!T41</f>
        <v>0</v>
      </c>
      <c r="N41" s="301">
        <f>'Rev Req Proof Yr1'!U41</f>
        <v>0</v>
      </c>
      <c r="O41" s="157"/>
      <c r="P41" s="313">
        <f t="shared" si="54"/>
        <v>0</v>
      </c>
      <c r="Q41" s="309">
        <v>0</v>
      </c>
      <c r="R41" s="314">
        <v>0</v>
      </c>
      <c r="S41" s="157"/>
      <c r="T41" s="313">
        <f t="shared" si="57"/>
        <v>-21.037013844988216</v>
      </c>
      <c r="U41" s="309">
        <v>0</v>
      </c>
      <c r="V41" s="314">
        <v>0</v>
      </c>
      <c r="W41" s="157"/>
      <c r="X41" s="313">
        <f t="shared" si="55"/>
        <v>-11.639035151350871</v>
      </c>
      <c r="Y41" s="309">
        <v>0</v>
      </c>
      <c r="Z41" s="314">
        <v>0</v>
      </c>
      <c r="AA41" s="309"/>
      <c r="AB41" s="313">
        <f t="shared" si="9"/>
        <v>-0.57833715037768307</v>
      </c>
      <c r="AC41" s="309">
        <v>0</v>
      </c>
      <c r="AD41" s="314">
        <v>0</v>
      </c>
      <c r="AE41" s="157"/>
      <c r="AF41" s="313">
        <f t="shared" si="56"/>
        <v>-33.254386146716769</v>
      </c>
      <c r="AG41" s="309">
        <v>0</v>
      </c>
      <c r="AH41" s="314">
        <v>0</v>
      </c>
      <c r="AI41" s="309"/>
      <c r="AJ41" s="310"/>
      <c r="AK41" s="310"/>
      <c r="AL41" s="309"/>
    </row>
    <row r="42" spans="1:38" x14ac:dyDescent="0.2">
      <c r="A42" s="86">
        <f t="shared" si="5"/>
        <v>35</v>
      </c>
      <c r="B42" s="725"/>
      <c r="C42" s="726" t="s">
        <v>8</v>
      </c>
      <c r="D42" s="157"/>
      <c r="E42" s="157">
        <f>ROUND('Allocation = ¢ per Therm'!K39,5)</f>
        <v>0</v>
      </c>
      <c r="F42" s="157">
        <f>ROUND('Allocation = % of Margin'!O36,5)</f>
        <v>-3.8800000000000002E-3</v>
      </c>
      <c r="G42" s="157">
        <f>ROUND('Allocation = % of Margin'!R36,5)</f>
        <v>-2.15E-3</v>
      </c>
      <c r="H42" s="157">
        <f>ROUND('Allocation = % of Margin'!X36,5)</f>
        <v>-1.1E-4</v>
      </c>
      <c r="I42" s="157"/>
      <c r="J42" s="564">
        <f>'WA Volumes &amp; Revenues'!F37</f>
        <v>0</v>
      </c>
      <c r="K42" s="298">
        <f>'Rev Req Proof Yr1'!R42</f>
        <v>0</v>
      </c>
      <c r="L42" s="299">
        <f>'Rev Req Proof Yr1'!S42</f>
        <v>0</v>
      </c>
      <c r="M42" s="300">
        <f>'Rev Req Proof Yr1'!T42</f>
        <v>0</v>
      </c>
      <c r="N42" s="301">
        <f>'Rev Req Proof Yr1'!U42</f>
        <v>0</v>
      </c>
      <c r="O42" s="157"/>
      <c r="P42" s="313">
        <f t="shared" si="54"/>
        <v>0</v>
      </c>
      <c r="Q42" s="309">
        <v>0</v>
      </c>
      <c r="R42" s="314">
        <v>0</v>
      </c>
      <c r="S42" s="157"/>
      <c r="T42" s="313">
        <f t="shared" si="57"/>
        <v>0</v>
      </c>
      <c r="U42" s="309">
        <v>0</v>
      </c>
      <c r="V42" s="314">
        <v>0</v>
      </c>
      <c r="W42" s="157"/>
      <c r="X42" s="313">
        <f t="shared" si="55"/>
        <v>0</v>
      </c>
      <c r="Y42" s="309">
        <v>0</v>
      </c>
      <c r="Z42" s="314">
        <v>0</v>
      </c>
      <c r="AA42" s="309"/>
      <c r="AB42" s="313">
        <f t="shared" si="9"/>
        <v>0</v>
      </c>
      <c r="AC42" s="309">
        <v>0</v>
      </c>
      <c r="AD42" s="314">
        <v>0</v>
      </c>
      <c r="AE42" s="157"/>
      <c r="AF42" s="313">
        <f t="shared" si="56"/>
        <v>0</v>
      </c>
      <c r="AG42" s="309">
        <v>0</v>
      </c>
      <c r="AH42" s="314">
        <v>0</v>
      </c>
      <c r="AI42" s="309"/>
      <c r="AJ42" s="310"/>
      <c r="AK42" s="310"/>
      <c r="AL42" s="309"/>
    </row>
    <row r="43" spans="1:38" x14ac:dyDescent="0.2">
      <c r="A43" s="86">
        <f t="shared" si="5"/>
        <v>36</v>
      </c>
      <c r="B43" s="725"/>
      <c r="C43" s="726" t="s">
        <v>9</v>
      </c>
      <c r="D43" s="157"/>
      <c r="E43" s="157">
        <f>ROUND('Allocation = ¢ per Therm'!K40,5)</f>
        <v>0</v>
      </c>
      <c r="F43" s="157">
        <f>ROUND('Allocation = % of Margin'!O37,5)</f>
        <v>-1.4499999999999999E-3</v>
      </c>
      <c r="G43" s="157">
        <f>ROUND('Allocation = % of Margin'!R37,5)</f>
        <v>-8.0000000000000004E-4</v>
      </c>
      <c r="H43" s="157">
        <f>ROUND('Allocation = % of Margin'!X37,5)</f>
        <v>-4.0000000000000003E-5</v>
      </c>
      <c r="I43" s="157"/>
      <c r="J43" s="564">
        <f>'WA Volumes &amp; Revenues'!F38</f>
        <v>0</v>
      </c>
      <c r="K43" s="298">
        <f>'Rev Req Proof Yr1'!R43</f>
        <v>0</v>
      </c>
      <c r="L43" s="299">
        <f>'Rev Req Proof Yr1'!S43</f>
        <v>0</v>
      </c>
      <c r="M43" s="300">
        <f>'Rev Req Proof Yr1'!T43</f>
        <v>0</v>
      </c>
      <c r="N43" s="301">
        <f>'Rev Req Proof Yr1'!U43</f>
        <v>0</v>
      </c>
      <c r="O43" s="157"/>
      <c r="P43" s="313">
        <f t="shared" si="54"/>
        <v>0</v>
      </c>
      <c r="Q43" s="309">
        <v>0</v>
      </c>
      <c r="R43" s="314">
        <v>0</v>
      </c>
      <c r="S43" s="157"/>
      <c r="T43" s="313">
        <f t="shared" si="57"/>
        <v>0</v>
      </c>
      <c r="U43" s="309">
        <v>0</v>
      </c>
      <c r="V43" s="314">
        <v>0</v>
      </c>
      <c r="W43" s="157"/>
      <c r="X43" s="313">
        <f t="shared" si="55"/>
        <v>0</v>
      </c>
      <c r="Y43" s="309">
        <v>0</v>
      </c>
      <c r="Z43" s="314">
        <v>0</v>
      </c>
      <c r="AA43" s="309"/>
      <c r="AB43" s="313">
        <f t="shared" si="9"/>
        <v>0</v>
      </c>
      <c r="AC43" s="309">
        <v>0</v>
      </c>
      <c r="AD43" s="314">
        <v>0</v>
      </c>
      <c r="AE43" s="157"/>
      <c r="AF43" s="313">
        <f t="shared" si="56"/>
        <v>0</v>
      </c>
      <c r="AG43" s="309">
        <v>0</v>
      </c>
      <c r="AH43" s="314">
        <v>0</v>
      </c>
      <c r="AI43" s="309"/>
      <c r="AJ43" s="310"/>
      <c r="AK43" s="310"/>
      <c r="AL43" s="309"/>
    </row>
    <row r="44" spans="1:38" x14ac:dyDescent="0.2">
      <c r="A44" s="86">
        <f t="shared" si="5"/>
        <v>37</v>
      </c>
      <c r="B44" s="723"/>
      <c r="C44" s="742" t="s">
        <v>78</v>
      </c>
      <c r="D44" s="153"/>
      <c r="E44" s="153"/>
      <c r="F44" s="153"/>
      <c r="G44" s="810"/>
      <c r="H44" s="810"/>
      <c r="I44" s="153"/>
      <c r="J44" s="564"/>
      <c r="K44" s="298"/>
      <c r="L44" s="299"/>
      <c r="M44" s="300"/>
      <c r="N44" s="301"/>
      <c r="O44" s="157"/>
      <c r="P44" s="315">
        <f>SUM(P38:P43)</f>
        <v>0</v>
      </c>
      <c r="Q44" s="316">
        <f>SUM(Q38:Q43)</f>
        <v>0</v>
      </c>
      <c r="R44" s="317">
        <f>SUM(R38:R43)</f>
        <v>0</v>
      </c>
      <c r="S44" s="157"/>
      <c r="T44" s="315">
        <f>SUM(T38:T43)</f>
        <v>-7048.2450450192709</v>
      </c>
      <c r="U44" s="316">
        <f>SUM(U38:U43)</f>
        <v>0</v>
      </c>
      <c r="V44" s="317">
        <f>SUM(V38:V43)</f>
        <v>0</v>
      </c>
      <c r="W44" s="157"/>
      <c r="X44" s="315">
        <f>SUM(X38:X43)</f>
        <v>-3897.3218202287053</v>
      </c>
      <c r="Y44" s="316">
        <f>SUM(Y38:Y43)</f>
        <v>0</v>
      </c>
      <c r="Z44" s="317">
        <f>SUM(Z38:Z43)</f>
        <v>0</v>
      </c>
      <c r="AA44" s="328"/>
      <c r="AB44" s="315">
        <f>SUM(AB38:AB43)</f>
        <v>-199.53158775131345</v>
      </c>
      <c r="AC44" s="316">
        <f>SUM(AC38:AC43)</f>
        <v>0</v>
      </c>
      <c r="AD44" s="317">
        <f>SUM(AD38:AD43)</f>
        <v>0</v>
      </c>
      <c r="AE44" s="157"/>
      <c r="AF44" s="315">
        <f>SUM(AF38:AF43)</f>
        <v>-11145.098452999289</v>
      </c>
      <c r="AG44" s="316">
        <f>SUM(AG38:AG43)</f>
        <v>0</v>
      </c>
      <c r="AH44" s="317">
        <f>SUM(AH38:AH43)</f>
        <v>0</v>
      </c>
      <c r="AI44" s="309"/>
      <c r="AJ44" s="310"/>
      <c r="AK44" s="310"/>
      <c r="AL44" s="309"/>
    </row>
    <row r="45" spans="1:38" x14ac:dyDescent="0.2">
      <c r="A45" s="86">
        <f t="shared" si="5"/>
        <v>38</v>
      </c>
      <c r="B45" s="725" t="str">
        <f>'Rev Req Proof Yr1'!B45</f>
        <v>42I Firm Sales</v>
      </c>
      <c r="C45" s="726" t="s">
        <v>4</v>
      </c>
      <c r="D45" s="157"/>
      <c r="E45" s="157">
        <f>ROUND('Allocation = ¢ per Therm'!K41,5)</f>
        <v>0</v>
      </c>
      <c r="F45" s="157">
        <f>ROUND('Allocation = % of Margin'!O38,5)</f>
        <v>0</v>
      </c>
      <c r="G45" s="157">
        <f>ROUND('Allocation = % of Margin'!R38,5)</f>
        <v>-5.2100000000000002E-3</v>
      </c>
      <c r="H45" s="157">
        <f>ROUND('Allocation = % of Margin'!X38,5)</f>
        <v>-2.7E-4</v>
      </c>
      <c r="I45" s="157"/>
      <c r="J45" s="564">
        <f>'WA Volumes &amp; Revenues'!F39</f>
        <v>1086353</v>
      </c>
      <c r="K45" s="298">
        <f>'Rev Req Proof Yr1'!R45</f>
        <v>1093724.2000000002</v>
      </c>
      <c r="L45" s="299">
        <f>'Rev Req Proof Yr1'!S45</f>
        <v>9556</v>
      </c>
      <c r="M45" s="300">
        <f>'Rev Req Proof Yr1'!T45</f>
        <v>11.916666666666666</v>
      </c>
      <c r="N45" s="301">
        <f>'Rev Req Proof Yr1'!U45</f>
        <v>12869</v>
      </c>
      <c r="O45" s="157"/>
      <c r="P45" s="313">
        <f t="shared" ref="P45:P50" si="58">((E45)*K45)</f>
        <v>0</v>
      </c>
      <c r="Q45" s="309">
        <v>0</v>
      </c>
      <c r="R45" s="314">
        <v>0</v>
      </c>
      <c r="S45" s="157"/>
      <c r="T45" s="313">
        <f>((F45)*K45)</f>
        <v>0</v>
      </c>
      <c r="U45" s="309">
        <v>0</v>
      </c>
      <c r="V45" s="314">
        <v>0</v>
      </c>
      <c r="W45" s="157"/>
      <c r="X45" s="313">
        <f t="shared" ref="X45:X50" si="59">((G45)*K45)</f>
        <v>-5698.3030820000013</v>
      </c>
      <c r="Y45" s="309">
        <v>0</v>
      </c>
      <c r="Z45" s="314">
        <v>0</v>
      </c>
      <c r="AA45" s="309"/>
      <c r="AB45" s="313">
        <f t="shared" si="9"/>
        <v>-295.30553400000008</v>
      </c>
      <c r="AC45" s="309">
        <v>0</v>
      </c>
      <c r="AD45" s="314">
        <v>0</v>
      </c>
      <c r="AE45" s="157"/>
      <c r="AF45" s="313">
        <f t="shared" ref="AF45:AF50" si="60">((E45+F45+G45+H45)*K45)</f>
        <v>-5993.6086160000013</v>
      </c>
      <c r="AG45" s="309">
        <v>0</v>
      </c>
      <c r="AH45" s="314">
        <v>0</v>
      </c>
      <c r="AI45" s="309"/>
      <c r="AJ45" s="310"/>
      <c r="AK45" s="310"/>
      <c r="AL45" s="309"/>
    </row>
    <row r="46" spans="1:38" x14ac:dyDescent="0.2">
      <c r="A46" s="86">
        <f t="shared" si="5"/>
        <v>39</v>
      </c>
      <c r="B46" s="725"/>
      <c r="C46" s="726" t="s">
        <v>5</v>
      </c>
      <c r="D46" s="157"/>
      <c r="E46" s="157">
        <f>ROUND('Allocation = ¢ per Therm'!K42,5)</f>
        <v>0</v>
      </c>
      <c r="F46" s="157">
        <f>ROUND('Allocation = % of Margin'!O39,5)</f>
        <v>0</v>
      </c>
      <c r="G46" s="157">
        <f>ROUND('Allocation = % of Margin'!R39,5)</f>
        <v>-4.6699999999999997E-3</v>
      </c>
      <c r="H46" s="157">
        <f>ROUND('Allocation = % of Margin'!X39,5)</f>
        <v>-2.4000000000000001E-4</v>
      </c>
      <c r="I46" s="157"/>
      <c r="J46" s="564">
        <f>'WA Volumes &amp; Revenues'!F40</f>
        <v>638955</v>
      </c>
      <c r="K46" s="298">
        <f>'Rev Req Proof Yr1'!R46</f>
        <v>655939.80000000005</v>
      </c>
      <c r="L46" s="299">
        <f>'Rev Req Proof Yr1'!S46</f>
        <v>0</v>
      </c>
      <c r="M46" s="300">
        <f>'Rev Req Proof Yr1'!T46</f>
        <v>0</v>
      </c>
      <c r="N46" s="301">
        <f>'Rev Req Proof Yr1'!U46</f>
        <v>0</v>
      </c>
      <c r="O46" s="157"/>
      <c r="P46" s="313">
        <f t="shared" si="58"/>
        <v>0</v>
      </c>
      <c r="Q46" s="309">
        <v>0</v>
      </c>
      <c r="R46" s="314">
        <v>0</v>
      </c>
      <c r="S46" s="157"/>
      <c r="T46" s="313">
        <f t="shared" ref="T46:T50" si="61">((F46)*K46)</f>
        <v>0</v>
      </c>
      <c r="U46" s="309">
        <v>0</v>
      </c>
      <c r="V46" s="314">
        <v>0</v>
      </c>
      <c r="W46" s="157"/>
      <c r="X46" s="313">
        <f t="shared" si="59"/>
        <v>-3063.2388660000001</v>
      </c>
      <c r="Y46" s="309">
        <v>0</v>
      </c>
      <c r="Z46" s="314">
        <v>0</v>
      </c>
      <c r="AA46" s="309"/>
      <c r="AB46" s="313">
        <f t="shared" si="9"/>
        <v>-157.42555200000001</v>
      </c>
      <c r="AC46" s="309">
        <v>0</v>
      </c>
      <c r="AD46" s="314">
        <v>0</v>
      </c>
      <c r="AE46" s="157"/>
      <c r="AF46" s="313">
        <f t="shared" si="60"/>
        <v>-3220.6644179999998</v>
      </c>
      <c r="AG46" s="309">
        <v>0</v>
      </c>
      <c r="AH46" s="314">
        <v>0</v>
      </c>
      <c r="AI46" s="309"/>
      <c r="AJ46" s="310"/>
      <c r="AK46" s="310"/>
      <c r="AL46" s="309"/>
    </row>
    <row r="47" spans="1:38" x14ac:dyDescent="0.2">
      <c r="A47" s="86">
        <f t="shared" si="5"/>
        <v>40</v>
      </c>
      <c r="B47" s="725"/>
      <c r="C47" s="726" t="s">
        <v>6</v>
      </c>
      <c r="D47" s="157"/>
      <c r="E47" s="157">
        <f>ROUND('Allocation = ¢ per Therm'!K43,5)</f>
        <v>0</v>
      </c>
      <c r="F47" s="157">
        <f>ROUND('Allocation = % of Margin'!O40,5)</f>
        <v>0</v>
      </c>
      <c r="G47" s="157">
        <f>ROUND('Allocation = % of Margin'!R40,5)</f>
        <v>-3.5799999999999998E-3</v>
      </c>
      <c r="H47" s="157">
        <f>ROUND('Allocation = % of Margin'!X40,5)</f>
        <v>-1.8000000000000001E-4</v>
      </c>
      <c r="I47" s="157"/>
      <c r="J47" s="564">
        <f>'WA Volumes &amp; Revenues'!F41</f>
        <v>68923</v>
      </c>
      <c r="K47" s="298">
        <f>'Rev Req Proof Yr1'!R47</f>
        <v>81241.3</v>
      </c>
      <c r="L47" s="299">
        <f>'Rev Req Proof Yr1'!S47</f>
        <v>0</v>
      </c>
      <c r="M47" s="300">
        <f>'Rev Req Proof Yr1'!T47</f>
        <v>0</v>
      </c>
      <c r="N47" s="301">
        <f>'Rev Req Proof Yr1'!U47</f>
        <v>0</v>
      </c>
      <c r="O47" s="157"/>
      <c r="P47" s="313">
        <f t="shared" si="58"/>
        <v>0</v>
      </c>
      <c r="Q47" s="309">
        <v>0</v>
      </c>
      <c r="R47" s="314">
        <v>0</v>
      </c>
      <c r="S47" s="157"/>
      <c r="T47" s="313">
        <f t="shared" si="61"/>
        <v>0</v>
      </c>
      <c r="U47" s="309">
        <v>0</v>
      </c>
      <c r="V47" s="314">
        <v>0</v>
      </c>
      <c r="W47" s="157"/>
      <c r="X47" s="313">
        <f t="shared" si="59"/>
        <v>-290.84385400000002</v>
      </c>
      <c r="Y47" s="309">
        <v>0</v>
      </c>
      <c r="Z47" s="314">
        <v>0</v>
      </c>
      <c r="AA47" s="309"/>
      <c r="AB47" s="313">
        <f t="shared" si="9"/>
        <v>-14.623434000000001</v>
      </c>
      <c r="AC47" s="309">
        <v>0</v>
      </c>
      <c r="AD47" s="314">
        <v>0</v>
      </c>
      <c r="AE47" s="157"/>
      <c r="AF47" s="313">
        <f t="shared" si="60"/>
        <v>-305.467288</v>
      </c>
      <c r="AG47" s="309">
        <v>0</v>
      </c>
      <c r="AH47" s="314">
        <v>0</v>
      </c>
      <c r="AI47" s="309"/>
      <c r="AJ47" s="310"/>
      <c r="AK47" s="310"/>
      <c r="AL47" s="309"/>
    </row>
    <row r="48" spans="1:38" x14ac:dyDescent="0.2">
      <c r="A48" s="86">
        <f t="shared" si="5"/>
        <v>41</v>
      </c>
      <c r="B48" s="725"/>
      <c r="C48" s="726" t="s">
        <v>7</v>
      </c>
      <c r="D48" s="157"/>
      <c r="E48" s="157">
        <f>ROUND('Allocation = ¢ per Therm'!K44,5)</f>
        <v>0</v>
      </c>
      <c r="F48" s="157">
        <f>ROUND('Allocation = % of Margin'!O41,5)</f>
        <v>0</v>
      </c>
      <c r="G48" s="157">
        <f>ROUND('Allocation = % of Margin'!R41,5)</f>
        <v>-2.8600000000000001E-3</v>
      </c>
      <c r="H48" s="157">
        <f>ROUND('Allocation = % of Margin'!X41,5)</f>
        <v>-1.4999999999999999E-4</v>
      </c>
      <c r="I48" s="157"/>
      <c r="J48" s="564">
        <f>'WA Volumes &amp; Revenues'!F42</f>
        <v>0</v>
      </c>
      <c r="K48" s="298">
        <f>'Rev Req Proof Yr1'!R48</f>
        <v>9320.1</v>
      </c>
      <c r="L48" s="299">
        <f>'Rev Req Proof Yr1'!S48</f>
        <v>0</v>
      </c>
      <c r="M48" s="300">
        <f>'Rev Req Proof Yr1'!T48</f>
        <v>0</v>
      </c>
      <c r="N48" s="301">
        <f>'Rev Req Proof Yr1'!U48</f>
        <v>0</v>
      </c>
      <c r="O48" s="157"/>
      <c r="P48" s="313">
        <f t="shared" si="58"/>
        <v>0</v>
      </c>
      <c r="Q48" s="309">
        <v>0</v>
      </c>
      <c r="R48" s="314">
        <v>0</v>
      </c>
      <c r="S48" s="157"/>
      <c r="T48" s="313">
        <f t="shared" si="61"/>
        <v>0</v>
      </c>
      <c r="U48" s="309">
        <v>0</v>
      </c>
      <c r="V48" s="314">
        <v>0</v>
      </c>
      <c r="W48" s="157"/>
      <c r="X48" s="313">
        <f t="shared" si="59"/>
        <v>-26.655486000000003</v>
      </c>
      <c r="Y48" s="309">
        <v>0</v>
      </c>
      <c r="Z48" s="314">
        <v>0</v>
      </c>
      <c r="AA48" s="309"/>
      <c r="AB48" s="313">
        <f t="shared" si="9"/>
        <v>-1.398015</v>
      </c>
      <c r="AC48" s="309">
        <v>0</v>
      </c>
      <c r="AD48" s="314">
        <v>0</v>
      </c>
      <c r="AE48" s="157"/>
      <c r="AF48" s="313">
        <f t="shared" si="60"/>
        <v>-28.053501000000001</v>
      </c>
      <c r="AG48" s="309">
        <v>0</v>
      </c>
      <c r="AH48" s="314">
        <v>0</v>
      </c>
      <c r="AI48" s="309"/>
      <c r="AJ48" s="310"/>
      <c r="AK48" s="310"/>
      <c r="AL48" s="309"/>
    </row>
    <row r="49" spans="1:38" x14ac:dyDescent="0.2">
      <c r="A49" s="86">
        <f t="shared" si="5"/>
        <v>42</v>
      </c>
      <c r="B49" s="725"/>
      <c r="C49" s="726" t="s">
        <v>8</v>
      </c>
      <c r="D49" s="157"/>
      <c r="E49" s="157">
        <f>ROUND('Allocation = ¢ per Therm'!K45,5)</f>
        <v>0</v>
      </c>
      <c r="F49" s="157">
        <f>ROUND('Allocation = % of Margin'!O42,5)</f>
        <v>0</v>
      </c>
      <c r="G49" s="157">
        <f>ROUND('Allocation = % of Margin'!R42,5)</f>
        <v>-1.91E-3</v>
      </c>
      <c r="H49" s="157">
        <f>ROUND('Allocation = % of Margin'!X42,5)</f>
        <v>-1E-4</v>
      </c>
      <c r="I49" s="157"/>
      <c r="J49" s="564">
        <f>'WA Volumes &amp; Revenues'!F43</f>
        <v>0</v>
      </c>
      <c r="K49" s="298">
        <f>'Rev Req Proof Yr1'!R49</f>
        <v>0</v>
      </c>
      <c r="L49" s="299">
        <f>'Rev Req Proof Yr1'!S49</f>
        <v>0</v>
      </c>
      <c r="M49" s="300">
        <f>'Rev Req Proof Yr1'!T49</f>
        <v>0</v>
      </c>
      <c r="N49" s="301">
        <f>'Rev Req Proof Yr1'!U49</f>
        <v>0</v>
      </c>
      <c r="O49" s="157"/>
      <c r="P49" s="313">
        <f t="shared" si="58"/>
        <v>0</v>
      </c>
      <c r="Q49" s="309">
        <v>0</v>
      </c>
      <c r="R49" s="314">
        <v>0</v>
      </c>
      <c r="S49" s="157"/>
      <c r="T49" s="313">
        <f t="shared" si="61"/>
        <v>0</v>
      </c>
      <c r="U49" s="309">
        <v>0</v>
      </c>
      <c r="V49" s="314">
        <v>0</v>
      </c>
      <c r="W49" s="157"/>
      <c r="X49" s="313">
        <f t="shared" si="59"/>
        <v>0</v>
      </c>
      <c r="Y49" s="309">
        <v>0</v>
      </c>
      <c r="Z49" s="314">
        <v>0</v>
      </c>
      <c r="AA49" s="309"/>
      <c r="AB49" s="313">
        <f t="shared" si="9"/>
        <v>0</v>
      </c>
      <c r="AC49" s="309">
        <v>0</v>
      </c>
      <c r="AD49" s="314">
        <v>0</v>
      </c>
      <c r="AE49" s="157"/>
      <c r="AF49" s="313">
        <f t="shared" si="60"/>
        <v>0</v>
      </c>
      <c r="AG49" s="309">
        <v>0</v>
      </c>
      <c r="AH49" s="314">
        <v>0</v>
      </c>
      <c r="AI49" s="309"/>
      <c r="AJ49" s="310"/>
      <c r="AK49" s="310"/>
      <c r="AL49" s="309"/>
    </row>
    <row r="50" spans="1:38" x14ac:dyDescent="0.2">
      <c r="A50" s="86">
        <f t="shared" si="5"/>
        <v>43</v>
      </c>
      <c r="B50" s="725"/>
      <c r="C50" s="726" t="s">
        <v>9</v>
      </c>
      <c r="D50" s="157"/>
      <c r="E50" s="157">
        <f>ROUND('Allocation = ¢ per Therm'!K46,5)</f>
        <v>0</v>
      </c>
      <c r="F50" s="157">
        <f>ROUND('Allocation = % of Margin'!O43,5)</f>
        <v>0</v>
      </c>
      <c r="G50" s="157">
        <f>ROUND('Allocation = % of Margin'!R43,5)</f>
        <v>-7.2000000000000005E-4</v>
      </c>
      <c r="H50" s="157">
        <f>ROUND('Allocation = % of Margin'!X43,5)</f>
        <v>-4.0000000000000003E-5</v>
      </c>
      <c r="I50" s="157"/>
      <c r="J50" s="564">
        <f>'WA Volumes &amp; Revenues'!F44</f>
        <v>0</v>
      </c>
      <c r="K50" s="298">
        <f>'Rev Req Proof Yr1'!R50</f>
        <v>0</v>
      </c>
      <c r="L50" s="299">
        <f>'Rev Req Proof Yr1'!S50</f>
        <v>0</v>
      </c>
      <c r="M50" s="300">
        <f>'Rev Req Proof Yr1'!T50</f>
        <v>0</v>
      </c>
      <c r="N50" s="301">
        <f>'Rev Req Proof Yr1'!U50</f>
        <v>0</v>
      </c>
      <c r="O50" s="157"/>
      <c r="P50" s="313">
        <f t="shared" si="58"/>
        <v>0</v>
      </c>
      <c r="Q50" s="309">
        <v>0</v>
      </c>
      <c r="R50" s="314">
        <v>0</v>
      </c>
      <c r="S50" s="157"/>
      <c r="T50" s="313">
        <f t="shared" si="61"/>
        <v>0</v>
      </c>
      <c r="U50" s="309">
        <v>0</v>
      </c>
      <c r="V50" s="314">
        <v>0</v>
      </c>
      <c r="W50" s="157"/>
      <c r="X50" s="313">
        <f t="shared" si="59"/>
        <v>0</v>
      </c>
      <c r="Y50" s="309">
        <v>0</v>
      </c>
      <c r="Z50" s="314">
        <v>0</v>
      </c>
      <c r="AA50" s="309"/>
      <c r="AB50" s="313">
        <f t="shared" si="9"/>
        <v>0</v>
      </c>
      <c r="AC50" s="309">
        <v>0</v>
      </c>
      <c r="AD50" s="314">
        <v>0</v>
      </c>
      <c r="AE50" s="157"/>
      <c r="AF50" s="313">
        <f t="shared" si="60"/>
        <v>0</v>
      </c>
      <c r="AG50" s="309">
        <v>0</v>
      </c>
      <c r="AH50" s="314">
        <v>0</v>
      </c>
      <c r="AI50" s="309"/>
      <c r="AJ50" s="310"/>
      <c r="AK50" s="310"/>
      <c r="AL50" s="309"/>
    </row>
    <row r="51" spans="1:38" x14ac:dyDescent="0.2">
      <c r="A51" s="86">
        <f t="shared" si="5"/>
        <v>44</v>
      </c>
      <c r="B51" s="723"/>
      <c r="C51" s="742" t="s">
        <v>78</v>
      </c>
      <c r="D51" s="153"/>
      <c r="E51" s="153"/>
      <c r="F51" s="153"/>
      <c r="G51" s="810"/>
      <c r="H51" s="810"/>
      <c r="I51" s="153"/>
      <c r="J51" s="564"/>
      <c r="K51" s="298"/>
      <c r="L51" s="299"/>
      <c r="M51" s="300"/>
      <c r="N51" s="301"/>
      <c r="O51" s="157"/>
      <c r="P51" s="315">
        <f>SUM(P45:P50)</f>
        <v>0</v>
      </c>
      <c r="Q51" s="316">
        <f>SUM(Q45:Q50)</f>
        <v>0</v>
      </c>
      <c r="R51" s="317">
        <f>SUM(R45:R50)</f>
        <v>0</v>
      </c>
      <c r="S51" s="157"/>
      <c r="T51" s="315">
        <f>SUM(T45:T50)</f>
        <v>0</v>
      </c>
      <c r="U51" s="316">
        <f>SUM(U45:U50)</f>
        <v>0</v>
      </c>
      <c r="V51" s="317">
        <f>SUM(V45:V50)</f>
        <v>0</v>
      </c>
      <c r="W51" s="157"/>
      <c r="X51" s="315">
        <f>SUM(X45:X50)</f>
        <v>-9079.0412880000022</v>
      </c>
      <c r="Y51" s="316">
        <f>SUM(Y45:Y50)</f>
        <v>0</v>
      </c>
      <c r="Z51" s="317">
        <f>SUM(Z45:Z50)</f>
        <v>0</v>
      </c>
      <c r="AA51" s="328"/>
      <c r="AB51" s="315">
        <f>SUM(AB45:AB50)</f>
        <v>-468.75253500000008</v>
      </c>
      <c r="AC51" s="316">
        <f>SUM(AC45:AC50)</f>
        <v>0</v>
      </c>
      <c r="AD51" s="317">
        <f>SUM(AD45:AD50)</f>
        <v>0</v>
      </c>
      <c r="AE51" s="157"/>
      <c r="AF51" s="315">
        <f>SUM(AF45:AF50)</f>
        <v>-9547.7938230000018</v>
      </c>
      <c r="AG51" s="316">
        <f>SUM(AG45:AG50)</f>
        <v>0</v>
      </c>
      <c r="AH51" s="317">
        <f>SUM(AH45:AH50)</f>
        <v>0</v>
      </c>
      <c r="AI51" s="309"/>
      <c r="AJ51" s="310"/>
      <c r="AK51" s="310"/>
      <c r="AL51" s="309"/>
    </row>
    <row r="52" spans="1:38" x14ac:dyDescent="0.2">
      <c r="A52" s="86">
        <f t="shared" si="5"/>
        <v>45</v>
      </c>
      <c r="B52" s="725" t="str">
        <f>'Rev Req Proof Yr1'!B52</f>
        <v>42C Firm Transpt</v>
      </c>
      <c r="C52" s="726" t="s">
        <v>4</v>
      </c>
      <c r="D52" s="157"/>
      <c r="E52" s="157">
        <f>ROUND('Allocation = ¢ per Therm'!K47,5)</f>
        <v>0</v>
      </c>
      <c r="F52" s="157">
        <f>ROUND('Allocation = % of Margin'!O44,5)</f>
        <v>0</v>
      </c>
      <c r="G52" s="157">
        <f>ROUND('Allocation = % of Margin'!R44,5)</f>
        <v>-3.31E-3</v>
      </c>
      <c r="H52" s="157">
        <f>ROUND('Allocation = % of Margin'!X44,5)</f>
        <v>-1.7000000000000001E-4</v>
      </c>
      <c r="I52" s="157"/>
      <c r="J52" s="564">
        <f>'WA Volumes &amp; Revenues'!F45</f>
        <v>479847</v>
      </c>
      <c r="K52" s="298">
        <f>'Rev Req Proof Yr1'!R52</f>
        <v>480000</v>
      </c>
      <c r="L52" s="299">
        <f>'Rev Req Proof Yr1'!S52</f>
        <v>10479</v>
      </c>
      <c r="M52" s="300">
        <f>'Rev Req Proof Yr1'!T52</f>
        <v>4</v>
      </c>
      <c r="N52" s="301">
        <f>'Rev Req Proof Yr1'!U52</f>
        <v>51470</v>
      </c>
      <c r="O52" s="157"/>
      <c r="P52" s="313">
        <f t="shared" ref="P52:P57" si="62">((E52)*K52)</f>
        <v>0</v>
      </c>
      <c r="Q52" s="309">
        <v>0</v>
      </c>
      <c r="R52" s="314">
        <v>0</v>
      </c>
      <c r="S52" s="157"/>
      <c r="T52" s="313">
        <f>((F52)*K52)</f>
        <v>0</v>
      </c>
      <c r="U52" s="309">
        <v>0</v>
      </c>
      <c r="V52" s="314">
        <v>0</v>
      </c>
      <c r="W52" s="157"/>
      <c r="X52" s="313">
        <f t="shared" ref="X52:X57" si="63">((G52)*K52)</f>
        <v>-1588.8</v>
      </c>
      <c r="Y52" s="309">
        <v>0</v>
      </c>
      <c r="Z52" s="314">
        <v>0</v>
      </c>
      <c r="AA52" s="309"/>
      <c r="AB52" s="313">
        <f t="shared" si="9"/>
        <v>-81.600000000000009</v>
      </c>
      <c r="AC52" s="309">
        <v>0</v>
      </c>
      <c r="AD52" s="314">
        <v>0</v>
      </c>
      <c r="AE52" s="157"/>
      <c r="AF52" s="313">
        <f t="shared" ref="AF52:AF57" si="64">((E52+F52+G52+H52)*K52)</f>
        <v>-1670.4</v>
      </c>
      <c r="AG52" s="309">
        <v>0</v>
      </c>
      <c r="AH52" s="314">
        <v>0</v>
      </c>
      <c r="AI52" s="309"/>
      <c r="AJ52" s="310"/>
      <c r="AK52" s="310"/>
      <c r="AL52" s="309"/>
    </row>
    <row r="53" spans="1:38" x14ac:dyDescent="0.2">
      <c r="A53" s="86">
        <f t="shared" si="5"/>
        <v>46</v>
      </c>
      <c r="B53" s="725"/>
      <c r="C53" s="726" t="s">
        <v>5</v>
      </c>
      <c r="D53" s="157"/>
      <c r="E53" s="157">
        <f>ROUND('Allocation = ¢ per Therm'!K48,5)</f>
        <v>0</v>
      </c>
      <c r="F53" s="157">
        <f>ROUND('Allocation = % of Margin'!O45,5)</f>
        <v>0</v>
      </c>
      <c r="G53" s="157">
        <f>ROUND('Allocation = % of Margin'!R45,5)</f>
        <v>-2.96E-3</v>
      </c>
      <c r="H53" s="157">
        <f>ROUND('Allocation = % of Margin'!X45,5)</f>
        <v>-1.4999999999999999E-4</v>
      </c>
      <c r="I53" s="157"/>
      <c r="J53" s="564">
        <f>'WA Volumes &amp; Revenues'!F46</f>
        <v>792463</v>
      </c>
      <c r="K53" s="298">
        <f>'Rev Req Proof Yr1'!R53</f>
        <v>807846</v>
      </c>
      <c r="L53" s="299">
        <f>'Rev Req Proof Yr1'!S53</f>
        <v>0</v>
      </c>
      <c r="M53" s="300">
        <f>'Rev Req Proof Yr1'!T53</f>
        <v>0</v>
      </c>
      <c r="N53" s="301">
        <f>'Rev Req Proof Yr1'!U53</f>
        <v>0</v>
      </c>
      <c r="O53" s="157"/>
      <c r="P53" s="313">
        <f t="shared" si="62"/>
        <v>0</v>
      </c>
      <c r="Q53" s="309">
        <v>0</v>
      </c>
      <c r="R53" s="314">
        <v>0</v>
      </c>
      <c r="S53" s="157"/>
      <c r="T53" s="313">
        <f t="shared" ref="T53:T57" si="65">((F53)*K53)</f>
        <v>0</v>
      </c>
      <c r="U53" s="309">
        <v>0</v>
      </c>
      <c r="V53" s="314">
        <v>0</v>
      </c>
      <c r="W53" s="157"/>
      <c r="X53" s="313">
        <f t="shared" si="63"/>
        <v>-2391.2241599999998</v>
      </c>
      <c r="Y53" s="309">
        <v>0</v>
      </c>
      <c r="Z53" s="314">
        <v>0</v>
      </c>
      <c r="AA53" s="309"/>
      <c r="AB53" s="313">
        <f t="shared" si="9"/>
        <v>-121.17689999999999</v>
      </c>
      <c r="AC53" s="309">
        <v>0</v>
      </c>
      <c r="AD53" s="314">
        <v>0</v>
      </c>
      <c r="AE53" s="157"/>
      <c r="AF53" s="313">
        <f t="shared" si="64"/>
        <v>-2512.4010600000001</v>
      </c>
      <c r="AG53" s="309">
        <v>0</v>
      </c>
      <c r="AH53" s="314">
        <v>0</v>
      </c>
      <c r="AI53" s="309"/>
      <c r="AJ53" s="310"/>
      <c r="AK53" s="310"/>
      <c r="AL53" s="309"/>
    </row>
    <row r="54" spans="1:38" x14ac:dyDescent="0.2">
      <c r="A54" s="86">
        <f t="shared" si="5"/>
        <v>47</v>
      </c>
      <c r="B54" s="725"/>
      <c r="C54" s="726" t="s">
        <v>6</v>
      </c>
      <c r="D54" s="157"/>
      <c r="E54" s="157">
        <f>ROUND('Allocation = ¢ per Therm'!K49,5)</f>
        <v>0</v>
      </c>
      <c r="F54" s="157">
        <f>ROUND('Allocation = % of Margin'!O46,5)</f>
        <v>0</v>
      </c>
      <c r="G54" s="157">
        <f>ROUND('Allocation = % of Margin'!R46,5)</f>
        <v>-2.2699999999999999E-3</v>
      </c>
      <c r="H54" s="157">
        <f>ROUND('Allocation = % of Margin'!X46,5)</f>
        <v>-1.2E-4</v>
      </c>
      <c r="I54" s="157"/>
      <c r="J54" s="564">
        <f>'WA Volumes &amp; Revenues'!F47</f>
        <v>542281</v>
      </c>
      <c r="K54" s="298">
        <f>'Rev Req Proof Yr1'!R54</f>
        <v>583779</v>
      </c>
      <c r="L54" s="299">
        <f>'Rev Req Proof Yr1'!S54</f>
        <v>0</v>
      </c>
      <c r="M54" s="300">
        <f>'Rev Req Proof Yr1'!T54</f>
        <v>0</v>
      </c>
      <c r="N54" s="301">
        <f>'Rev Req Proof Yr1'!U54</f>
        <v>0</v>
      </c>
      <c r="O54" s="157"/>
      <c r="P54" s="313">
        <f t="shared" si="62"/>
        <v>0</v>
      </c>
      <c r="Q54" s="309">
        <v>0</v>
      </c>
      <c r="R54" s="314">
        <v>0</v>
      </c>
      <c r="S54" s="157"/>
      <c r="T54" s="313">
        <f t="shared" si="65"/>
        <v>0</v>
      </c>
      <c r="U54" s="309">
        <v>0</v>
      </c>
      <c r="V54" s="314">
        <v>0</v>
      </c>
      <c r="W54" s="157"/>
      <c r="X54" s="313">
        <f t="shared" si="63"/>
        <v>-1325.17833</v>
      </c>
      <c r="Y54" s="309">
        <v>0</v>
      </c>
      <c r="Z54" s="314">
        <v>0</v>
      </c>
      <c r="AA54" s="309"/>
      <c r="AB54" s="313">
        <f t="shared" si="9"/>
        <v>-70.053480000000008</v>
      </c>
      <c r="AC54" s="309">
        <v>0</v>
      </c>
      <c r="AD54" s="314">
        <v>0</v>
      </c>
      <c r="AE54" s="157"/>
      <c r="AF54" s="313">
        <f t="shared" si="64"/>
        <v>-1395.2318099999998</v>
      </c>
      <c r="AG54" s="309">
        <v>0</v>
      </c>
      <c r="AH54" s="314">
        <v>0</v>
      </c>
      <c r="AI54" s="309"/>
      <c r="AJ54" s="310"/>
      <c r="AK54" s="310"/>
      <c r="AL54" s="309"/>
    </row>
    <row r="55" spans="1:38" x14ac:dyDescent="0.2">
      <c r="A55" s="86">
        <f t="shared" si="5"/>
        <v>48</v>
      </c>
      <c r="B55" s="725"/>
      <c r="C55" s="726" t="s">
        <v>7</v>
      </c>
      <c r="D55" s="157"/>
      <c r="E55" s="157">
        <f>ROUND('Allocation = ¢ per Therm'!K50,5)</f>
        <v>0</v>
      </c>
      <c r="F55" s="157">
        <f>ROUND('Allocation = % of Margin'!O47,5)</f>
        <v>0</v>
      </c>
      <c r="G55" s="157">
        <f>ROUND('Allocation = % of Margin'!R47,5)</f>
        <v>-1.82E-3</v>
      </c>
      <c r="H55" s="157">
        <f>ROUND('Allocation = % of Margin'!X47,5)</f>
        <v>-9.0000000000000006E-5</v>
      </c>
      <c r="I55" s="157"/>
      <c r="J55" s="564">
        <f>'WA Volumes &amp; Revenues'!F48</f>
        <v>537117</v>
      </c>
      <c r="K55" s="298">
        <f>'Rev Req Proof Yr1'!R55</f>
        <v>598933</v>
      </c>
      <c r="L55" s="299">
        <f>'Rev Req Proof Yr1'!S55</f>
        <v>0</v>
      </c>
      <c r="M55" s="300">
        <f>'Rev Req Proof Yr1'!T55</f>
        <v>0</v>
      </c>
      <c r="N55" s="301">
        <f>'Rev Req Proof Yr1'!U55</f>
        <v>0</v>
      </c>
      <c r="O55" s="157"/>
      <c r="P55" s="313">
        <f t="shared" si="62"/>
        <v>0</v>
      </c>
      <c r="Q55" s="309">
        <v>0</v>
      </c>
      <c r="R55" s="314">
        <v>0</v>
      </c>
      <c r="S55" s="157"/>
      <c r="T55" s="313">
        <f t="shared" si="65"/>
        <v>0</v>
      </c>
      <c r="U55" s="309">
        <v>0</v>
      </c>
      <c r="V55" s="314">
        <v>0</v>
      </c>
      <c r="W55" s="157"/>
      <c r="X55" s="313">
        <f t="shared" si="63"/>
        <v>-1090.0580600000001</v>
      </c>
      <c r="Y55" s="309">
        <v>0</v>
      </c>
      <c r="Z55" s="314">
        <v>0</v>
      </c>
      <c r="AA55" s="309"/>
      <c r="AB55" s="313">
        <f t="shared" si="9"/>
        <v>-53.903970000000001</v>
      </c>
      <c r="AC55" s="309">
        <v>0</v>
      </c>
      <c r="AD55" s="314">
        <v>0</v>
      </c>
      <c r="AE55" s="157"/>
      <c r="AF55" s="313">
        <f t="shared" si="64"/>
        <v>-1143.9620299999999</v>
      </c>
      <c r="AG55" s="309">
        <v>0</v>
      </c>
      <c r="AH55" s="314">
        <v>0</v>
      </c>
      <c r="AI55" s="309"/>
      <c r="AJ55" s="310"/>
      <c r="AK55" s="310"/>
      <c r="AL55" s="309"/>
    </row>
    <row r="56" spans="1:38" x14ac:dyDescent="0.2">
      <c r="A56" s="86">
        <f t="shared" si="5"/>
        <v>49</v>
      </c>
      <c r="B56" s="725"/>
      <c r="C56" s="726" t="s">
        <v>8</v>
      </c>
      <c r="D56" s="157"/>
      <c r="E56" s="157">
        <f>ROUND('Allocation = ¢ per Therm'!K51,5)</f>
        <v>0</v>
      </c>
      <c r="F56" s="157">
        <f>ROUND('Allocation = % of Margin'!O48,5)</f>
        <v>0</v>
      </c>
      <c r="G56" s="157">
        <f>ROUND('Allocation = % of Margin'!R48,5)</f>
        <v>-1.2099999999999999E-3</v>
      </c>
      <c r="H56" s="157">
        <f>ROUND('Allocation = % of Margin'!X48,5)</f>
        <v>-6.0000000000000002E-5</v>
      </c>
      <c r="I56" s="157"/>
      <c r="J56" s="564">
        <f>'WA Volumes &amp; Revenues'!F49</f>
        <v>0</v>
      </c>
      <c r="K56" s="298">
        <f>'Rev Req Proof Yr1'!R56</f>
        <v>0</v>
      </c>
      <c r="L56" s="299">
        <f>'Rev Req Proof Yr1'!S56</f>
        <v>0</v>
      </c>
      <c r="M56" s="300">
        <f>'Rev Req Proof Yr1'!T56</f>
        <v>0</v>
      </c>
      <c r="N56" s="301">
        <f>'Rev Req Proof Yr1'!U56</f>
        <v>0</v>
      </c>
      <c r="O56" s="157"/>
      <c r="P56" s="313">
        <f t="shared" si="62"/>
        <v>0</v>
      </c>
      <c r="Q56" s="309">
        <v>0</v>
      </c>
      <c r="R56" s="314">
        <v>0</v>
      </c>
      <c r="S56" s="157"/>
      <c r="T56" s="313">
        <f t="shared" si="65"/>
        <v>0</v>
      </c>
      <c r="U56" s="309">
        <v>0</v>
      </c>
      <c r="V56" s="314">
        <v>0</v>
      </c>
      <c r="W56" s="157"/>
      <c r="X56" s="313">
        <f t="shared" si="63"/>
        <v>0</v>
      </c>
      <c r="Y56" s="309">
        <v>0</v>
      </c>
      <c r="Z56" s="314">
        <v>0</v>
      </c>
      <c r="AA56" s="309"/>
      <c r="AB56" s="313">
        <f t="shared" si="9"/>
        <v>0</v>
      </c>
      <c r="AC56" s="309">
        <v>0</v>
      </c>
      <c r="AD56" s="314">
        <v>0</v>
      </c>
      <c r="AE56" s="157"/>
      <c r="AF56" s="313">
        <f t="shared" si="64"/>
        <v>0</v>
      </c>
      <c r="AG56" s="309">
        <v>0</v>
      </c>
      <c r="AH56" s="314">
        <v>0</v>
      </c>
      <c r="AI56" s="309"/>
      <c r="AJ56" s="310"/>
      <c r="AK56" s="310"/>
      <c r="AL56" s="309"/>
    </row>
    <row r="57" spans="1:38" x14ac:dyDescent="0.2">
      <c r="A57" s="86">
        <f t="shared" si="5"/>
        <v>50</v>
      </c>
      <c r="B57" s="725"/>
      <c r="C57" s="726" t="s">
        <v>9</v>
      </c>
      <c r="D57" s="157"/>
      <c r="E57" s="157">
        <f>ROUND('Allocation = ¢ per Therm'!K52,5)</f>
        <v>0</v>
      </c>
      <c r="F57" s="157">
        <f>ROUND('Allocation = % of Margin'!O49,5)</f>
        <v>0</v>
      </c>
      <c r="G57" s="157">
        <f>ROUND('Allocation = % of Margin'!R49,5)</f>
        <v>-4.4999999999999999E-4</v>
      </c>
      <c r="H57" s="157">
        <f>ROUND('Allocation = % of Margin'!X49,5)</f>
        <v>-2.0000000000000002E-5</v>
      </c>
      <c r="I57" s="157"/>
      <c r="J57" s="564">
        <f>'WA Volumes &amp; Revenues'!F50</f>
        <v>0</v>
      </c>
      <c r="K57" s="298">
        <f>'Rev Req Proof Yr1'!R57</f>
        <v>0</v>
      </c>
      <c r="L57" s="299">
        <f>'Rev Req Proof Yr1'!S57</f>
        <v>0</v>
      </c>
      <c r="M57" s="300">
        <f>'Rev Req Proof Yr1'!T57</f>
        <v>0</v>
      </c>
      <c r="N57" s="301">
        <f>'Rev Req Proof Yr1'!U57</f>
        <v>0</v>
      </c>
      <c r="O57" s="157"/>
      <c r="P57" s="313">
        <f t="shared" si="62"/>
        <v>0</v>
      </c>
      <c r="Q57" s="309">
        <v>0</v>
      </c>
      <c r="R57" s="314">
        <v>0</v>
      </c>
      <c r="S57" s="157"/>
      <c r="T57" s="313">
        <f t="shared" si="65"/>
        <v>0</v>
      </c>
      <c r="U57" s="309">
        <v>0</v>
      </c>
      <c r="V57" s="314">
        <v>0</v>
      </c>
      <c r="W57" s="157"/>
      <c r="X57" s="313">
        <f t="shared" si="63"/>
        <v>0</v>
      </c>
      <c r="Y57" s="309">
        <v>0</v>
      </c>
      <c r="Z57" s="314">
        <v>0</v>
      </c>
      <c r="AA57" s="309"/>
      <c r="AB57" s="313">
        <f t="shared" si="9"/>
        <v>0</v>
      </c>
      <c r="AC57" s="309">
        <v>0</v>
      </c>
      <c r="AD57" s="314">
        <v>0</v>
      </c>
      <c r="AE57" s="157"/>
      <c r="AF57" s="313">
        <f t="shared" si="64"/>
        <v>0</v>
      </c>
      <c r="AG57" s="309">
        <v>0</v>
      </c>
      <c r="AH57" s="314">
        <v>0</v>
      </c>
      <c r="AI57" s="309"/>
      <c r="AJ57" s="318"/>
      <c r="AK57" s="310"/>
      <c r="AL57" s="309"/>
    </row>
    <row r="58" spans="1:38" x14ac:dyDescent="0.2">
      <c r="A58" s="86">
        <f t="shared" si="5"/>
        <v>51</v>
      </c>
      <c r="B58" s="723"/>
      <c r="C58" s="742" t="s">
        <v>78</v>
      </c>
      <c r="D58" s="153"/>
      <c r="E58" s="153"/>
      <c r="F58" s="153"/>
      <c r="G58" s="810"/>
      <c r="H58" s="810"/>
      <c r="I58" s="153"/>
      <c r="J58" s="564"/>
      <c r="K58" s="298"/>
      <c r="L58" s="299"/>
      <c r="M58" s="300"/>
      <c r="N58" s="301"/>
      <c r="O58" s="157"/>
      <c r="P58" s="315">
        <f>SUM(P52:P57)</f>
        <v>0</v>
      </c>
      <c r="Q58" s="316">
        <f>SUM(Q52:Q57)</f>
        <v>0</v>
      </c>
      <c r="R58" s="317">
        <f>SUM(R52:R57)</f>
        <v>0</v>
      </c>
      <c r="S58" s="157"/>
      <c r="T58" s="315">
        <f>SUM(T52:T57)</f>
        <v>0</v>
      </c>
      <c r="U58" s="316">
        <f>SUM(U52:U57)</f>
        <v>0</v>
      </c>
      <c r="V58" s="317">
        <f>SUM(V52:V57)</f>
        <v>0</v>
      </c>
      <c r="W58" s="157"/>
      <c r="X58" s="315">
        <f>SUM(X52:X57)</f>
        <v>-6395.26055</v>
      </c>
      <c r="Y58" s="316">
        <f>SUM(Y52:Y57)</f>
        <v>0</v>
      </c>
      <c r="Z58" s="317">
        <f>SUM(Z52:Z57)</f>
        <v>0</v>
      </c>
      <c r="AA58" s="328"/>
      <c r="AB58" s="315">
        <f>SUM(AB52:AB57)</f>
        <v>-326.73435000000001</v>
      </c>
      <c r="AC58" s="316">
        <f>SUM(AC52:AC57)</f>
        <v>0</v>
      </c>
      <c r="AD58" s="317">
        <f>SUM(AD52:AD57)</f>
        <v>0</v>
      </c>
      <c r="AE58" s="157"/>
      <c r="AF58" s="315">
        <f>SUM(AF52:AF57)</f>
        <v>-6721.9948999999988</v>
      </c>
      <c r="AG58" s="316">
        <f>SUM(AG52:AG57)</f>
        <v>0</v>
      </c>
      <c r="AH58" s="317">
        <f>SUM(AH52:AH57)</f>
        <v>0</v>
      </c>
      <c r="AI58" s="309"/>
      <c r="AJ58" s="310"/>
      <c r="AK58" s="310"/>
      <c r="AL58" s="309"/>
    </row>
    <row r="59" spans="1:38" x14ac:dyDescent="0.2">
      <c r="A59" s="86">
        <f t="shared" si="5"/>
        <v>52</v>
      </c>
      <c r="B59" s="725" t="str">
        <f>'Rev Req Proof Yr1'!B59</f>
        <v>42I Firm Transpt</v>
      </c>
      <c r="C59" s="726" t="s">
        <v>4</v>
      </c>
      <c r="D59" s="157"/>
      <c r="E59" s="157">
        <f>ROUND('Allocation = ¢ per Therm'!K53,5)</f>
        <v>0</v>
      </c>
      <c r="F59" s="157">
        <f>ROUND('Allocation = % of Margin'!O50,5)</f>
        <v>0</v>
      </c>
      <c r="G59" s="157">
        <f>ROUND('Allocation = % of Margin'!R50,5)</f>
        <v>-3.3600000000000001E-3</v>
      </c>
      <c r="H59" s="157">
        <f>ROUND('Allocation = % of Margin'!X50,5)</f>
        <v>-1.7000000000000001E-4</v>
      </c>
      <c r="I59" s="157"/>
      <c r="J59" s="564">
        <f>'WA Volumes &amp; Revenues'!F51</f>
        <v>901597</v>
      </c>
      <c r="K59" s="298">
        <f>'Rev Req Proof Yr1'!R59</f>
        <v>924395</v>
      </c>
      <c r="L59" s="299">
        <f>'Rev Req Proof Yr1'!S59</f>
        <v>26810</v>
      </c>
      <c r="M59" s="300">
        <f>'Rev Req Proof Yr1'!T59</f>
        <v>8.9166666666666661</v>
      </c>
      <c r="N59" s="301">
        <f>'Rev Req Proof Yr1'!U59</f>
        <v>63374</v>
      </c>
      <c r="O59" s="157"/>
      <c r="P59" s="313">
        <f t="shared" ref="P59:P64" si="66">((E59)*K59)</f>
        <v>0</v>
      </c>
      <c r="Q59" s="309">
        <v>0</v>
      </c>
      <c r="R59" s="314">
        <v>0</v>
      </c>
      <c r="S59" s="157"/>
      <c r="T59" s="313">
        <f>((F59)*K59)</f>
        <v>0</v>
      </c>
      <c r="U59" s="309">
        <v>0</v>
      </c>
      <c r="V59" s="314">
        <v>0</v>
      </c>
      <c r="W59" s="157"/>
      <c r="X59" s="313">
        <f t="shared" ref="X59:X64" si="67">((G59)*K59)</f>
        <v>-3105.9672</v>
      </c>
      <c r="Y59" s="309">
        <v>0</v>
      </c>
      <c r="Z59" s="314">
        <v>0</v>
      </c>
      <c r="AA59" s="309"/>
      <c r="AB59" s="313">
        <f t="shared" si="9"/>
        <v>-157.14715000000001</v>
      </c>
      <c r="AC59" s="309">
        <v>0</v>
      </c>
      <c r="AD59" s="314">
        <v>0</v>
      </c>
      <c r="AE59" s="157"/>
      <c r="AF59" s="313">
        <f t="shared" ref="AF59:AF64" si="68">((E59+F59+G59+H59)*K59)</f>
        <v>-3263.1143500000003</v>
      </c>
      <c r="AG59" s="309">
        <v>0</v>
      </c>
      <c r="AH59" s="314">
        <v>0</v>
      </c>
      <c r="AI59" s="309"/>
      <c r="AJ59" s="310"/>
      <c r="AK59" s="310"/>
      <c r="AL59" s="309"/>
    </row>
    <row r="60" spans="1:38" x14ac:dyDescent="0.2">
      <c r="A60" s="86">
        <f t="shared" si="5"/>
        <v>53</v>
      </c>
      <c r="B60" s="725"/>
      <c r="C60" s="726" t="s">
        <v>5</v>
      </c>
      <c r="D60" s="157"/>
      <c r="E60" s="157">
        <f>ROUND('Allocation = ¢ per Therm'!K54,5)</f>
        <v>0</v>
      </c>
      <c r="F60" s="157">
        <f>ROUND('Allocation = % of Margin'!O51,5)</f>
        <v>0</v>
      </c>
      <c r="G60" s="157">
        <f>ROUND('Allocation = % of Margin'!R51,5)</f>
        <v>-3.0000000000000001E-3</v>
      </c>
      <c r="H60" s="157">
        <f>ROUND('Allocation = % of Margin'!X51,5)</f>
        <v>-1.4999999999999999E-4</v>
      </c>
      <c r="I60" s="157"/>
      <c r="J60" s="564">
        <f>'WA Volumes &amp; Revenues'!F52</f>
        <v>1041722</v>
      </c>
      <c r="K60" s="298">
        <f>'Rev Req Proof Yr1'!R60</f>
        <v>1036796</v>
      </c>
      <c r="L60" s="299">
        <f>'Rev Req Proof Yr1'!S60</f>
        <v>0</v>
      </c>
      <c r="M60" s="300">
        <f>'Rev Req Proof Yr1'!T60</f>
        <v>0</v>
      </c>
      <c r="N60" s="301">
        <f>'Rev Req Proof Yr1'!U60</f>
        <v>0</v>
      </c>
      <c r="O60" s="157"/>
      <c r="P60" s="313">
        <f t="shared" si="66"/>
        <v>0</v>
      </c>
      <c r="Q60" s="309">
        <v>0</v>
      </c>
      <c r="R60" s="314">
        <v>0</v>
      </c>
      <c r="S60" s="157"/>
      <c r="T60" s="313">
        <f t="shared" ref="T60:T64" si="69">((F60)*K60)</f>
        <v>0</v>
      </c>
      <c r="U60" s="309">
        <v>0</v>
      </c>
      <c r="V60" s="314">
        <v>0</v>
      </c>
      <c r="W60" s="157"/>
      <c r="X60" s="313">
        <f t="shared" si="67"/>
        <v>-3110.3879999999999</v>
      </c>
      <c r="Y60" s="309">
        <v>0</v>
      </c>
      <c r="Z60" s="314">
        <v>0</v>
      </c>
      <c r="AA60" s="309"/>
      <c r="AB60" s="313">
        <f t="shared" si="9"/>
        <v>-155.51939999999999</v>
      </c>
      <c r="AC60" s="309">
        <v>0</v>
      </c>
      <c r="AD60" s="314">
        <v>0</v>
      </c>
      <c r="AE60" s="157"/>
      <c r="AF60" s="313">
        <f t="shared" si="68"/>
        <v>-3265.9074000000001</v>
      </c>
      <c r="AG60" s="309">
        <v>0</v>
      </c>
      <c r="AH60" s="314">
        <v>0</v>
      </c>
      <c r="AI60" s="309"/>
      <c r="AJ60" s="310"/>
      <c r="AK60" s="310"/>
      <c r="AL60" s="309"/>
    </row>
    <row r="61" spans="1:38" x14ac:dyDescent="0.2">
      <c r="A61" s="86">
        <f t="shared" si="5"/>
        <v>54</v>
      </c>
      <c r="B61" s="725"/>
      <c r="C61" s="726" t="s">
        <v>6</v>
      </c>
      <c r="D61" s="157"/>
      <c r="E61" s="157">
        <f>ROUND('Allocation = ¢ per Therm'!K55,5)</f>
        <v>0</v>
      </c>
      <c r="F61" s="157">
        <f>ROUND('Allocation = % of Margin'!O52,5)</f>
        <v>0</v>
      </c>
      <c r="G61" s="157">
        <f>ROUND('Allocation = % of Margin'!R52,5)</f>
        <v>-2.3E-3</v>
      </c>
      <c r="H61" s="157">
        <f>ROUND('Allocation = % of Margin'!X52,5)</f>
        <v>-1.2E-4</v>
      </c>
      <c r="I61" s="157"/>
      <c r="J61" s="564">
        <f>'WA Volumes &amp; Revenues'!F53</f>
        <v>957215</v>
      </c>
      <c r="K61" s="298">
        <f>'Rev Req Proof Yr1'!R61</f>
        <v>937215</v>
      </c>
      <c r="L61" s="299">
        <f>'Rev Req Proof Yr1'!S61</f>
        <v>0</v>
      </c>
      <c r="M61" s="300">
        <f>'Rev Req Proof Yr1'!T61</f>
        <v>0</v>
      </c>
      <c r="N61" s="301">
        <f>'Rev Req Proof Yr1'!U61</f>
        <v>0</v>
      </c>
      <c r="O61" s="157"/>
      <c r="P61" s="313">
        <f t="shared" si="66"/>
        <v>0</v>
      </c>
      <c r="Q61" s="309">
        <v>0</v>
      </c>
      <c r="R61" s="314">
        <v>0</v>
      </c>
      <c r="S61" s="157"/>
      <c r="T61" s="313">
        <f t="shared" si="69"/>
        <v>0</v>
      </c>
      <c r="U61" s="309">
        <v>0</v>
      </c>
      <c r="V61" s="314">
        <v>0</v>
      </c>
      <c r="W61" s="157"/>
      <c r="X61" s="313">
        <f t="shared" si="67"/>
        <v>-2155.5945000000002</v>
      </c>
      <c r="Y61" s="309">
        <v>0</v>
      </c>
      <c r="Z61" s="314">
        <v>0</v>
      </c>
      <c r="AA61" s="309"/>
      <c r="AB61" s="313">
        <f t="shared" si="9"/>
        <v>-112.4658</v>
      </c>
      <c r="AC61" s="309">
        <v>0</v>
      </c>
      <c r="AD61" s="314">
        <v>0</v>
      </c>
      <c r="AE61" s="157"/>
      <c r="AF61" s="313">
        <f t="shared" si="68"/>
        <v>-2268.0602999999996</v>
      </c>
      <c r="AG61" s="309">
        <v>0</v>
      </c>
      <c r="AH61" s="314">
        <v>0</v>
      </c>
      <c r="AI61" s="309"/>
      <c r="AJ61" s="310"/>
      <c r="AK61" s="310"/>
      <c r="AL61" s="309"/>
    </row>
    <row r="62" spans="1:38" x14ac:dyDescent="0.2">
      <c r="A62" s="86">
        <f t="shared" si="5"/>
        <v>55</v>
      </c>
      <c r="B62" s="725"/>
      <c r="C62" s="726" t="s">
        <v>7</v>
      </c>
      <c r="D62" s="157"/>
      <c r="E62" s="157">
        <f>ROUND('Allocation = ¢ per Therm'!K56,5)</f>
        <v>0</v>
      </c>
      <c r="F62" s="157">
        <f>ROUND('Allocation = % of Margin'!O53,5)</f>
        <v>0</v>
      </c>
      <c r="G62" s="157">
        <f>ROUND('Allocation = % of Margin'!R53,5)</f>
        <v>-1.8400000000000001E-3</v>
      </c>
      <c r="H62" s="157">
        <f>ROUND('Allocation = % of Margin'!X53,5)</f>
        <v>-9.0000000000000006E-5</v>
      </c>
      <c r="I62" s="157"/>
      <c r="J62" s="564">
        <f>'WA Volumes &amp; Revenues'!F54</f>
        <v>2490044</v>
      </c>
      <c r="K62" s="298">
        <f>'Rev Req Proof Yr1'!R62</f>
        <v>2390318</v>
      </c>
      <c r="L62" s="299">
        <f>'Rev Req Proof Yr1'!S62</f>
        <v>0</v>
      </c>
      <c r="M62" s="300">
        <f>'Rev Req Proof Yr1'!T62</f>
        <v>0</v>
      </c>
      <c r="N62" s="301">
        <f>'Rev Req Proof Yr1'!U62</f>
        <v>0</v>
      </c>
      <c r="O62" s="157"/>
      <c r="P62" s="313">
        <f t="shared" si="66"/>
        <v>0</v>
      </c>
      <c r="Q62" s="309">
        <v>0</v>
      </c>
      <c r="R62" s="314">
        <v>0</v>
      </c>
      <c r="S62" s="157"/>
      <c r="T62" s="313">
        <f t="shared" si="69"/>
        <v>0</v>
      </c>
      <c r="U62" s="309">
        <v>0</v>
      </c>
      <c r="V62" s="314">
        <v>0</v>
      </c>
      <c r="W62" s="157"/>
      <c r="X62" s="313">
        <f t="shared" si="67"/>
        <v>-4398.1851200000001</v>
      </c>
      <c r="Y62" s="309">
        <v>0</v>
      </c>
      <c r="Z62" s="314">
        <v>0</v>
      </c>
      <c r="AA62" s="309"/>
      <c r="AB62" s="313">
        <f t="shared" si="9"/>
        <v>-215.12862000000001</v>
      </c>
      <c r="AC62" s="309">
        <v>0</v>
      </c>
      <c r="AD62" s="314">
        <v>0</v>
      </c>
      <c r="AE62" s="157"/>
      <c r="AF62" s="313">
        <f t="shared" si="68"/>
        <v>-4613.3137400000005</v>
      </c>
      <c r="AG62" s="309">
        <v>0</v>
      </c>
      <c r="AH62" s="314">
        <v>0</v>
      </c>
      <c r="AI62" s="309"/>
      <c r="AJ62" s="310"/>
      <c r="AK62" s="310"/>
      <c r="AL62" s="309"/>
    </row>
    <row r="63" spans="1:38" x14ac:dyDescent="0.2">
      <c r="A63" s="86">
        <f t="shared" si="5"/>
        <v>56</v>
      </c>
      <c r="B63" s="725"/>
      <c r="C63" s="726" t="s">
        <v>8</v>
      </c>
      <c r="D63" s="157"/>
      <c r="E63" s="157">
        <f>ROUND('Allocation = ¢ per Therm'!K57,5)</f>
        <v>0</v>
      </c>
      <c r="F63" s="157">
        <f>ROUND('Allocation = % of Margin'!O54,5)</f>
        <v>0</v>
      </c>
      <c r="G63" s="157">
        <f>ROUND('Allocation = % of Margin'!R54,5)</f>
        <v>-1.23E-3</v>
      </c>
      <c r="H63" s="157">
        <f>ROUND('Allocation = % of Margin'!X54,5)</f>
        <v>-6.0000000000000002E-5</v>
      </c>
      <c r="I63" s="157"/>
      <c r="J63" s="564">
        <f>'WA Volumes &amp; Revenues'!F55</f>
        <v>1426372</v>
      </c>
      <c r="K63" s="298">
        <f>'Rev Req Proof Yr1'!R63</f>
        <v>1492257</v>
      </c>
      <c r="L63" s="299">
        <f>'Rev Req Proof Yr1'!S63</f>
        <v>0</v>
      </c>
      <c r="M63" s="300">
        <f>'Rev Req Proof Yr1'!T63</f>
        <v>0</v>
      </c>
      <c r="N63" s="301">
        <f>'Rev Req Proof Yr1'!U63</f>
        <v>0</v>
      </c>
      <c r="O63" s="157"/>
      <c r="P63" s="313">
        <f t="shared" si="66"/>
        <v>0</v>
      </c>
      <c r="Q63" s="309">
        <v>0</v>
      </c>
      <c r="R63" s="314">
        <v>0</v>
      </c>
      <c r="S63" s="157"/>
      <c r="T63" s="313">
        <f t="shared" si="69"/>
        <v>0</v>
      </c>
      <c r="U63" s="309">
        <v>0</v>
      </c>
      <c r="V63" s="314">
        <v>0</v>
      </c>
      <c r="W63" s="157"/>
      <c r="X63" s="313">
        <f t="shared" si="67"/>
        <v>-1835.4761100000001</v>
      </c>
      <c r="Y63" s="309">
        <v>0</v>
      </c>
      <c r="Z63" s="314">
        <v>0</v>
      </c>
      <c r="AA63" s="309"/>
      <c r="AB63" s="313">
        <f t="shared" si="9"/>
        <v>-89.535420000000002</v>
      </c>
      <c r="AC63" s="309">
        <v>0</v>
      </c>
      <c r="AD63" s="314">
        <v>0</v>
      </c>
      <c r="AE63" s="157"/>
      <c r="AF63" s="313">
        <f t="shared" si="68"/>
        <v>-1925.0115299999998</v>
      </c>
      <c r="AG63" s="309">
        <v>0</v>
      </c>
      <c r="AH63" s="314">
        <v>0</v>
      </c>
      <c r="AI63" s="309"/>
      <c r="AJ63" s="310"/>
      <c r="AK63" s="310"/>
      <c r="AL63" s="309"/>
    </row>
    <row r="64" spans="1:38" x14ac:dyDescent="0.2">
      <c r="A64" s="86">
        <f t="shared" si="5"/>
        <v>57</v>
      </c>
      <c r="B64" s="725"/>
      <c r="C64" s="726" t="s">
        <v>9</v>
      </c>
      <c r="D64" s="157"/>
      <c r="E64" s="157">
        <f>ROUND('Allocation = ¢ per Therm'!K58,5)</f>
        <v>0</v>
      </c>
      <c r="F64" s="157">
        <f>ROUND('Allocation = % of Margin'!O55,5)</f>
        <v>0</v>
      </c>
      <c r="G64" s="157">
        <f>ROUND('Allocation = % of Margin'!R55,5)</f>
        <v>-4.6000000000000001E-4</v>
      </c>
      <c r="H64" s="157">
        <f>ROUND('Allocation = % of Margin'!X55,5)</f>
        <v>-2.0000000000000002E-5</v>
      </c>
      <c r="I64" s="157"/>
      <c r="J64" s="564">
        <f>'WA Volumes &amp; Revenues'!F56</f>
        <v>0</v>
      </c>
      <c r="K64" s="298">
        <f>'Rev Req Proof Yr1'!R64</f>
        <v>0</v>
      </c>
      <c r="L64" s="299">
        <f>'Rev Req Proof Yr1'!S64</f>
        <v>0</v>
      </c>
      <c r="M64" s="300">
        <f>'Rev Req Proof Yr1'!T64</f>
        <v>0</v>
      </c>
      <c r="N64" s="301">
        <f>'Rev Req Proof Yr1'!U64</f>
        <v>0</v>
      </c>
      <c r="O64" s="157"/>
      <c r="P64" s="313">
        <f t="shared" si="66"/>
        <v>0</v>
      </c>
      <c r="Q64" s="309">
        <v>0</v>
      </c>
      <c r="R64" s="314">
        <v>0</v>
      </c>
      <c r="S64" s="157"/>
      <c r="T64" s="313">
        <f t="shared" si="69"/>
        <v>0</v>
      </c>
      <c r="U64" s="309">
        <v>0</v>
      </c>
      <c r="V64" s="314">
        <v>0</v>
      </c>
      <c r="W64" s="157"/>
      <c r="X64" s="313">
        <f t="shared" si="67"/>
        <v>0</v>
      </c>
      <c r="Y64" s="309">
        <v>0</v>
      </c>
      <c r="Z64" s="314">
        <v>0</v>
      </c>
      <c r="AA64" s="309"/>
      <c r="AB64" s="313">
        <f t="shared" si="9"/>
        <v>0</v>
      </c>
      <c r="AC64" s="309">
        <v>0</v>
      </c>
      <c r="AD64" s="314">
        <v>0</v>
      </c>
      <c r="AE64" s="157"/>
      <c r="AF64" s="313">
        <f t="shared" si="68"/>
        <v>0</v>
      </c>
      <c r="AG64" s="309">
        <v>0</v>
      </c>
      <c r="AH64" s="314">
        <v>0</v>
      </c>
      <c r="AI64" s="309"/>
      <c r="AJ64" s="310"/>
      <c r="AK64" s="310"/>
      <c r="AL64" s="309"/>
    </row>
    <row r="65" spans="1:38" x14ac:dyDescent="0.2">
      <c r="A65" s="86">
        <f t="shared" si="5"/>
        <v>58</v>
      </c>
      <c r="B65" s="723"/>
      <c r="C65" s="742" t="s">
        <v>78</v>
      </c>
      <c r="D65" s="153"/>
      <c r="E65" s="153"/>
      <c r="F65" s="153"/>
      <c r="G65" s="810"/>
      <c r="H65" s="810"/>
      <c r="I65" s="153"/>
      <c r="J65" s="564"/>
      <c r="K65" s="298"/>
      <c r="L65" s="299"/>
      <c r="M65" s="300"/>
      <c r="N65" s="301"/>
      <c r="O65" s="157"/>
      <c r="P65" s="315">
        <f>SUM(P59:P64)</f>
        <v>0</v>
      </c>
      <c r="Q65" s="316">
        <f>SUM(Q59:Q64)</f>
        <v>0</v>
      </c>
      <c r="R65" s="317">
        <f>SUM(R59:R64)</f>
        <v>0</v>
      </c>
      <c r="S65" s="157"/>
      <c r="T65" s="315">
        <f>SUM(T59:T64)</f>
        <v>0</v>
      </c>
      <c r="U65" s="316">
        <f>SUM(U59:U64)</f>
        <v>0</v>
      </c>
      <c r="V65" s="317">
        <f>SUM(V59:V64)</f>
        <v>0</v>
      </c>
      <c r="W65" s="157"/>
      <c r="X65" s="315">
        <f>SUM(X59:X64)</f>
        <v>-14605.610930000001</v>
      </c>
      <c r="Y65" s="316">
        <f>SUM(Y59:Y64)</f>
        <v>0</v>
      </c>
      <c r="Z65" s="317">
        <f>SUM(Z59:Z64)</f>
        <v>0</v>
      </c>
      <c r="AA65" s="328"/>
      <c r="AB65" s="315">
        <f>SUM(AB59:AB64)</f>
        <v>-729.79639000000009</v>
      </c>
      <c r="AC65" s="316">
        <f>SUM(AC59:AC64)</f>
        <v>0</v>
      </c>
      <c r="AD65" s="317">
        <f>SUM(AD59:AD64)</f>
        <v>0</v>
      </c>
      <c r="AE65" s="157"/>
      <c r="AF65" s="315">
        <f>SUM(AF59:AF64)</f>
        <v>-15335.407319999998</v>
      </c>
      <c r="AG65" s="316">
        <f>SUM(AG59:AG64)</f>
        <v>0</v>
      </c>
      <c r="AH65" s="317">
        <f>SUM(AH59:AH64)</f>
        <v>0</v>
      </c>
      <c r="AI65" s="309"/>
      <c r="AJ65" s="310"/>
      <c r="AK65" s="310"/>
      <c r="AL65" s="309"/>
    </row>
    <row r="66" spans="1:38" x14ac:dyDescent="0.2">
      <c r="A66" s="86">
        <f t="shared" si="5"/>
        <v>59</v>
      </c>
      <c r="B66" s="725" t="str">
        <f>'Rev Req Proof Yr1'!B66</f>
        <v>42C Interr Sales</v>
      </c>
      <c r="C66" s="726" t="s">
        <v>4</v>
      </c>
      <c r="D66" s="157"/>
      <c r="E66" s="157">
        <f>ROUND('Allocation = ¢ per Therm'!K59,5)</f>
        <v>0</v>
      </c>
      <c r="F66" s="157">
        <f>ROUND('Allocation = % of Margin'!O56,5)</f>
        <v>-6.3E-3</v>
      </c>
      <c r="G66" s="157">
        <f>ROUND('Allocation = % of Margin'!R56,5)</f>
        <v>-3.48E-3</v>
      </c>
      <c r="H66" s="157">
        <f>ROUND('Allocation = % of Margin'!X56,5)</f>
        <v>-1.8000000000000001E-4</v>
      </c>
      <c r="I66" s="157"/>
      <c r="J66" s="564">
        <f>'WA Volumes &amp; Revenues'!F57</f>
        <v>239999</v>
      </c>
      <c r="K66" s="298">
        <f>'Rev Req Proof Yr1'!R66</f>
        <v>240000</v>
      </c>
      <c r="L66" s="299">
        <f>'Rev Req Proof Yr1'!S66</f>
        <v>4620</v>
      </c>
      <c r="M66" s="300">
        <f>'Rev Req Proof Yr1'!T66</f>
        <v>2</v>
      </c>
      <c r="N66" s="301">
        <f>'Rev Req Proof Yr1'!U66</f>
        <v>39322</v>
      </c>
      <c r="O66" s="157"/>
      <c r="P66" s="313">
        <f t="shared" ref="P66:P71" si="70">((E66)*K66)</f>
        <v>0</v>
      </c>
      <c r="Q66" s="309">
        <v>0</v>
      </c>
      <c r="R66" s="314">
        <v>0</v>
      </c>
      <c r="S66" s="157"/>
      <c r="T66" s="313">
        <f>((F66)*K66)</f>
        <v>-1512</v>
      </c>
      <c r="U66" s="309">
        <v>0</v>
      </c>
      <c r="V66" s="314">
        <v>0</v>
      </c>
      <c r="W66" s="157"/>
      <c r="X66" s="313">
        <f t="shared" ref="X66:X71" si="71">((G66)*K66)</f>
        <v>-835.2</v>
      </c>
      <c r="Y66" s="309">
        <v>0</v>
      </c>
      <c r="Z66" s="314">
        <v>0</v>
      </c>
      <c r="AA66" s="309"/>
      <c r="AB66" s="313">
        <f t="shared" si="9"/>
        <v>-43.2</v>
      </c>
      <c r="AC66" s="309">
        <v>0</v>
      </c>
      <c r="AD66" s="314">
        <v>0</v>
      </c>
      <c r="AE66" s="157"/>
      <c r="AF66" s="313">
        <f t="shared" ref="AF66:AF71" si="72">((E66+F66+G66+H66)*K66)</f>
        <v>-2390.4</v>
      </c>
      <c r="AG66" s="309">
        <v>0</v>
      </c>
      <c r="AH66" s="314">
        <v>0</v>
      </c>
      <c r="AI66" s="309"/>
      <c r="AJ66" s="310"/>
      <c r="AK66" s="310"/>
      <c r="AL66" s="309"/>
    </row>
    <row r="67" spans="1:38" x14ac:dyDescent="0.2">
      <c r="A67" s="86">
        <f t="shared" si="5"/>
        <v>60</v>
      </c>
      <c r="B67" s="725"/>
      <c r="C67" s="726" t="s">
        <v>5</v>
      </c>
      <c r="D67" s="157"/>
      <c r="E67" s="157">
        <f>ROUND('Allocation = ¢ per Therm'!K60,5)</f>
        <v>0</v>
      </c>
      <c r="F67" s="157">
        <f>ROUND('Allocation = % of Margin'!O57,5)</f>
        <v>-5.64E-3</v>
      </c>
      <c r="G67" s="157">
        <f>ROUND('Allocation = % of Margin'!R57,5)</f>
        <v>-3.1199999999999999E-3</v>
      </c>
      <c r="H67" s="157">
        <f>ROUND('Allocation = % of Margin'!X57,5)</f>
        <v>-1.6000000000000001E-4</v>
      </c>
      <c r="I67" s="157"/>
      <c r="J67" s="564">
        <f>'WA Volumes &amp; Revenues'!F58</f>
        <v>454151</v>
      </c>
      <c r="K67" s="298">
        <f>'Rev Req Proof Yr1'!R67</f>
        <v>467511</v>
      </c>
      <c r="L67" s="299">
        <f>'Rev Req Proof Yr1'!S67</f>
        <v>0</v>
      </c>
      <c r="M67" s="300">
        <f>'Rev Req Proof Yr1'!T67</f>
        <v>0</v>
      </c>
      <c r="N67" s="301">
        <f>'Rev Req Proof Yr1'!U67</f>
        <v>0</v>
      </c>
      <c r="O67" s="157"/>
      <c r="P67" s="313">
        <f t="shared" si="70"/>
        <v>0</v>
      </c>
      <c r="Q67" s="309">
        <v>0</v>
      </c>
      <c r="R67" s="314">
        <v>0</v>
      </c>
      <c r="S67" s="157"/>
      <c r="T67" s="313">
        <f t="shared" ref="T67:T71" si="73">((F67)*K67)</f>
        <v>-2636.7620400000001</v>
      </c>
      <c r="U67" s="309">
        <v>0</v>
      </c>
      <c r="V67" s="314">
        <v>0</v>
      </c>
      <c r="W67" s="157"/>
      <c r="X67" s="313">
        <f t="shared" si="71"/>
        <v>-1458.6343199999999</v>
      </c>
      <c r="Y67" s="309">
        <v>0</v>
      </c>
      <c r="Z67" s="314">
        <v>0</v>
      </c>
      <c r="AA67" s="309"/>
      <c r="AB67" s="313">
        <f t="shared" si="9"/>
        <v>-74.801760000000002</v>
      </c>
      <c r="AC67" s="309">
        <v>0</v>
      </c>
      <c r="AD67" s="314">
        <v>0</v>
      </c>
      <c r="AE67" s="157"/>
      <c r="AF67" s="313">
        <f t="shared" si="72"/>
        <v>-4170.19812</v>
      </c>
      <c r="AG67" s="309">
        <v>0</v>
      </c>
      <c r="AH67" s="314">
        <v>0</v>
      </c>
      <c r="AI67" s="309"/>
      <c r="AJ67" s="310"/>
      <c r="AK67" s="310"/>
      <c r="AL67" s="309"/>
    </row>
    <row r="68" spans="1:38" x14ac:dyDescent="0.2">
      <c r="A68" s="86">
        <f t="shared" si="5"/>
        <v>61</v>
      </c>
      <c r="B68" s="725"/>
      <c r="C68" s="726" t="s">
        <v>6</v>
      </c>
      <c r="D68" s="157"/>
      <c r="E68" s="157">
        <f>ROUND('Allocation = ¢ per Therm'!K61,5)</f>
        <v>0</v>
      </c>
      <c r="F68" s="157">
        <f>ROUND('Allocation = % of Margin'!O58,5)</f>
        <v>-4.3200000000000001E-3</v>
      </c>
      <c r="G68" s="157">
        <f>ROUND('Allocation = % of Margin'!R58,5)</f>
        <v>-2.3900000000000002E-3</v>
      </c>
      <c r="H68" s="157">
        <f>ROUND('Allocation = % of Margin'!X58,5)</f>
        <v>-1.2E-4</v>
      </c>
      <c r="I68" s="157"/>
      <c r="J68" s="564">
        <f>'WA Volumes &amp; Revenues'!F59</f>
        <v>230285</v>
      </c>
      <c r="K68" s="298">
        <f>'Rev Req Proof Yr1'!R68</f>
        <v>218004</v>
      </c>
      <c r="L68" s="299">
        <f>'Rev Req Proof Yr1'!S68</f>
        <v>0</v>
      </c>
      <c r="M68" s="300">
        <f>'Rev Req Proof Yr1'!T68</f>
        <v>0</v>
      </c>
      <c r="N68" s="301">
        <f>'Rev Req Proof Yr1'!U68</f>
        <v>0</v>
      </c>
      <c r="O68" s="157"/>
      <c r="P68" s="313">
        <f t="shared" si="70"/>
        <v>0</v>
      </c>
      <c r="Q68" s="309">
        <v>0</v>
      </c>
      <c r="R68" s="314">
        <v>0</v>
      </c>
      <c r="S68" s="157"/>
      <c r="T68" s="313">
        <f t="shared" si="73"/>
        <v>-941.77728000000002</v>
      </c>
      <c r="U68" s="309">
        <v>0</v>
      </c>
      <c r="V68" s="314">
        <v>0</v>
      </c>
      <c r="W68" s="157"/>
      <c r="X68" s="313">
        <f t="shared" si="71"/>
        <v>-521.02956000000006</v>
      </c>
      <c r="Y68" s="309">
        <v>0</v>
      </c>
      <c r="Z68" s="314">
        <v>0</v>
      </c>
      <c r="AA68" s="309"/>
      <c r="AB68" s="313">
        <f t="shared" si="9"/>
        <v>-26.16048</v>
      </c>
      <c r="AC68" s="309">
        <v>0</v>
      </c>
      <c r="AD68" s="314">
        <v>0</v>
      </c>
      <c r="AE68" s="157"/>
      <c r="AF68" s="313">
        <f t="shared" si="72"/>
        <v>-1488.9673200000002</v>
      </c>
      <c r="AG68" s="309">
        <v>0</v>
      </c>
      <c r="AH68" s="314">
        <v>0</v>
      </c>
      <c r="AI68" s="309"/>
      <c r="AJ68" s="310"/>
      <c r="AK68" s="310"/>
      <c r="AL68" s="309"/>
    </row>
    <row r="69" spans="1:38" x14ac:dyDescent="0.2">
      <c r="A69" s="86">
        <f t="shared" si="5"/>
        <v>62</v>
      </c>
      <c r="B69" s="725"/>
      <c r="C69" s="726" t="s">
        <v>7</v>
      </c>
      <c r="D69" s="157"/>
      <c r="E69" s="157">
        <f>ROUND('Allocation = ¢ per Therm'!K62,5)</f>
        <v>0</v>
      </c>
      <c r="F69" s="157">
        <f>ROUND('Allocation = % of Margin'!O59,5)</f>
        <v>-3.46E-3</v>
      </c>
      <c r="G69" s="157">
        <f>ROUND('Allocation = % of Margin'!R59,5)</f>
        <v>-1.91E-3</v>
      </c>
      <c r="H69" s="157">
        <f>ROUND('Allocation = % of Margin'!X59,5)</f>
        <v>-1E-4</v>
      </c>
      <c r="I69" s="157"/>
      <c r="J69" s="564">
        <f>'WA Volumes &amp; Revenues'!F60</f>
        <v>26942</v>
      </c>
      <c r="K69" s="298">
        <f>'Rev Req Proof Yr1'!R69</f>
        <v>18208</v>
      </c>
      <c r="L69" s="299">
        <f>'Rev Req Proof Yr1'!S69</f>
        <v>0</v>
      </c>
      <c r="M69" s="300">
        <f>'Rev Req Proof Yr1'!T69</f>
        <v>0</v>
      </c>
      <c r="N69" s="301">
        <f>'Rev Req Proof Yr1'!U69</f>
        <v>0</v>
      </c>
      <c r="O69" s="157"/>
      <c r="P69" s="313">
        <f t="shared" si="70"/>
        <v>0</v>
      </c>
      <c r="Q69" s="309">
        <v>0</v>
      </c>
      <c r="R69" s="314">
        <v>0</v>
      </c>
      <c r="S69" s="157"/>
      <c r="T69" s="313">
        <f t="shared" si="73"/>
        <v>-62.999679999999998</v>
      </c>
      <c r="U69" s="309">
        <v>0</v>
      </c>
      <c r="V69" s="314">
        <v>0</v>
      </c>
      <c r="W69" s="157"/>
      <c r="X69" s="313">
        <f t="shared" si="71"/>
        <v>-34.777279999999998</v>
      </c>
      <c r="Y69" s="309">
        <v>0</v>
      </c>
      <c r="Z69" s="314">
        <v>0</v>
      </c>
      <c r="AA69" s="309"/>
      <c r="AB69" s="313">
        <f t="shared" si="9"/>
        <v>-1.8208000000000002</v>
      </c>
      <c r="AC69" s="309">
        <v>0</v>
      </c>
      <c r="AD69" s="314">
        <v>0</v>
      </c>
      <c r="AE69" s="157"/>
      <c r="AF69" s="313">
        <f t="shared" si="72"/>
        <v>-99.597759999999994</v>
      </c>
      <c r="AG69" s="309">
        <v>0</v>
      </c>
      <c r="AH69" s="314">
        <v>0</v>
      </c>
      <c r="AI69" s="309"/>
      <c r="AJ69" s="310"/>
      <c r="AK69" s="310"/>
      <c r="AL69" s="309"/>
    </row>
    <row r="70" spans="1:38" x14ac:dyDescent="0.2">
      <c r="A70" s="86">
        <f t="shared" si="5"/>
        <v>63</v>
      </c>
      <c r="B70" s="725"/>
      <c r="C70" s="726" t="s">
        <v>8</v>
      </c>
      <c r="D70" s="157"/>
      <c r="E70" s="157">
        <f>ROUND('Allocation = ¢ per Therm'!K63,5)</f>
        <v>0</v>
      </c>
      <c r="F70" s="157">
        <f>ROUND('Allocation = % of Margin'!O60,5)</f>
        <v>-2.31E-3</v>
      </c>
      <c r="G70" s="157">
        <f>ROUND('Allocation = % of Margin'!R60,5)</f>
        <v>-1.2700000000000001E-3</v>
      </c>
      <c r="H70" s="157">
        <f>ROUND('Allocation = % of Margin'!X60,5)</f>
        <v>-6.0000000000000002E-5</v>
      </c>
      <c r="I70" s="157"/>
      <c r="J70" s="564">
        <f>'WA Volumes &amp; Revenues'!F61</f>
        <v>0</v>
      </c>
      <c r="K70" s="298">
        <f>'Rev Req Proof Yr1'!R70</f>
        <v>0</v>
      </c>
      <c r="L70" s="299">
        <f>'Rev Req Proof Yr1'!S70</f>
        <v>0</v>
      </c>
      <c r="M70" s="300">
        <f>'Rev Req Proof Yr1'!T70</f>
        <v>0</v>
      </c>
      <c r="N70" s="301">
        <f>'Rev Req Proof Yr1'!U70</f>
        <v>0</v>
      </c>
      <c r="O70" s="157"/>
      <c r="P70" s="313">
        <f t="shared" si="70"/>
        <v>0</v>
      </c>
      <c r="Q70" s="309">
        <v>0</v>
      </c>
      <c r="R70" s="314">
        <v>0</v>
      </c>
      <c r="S70" s="157"/>
      <c r="T70" s="313">
        <f t="shared" si="73"/>
        <v>0</v>
      </c>
      <c r="U70" s="309">
        <v>0</v>
      </c>
      <c r="V70" s="314">
        <v>0</v>
      </c>
      <c r="W70" s="157"/>
      <c r="X70" s="313">
        <f t="shared" si="71"/>
        <v>0</v>
      </c>
      <c r="Y70" s="309">
        <v>0</v>
      </c>
      <c r="Z70" s="314">
        <v>0</v>
      </c>
      <c r="AA70" s="309"/>
      <c r="AB70" s="313">
        <f t="shared" si="9"/>
        <v>0</v>
      </c>
      <c r="AC70" s="309">
        <v>0</v>
      </c>
      <c r="AD70" s="314">
        <v>0</v>
      </c>
      <c r="AE70" s="157"/>
      <c r="AF70" s="313">
        <f t="shared" si="72"/>
        <v>0</v>
      </c>
      <c r="AG70" s="309">
        <v>0</v>
      </c>
      <c r="AH70" s="314">
        <v>0</v>
      </c>
      <c r="AI70" s="309"/>
      <c r="AJ70" s="310"/>
      <c r="AK70" s="310"/>
      <c r="AL70" s="309"/>
    </row>
    <row r="71" spans="1:38" x14ac:dyDescent="0.2">
      <c r="A71" s="86">
        <f t="shared" si="5"/>
        <v>64</v>
      </c>
      <c r="B71" s="725"/>
      <c r="C71" s="726" t="s">
        <v>9</v>
      </c>
      <c r="D71" s="157"/>
      <c r="E71" s="157">
        <f>ROUND('Allocation = ¢ per Therm'!K64,5)</f>
        <v>0</v>
      </c>
      <c r="F71" s="157">
        <f>ROUND('Allocation = % of Margin'!O61,5)</f>
        <v>-8.7000000000000001E-4</v>
      </c>
      <c r="G71" s="157">
        <f>ROUND('Allocation = % of Margin'!R61,5)</f>
        <v>-4.8000000000000001E-4</v>
      </c>
      <c r="H71" s="157">
        <f>ROUND('Allocation = % of Margin'!X61,5)</f>
        <v>-2.0000000000000002E-5</v>
      </c>
      <c r="I71" s="157"/>
      <c r="J71" s="564">
        <f>'WA Volumes &amp; Revenues'!F62</f>
        <v>0</v>
      </c>
      <c r="K71" s="298">
        <f>'Rev Req Proof Yr1'!R71</f>
        <v>0</v>
      </c>
      <c r="L71" s="299">
        <f>'Rev Req Proof Yr1'!S71</f>
        <v>0</v>
      </c>
      <c r="M71" s="300">
        <f>'Rev Req Proof Yr1'!T71</f>
        <v>0</v>
      </c>
      <c r="N71" s="301">
        <f>'Rev Req Proof Yr1'!U71</f>
        <v>0</v>
      </c>
      <c r="O71" s="157"/>
      <c r="P71" s="313">
        <f t="shared" si="70"/>
        <v>0</v>
      </c>
      <c r="Q71" s="309">
        <v>0</v>
      </c>
      <c r="R71" s="314">
        <v>0</v>
      </c>
      <c r="S71" s="157"/>
      <c r="T71" s="313">
        <f t="shared" si="73"/>
        <v>0</v>
      </c>
      <c r="U71" s="309">
        <v>0</v>
      </c>
      <c r="V71" s="314">
        <v>0</v>
      </c>
      <c r="W71" s="157"/>
      <c r="X71" s="313">
        <f t="shared" si="71"/>
        <v>0</v>
      </c>
      <c r="Y71" s="309">
        <v>0</v>
      </c>
      <c r="Z71" s="314">
        <v>0</v>
      </c>
      <c r="AA71" s="309"/>
      <c r="AB71" s="313">
        <f t="shared" si="9"/>
        <v>0</v>
      </c>
      <c r="AC71" s="309">
        <v>0</v>
      </c>
      <c r="AD71" s="314">
        <v>0</v>
      </c>
      <c r="AE71" s="157"/>
      <c r="AF71" s="313">
        <f t="shared" si="72"/>
        <v>0</v>
      </c>
      <c r="AG71" s="309">
        <v>0</v>
      </c>
      <c r="AH71" s="314">
        <v>0</v>
      </c>
      <c r="AI71" s="309"/>
      <c r="AJ71" s="310"/>
      <c r="AK71" s="310"/>
      <c r="AL71" s="309"/>
    </row>
    <row r="72" spans="1:38" x14ac:dyDescent="0.2">
      <c r="A72" s="86">
        <f t="shared" si="5"/>
        <v>65</v>
      </c>
      <c r="B72" s="723"/>
      <c r="C72" s="742" t="s">
        <v>78</v>
      </c>
      <c r="D72" s="153"/>
      <c r="E72" s="153"/>
      <c r="F72" s="153"/>
      <c r="G72" s="810"/>
      <c r="H72" s="810"/>
      <c r="I72" s="153"/>
      <c r="J72" s="564"/>
      <c r="K72" s="298"/>
      <c r="L72" s="299"/>
      <c r="M72" s="300"/>
      <c r="N72" s="301"/>
      <c r="O72" s="157"/>
      <c r="P72" s="315">
        <f>SUM(P66:P71)</f>
        <v>0</v>
      </c>
      <c r="Q72" s="316">
        <f>SUM(Q66:Q71)</f>
        <v>0</v>
      </c>
      <c r="R72" s="317">
        <f>SUM(R66:R71)</f>
        <v>0</v>
      </c>
      <c r="S72" s="157"/>
      <c r="T72" s="315">
        <f>SUM(T66:T71)</f>
        <v>-5153.5389999999998</v>
      </c>
      <c r="U72" s="316">
        <f>SUM(U66:U71)</f>
        <v>0</v>
      </c>
      <c r="V72" s="317">
        <f>SUM(V66:V71)</f>
        <v>0</v>
      </c>
      <c r="W72" s="157"/>
      <c r="X72" s="315">
        <f>SUM(X66:X71)</f>
        <v>-2849.6411599999997</v>
      </c>
      <c r="Y72" s="316">
        <f>SUM(Y66:Y71)</f>
        <v>0</v>
      </c>
      <c r="Z72" s="317">
        <f>SUM(Z66:Z71)</f>
        <v>0</v>
      </c>
      <c r="AA72" s="328"/>
      <c r="AB72" s="315">
        <f>SUM(AB66:AB71)</f>
        <v>-145.98303999999999</v>
      </c>
      <c r="AC72" s="316">
        <f>SUM(AC66:AC71)</f>
        <v>0</v>
      </c>
      <c r="AD72" s="317">
        <f>SUM(AD66:AD71)</f>
        <v>0</v>
      </c>
      <c r="AE72" s="157"/>
      <c r="AF72" s="315">
        <f>SUM(AF66:AF71)</f>
        <v>-8149.1632</v>
      </c>
      <c r="AG72" s="316">
        <f>SUM(AG66:AG71)</f>
        <v>0</v>
      </c>
      <c r="AH72" s="317">
        <f>SUM(AH66:AH71)</f>
        <v>0</v>
      </c>
      <c r="AI72" s="309"/>
      <c r="AJ72" s="319"/>
      <c r="AK72" s="310"/>
      <c r="AL72" s="309"/>
    </row>
    <row r="73" spans="1:38" x14ac:dyDescent="0.2">
      <c r="A73" s="86">
        <f t="shared" si="5"/>
        <v>66</v>
      </c>
      <c r="B73" s="725" t="str">
        <f>'Rev Req Proof Yr1'!B73</f>
        <v>42I Interr Sales</v>
      </c>
      <c r="C73" s="726" t="s">
        <v>4</v>
      </c>
      <c r="D73" s="157"/>
      <c r="E73" s="157">
        <f>ROUND('Allocation = ¢ per Therm'!K65,5)</f>
        <v>0</v>
      </c>
      <c r="F73" s="157">
        <f>ROUND('Allocation = % of Margin'!O62,5)</f>
        <v>0</v>
      </c>
      <c r="G73" s="157">
        <f>ROUND('Allocation = % of Margin'!R62,5)</f>
        <v>-4.7999999999999996E-3</v>
      </c>
      <c r="H73" s="157">
        <f>ROUND('Allocation = % of Margin'!X62,5)</f>
        <v>-2.4000000000000001E-4</v>
      </c>
      <c r="I73" s="157"/>
      <c r="J73" s="564">
        <f>'WA Volumes &amp; Revenues'!F63</f>
        <v>160966</v>
      </c>
      <c r="K73" s="298">
        <f>'Rev Req Proof Yr1'!R73</f>
        <v>156740</v>
      </c>
      <c r="L73" s="299">
        <f>'Rev Req Proof Yr1'!S73</f>
        <v>2934</v>
      </c>
      <c r="M73" s="300">
        <f>'Rev Req Proof Yr1'!T73</f>
        <v>1.9166666666666701</v>
      </c>
      <c r="N73" s="301">
        <f>'Rev Req Proof Yr1'!U73</f>
        <v>13758</v>
      </c>
      <c r="O73" s="157"/>
      <c r="P73" s="313">
        <f t="shared" ref="P73:P78" si="74">((E73)*K73)</f>
        <v>0</v>
      </c>
      <c r="Q73" s="309">
        <v>0</v>
      </c>
      <c r="R73" s="314">
        <v>0</v>
      </c>
      <c r="S73" s="157"/>
      <c r="T73" s="313">
        <f>((F73)*K73)</f>
        <v>0</v>
      </c>
      <c r="U73" s="309">
        <v>0</v>
      </c>
      <c r="V73" s="314">
        <v>0</v>
      </c>
      <c r="W73" s="157"/>
      <c r="X73" s="313">
        <f t="shared" ref="X73:X78" si="75">((G73)*K73)</f>
        <v>-752.35199999999998</v>
      </c>
      <c r="Y73" s="309">
        <v>0</v>
      </c>
      <c r="Z73" s="314">
        <v>0</v>
      </c>
      <c r="AA73" s="309"/>
      <c r="AB73" s="313">
        <f t="shared" si="9"/>
        <v>-37.617600000000003</v>
      </c>
      <c r="AC73" s="309">
        <v>0</v>
      </c>
      <c r="AD73" s="314">
        <v>0</v>
      </c>
      <c r="AE73" s="157"/>
      <c r="AF73" s="313">
        <f t="shared" ref="AF73:AF78" si="76">((E73+F73+G73+H73)*K73)</f>
        <v>-789.9695999999999</v>
      </c>
      <c r="AG73" s="309">
        <v>0</v>
      </c>
      <c r="AH73" s="314">
        <v>0</v>
      </c>
      <c r="AI73" s="309"/>
      <c r="AJ73" s="310"/>
      <c r="AK73" s="310"/>
      <c r="AL73" s="309"/>
    </row>
    <row r="74" spans="1:38" x14ac:dyDescent="0.2">
      <c r="A74" s="86">
        <f t="shared" ref="A74:A102" si="77">+A73+1</f>
        <v>67</v>
      </c>
      <c r="B74" s="725"/>
      <c r="C74" s="726" t="s">
        <v>5</v>
      </c>
      <c r="D74" s="157"/>
      <c r="E74" s="157">
        <f>ROUND('Allocation = ¢ per Therm'!K66,5)</f>
        <v>0</v>
      </c>
      <c r="F74" s="157">
        <f>ROUND('Allocation = % of Margin'!O63,5)</f>
        <v>0</v>
      </c>
      <c r="G74" s="157">
        <f>ROUND('Allocation = % of Margin'!R63,5)</f>
        <v>-4.3E-3</v>
      </c>
      <c r="H74" s="157">
        <f>ROUND('Allocation = % of Margin'!X63,5)</f>
        <v>-2.2000000000000001E-4</v>
      </c>
      <c r="I74" s="157"/>
      <c r="J74" s="564">
        <f>'WA Volumes &amp; Revenues'!F64</f>
        <v>145741</v>
      </c>
      <c r="K74" s="298">
        <f>'Rev Req Proof Yr1'!R74</f>
        <v>159690</v>
      </c>
      <c r="L74" s="299">
        <f>'Rev Req Proof Yr1'!S74</f>
        <v>0</v>
      </c>
      <c r="M74" s="300">
        <f>'Rev Req Proof Yr1'!T74</f>
        <v>0</v>
      </c>
      <c r="N74" s="301">
        <f>'Rev Req Proof Yr1'!U74</f>
        <v>0</v>
      </c>
      <c r="O74" s="157"/>
      <c r="P74" s="313">
        <f t="shared" si="74"/>
        <v>0</v>
      </c>
      <c r="Q74" s="309">
        <v>0</v>
      </c>
      <c r="R74" s="314">
        <v>0</v>
      </c>
      <c r="S74" s="157"/>
      <c r="T74" s="313">
        <f t="shared" ref="T74:T78" si="78">((F74)*K74)</f>
        <v>0</v>
      </c>
      <c r="U74" s="309">
        <v>0</v>
      </c>
      <c r="V74" s="314">
        <v>0</v>
      </c>
      <c r="W74" s="157"/>
      <c r="X74" s="313">
        <f t="shared" si="75"/>
        <v>-686.66700000000003</v>
      </c>
      <c r="Y74" s="309">
        <v>0</v>
      </c>
      <c r="Z74" s="314">
        <v>0</v>
      </c>
      <c r="AA74" s="309"/>
      <c r="AB74" s="313">
        <f t="shared" si="9"/>
        <v>-35.131799999999998</v>
      </c>
      <c r="AC74" s="309">
        <v>0</v>
      </c>
      <c r="AD74" s="314">
        <v>0</v>
      </c>
      <c r="AE74" s="157"/>
      <c r="AF74" s="313">
        <f t="shared" si="76"/>
        <v>-721.79879999999991</v>
      </c>
      <c r="AG74" s="309">
        <v>0</v>
      </c>
      <c r="AH74" s="314">
        <v>0</v>
      </c>
      <c r="AI74" s="309"/>
      <c r="AJ74" s="310"/>
      <c r="AK74" s="310"/>
      <c r="AL74" s="309"/>
    </row>
    <row r="75" spans="1:38" x14ac:dyDescent="0.2">
      <c r="A75" s="86">
        <f t="shared" si="77"/>
        <v>68</v>
      </c>
      <c r="B75" s="725"/>
      <c r="C75" s="726" t="s">
        <v>6</v>
      </c>
      <c r="D75" s="157"/>
      <c r="E75" s="157">
        <f>ROUND('Allocation = ¢ per Therm'!K67,5)</f>
        <v>0</v>
      </c>
      <c r="F75" s="157">
        <f>ROUND('Allocation = % of Margin'!O64,5)</f>
        <v>0</v>
      </c>
      <c r="G75" s="157">
        <f>ROUND('Allocation = % of Margin'!R64,5)</f>
        <v>-3.3E-3</v>
      </c>
      <c r="H75" s="157">
        <f>ROUND('Allocation = % of Margin'!X64,5)</f>
        <v>-1.7000000000000001E-4</v>
      </c>
      <c r="I75" s="157"/>
      <c r="J75" s="564">
        <f>'WA Volumes &amp; Revenues'!F65</f>
        <v>0</v>
      </c>
      <c r="K75" s="298">
        <f>'Rev Req Proof Yr1'!R75</f>
        <v>0</v>
      </c>
      <c r="L75" s="299">
        <f>'Rev Req Proof Yr1'!S75</f>
        <v>0</v>
      </c>
      <c r="M75" s="300">
        <f>'Rev Req Proof Yr1'!T75</f>
        <v>0</v>
      </c>
      <c r="N75" s="301">
        <f>'Rev Req Proof Yr1'!U75</f>
        <v>0</v>
      </c>
      <c r="O75" s="157"/>
      <c r="P75" s="313">
        <f t="shared" si="74"/>
        <v>0</v>
      </c>
      <c r="Q75" s="309">
        <v>0</v>
      </c>
      <c r="R75" s="314">
        <v>0</v>
      </c>
      <c r="S75" s="157"/>
      <c r="T75" s="313">
        <f t="shared" si="78"/>
        <v>0</v>
      </c>
      <c r="U75" s="309">
        <v>0</v>
      </c>
      <c r="V75" s="314">
        <v>0</v>
      </c>
      <c r="W75" s="157"/>
      <c r="X75" s="313">
        <f t="shared" si="75"/>
        <v>0</v>
      </c>
      <c r="Y75" s="309">
        <v>0</v>
      </c>
      <c r="Z75" s="314">
        <v>0</v>
      </c>
      <c r="AA75" s="309"/>
      <c r="AB75" s="313">
        <f t="shared" si="9"/>
        <v>0</v>
      </c>
      <c r="AC75" s="309">
        <v>0</v>
      </c>
      <c r="AD75" s="314">
        <v>0</v>
      </c>
      <c r="AE75" s="157"/>
      <c r="AF75" s="313">
        <f t="shared" si="76"/>
        <v>0</v>
      </c>
      <c r="AG75" s="309">
        <v>0</v>
      </c>
      <c r="AH75" s="314">
        <v>0</v>
      </c>
      <c r="AI75" s="309"/>
      <c r="AJ75" s="310"/>
      <c r="AK75" s="310"/>
      <c r="AL75" s="309"/>
    </row>
    <row r="76" spans="1:38" x14ac:dyDescent="0.2">
      <c r="A76" s="86">
        <f t="shared" si="77"/>
        <v>69</v>
      </c>
      <c r="B76" s="725"/>
      <c r="C76" s="726" t="s">
        <v>7</v>
      </c>
      <c r="D76" s="157"/>
      <c r="E76" s="157">
        <f>ROUND('Allocation = ¢ per Therm'!K68,5)</f>
        <v>0</v>
      </c>
      <c r="F76" s="157">
        <f>ROUND('Allocation = % of Margin'!O65,5)</f>
        <v>0</v>
      </c>
      <c r="G76" s="157">
        <f>ROUND('Allocation = % of Margin'!R65,5)</f>
        <v>-2.64E-3</v>
      </c>
      <c r="H76" s="157">
        <f>ROUND('Allocation = % of Margin'!X65,5)</f>
        <v>-1.2999999999999999E-4</v>
      </c>
      <c r="I76" s="157"/>
      <c r="J76" s="564">
        <f>'WA Volumes &amp; Revenues'!F66</f>
        <v>0</v>
      </c>
      <c r="K76" s="298">
        <f>'Rev Req Proof Yr1'!R76</f>
        <v>0</v>
      </c>
      <c r="L76" s="299">
        <f>'Rev Req Proof Yr1'!S76</f>
        <v>0</v>
      </c>
      <c r="M76" s="300">
        <f>'Rev Req Proof Yr1'!T76</f>
        <v>0</v>
      </c>
      <c r="N76" s="301">
        <f>'Rev Req Proof Yr1'!U76</f>
        <v>0</v>
      </c>
      <c r="O76" s="157"/>
      <c r="P76" s="313">
        <f t="shared" si="74"/>
        <v>0</v>
      </c>
      <c r="Q76" s="309">
        <v>0</v>
      </c>
      <c r="R76" s="314">
        <v>0</v>
      </c>
      <c r="S76" s="157"/>
      <c r="T76" s="313">
        <f t="shared" si="78"/>
        <v>0</v>
      </c>
      <c r="U76" s="309">
        <v>0</v>
      </c>
      <c r="V76" s="314">
        <v>0</v>
      </c>
      <c r="W76" s="157"/>
      <c r="X76" s="313">
        <f t="shared" si="75"/>
        <v>0</v>
      </c>
      <c r="Y76" s="309">
        <v>0</v>
      </c>
      <c r="Z76" s="314">
        <v>0</v>
      </c>
      <c r="AA76" s="309"/>
      <c r="AB76" s="313">
        <f t="shared" si="9"/>
        <v>0</v>
      </c>
      <c r="AC76" s="309">
        <v>0</v>
      </c>
      <c r="AD76" s="314">
        <v>0</v>
      </c>
      <c r="AE76" s="157"/>
      <c r="AF76" s="313">
        <f t="shared" si="76"/>
        <v>0</v>
      </c>
      <c r="AG76" s="309">
        <v>0</v>
      </c>
      <c r="AH76" s="314">
        <v>0</v>
      </c>
      <c r="AI76" s="309"/>
      <c r="AJ76" s="310"/>
      <c r="AK76" s="310"/>
      <c r="AL76" s="309"/>
    </row>
    <row r="77" spans="1:38" x14ac:dyDescent="0.2">
      <c r="A77" s="86">
        <f t="shared" si="77"/>
        <v>70</v>
      </c>
      <c r="B77" s="725"/>
      <c r="C77" s="726" t="s">
        <v>8</v>
      </c>
      <c r="D77" s="157"/>
      <c r="E77" s="157">
        <f>ROUND('Allocation = ¢ per Therm'!K69,5)</f>
        <v>0</v>
      </c>
      <c r="F77" s="157">
        <f>ROUND('Allocation = % of Margin'!O66,5)</f>
        <v>0</v>
      </c>
      <c r="G77" s="157">
        <f>ROUND('Allocation = % of Margin'!R66,5)</f>
        <v>-1.7600000000000001E-3</v>
      </c>
      <c r="H77" s="157">
        <f>ROUND('Allocation = % of Margin'!X66,5)</f>
        <v>-9.0000000000000006E-5</v>
      </c>
      <c r="I77" s="157"/>
      <c r="J77" s="564">
        <f>'WA Volumes &amp; Revenues'!F67</f>
        <v>0</v>
      </c>
      <c r="K77" s="298">
        <f>'Rev Req Proof Yr1'!R77</f>
        <v>0</v>
      </c>
      <c r="L77" s="299">
        <f>'Rev Req Proof Yr1'!S77</f>
        <v>0</v>
      </c>
      <c r="M77" s="300">
        <f>'Rev Req Proof Yr1'!T77</f>
        <v>0</v>
      </c>
      <c r="N77" s="301">
        <f>'Rev Req Proof Yr1'!U77</f>
        <v>0</v>
      </c>
      <c r="O77" s="157"/>
      <c r="P77" s="313">
        <f t="shared" si="74"/>
        <v>0</v>
      </c>
      <c r="Q77" s="309">
        <v>0</v>
      </c>
      <c r="R77" s="314">
        <v>0</v>
      </c>
      <c r="S77" s="157"/>
      <c r="T77" s="313">
        <f t="shared" si="78"/>
        <v>0</v>
      </c>
      <c r="U77" s="309">
        <v>0</v>
      </c>
      <c r="V77" s="314">
        <v>0</v>
      </c>
      <c r="W77" s="157"/>
      <c r="X77" s="313">
        <f t="shared" si="75"/>
        <v>0</v>
      </c>
      <c r="Y77" s="309">
        <v>0</v>
      </c>
      <c r="Z77" s="314">
        <v>0</v>
      </c>
      <c r="AA77" s="309"/>
      <c r="AB77" s="313">
        <f t="shared" si="9"/>
        <v>0</v>
      </c>
      <c r="AC77" s="309">
        <v>0</v>
      </c>
      <c r="AD77" s="314">
        <v>0</v>
      </c>
      <c r="AE77" s="157"/>
      <c r="AF77" s="313">
        <f t="shared" si="76"/>
        <v>0</v>
      </c>
      <c r="AG77" s="309">
        <v>0</v>
      </c>
      <c r="AH77" s="314">
        <v>0</v>
      </c>
      <c r="AI77" s="309"/>
      <c r="AJ77" s="310"/>
      <c r="AK77" s="310"/>
      <c r="AL77" s="309"/>
    </row>
    <row r="78" spans="1:38" x14ac:dyDescent="0.2">
      <c r="A78" s="86">
        <f t="shared" si="77"/>
        <v>71</v>
      </c>
      <c r="B78" s="725"/>
      <c r="C78" s="726" t="s">
        <v>9</v>
      </c>
      <c r="D78" s="157"/>
      <c r="E78" s="157">
        <f>ROUND('Allocation = ¢ per Therm'!K70,5)</f>
        <v>0</v>
      </c>
      <c r="F78" s="157">
        <f>ROUND('Allocation = % of Margin'!O67,5)</f>
        <v>0</v>
      </c>
      <c r="G78" s="157">
        <f>ROUND('Allocation = % of Margin'!R67,5)</f>
        <v>-6.6E-4</v>
      </c>
      <c r="H78" s="157">
        <f>ROUND('Allocation = % of Margin'!X67,5)</f>
        <v>-3.0000000000000001E-5</v>
      </c>
      <c r="I78" s="157"/>
      <c r="J78" s="564">
        <f>'WA Volumes &amp; Revenues'!F68</f>
        <v>0</v>
      </c>
      <c r="K78" s="298">
        <f>'Rev Req Proof Yr1'!R78</f>
        <v>0</v>
      </c>
      <c r="L78" s="299">
        <f>'Rev Req Proof Yr1'!S78</f>
        <v>0</v>
      </c>
      <c r="M78" s="300">
        <f>'Rev Req Proof Yr1'!T78</f>
        <v>0</v>
      </c>
      <c r="N78" s="301">
        <f>'Rev Req Proof Yr1'!U78</f>
        <v>0</v>
      </c>
      <c r="O78" s="157"/>
      <c r="P78" s="313">
        <f t="shared" si="74"/>
        <v>0</v>
      </c>
      <c r="Q78" s="309">
        <v>0</v>
      </c>
      <c r="R78" s="314">
        <v>0</v>
      </c>
      <c r="S78" s="157"/>
      <c r="T78" s="313">
        <f t="shared" si="78"/>
        <v>0</v>
      </c>
      <c r="U78" s="309">
        <v>0</v>
      </c>
      <c r="V78" s="314">
        <v>0</v>
      </c>
      <c r="W78" s="157"/>
      <c r="X78" s="313">
        <f t="shared" si="75"/>
        <v>0</v>
      </c>
      <c r="Y78" s="309">
        <v>0</v>
      </c>
      <c r="Z78" s="314">
        <v>0</v>
      </c>
      <c r="AA78" s="309"/>
      <c r="AB78" s="313">
        <f t="shared" si="9"/>
        <v>0</v>
      </c>
      <c r="AC78" s="309">
        <v>0</v>
      </c>
      <c r="AD78" s="314">
        <v>0</v>
      </c>
      <c r="AE78" s="157"/>
      <c r="AF78" s="313">
        <f t="shared" si="76"/>
        <v>0</v>
      </c>
      <c r="AG78" s="309">
        <v>0</v>
      </c>
      <c r="AH78" s="314">
        <v>0</v>
      </c>
      <c r="AI78" s="309"/>
      <c r="AJ78" s="310"/>
      <c r="AK78" s="310"/>
      <c r="AL78" s="309"/>
    </row>
    <row r="79" spans="1:38" x14ac:dyDescent="0.2">
      <c r="A79" s="86">
        <f t="shared" si="77"/>
        <v>72</v>
      </c>
      <c r="B79" s="723"/>
      <c r="C79" s="742" t="s">
        <v>78</v>
      </c>
      <c r="D79" s="153"/>
      <c r="E79" s="153"/>
      <c r="F79" s="153"/>
      <c r="G79" s="810"/>
      <c r="H79" s="810"/>
      <c r="I79" s="153"/>
      <c r="J79" s="564"/>
      <c r="K79" s="298"/>
      <c r="L79" s="299"/>
      <c r="M79" s="300"/>
      <c r="N79" s="301"/>
      <c r="O79" s="157"/>
      <c r="P79" s="315">
        <f>SUM(P73:P78)</f>
        <v>0</v>
      </c>
      <c r="Q79" s="316">
        <f>SUM(Q73:Q78)</f>
        <v>0</v>
      </c>
      <c r="R79" s="317">
        <f>SUM(R73:R78)</f>
        <v>0</v>
      </c>
      <c r="S79" s="157"/>
      <c r="T79" s="315">
        <f>SUM(T73:T78)</f>
        <v>0</v>
      </c>
      <c r="U79" s="316">
        <f>SUM(U73:U78)</f>
        <v>0</v>
      </c>
      <c r="V79" s="317">
        <f>SUM(V73:V78)</f>
        <v>0</v>
      </c>
      <c r="W79" s="157"/>
      <c r="X79" s="315">
        <f>SUM(X73:X78)</f>
        <v>-1439.019</v>
      </c>
      <c r="Y79" s="316">
        <f>SUM(Y73:Y78)</f>
        <v>0</v>
      </c>
      <c r="Z79" s="317">
        <f>SUM(Z73:Z78)</f>
        <v>0</v>
      </c>
      <c r="AA79" s="328"/>
      <c r="AB79" s="315">
        <f>SUM(AB73:AB78)</f>
        <v>-72.749400000000009</v>
      </c>
      <c r="AC79" s="316">
        <f>SUM(AC73:AC78)</f>
        <v>0</v>
      </c>
      <c r="AD79" s="317">
        <f>SUM(AD73:AD78)</f>
        <v>0</v>
      </c>
      <c r="AE79" s="157"/>
      <c r="AF79" s="315">
        <f>SUM(AF73:AF78)</f>
        <v>-1511.7683999999999</v>
      </c>
      <c r="AG79" s="316">
        <f>SUM(AG73:AG78)</f>
        <v>0</v>
      </c>
      <c r="AH79" s="317">
        <f>SUM(AH73:AH78)</f>
        <v>0</v>
      </c>
      <c r="AI79" s="309"/>
      <c r="AJ79" s="310"/>
      <c r="AK79" s="310"/>
      <c r="AL79" s="309"/>
    </row>
    <row r="80" spans="1:38" x14ac:dyDescent="0.2">
      <c r="A80" s="86">
        <f t="shared" si="77"/>
        <v>73</v>
      </c>
      <c r="B80" s="725" t="str">
        <f>'Avg Bill by RS'!B73</f>
        <v>42I Interr Sales</v>
      </c>
      <c r="C80" s="726" t="s">
        <v>4</v>
      </c>
      <c r="D80" s="162"/>
      <c r="E80" s="157">
        <f>ROUND('Allocation = ¢ per Therm'!K71,5)</f>
        <v>0</v>
      </c>
      <c r="F80" s="157">
        <f>ROUND('Allocation = % of Margin'!O68,5)</f>
        <v>0</v>
      </c>
      <c r="G80" s="157">
        <f>ROUND('Allocation = % of Margin'!R68,5)</f>
        <v>-2.3800000000000002E-3</v>
      </c>
      <c r="H80" s="157">
        <f>ROUND('Allocation = % of Margin'!X68,5)</f>
        <v>-1.2E-4</v>
      </c>
      <c r="I80" s="162"/>
      <c r="J80" s="564">
        <f>'WA Volumes &amp; Revenues'!F69</f>
        <v>0</v>
      </c>
      <c r="K80" s="298">
        <f>'Rev Req Proof Yr1'!R80</f>
        <v>0</v>
      </c>
      <c r="L80" s="299">
        <f>'Rev Req Proof Yr1'!S80</f>
        <v>0</v>
      </c>
      <c r="M80" s="300">
        <f>'Rev Req Proof Yr1'!T80</f>
        <v>0</v>
      </c>
      <c r="N80" s="301">
        <f>'Rev Req Proof Yr1'!U80</f>
        <v>0</v>
      </c>
      <c r="O80" s="162"/>
      <c r="P80" s="313">
        <f t="shared" ref="P80:P85" si="79">((E80)*K80)</f>
        <v>0</v>
      </c>
      <c r="Q80" s="309">
        <v>0</v>
      </c>
      <c r="R80" s="314">
        <v>0</v>
      </c>
      <c r="S80" s="162"/>
      <c r="T80" s="313">
        <f>((F80)*K80)</f>
        <v>0</v>
      </c>
      <c r="U80" s="309">
        <v>0</v>
      </c>
      <c r="V80" s="314">
        <v>0</v>
      </c>
      <c r="W80" s="162"/>
      <c r="X80" s="313">
        <f t="shared" ref="X80:X85" si="80">((G80)*K80)</f>
        <v>0</v>
      </c>
      <c r="Y80" s="309">
        <v>0</v>
      </c>
      <c r="Z80" s="314">
        <v>0</v>
      </c>
      <c r="AA80" s="309"/>
      <c r="AB80" s="313">
        <f t="shared" si="9"/>
        <v>0</v>
      </c>
      <c r="AC80" s="309">
        <v>0</v>
      </c>
      <c r="AD80" s="314">
        <v>0</v>
      </c>
      <c r="AE80" s="162"/>
      <c r="AF80" s="313">
        <f t="shared" ref="AF80:AF85" si="81">((E80+F80+G80+H80)*K80)</f>
        <v>0</v>
      </c>
      <c r="AG80" s="309">
        <v>0</v>
      </c>
      <c r="AH80" s="314">
        <v>0</v>
      </c>
      <c r="AI80" s="320"/>
      <c r="AJ80" s="310"/>
      <c r="AK80" s="310"/>
      <c r="AL80" s="320"/>
    </row>
    <row r="81" spans="1:38" x14ac:dyDescent="0.2">
      <c r="A81" s="86">
        <f t="shared" si="77"/>
        <v>74</v>
      </c>
      <c r="B81" s="725"/>
      <c r="C81" s="726" t="s">
        <v>5</v>
      </c>
      <c r="D81" s="162"/>
      <c r="E81" s="157">
        <f>ROUND('Allocation = ¢ per Therm'!K72,5)</f>
        <v>0</v>
      </c>
      <c r="F81" s="157">
        <f>ROUND('Allocation = % of Margin'!O69,5)</f>
        <v>0</v>
      </c>
      <c r="G81" s="157">
        <f>ROUND('Allocation = % of Margin'!R69,5)</f>
        <v>-2.1299999999999999E-3</v>
      </c>
      <c r="H81" s="157">
        <f>ROUND('Allocation = % of Margin'!X69,5)</f>
        <v>-1.1E-4</v>
      </c>
      <c r="I81" s="162"/>
      <c r="J81" s="564">
        <f>'WA Volumes &amp; Revenues'!F70</f>
        <v>0</v>
      </c>
      <c r="K81" s="298">
        <f>'Rev Req Proof Yr1'!R81</f>
        <v>0</v>
      </c>
      <c r="L81" s="299">
        <f>'Rev Req Proof Yr1'!S81</f>
        <v>0</v>
      </c>
      <c r="M81" s="300">
        <f>'Rev Req Proof Yr1'!T81</f>
        <v>0</v>
      </c>
      <c r="N81" s="301">
        <f>'Rev Req Proof Yr1'!U81</f>
        <v>0</v>
      </c>
      <c r="O81" s="162"/>
      <c r="P81" s="313">
        <f t="shared" si="79"/>
        <v>0</v>
      </c>
      <c r="Q81" s="309">
        <v>0</v>
      </c>
      <c r="R81" s="314">
        <v>0</v>
      </c>
      <c r="S81" s="162"/>
      <c r="T81" s="313">
        <f t="shared" ref="T81:T85" si="82">((F81)*K81)</f>
        <v>0</v>
      </c>
      <c r="U81" s="309">
        <v>0</v>
      </c>
      <c r="V81" s="314">
        <v>0</v>
      </c>
      <c r="W81" s="162"/>
      <c r="X81" s="313">
        <f t="shared" si="80"/>
        <v>0</v>
      </c>
      <c r="Y81" s="309">
        <v>0</v>
      </c>
      <c r="Z81" s="314">
        <v>0</v>
      </c>
      <c r="AA81" s="309"/>
      <c r="AB81" s="313">
        <f t="shared" ref="AB81:AB85" si="83">((H81)*K81)</f>
        <v>0</v>
      </c>
      <c r="AC81" s="309">
        <v>0</v>
      </c>
      <c r="AD81" s="314">
        <v>0</v>
      </c>
      <c r="AE81" s="162"/>
      <c r="AF81" s="313">
        <f t="shared" si="81"/>
        <v>0</v>
      </c>
      <c r="AG81" s="309">
        <v>0</v>
      </c>
      <c r="AH81" s="314">
        <v>0</v>
      </c>
      <c r="AI81" s="320"/>
      <c r="AJ81" s="310"/>
      <c r="AK81" s="156"/>
      <c r="AL81" s="320"/>
    </row>
    <row r="82" spans="1:38" x14ac:dyDescent="0.2">
      <c r="A82" s="86">
        <f t="shared" si="77"/>
        <v>75</v>
      </c>
      <c r="B82" s="725"/>
      <c r="C82" s="726" t="s">
        <v>6</v>
      </c>
      <c r="D82" s="162"/>
      <c r="E82" s="157">
        <f>ROUND('Allocation = ¢ per Therm'!K73,5)</f>
        <v>0</v>
      </c>
      <c r="F82" s="157">
        <f>ROUND('Allocation = % of Margin'!O70,5)</f>
        <v>0</v>
      </c>
      <c r="G82" s="157">
        <f>ROUND('Allocation = % of Margin'!R70,5)</f>
        <v>-1.6299999999999999E-3</v>
      </c>
      <c r="H82" s="157">
        <f>ROUND('Allocation = % of Margin'!X70,5)</f>
        <v>-8.0000000000000007E-5</v>
      </c>
      <c r="I82" s="162"/>
      <c r="J82" s="564">
        <f>'WA Volumes &amp; Revenues'!F71</f>
        <v>0</v>
      </c>
      <c r="K82" s="298">
        <f>'Rev Req Proof Yr1'!R82</f>
        <v>0</v>
      </c>
      <c r="L82" s="299">
        <f>'Rev Req Proof Yr1'!S82</f>
        <v>0</v>
      </c>
      <c r="M82" s="300">
        <f>'Rev Req Proof Yr1'!T82</f>
        <v>0</v>
      </c>
      <c r="N82" s="301">
        <f>'Rev Req Proof Yr1'!U82</f>
        <v>0</v>
      </c>
      <c r="O82" s="162"/>
      <c r="P82" s="313">
        <f t="shared" si="79"/>
        <v>0</v>
      </c>
      <c r="Q82" s="309">
        <v>0</v>
      </c>
      <c r="R82" s="314">
        <v>0</v>
      </c>
      <c r="S82" s="162"/>
      <c r="T82" s="313">
        <f t="shared" si="82"/>
        <v>0</v>
      </c>
      <c r="U82" s="309">
        <v>0</v>
      </c>
      <c r="V82" s="314">
        <v>0</v>
      </c>
      <c r="W82" s="162"/>
      <c r="X82" s="313">
        <f t="shared" si="80"/>
        <v>0</v>
      </c>
      <c r="Y82" s="309">
        <v>0</v>
      </c>
      <c r="Z82" s="314">
        <v>0</v>
      </c>
      <c r="AA82" s="309"/>
      <c r="AB82" s="313">
        <f t="shared" si="83"/>
        <v>0</v>
      </c>
      <c r="AC82" s="309">
        <v>0</v>
      </c>
      <c r="AD82" s="314">
        <v>0</v>
      </c>
      <c r="AE82" s="162"/>
      <c r="AF82" s="313">
        <f t="shared" si="81"/>
        <v>0</v>
      </c>
      <c r="AG82" s="309">
        <v>0</v>
      </c>
      <c r="AH82" s="314">
        <v>0</v>
      </c>
      <c r="AI82" s="320"/>
      <c r="AJ82" s="310"/>
      <c r="AK82" s="156"/>
      <c r="AL82" s="320"/>
    </row>
    <row r="83" spans="1:38" x14ac:dyDescent="0.2">
      <c r="A83" s="86">
        <f t="shared" si="77"/>
        <v>76</v>
      </c>
      <c r="B83" s="725"/>
      <c r="C83" s="726" t="s">
        <v>7</v>
      </c>
      <c r="D83" s="162"/>
      <c r="E83" s="157">
        <f>ROUND('Allocation = ¢ per Therm'!K74,5)</f>
        <v>0</v>
      </c>
      <c r="F83" s="157">
        <f>ROUND('Allocation = % of Margin'!O71,5)</f>
        <v>0</v>
      </c>
      <c r="G83" s="157">
        <f>ROUND('Allocation = % of Margin'!R71,5)</f>
        <v>-1.31E-3</v>
      </c>
      <c r="H83" s="157">
        <f>ROUND('Allocation = % of Margin'!X71,5)</f>
        <v>-6.9999999999999994E-5</v>
      </c>
      <c r="I83" s="162"/>
      <c r="J83" s="564">
        <f>'WA Volumes &amp; Revenues'!F72</f>
        <v>0</v>
      </c>
      <c r="K83" s="298">
        <f>'Rev Req Proof Yr1'!R83</f>
        <v>0</v>
      </c>
      <c r="L83" s="299">
        <f>'Rev Req Proof Yr1'!S83</f>
        <v>0</v>
      </c>
      <c r="M83" s="300">
        <f>'Rev Req Proof Yr1'!T83</f>
        <v>0</v>
      </c>
      <c r="N83" s="301">
        <f>'Rev Req Proof Yr1'!U83</f>
        <v>0</v>
      </c>
      <c r="O83" s="162"/>
      <c r="P83" s="313">
        <f t="shared" si="79"/>
        <v>0</v>
      </c>
      <c r="Q83" s="309">
        <v>0</v>
      </c>
      <c r="R83" s="314">
        <v>0</v>
      </c>
      <c r="S83" s="162"/>
      <c r="T83" s="313">
        <f t="shared" si="82"/>
        <v>0</v>
      </c>
      <c r="U83" s="309">
        <v>0</v>
      </c>
      <c r="V83" s="314">
        <v>0</v>
      </c>
      <c r="W83" s="162"/>
      <c r="X83" s="313">
        <f t="shared" si="80"/>
        <v>0</v>
      </c>
      <c r="Y83" s="309">
        <v>0</v>
      </c>
      <c r="Z83" s="314">
        <v>0</v>
      </c>
      <c r="AA83" s="309"/>
      <c r="AB83" s="313">
        <f t="shared" si="83"/>
        <v>0</v>
      </c>
      <c r="AC83" s="309">
        <v>0</v>
      </c>
      <c r="AD83" s="314">
        <v>0</v>
      </c>
      <c r="AE83" s="162"/>
      <c r="AF83" s="313">
        <f t="shared" si="81"/>
        <v>0</v>
      </c>
      <c r="AG83" s="309">
        <v>0</v>
      </c>
      <c r="AH83" s="314">
        <v>0</v>
      </c>
      <c r="AI83" s="320"/>
      <c r="AJ83" s="310"/>
      <c r="AK83" s="156"/>
      <c r="AL83" s="320"/>
    </row>
    <row r="84" spans="1:38" x14ac:dyDescent="0.2">
      <c r="A84" s="86">
        <f t="shared" si="77"/>
        <v>77</v>
      </c>
      <c r="B84" s="725"/>
      <c r="C84" s="726" t="s">
        <v>8</v>
      </c>
      <c r="D84" s="162"/>
      <c r="E84" s="157">
        <f>ROUND('Allocation = ¢ per Therm'!K75,5)</f>
        <v>0</v>
      </c>
      <c r="F84" s="157">
        <f>ROUND('Allocation = % of Margin'!O72,5)</f>
        <v>0</v>
      </c>
      <c r="G84" s="157">
        <f>ROUND('Allocation = % of Margin'!R72,5)</f>
        <v>-8.7000000000000001E-4</v>
      </c>
      <c r="H84" s="157">
        <f>ROUND('Allocation = % of Margin'!X72,5)</f>
        <v>-4.0000000000000003E-5</v>
      </c>
      <c r="I84" s="162"/>
      <c r="J84" s="564">
        <f>'WA Volumes &amp; Revenues'!F73</f>
        <v>0</v>
      </c>
      <c r="K84" s="298">
        <f>'Rev Req Proof Yr1'!R84</f>
        <v>0</v>
      </c>
      <c r="L84" s="299">
        <f>'Rev Req Proof Yr1'!S84</f>
        <v>0</v>
      </c>
      <c r="M84" s="300">
        <f>'Rev Req Proof Yr1'!T84</f>
        <v>0</v>
      </c>
      <c r="N84" s="301">
        <f>'Rev Req Proof Yr1'!U84</f>
        <v>0</v>
      </c>
      <c r="O84" s="162"/>
      <c r="P84" s="313">
        <f t="shared" si="79"/>
        <v>0</v>
      </c>
      <c r="Q84" s="309">
        <v>0</v>
      </c>
      <c r="R84" s="314">
        <v>0</v>
      </c>
      <c r="S84" s="162"/>
      <c r="T84" s="313">
        <f t="shared" si="82"/>
        <v>0</v>
      </c>
      <c r="U84" s="309">
        <v>0</v>
      </c>
      <c r="V84" s="314">
        <v>0</v>
      </c>
      <c r="W84" s="162"/>
      <c r="X84" s="313">
        <f t="shared" si="80"/>
        <v>0</v>
      </c>
      <c r="Y84" s="309">
        <v>0</v>
      </c>
      <c r="Z84" s="314">
        <v>0</v>
      </c>
      <c r="AA84" s="309"/>
      <c r="AB84" s="313">
        <f t="shared" si="83"/>
        <v>0</v>
      </c>
      <c r="AC84" s="309">
        <v>0</v>
      </c>
      <c r="AD84" s="314">
        <v>0</v>
      </c>
      <c r="AE84" s="162"/>
      <c r="AF84" s="313">
        <f t="shared" si="81"/>
        <v>0</v>
      </c>
      <c r="AG84" s="309">
        <v>0</v>
      </c>
      <c r="AH84" s="314">
        <v>0</v>
      </c>
      <c r="AI84" s="320"/>
      <c r="AJ84" s="310"/>
      <c r="AK84" s="154"/>
      <c r="AL84" s="320"/>
    </row>
    <row r="85" spans="1:38" x14ac:dyDescent="0.2">
      <c r="A85" s="86">
        <f t="shared" si="77"/>
        <v>78</v>
      </c>
      <c r="B85" s="725"/>
      <c r="C85" s="726" t="s">
        <v>9</v>
      </c>
      <c r="D85" s="162"/>
      <c r="E85" s="157">
        <f>ROUND('Allocation = ¢ per Therm'!K76,5)</f>
        <v>0</v>
      </c>
      <c r="F85" s="157">
        <f>ROUND('Allocation = % of Margin'!O73,5)</f>
        <v>0</v>
      </c>
      <c r="G85" s="157">
        <f>ROUND('Allocation = % of Margin'!R73,5)</f>
        <v>-3.3E-4</v>
      </c>
      <c r="H85" s="157">
        <f>ROUND('Allocation = % of Margin'!X73,5)</f>
        <v>-2.0000000000000002E-5</v>
      </c>
      <c r="I85" s="162"/>
      <c r="J85" s="564">
        <f>'WA Volumes &amp; Revenues'!F74</f>
        <v>0</v>
      </c>
      <c r="K85" s="298">
        <f>'Rev Req Proof Yr1'!R85</f>
        <v>0</v>
      </c>
      <c r="L85" s="299">
        <f>'Rev Req Proof Yr1'!S85</f>
        <v>0</v>
      </c>
      <c r="M85" s="300">
        <f>'Rev Req Proof Yr1'!T85</f>
        <v>0</v>
      </c>
      <c r="N85" s="301">
        <f>'Rev Req Proof Yr1'!U85</f>
        <v>0</v>
      </c>
      <c r="O85" s="162"/>
      <c r="P85" s="313">
        <f t="shared" si="79"/>
        <v>0</v>
      </c>
      <c r="Q85" s="309">
        <v>0</v>
      </c>
      <c r="R85" s="314">
        <v>0</v>
      </c>
      <c r="S85" s="162"/>
      <c r="T85" s="313">
        <f t="shared" si="82"/>
        <v>0</v>
      </c>
      <c r="U85" s="309">
        <v>0</v>
      </c>
      <c r="V85" s="314">
        <v>0</v>
      </c>
      <c r="W85" s="162"/>
      <c r="X85" s="313">
        <f t="shared" si="80"/>
        <v>0</v>
      </c>
      <c r="Y85" s="309">
        <v>0</v>
      </c>
      <c r="Z85" s="314">
        <v>0</v>
      </c>
      <c r="AA85" s="309"/>
      <c r="AB85" s="313">
        <f t="shared" si="83"/>
        <v>0</v>
      </c>
      <c r="AC85" s="309">
        <v>0</v>
      </c>
      <c r="AD85" s="314">
        <v>0</v>
      </c>
      <c r="AE85" s="162"/>
      <c r="AF85" s="313">
        <f t="shared" si="81"/>
        <v>0</v>
      </c>
      <c r="AG85" s="309">
        <v>0</v>
      </c>
      <c r="AH85" s="314">
        <v>0</v>
      </c>
      <c r="AI85" s="320"/>
      <c r="AJ85" s="310"/>
      <c r="AK85" s="154"/>
      <c r="AL85" s="320"/>
    </row>
    <row r="86" spans="1:38" x14ac:dyDescent="0.2">
      <c r="A86" s="86">
        <f t="shared" si="77"/>
        <v>79</v>
      </c>
      <c r="B86" s="723"/>
      <c r="C86" s="742" t="s">
        <v>78</v>
      </c>
      <c r="D86" s="163"/>
      <c r="E86" s="153"/>
      <c r="F86" s="153"/>
      <c r="G86" s="810"/>
      <c r="H86" s="810"/>
      <c r="I86" s="163"/>
      <c r="J86" s="563"/>
      <c r="K86" s="298"/>
      <c r="L86" s="157"/>
      <c r="M86" s="157"/>
      <c r="N86" s="158"/>
      <c r="O86" s="162"/>
      <c r="P86" s="315">
        <f>SUM(P80:P85)</f>
        <v>0</v>
      </c>
      <c r="Q86" s="316">
        <f>SUM(Q80:Q85)</f>
        <v>0</v>
      </c>
      <c r="R86" s="317">
        <f>SUM(R80:R85)</f>
        <v>0</v>
      </c>
      <c r="S86" s="162"/>
      <c r="T86" s="315">
        <f>SUM(T80:T85)</f>
        <v>0</v>
      </c>
      <c r="U86" s="316">
        <f>SUM(U80:U85)</f>
        <v>0</v>
      </c>
      <c r="V86" s="317">
        <f>SUM(V80:V85)</f>
        <v>0</v>
      </c>
      <c r="W86" s="162"/>
      <c r="X86" s="315">
        <f>SUM(X80:X85)</f>
        <v>0</v>
      </c>
      <c r="Y86" s="316">
        <f>SUM(Y80:Y85)</f>
        <v>0</v>
      </c>
      <c r="Z86" s="317">
        <f>SUM(Z80:Z85)</f>
        <v>0</v>
      </c>
      <c r="AA86" s="328"/>
      <c r="AB86" s="315">
        <f>SUM(AB80:AB85)</f>
        <v>0</v>
      </c>
      <c r="AC86" s="316">
        <f>SUM(AC80:AC85)</f>
        <v>0</v>
      </c>
      <c r="AD86" s="317">
        <f>SUM(AD80:AD85)</f>
        <v>0</v>
      </c>
      <c r="AE86" s="162"/>
      <c r="AF86" s="315">
        <f>SUM(AF80:AF85)</f>
        <v>0</v>
      </c>
      <c r="AG86" s="316">
        <f>SUM(AG80:AG85)</f>
        <v>0</v>
      </c>
      <c r="AH86" s="317">
        <f>SUM(AH80:AH85)</f>
        <v>0</v>
      </c>
      <c r="AI86" s="320"/>
      <c r="AJ86" s="310"/>
      <c r="AK86" s="154"/>
      <c r="AL86" s="320"/>
    </row>
    <row r="87" spans="1:38" x14ac:dyDescent="0.2">
      <c r="A87" s="86">
        <f t="shared" si="77"/>
        <v>80</v>
      </c>
      <c r="B87" s="725" t="str">
        <f>'Avg Bill by RS'!B80</f>
        <v>42C Inter Transpt</v>
      </c>
      <c r="C87" s="726" t="s">
        <v>4</v>
      </c>
      <c r="D87" s="162"/>
      <c r="E87" s="157">
        <f>ROUND('Allocation = ¢ per Therm'!K77,5)</f>
        <v>0</v>
      </c>
      <c r="F87" s="157">
        <f>ROUND('Allocation = % of Margin'!O74,5)</f>
        <v>0</v>
      </c>
      <c r="G87" s="157">
        <f>ROUND('Allocation = % of Margin'!R74,5)</f>
        <v>-2.82E-3</v>
      </c>
      <c r="H87" s="157">
        <f>ROUND('Allocation = % of Margin'!X74,5)</f>
        <v>-1.3999999999999999E-4</v>
      </c>
      <c r="I87" s="162"/>
      <c r="J87" s="564">
        <f>'WA Volumes &amp; Revenues'!F75</f>
        <v>861932</v>
      </c>
      <c r="K87" s="298">
        <f>'Rev Req Proof Yr1'!R87</f>
        <v>844078</v>
      </c>
      <c r="L87" s="299">
        <f>'Rev Req Proof Yr1'!S87</f>
        <v>0</v>
      </c>
      <c r="M87" s="300">
        <f>'Rev Req Proof Yr1'!T87</f>
        <v>7</v>
      </c>
      <c r="N87" s="301">
        <f>'Rev Req Proof Yr1'!U87</f>
        <v>95634</v>
      </c>
      <c r="O87" s="162"/>
      <c r="P87" s="313">
        <f t="shared" ref="P87:P92" si="84">((E87)*K87)</f>
        <v>0</v>
      </c>
      <c r="Q87" s="309">
        <v>0</v>
      </c>
      <c r="R87" s="314">
        <v>0</v>
      </c>
      <c r="S87" s="162"/>
      <c r="T87" s="313">
        <f>((F87)*K87)</f>
        <v>0</v>
      </c>
      <c r="U87" s="309">
        <v>0</v>
      </c>
      <c r="V87" s="314">
        <v>0</v>
      </c>
      <c r="W87" s="162"/>
      <c r="X87" s="313">
        <f t="shared" ref="X87:X92" si="85">((G87)*K87)</f>
        <v>-2380.2999599999998</v>
      </c>
      <c r="Y87" s="309">
        <v>0</v>
      </c>
      <c r="Z87" s="314">
        <v>0</v>
      </c>
      <c r="AA87" s="309"/>
      <c r="AB87" s="313">
        <f t="shared" ref="AB87:AB96" si="86">((H87)*K87)</f>
        <v>-118.17092</v>
      </c>
      <c r="AC87" s="309">
        <v>0</v>
      </c>
      <c r="AD87" s="314">
        <v>0</v>
      </c>
      <c r="AE87" s="162"/>
      <c r="AF87" s="313">
        <f t="shared" ref="AF87:AF92" si="87">((E87+F87+G87+H87)*K87)</f>
        <v>-2498.4708799999999</v>
      </c>
      <c r="AG87" s="309">
        <v>0</v>
      </c>
      <c r="AH87" s="314">
        <v>0</v>
      </c>
      <c r="AI87" s="320"/>
      <c r="AJ87" s="310"/>
      <c r="AK87" s="310"/>
      <c r="AL87" s="320"/>
    </row>
    <row r="88" spans="1:38" x14ac:dyDescent="0.2">
      <c r="A88" s="86">
        <f t="shared" si="77"/>
        <v>81</v>
      </c>
      <c r="B88" s="725"/>
      <c r="C88" s="726" t="s">
        <v>5</v>
      </c>
      <c r="D88" s="162"/>
      <c r="E88" s="157">
        <f>ROUND('Allocation = ¢ per Therm'!K78,5)</f>
        <v>0</v>
      </c>
      <c r="F88" s="157">
        <f>ROUND('Allocation = % of Margin'!O75,5)</f>
        <v>0</v>
      </c>
      <c r="G88" s="157">
        <f>ROUND('Allocation = % of Margin'!R75,5)</f>
        <v>-2.5300000000000001E-3</v>
      </c>
      <c r="H88" s="157">
        <f>ROUND('Allocation = % of Margin'!X75,5)</f>
        <v>-1.2999999999999999E-4</v>
      </c>
      <c r="I88" s="162"/>
      <c r="J88" s="564">
        <f>'WA Volumes &amp; Revenues'!F76</f>
        <v>1453508</v>
      </c>
      <c r="K88" s="298">
        <f>'Rev Req Proof Yr1'!R88</f>
        <v>1445175</v>
      </c>
      <c r="L88" s="299">
        <f>'Rev Req Proof Yr1'!S88</f>
        <v>0</v>
      </c>
      <c r="M88" s="300">
        <f>'Rev Req Proof Yr1'!T88</f>
        <v>0</v>
      </c>
      <c r="N88" s="301">
        <f>'Rev Req Proof Yr1'!U88</f>
        <v>0</v>
      </c>
      <c r="O88" s="162"/>
      <c r="P88" s="313">
        <f t="shared" si="84"/>
        <v>0</v>
      </c>
      <c r="Q88" s="309">
        <v>0</v>
      </c>
      <c r="R88" s="314">
        <v>0</v>
      </c>
      <c r="S88" s="162"/>
      <c r="T88" s="313">
        <f t="shared" ref="T88:T92" si="88">((F88)*K88)</f>
        <v>0</v>
      </c>
      <c r="U88" s="309">
        <v>0</v>
      </c>
      <c r="V88" s="314">
        <v>0</v>
      </c>
      <c r="W88" s="162"/>
      <c r="X88" s="313">
        <f t="shared" si="85"/>
        <v>-3656.2927500000001</v>
      </c>
      <c r="Y88" s="309">
        <v>0</v>
      </c>
      <c r="Z88" s="314">
        <v>0</v>
      </c>
      <c r="AA88" s="309"/>
      <c r="AB88" s="313">
        <f t="shared" si="86"/>
        <v>-187.87275</v>
      </c>
      <c r="AC88" s="309">
        <v>0</v>
      </c>
      <c r="AD88" s="314">
        <v>0</v>
      </c>
      <c r="AE88" s="162"/>
      <c r="AF88" s="313">
        <f t="shared" si="87"/>
        <v>-3844.1655000000001</v>
      </c>
      <c r="AG88" s="309">
        <v>0</v>
      </c>
      <c r="AH88" s="314">
        <v>0</v>
      </c>
      <c r="AI88" s="320"/>
      <c r="AJ88" s="310"/>
      <c r="AK88" s="156"/>
      <c r="AL88" s="320"/>
    </row>
    <row r="89" spans="1:38" x14ac:dyDescent="0.2">
      <c r="A89" s="86">
        <f t="shared" si="77"/>
        <v>82</v>
      </c>
      <c r="B89" s="725"/>
      <c r="C89" s="726" t="s">
        <v>6</v>
      </c>
      <c r="D89" s="162"/>
      <c r="E89" s="157">
        <f>ROUND('Allocation = ¢ per Therm'!K79,5)</f>
        <v>0</v>
      </c>
      <c r="F89" s="157">
        <f>ROUND('Allocation = % of Margin'!O76,5)</f>
        <v>0</v>
      </c>
      <c r="G89" s="157">
        <f>ROUND('Allocation = % of Margin'!R76,5)</f>
        <v>-1.9400000000000001E-3</v>
      </c>
      <c r="H89" s="157">
        <f>ROUND('Allocation = % of Margin'!X76,5)</f>
        <v>-1E-4</v>
      </c>
      <c r="I89" s="162"/>
      <c r="J89" s="564">
        <f>'WA Volumes &amp; Revenues'!F77</f>
        <v>976710</v>
      </c>
      <c r="K89" s="298">
        <f>'Rev Req Proof Yr1'!R89</f>
        <v>1034978</v>
      </c>
      <c r="L89" s="299">
        <f>'Rev Req Proof Yr1'!S89</f>
        <v>0</v>
      </c>
      <c r="M89" s="300">
        <f>'Rev Req Proof Yr1'!T89</f>
        <v>0</v>
      </c>
      <c r="N89" s="301">
        <f>'Rev Req Proof Yr1'!U89</f>
        <v>0</v>
      </c>
      <c r="O89" s="162"/>
      <c r="P89" s="313">
        <f t="shared" si="84"/>
        <v>0</v>
      </c>
      <c r="Q89" s="309">
        <v>0</v>
      </c>
      <c r="R89" s="314">
        <v>0</v>
      </c>
      <c r="S89" s="162"/>
      <c r="T89" s="313">
        <f t="shared" si="88"/>
        <v>0</v>
      </c>
      <c r="U89" s="309">
        <v>0</v>
      </c>
      <c r="V89" s="314">
        <v>0</v>
      </c>
      <c r="W89" s="162"/>
      <c r="X89" s="313">
        <f t="shared" si="85"/>
        <v>-2007.8573200000001</v>
      </c>
      <c r="Y89" s="309">
        <v>0</v>
      </c>
      <c r="Z89" s="314">
        <v>0</v>
      </c>
      <c r="AA89" s="309"/>
      <c r="AB89" s="313">
        <f t="shared" si="86"/>
        <v>-103.4978</v>
      </c>
      <c r="AC89" s="309">
        <v>0</v>
      </c>
      <c r="AD89" s="314">
        <v>0</v>
      </c>
      <c r="AE89" s="162"/>
      <c r="AF89" s="313">
        <f t="shared" si="87"/>
        <v>-2111.3551200000002</v>
      </c>
      <c r="AG89" s="309">
        <v>0</v>
      </c>
      <c r="AH89" s="314">
        <v>0</v>
      </c>
      <c r="AI89" s="320"/>
      <c r="AJ89" s="310"/>
      <c r="AK89" s="156"/>
      <c r="AL89" s="320"/>
    </row>
    <row r="90" spans="1:38" x14ac:dyDescent="0.2">
      <c r="A90" s="86">
        <f t="shared" si="77"/>
        <v>83</v>
      </c>
      <c r="B90" s="725"/>
      <c r="C90" s="726" t="s">
        <v>7</v>
      </c>
      <c r="D90" s="162"/>
      <c r="E90" s="157">
        <f>ROUND('Allocation = ¢ per Therm'!K80,5)</f>
        <v>0</v>
      </c>
      <c r="F90" s="157">
        <f>ROUND('Allocation = % of Margin'!O77,5)</f>
        <v>0</v>
      </c>
      <c r="G90" s="157">
        <f>ROUND('Allocation = % of Margin'!R77,5)</f>
        <v>-1.5499999999999999E-3</v>
      </c>
      <c r="H90" s="157">
        <f>ROUND('Allocation = % of Margin'!X77,5)</f>
        <v>-8.0000000000000007E-5</v>
      </c>
      <c r="I90" s="162"/>
      <c r="J90" s="564">
        <f>'WA Volumes &amp; Revenues'!F78</f>
        <v>3078834</v>
      </c>
      <c r="K90" s="298">
        <f>'Rev Req Proof Yr1'!R90</f>
        <v>3359916</v>
      </c>
      <c r="L90" s="299">
        <f>'Rev Req Proof Yr1'!S90</f>
        <v>0</v>
      </c>
      <c r="M90" s="300">
        <f>'Rev Req Proof Yr1'!T90</f>
        <v>0</v>
      </c>
      <c r="N90" s="301">
        <f>'Rev Req Proof Yr1'!U90</f>
        <v>0</v>
      </c>
      <c r="O90" s="162"/>
      <c r="P90" s="313">
        <f t="shared" si="84"/>
        <v>0</v>
      </c>
      <c r="Q90" s="309">
        <v>0</v>
      </c>
      <c r="R90" s="314">
        <v>0</v>
      </c>
      <c r="S90" s="162"/>
      <c r="T90" s="313">
        <f t="shared" si="88"/>
        <v>0</v>
      </c>
      <c r="U90" s="309">
        <v>0</v>
      </c>
      <c r="V90" s="314">
        <v>0</v>
      </c>
      <c r="W90" s="162"/>
      <c r="X90" s="313">
        <f t="shared" si="85"/>
        <v>-5207.8697999999995</v>
      </c>
      <c r="Y90" s="309">
        <v>0</v>
      </c>
      <c r="Z90" s="314">
        <v>0</v>
      </c>
      <c r="AA90" s="309"/>
      <c r="AB90" s="313">
        <f t="shared" si="86"/>
        <v>-268.79328000000004</v>
      </c>
      <c r="AC90" s="309">
        <v>0</v>
      </c>
      <c r="AD90" s="314">
        <v>0</v>
      </c>
      <c r="AE90" s="162"/>
      <c r="AF90" s="313">
        <f t="shared" si="87"/>
        <v>-5476.6630799999994</v>
      </c>
      <c r="AG90" s="309">
        <v>0</v>
      </c>
      <c r="AH90" s="314">
        <v>0</v>
      </c>
      <c r="AI90" s="320"/>
      <c r="AJ90" s="310"/>
      <c r="AK90" s="156"/>
      <c r="AL90" s="320"/>
    </row>
    <row r="91" spans="1:38" x14ac:dyDescent="0.2">
      <c r="A91" s="86">
        <f t="shared" si="77"/>
        <v>84</v>
      </c>
      <c r="B91" s="725"/>
      <c r="C91" s="726" t="s">
        <v>8</v>
      </c>
      <c r="D91" s="162"/>
      <c r="E91" s="157">
        <f>ROUND('Allocation = ¢ per Therm'!K81,5)</f>
        <v>0</v>
      </c>
      <c r="F91" s="157">
        <f>ROUND('Allocation = % of Margin'!O78,5)</f>
        <v>0</v>
      </c>
      <c r="G91" s="157">
        <f>ROUND('Allocation = % of Margin'!R78,5)</f>
        <v>-1.0300000000000001E-3</v>
      </c>
      <c r="H91" s="157">
        <f>ROUND('Allocation = % of Margin'!X78,5)</f>
        <v>-5.0000000000000002E-5</v>
      </c>
      <c r="I91" s="162"/>
      <c r="J91" s="564">
        <f>'WA Volumes &amp; Revenues'!F79</f>
        <v>1269411</v>
      </c>
      <c r="K91" s="298">
        <f>'Rev Req Proof Yr1'!R91</f>
        <v>1349120</v>
      </c>
      <c r="L91" s="299">
        <f>'Rev Req Proof Yr1'!S91</f>
        <v>0</v>
      </c>
      <c r="M91" s="300">
        <f>'Rev Req Proof Yr1'!T91</f>
        <v>0</v>
      </c>
      <c r="N91" s="301">
        <f>'Rev Req Proof Yr1'!U91</f>
        <v>0</v>
      </c>
      <c r="O91" s="162"/>
      <c r="P91" s="313">
        <f t="shared" si="84"/>
        <v>0</v>
      </c>
      <c r="Q91" s="309">
        <v>0</v>
      </c>
      <c r="R91" s="314">
        <v>0</v>
      </c>
      <c r="S91" s="162"/>
      <c r="T91" s="313">
        <f t="shared" si="88"/>
        <v>0</v>
      </c>
      <c r="U91" s="309">
        <v>0</v>
      </c>
      <c r="V91" s="314">
        <v>0</v>
      </c>
      <c r="W91" s="162"/>
      <c r="X91" s="313">
        <f t="shared" si="85"/>
        <v>-1389.5936000000002</v>
      </c>
      <c r="Y91" s="309">
        <v>0</v>
      </c>
      <c r="Z91" s="314">
        <v>0</v>
      </c>
      <c r="AA91" s="309"/>
      <c r="AB91" s="313">
        <f t="shared" si="86"/>
        <v>-67.456000000000003</v>
      </c>
      <c r="AC91" s="309">
        <v>0</v>
      </c>
      <c r="AD91" s="314">
        <v>0</v>
      </c>
      <c r="AE91" s="162"/>
      <c r="AF91" s="313">
        <f t="shared" si="87"/>
        <v>-1457.0496000000001</v>
      </c>
      <c r="AG91" s="309">
        <v>0</v>
      </c>
      <c r="AH91" s="314">
        <v>0</v>
      </c>
      <c r="AI91" s="320"/>
      <c r="AJ91" s="310"/>
      <c r="AK91" s="154"/>
      <c r="AL91" s="320"/>
    </row>
    <row r="92" spans="1:38" x14ac:dyDescent="0.2">
      <c r="A92" s="86">
        <f t="shared" si="77"/>
        <v>85</v>
      </c>
      <c r="B92" s="725"/>
      <c r="C92" s="726" t="s">
        <v>9</v>
      </c>
      <c r="D92" s="162"/>
      <c r="E92" s="157">
        <f>ROUND('Allocation = ¢ per Therm'!K82,5)</f>
        <v>0</v>
      </c>
      <c r="F92" s="157">
        <f>ROUND('Allocation = % of Margin'!O79,5)</f>
        <v>0</v>
      </c>
      <c r="G92" s="157">
        <f>ROUND('Allocation = % of Margin'!R79,5)</f>
        <v>-3.8999999999999999E-4</v>
      </c>
      <c r="H92" s="157">
        <f>ROUND('Allocation = % of Margin'!X79,5)</f>
        <v>-2.0000000000000002E-5</v>
      </c>
      <c r="I92" s="162"/>
      <c r="J92" s="564">
        <f>'WA Volumes &amp; Revenues'!F80</f>
        <v>0</v>
      </c>
      <c r="K92" s="298">
        <f>'Rev Req Proof Yr1'!R92</f>
        <v>0</v>
      </c>
      <c r="L92" s="299">
        <f>'Rev Req Proof Yr1'!S92</f>
        <v>0</v>
      </c>
      <c r="M92" s="300">
        <f>'Rev Req Proof Yr1'!T92</f>
        <v>0</v>
      </c>
      <c r="N92" s="301">
        <f>'Rev Req Proof Yr1'!U92</f>
        <v>0</v>
      </c>
      <c r="O92" s="162"/>
      <c r="P92" s="313">
        <f t="shared" si="84"/>
        <v>0</v>
      </c>
      <c r="Q92" s="309">
        <v>0</v>
      </c>
      <c r="R92" s="314">
        <v>0</v>
      </c>
      <c r="S92" s="162"/>
      <c r="T92" s="313">
        <f t="shared" si="88"/>
        <v>0</v>
      </c>
      <c r="U92" s="309">
        <v>0</v>
      </c>
      <c r="V92" s="314">
        <v>0</v>
      </c>
      <c r="W92" s="162"/>
      <c r="X92" s="313">
        <f t="shared" si="85"/>
        <v>0</v>
      </c>
      <c r="Y92" s="309">
        <v>0</v>
      </c>
      <c r="Z92" s="314">
        <v>0</v>
      </c>
      <c r="AA92" s="309"/>
      <c r="AB92" s="313">
        <f t="shared" si="86"/>
        <v>0</v>
      </c>
      <c r="AC92" s="309">
        <v>0</v>
      </c>
      <c r="AD92" s="314">
        <v>0</v>
      </c>
      <c r="AE92" s="162"/>
      <c r="AF92" s="313">
        <f t="shared" si="87"/>
        <v>0</v>
      </c>
      <c r="AG92" s="309">
        <v>0</v>
      </c>
      <c r="AH92" s="314">
        <v>0</v>
      </c>
      <c r="AI92" s="320"/>
      <c r="AJ92" s="310"/>
      <c r="AK92" s="154"/>
      <c r="AL92" s="320"/>
    </row>
    <row r="93" spans="1:38" x14ac:dyDescent="0.2">
      <c r="A93" s="86">
        <f t="shared" si="77"/>
        <v>86</v>
      </c>
      <c r="B93" s="723"/>
      <c r="C93" s="742" t="s">
        <v>78</v>
      </c>
      <c r="D93" s="163"/>
      <c r="E93" s="153"/>
      <c r="F93" s="153"/>
      <c r="G93" s="810"/>
      <c r="H93" s="810"/>
      <c r="I93" s="163"/>
      <c r="J93" s="563"/>
      <c r="K93" s="298"/>
      <c r="L93" s="157"/>
      <c r="M93" s="157"/>
      <c r="N93" s="158"/>
      <c r="O93" s="162"/>
      <c r="P93" s="315">
        <f>SUM(P87:P92)</f>
        <v>0</v>
      </c>
      <c r="Q93" s="316">
        <f>SUM(Q87:Q92)</f>
        <v>0</v>
      </c>
      <c r="R93" s="317">
        <f>SUM(R87:R92)</f>
        <v>0</v>
      </c>
      <c r="S93" s="162"/>
      <c r="T93" s="315">
        <f>SUM(T87:T92)</f>
        <v>0</v>
      </c>
      <c r="U93" s="316">
        <f>SUM(U87:U92)</f>
        <v>0</v>
      </c>
      <c r="V93" s="317">
        <f>SUM(V87:V92)</f>
        <v>0</v>
      </c>
      <c r="W93" s="162"/>
      <c r="X93" s="315">
        <f>SUM(X87:X92)</f>
        <v>-14641.913430000001</v>
      </c>
      <c r="Y93" s="316">
        <f>SUM(Y87:Y92)</f>
        <v>0</v>
      </c>
      <c r="Z93" s="317">
        <f>SUM(Z87:Z92)</f>
        <v>0</v>
      </c>
      <c r="AA93" s="328"/>
      <c r="AB93" s="315">
        <f>SUM(AB87:AB92)</f>
        <v>-745.79075</v>
      </c>
      <c r="AC93" s="316">
        <f>SUM(AC87:AC92)</f>
        <v>0</v>
      </c>
      <c r="AD93" s="317">
        <f>SUM(AD87:AD92)</f>
        <v>0</v>
      </c>
      <c r="AE93" s="162"/>
      <c r="AF93" s="315">
        <f>SUM(AF87:AF92)</f>
        <v>-15387.704179999999</v>
      </c>
      <c r="AG93" s="316">
        <f>SUM(AG87:AG92)</f>
        <v>0</v>
      </c>
      <c r="AH93" s="317">
        <f>SUM(AH87:AH92)</f>
        <v>0</v>
      </c>
      <c r="AI93" s="320"/>
      <c r="AJ93" s="310"/>
      <c r="AK93" s="154"/>
      <c r="AL93" s="320"/>
    </row>
    <row r="94" spans="1:38" x14ac:dyDescent="0.2">
      <c r="A94" s="86">
        <f t="shared" si="77"/>
        <v>87</v>
      </c>
      <c r="B94" s="723" t="str">
        <f>'Avg Bill by RS'!B94</f>
        <v>43 Firm Transpt</v>
      </c>
      <c r="C94" s="723" t="str">
        <f>'Avg Bill by RS'!C94</f>
        <v>n/a</v>
      </c>
      <c r="D94" s="162"/>
      <c r="E94" s="164">
        <f>ROUND('Allocation = ¢ per Therm'!K83,5)</f>
        <v>0</v>
      </c>
      <c r="F94" s="164">
        <f>ROUND('Allocation = % of Margin'!O80,5)</f>
        <v>0</v>
      </c>
      <c r="G94" s="164">
        <f>ROUND('Allocation = % of Margin'!R80,5)</f>
        <v>0</v>
      </c>
      <c r="H94" s="164">
        <f>ROUND('Allocation = % of Margin'!X80,5)</f>
        <v>0</v>
      </c>
      <c r="I94" s="162"/>
      <c r="J94" s="564">
        <f>'WA Volumes &amp; Revenues'!F81</f>
        <v>0</v>
      </c>
      <c r="K94" s="298">
        <f>'Rev Req Proof Yr1'!R94</f>
        <v>0</v>
      </c>
      <c r="L94" s="299">
        <f>'Rev Req Proof Yr1'!S94</f>
        <v>0</v>
      </c>
      <c r="M94" s="300">
        <f>'Rev Req Proof Yr1'!T94</f>
        <v>0</v>
      </c>
      <c r="N94" s="301">
        <f>'Rev Req Proof Yr1'!U94</f>
        <v>0</v>
      </c>
      <c r="O94" s="162"/>
      <c r="P94" s="306">
        <f t="shared" ref="P94:P96" si="89">((E94)*K94)</f>
        <v>0</v>
      </c>
      <c r="Q94" s="307">
        <v>0</v>
      </c>
      <c r="R94" s="308">
        <v>0</v>
      </c>
      <c r="S94" s="162"/>
      <c r="T94" s="306">
        <f>((F94)*J94)</f>
        <v>0</v>
      </c>
      <c r="U94" s="307">
        <v>0</v>
      </c>
      <c r="V94" s="308">
        <v>0</v>
      </c>
      <c r="W94" s="162"/>
      <c r="X94" s="306">
        <f t="shared" ref="X94:X96" si="90">((G94)*K94)</f>
        <v>0</v>
      </c>
      <c r="Y94" s="307">
        <v>0</v>
      </c>
      <c r="Z94" s="308">
        <v>0</v>
      </c>
      <c r="AA94" s="309"/>
      <c r="AB94" s="306">
        <f t="shared" si="86"/>
        <v>0</v>
      </c>
      <c r="AC94" s="307">
        <v>0</v>
      </c>
      <c r="AD94" s="308">
        <v>0</v>
      </c>
      <c r="AE94" s="162"/>
      <c r="AF94" s="306">
        <f t="shared" ref="AF94:AF96" si="91">((E94+F94+G94+H94)*K94)</f>
        <v>0</v>
      </c>
      <c r="AG94" s="307">
        <v>0</v>
      </c>
      <c r="AH94" s="308">
        <v>0</v>
      </c>
      <c r="AI94" s="320"/>
      <c r="AJ94" s="154"/>
      <c r="AK94" s="154"/>
      <c r="AL94" s="320"/>
    </row>
    <row r="95" spans="1:38" x14ac:dyDescent="0.2">
      <c r="A95" s="86">
        <f t="shared" si="77"/>
        <v>88</v>
      </c>
      <c r="B95" s="723" t="str">
        <f>'Avg Bill by RS'!B95</f>
        <v>43 Interr Transpt</v>
      </c>
      <c r="C95" s="723" t="str">
        <f>'Avg Bill by RS'!C95</f>
        <v>n/a</v>
      </c>
      <c r="D95" s="162"/>
      <c r="E95" s="164">
        <f>ROUND('Allocation = ¢ per Therm'!K84,5)</f>
        <v>0</v>
      </c>
      <c r="F95" s="164">
        <f>ROUND('Allocation = % of Margin'!O81,5)</f>
        <v>0</v>
      </c>
      <c r="G95" s="164">
        <f>ROUND('Allocation = % of Margin'!R81,5)</f>
        <v>0</v>
      </c>
      <c r="H95" s="164">
        <f>ROUND('Allocation = % of Margin'!X81,5)</f>
        <v>0</v>
      </c>
      <c r="I95" s="164"/>
      <c r="J95" s="564">
        <f>'WA Volumes &amp; Revenues'!F82</f>
        <v>0</v>
      </c>
      <c r="K95" s="298">
        <f>'Rev Req Proof Yr1'!R95</f>
        <v>0</v>
      </c>
      <c r="L95" s="299">
        <f>'Rev Req Proof Yr1'!S95</f>
        <v>0</v>
      </c>
      <c r="M95" s="300">
        <f>'Rev Req Proof Yr1'!T95</f>
        <v>0</v>
      </c>
      <c r="N95" s="301">
        <f>'Rev Req Proof Yr1'!U95</f>
        <v>0</v>
      </c>
      <c r="O95" s="162"/>
      <c r="P95" s="322">
        <f t="shared" si="89"/>
        <v>0</v>
      </c>
      <c r="Q95" s="321">
        <v>0</v>
      </c>
      <c r="R95" s="323">
        <v>0</v>
      </c>
      <c r="S95" s="162"/>
      <c r="T95" s="322">
        <f>((F95)*J95)</f>
        <v>0</v>
      </c>
      <c r="U95" s="321">
        <v>0</v>
      </c>
      <c r="V95" s="323">
        <v>0</v>
      </c>
      <c r="W95" s="162"/>
      <c r="X95" s="322">
        <f t="shared" si="90"/>
        <v>0</v>
      </c>
      <c r="Y95" s="321">
        <v>0</v>
      </c>
      <c r="Z95" s="323">
        <v>0</v>
      </c>
      <c r="AA95" s="320"/>
      <c r="AB95" s="322">
        <f t="shared" si="86"/>
        <v>0</v>
      </c>
      <c r="AC95" s="321">
        <v>0</v>
      </c>
      <c r="AD95" s="323">
        <v>0</v>
      </c>
      <c r="AE95" s="162"/>
      <c r="AF95" s="322">
        <f t="shared" si="91"/>
        <v>0</v>
      </c>
      <c r="AG95" s="321">
        <v>0</v>
      </c>
      <c r="AH95" s="323">
        <v>0</v>
      </c>
      <c r="AI95" s="320"/>
      <c r="AJ95" s="154"/>
      <c r="AK95" s="154"/>
      <c r="AL95" s="320"/>
    </row>
    <row r="96" spans="1:38" ht="13.5" thickBot="1" x14ac:dyDescent="0.25">
      <c r="A96" s="86">
        <f t="shared" si="77"/>
        <v>89</v>
      </c>
      <c r="B96" s="779" t="str">
        <f>'Avg Bill by RS'!B96</f>
        <v>Special Contract</v>
      </c>
      <c r="C96" s="779" t="str">
        <f>'Avg Bill by RS'!C96</f>
        <v>n/a</v>
      </c>
      <c r="D96" s="166"/>
      <c r="E96" s="166">
        <f>ROUND('Allocation = ¢ per Therm'!K85,5)</f>
        <v>0</v>
      </c>
      <c r="F96" s="166">
        <f>ROUND('Allocation = % of Margin'!O82,5)</f>
        <v>0</v>
      </c>
      <c r="G96" s="166">
        <f>ROUND('Allocation = % of Margin'!R82,5)</f>
        <v>0</v>
      </c>
      <c r="H96" s="166">
        <f>ROUND('Allocation = % of Margin'!X82,5)</f>
        <v>0</v>
      </c>
      <c r="I96" s="782"/>
      <c r="J96" s="809">
        <f>'WA Volumes &amp; Revenues'!F83</f>
        <v>0</v>
      </c>
      <c r="K96" s="806">
        <f>'Rev Req Proof Yr1'!R96</f>
        <v>2895114</v>
      </c>
      <c r="L96" s="805">
        <f>'Rev Req Proof Yr1'!S96</f>
        <v>0</v>
      </c>
      <c r="M96" s="801">
        <f>'Rev Req Proof Yr1'!T96</f>
        <v>1</v>
      </c>
      <c r="N96" s="802">
        <f>'Rev Req Proof Yr1'!U96</f>
        <v>241259.5</v>
      </c>
      <c r="O96" s="162"/>
      <c r="P96" s="324">
        <f t="shared" si="89"/>
        <v>0</v>
      </c>
      <c r="Q96" s="325">
        <v>0</v>
      </c>
      <c r="R96" s="326">
        <v>0</v>
      </c>
      <c r="S96" s="162"/>
      <c r="T96" s="324">
        <f>((F96)*J96)</f>
        <v>0</v>
      </c>
      <c r="U96" s="325">
        <v>0</v>
      </c>
      <c r="V96" s="326">
        <v>0</v>
      </c>
      <c r="W96" s="162"/>
      <c r="X96" s="324">
        <f t="shared" si="90"/>
        <v>0</v>
      </c>
      <c r="Y96" s="325">
        <v>0</v>
      </c>
      <c r="Z96" s="326">
        <v>0</v>
      </c>
      <c r="AA96" s="320"/>
      <c r="AB96" s="324">
        <f t="shared" si="86"/>
        <v>0</v>
      </c>
      <c r="AC96" s="325">
        <v>0</v>
      </c>
      <c r="AD96" s="326">
        <v>0</v>
      </c>
      <c r="AE96" s="162"/>
      <c r="AF96" s="597">
        <f t="shared" si="91"/>
        <v>0</v>
      </c>
      <c r="AG96" s="598">
        <v>0</v>
      </c>
      <c r="AH96" s="599">
        <v>0</v>
      </c>
      <c r="AI96" s="320"/>
      <c r="AJ96" s="162"/>
      <c r="AK96" s="162"/>
      <c r="AL96" s="320"/>
    </row>
    <row r="97" spans="1:38" x14ac:dyDescent="0.2">
      <c r="A97" s="86">
        <f t="shared" si="77"/>
        <v>90</v>
      </c>
    </row>
    <row r="98" spans="1:38" x14ac:dyDescent="0.2">
      <c r="A98" s="86">
        <f t="shared" si="77"/>
        <v>91</v>
      </c>
      <c r="B98" s="168" t="s">
        <v>58</v>
      </c>
    </row>
    <row r="99" spans="1:38" x14ac:dyDescent="0.2">
      <c r="A99" s="86">
        <f t="shared" si="77"/>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9"/>
      <c r="AL99" s="55"/>
    </row>
    <row r="100" spans="1:38" x14ac:dyDescent="0.2">
      <c r="A100" s="86">
        <f t="shared" si="77"/>
        <v>93</v>
      </c>
      <c r="B100" s="169"/>
      <c r="J100" s="327"/>
      <c r="K100" s="327"/>
      <c r="L100" s="327"/>
      <c r="M100" s="327"/>
    </row>
    <row r="101" spans="1:38" x14ac:dyDescent="0.2">
      <c r="A101" s="86">
        <f t="shared" si="77"/>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800"/>
      <c r="AL101" s="55"/>
    </row>
    <row r="102" spans="1:38" x14ac:dyDescent="0.2">
      <c r="A102" s="86">
        <f t="shared" si="77"/>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800"/>
      <c r="AL102" s="55"/>
    </row>
    <row r="103" spans="1:38" x14ac:dyDescent="0.2">
      <c r="A103" s="86"/>
      <c r="B103" s="169"/>
    </row>
    <row r="104" spans="1:38" x14ac:dyDescent="0.2">
      <c r="A104" s="86"/>
      <c r="B104" s="169"/>
    </row>
    <row r="105" spans="1:38" x14ac:dyDescent="0.2">
      <c r="A105" s="86"/>
      <c r="B105" s="169"/>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8">
    <mergeCell ref="AJ14:AL14"/>
    <mergeCell ref="AJ2:AK2"/>
    <mergeCell ref="K7:N7"/>
    <mergeCell ref="AF10:AH10"/>
    <mergeCell ref="X10:Z10"/>
    <mergeCell ref="T10:V10"/>
    <mergeCell ref="P10:R10"/>
    <mergeCell ref="AB10:AD10"/>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8894FB1-5DAF-4D23-A5D1-721DDD182922}">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9E544441-BF7E-47E7-A382-8AC13ABA18BF}"/>
</file>

<file path=customXml/itemProps4.xml><?xml version="1.0" encoding="utf-8"?>
<ds:datastoreItem xmlns:ds="http://schemas.openxmlformats.org/officeDocument/2006/customXml" ds:itemID="{CEA239F2-0EAD-47E1-BC66-3C1315D213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Index</vt:lpstr>
      <vt:lpstr>WA Volumes &amp; Revenues</vt:lpstr>
      <vt:lpstr>Rate Spread Proposal</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Detail</vt:lpstr>
      <vt:lpstr>Rates in summary</vt:lpstr>
      <vt:lpstr>Avg Bill by RS</vt:lpstr>
      <vt:lpstr>Rate Impacts - Rev Req ONLY</vt:lpstr>
      <vt:lpstr>Rate Impacts - COMBINED</vt:lpstr>
      <vt:lpstr>Proposed Rates - COMBINED</vt:lpstr>
      <vt:lpstr>Exh. RJW-3 RR</vt:lpstr>
      <vt:lpstr>Exh. RJW-3 Combined</vt:lpstr>
      <vt:lpstr>Exh. RJW-4 RR</vt:lpstr>
      <vt:lpstr>Exh. RJW-4 Combined</vt:lpstr>
      <vt:lpstr>'Exh. RJW-3 Combined'!Print_Area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Lee-Pella, Erica N.</cp:lastModifiedBy>
  <cp:lastPrinted>2020-12-17T23:47:56Z</cp:lastPrinted>
  <dcterms:created xsi:type="dcterms:W3CDTF">2005-11-10T23:09:08Z</dcterms:created>
  <dcterms:modified xsi:type="dcterms:W3CDTF">2020-12-17T23:48:01Z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