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DBCB9B98-72C4-45D7-9827-55A6E2B10743}" xr6:coauthVersionLast="47" xr6:coauthVersionMax="47" xr10:uidLastSave="{00000000-0000-0000-0000-000000000000}"/>
  <bookViews>
    <workbookView xWindow="-120" yWindow="-120" windowWidth="20730" windowHeight="11160" tabRatio="792" xr2:uid="{00000000-000D-0000-FFFF-FFFF00000000}"/>
  </bookViews>
  <sheets>
    <sheet name="(2)(a)(i) One Time (all)" sheetId="4" r:id="rId1"/>
    <sheet name="(2)(a)(ii)Annual2024est (C)" sheetId="10" r:id="rId2"/>
    <sheet name="(2)(a)(iii)(A) and (B)" sheetId="9" r:id="rId3"/>
    <sheet name="electric conv fctr" sheetId="13" r:id="rId4"/>
  </sheets>
  <externalReferences>
    <externalReference r:id="rId5"/>
    <externalReference r:id="rId6"/>
    <externalReference r:id="rId7"/>
    <externalReference r:id="rId8"/>
  </externalReferences>
  <definedNames>
    <definedName name="Facilities">'[1]Facility Detail'!$B$4:$H$43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4" l="1"/>
  <c r="G21" i="4"/>
  <c r="G27" i="4"/>
  <c r="E27" i="4" l="1"/>
  <c r="B27" i="4"/>
  <c r="E28" i="4"/>
  <c r="B28" i="4"/>
  <c r="E20" i="9" l="1"/>
  <c r="G28" i="4" l="1"/>
  <c r="H28" i="4" l="1"/>
  <c r="B32" i="10"/>
  <c r="B19" i="9"/>
  <c r="D46" i="10"/>
  <c r="F20" i="13" l="1"/>
  <c r="B33" i="10" l="1"/>
  <c r="B31" i="10" l="1"/>
  <c r="B18" i="9"/>
  <c r="D18" i="9" s="1"/>
  <c r="F18" i="9" s="1"/>
  <c r="H27" i="4"/>
  <c r="D19" i="9" l="1"/>
  <c r="E17" i="4"/>
  <c r="B26" i="4" l="1"/>
  <c r="E26" i="4" l="1"/>
  <c r="B18" i="4"/>
  <c r="B19" i="4"/>
  <c r="B20" i="4"/>
  <c r="B21" i="4"/>
  <c r="B22" i="4"/>
  <c r="B23" i="4"/>
  <c r="B24" i="4"/>
  <c r="B25" i="4"/>
  <c r="G26" i="4" l="1"/>
  <c r="B17" i="9" s="1"/>
  <c r="D17" i="9" s="1"/>
  <c r="H26" i="4" l="1"/>
  <c r="B30" i="10"/>
  <c r="G42" i="10"/>
  <c r="C24" i="9" l="1"/>
  <c r="G46" i="10" l="1"/>
  <c r="A29" i="10" l="1"/>
  <c r="A28" i="10"/>
  <c r="A27" i="10"/>
  <c r="A26" i="10"/>
  <c r="A25" i="10"/>
  <c r="A24" i="10"/>
  <c r="A23" i="10"/>
  <c r="A22" i="10"/>
  <c r="A21" i="10"/>
  <c r="E25" i="4"/>
  <c r="E24" i="4"/>
  <c r="E23" i="4"/>
  <c r="E22" i="4"/>
  <c r="E21" i="4"/>
  <c r="E20" i="4"/>
  <c r="E19" i="4"/>
  <c r="E18" i="4"/>
  <c r="F42" i="10" l="1"/>
  <c r="C42" i="10"/>
  <c r="E33" i="10"/>
  <c r="E42" i="10"/>
  <c r="D42" i="10"/>
  <c r="B42" i="10"/>
  <c r="G34" i="10"/>
  <c r="F34" i="10"/>
  <c r="F35" i="10" s="1"/>
  <c r="D34" i="10"/>
  <c r="D35" i="10" s="1"/>
  <c r="C34" i="10"/>
  <c r="C35" i="10" s="1"/>
  <c r="G35" i="10" l="1"/>
  <c r="G44" i="10" s="1"/>
  <c r="D44" i="10"/>
  <c r="C44" i="10"/>
  <c r="F44" i="10"/>
  <c r="C31" i="4" l="1"/>
  <c r="G30" i="4"/>
  <c r="H30" i="4" s="1"/>
  <c r="F31" i="4"/>
  <c r="G17" i="4" l="1"/>
  <c r="G25" i="4"/>
  <c r="G24" i="4"/>
  <c r="G23" i="4"/>
  <c r="G22" i="4"/>
  <c r="G20" i="4"/>
  <c r="G19" i="4"/>
  <c r="G18" i="4"/>
  <c r="B24" i="10" l="1"/>
  <c r="H20" i="4"/>
  <c r="B11" i="9"/>
  <c r="D11" i="9" s="1"/>
  <c r="B25" i="10"/>
  <c r="H21" i="4"/>
  <c r="B12" i="9"/>
  <c r="D12" i="9" s="1"/>
  <c r="B29" i="10"/>
  <c r="H25" i="4"/>
  <c r="B16" i="9"/>
  <c r="D16" i="9" s="1"/>
  <c r="B22" i="10"/>
  <c r="H18" i="4"/>
  <c r="B9" i="9"/>
  <c r="D9" i="9" s="1"/>
  <c r="B26" i="10"/>
  <c r="H22" i="4"/>
  <c r="B13" i="9"/>
  <c r="D13" i="9" s="1"/>
  <c r="B28" i="10"/>
  <c r="H24" i="4"/>
  <c r="B15" i="9"/>
  <c r="D15" i="9" s="1"/>
  <c r="B23" i="10"/>
  <c r="H19" i="4"/>
  <c r="B10" i="9"/>
  <c r="D10" i="9" s="1"/>
  <c r="B27" i="10"/>
  <c r="H23" i="4"/>
  <c r="B14" i="9"/>
  <c r="D14" i="9" s="1"/>
  <c r="B21" i="10"/>
  <c r="H17" i="4"/>
  <c r="B8" i="9"/>
  <c r="G31" i="4"/>
  <c r="D8" i="9" l="1"/>
  <c r="B24" i="9"/>
  <c r="H31" i="4"/>
  <c r="G34" i="4" s="1"/>
  <c r="B34" i="10"/>
  <c r="B35" i="10" s="1"/>
  <c r="B44" i="10" s="1"/>
  <c r="D24" i="9" l="1"/>
  <c r="D30" i="9"/>
  <c r="D50" i="10"/>
  <c r="D47" i="10"/>
  <c r="B48" i="10" s="1"/>
  <c r="E19" i="9" l="1"/>
  <c r="F19" i="9" s="1"/>
  <c r="E32" i="10" s="1"/>
  <c r="E16" i="9"/>
  <c r="F16" i="9" s="1"/>
  <c r="E29" i="10" s="1"/>
  <c r="E17" i="9" l="1"/>
  <c r="F17" i="9" s="1"/>
  <c r="E30" i="10" s="1"/>
  <c r="I21" i="9" l="1"/>
  <c r="I22" i="9" l="1"/>
  <c r="E14" i="9"/>
  <c r="F14" i="9" s="1"/>
  <c r="E27" i="10" s="1"/>
  <c r="E10" i="9"/>
  <c r="F10" i="9" s="1"/>
  <c r="E23" i="10" s="1"/>
  <c r="E15" i="9" l="1"/>
  <c r="F15" i="9" s="1"/>
  <c r="E28" i="10" s="1"/>
  <c r="E11" i="9" l="1"/>
  <c r="F11" i="9" s="1"/>
  <c r="E24" i="10" s="1"/>
  <c r="E13" i="9"/>
  <c r="F13" i="9" s="1"/>
  <c r="E26" i="10" s="1"/>
  <c r="E9" i="9" l="1"/>
  <c r="F9" i="9" s="1"/>
  <c r="E22" i="10" s="1"/>
  <c r="I23" i="9" l="1"/>
  <c r="I24" i="9" s="1"/>
  <c r="E12" i="9" l="1"/>
  <c r="F12" i="9" s="1"/>
  <c r="E25" i="10" s="1"/>
  <c r="E8" i="9" l="1"/>
  <c r="F8" i="9" l="1"/>
  <c r="E24" i="9"/>
  <c r="E25" i="9" s="1"/>
  <c r="F24" i="9" l="1"/>
  <c r="F25" i="9" s="1"/>
  <c r="E21" i="10"/>
  <c r="E34" i="10" s="1"/>
  <c r="E35" i="10" s="1"/>
  <c r="E44" i="10" s="1"/>
  <c r="G50" i="10" l="1"/>
  <c r="G47" i="10"/>
  <c r="E48" i="10" s="1"/>
</calcChain>
</file>

<file path=xl/sharedStrings.xml><?xml version="1.0" encoding="utf-8"?>
<sst xmlns="http://schemas.openxmlformats.org/spreadsheetml/2006/main" count="118" uniqueCount="98">
  <si>
    <t>480-109-210(2)(a)(i) Utility must make a one-time calculation of incremental cost for each eligible resource at the time of acquisition or, for historic acquisitions, the best information available at the time of acquistion</t>
  </si>
  <si>
    <t>(A)</t>
  </si>
  <si>
    <t>Resource</t>
  </si>
  <si>
    <t>ENERGY</t>
  </si>
  <si>
    <t xml:space="preserve">ALL RESOURCES TOTAL INCREMENTAL COST =                 ENERGY + CAPACITY                                        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</si>
  <si>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One Time Calculation</t>
    </r>
    <r>
      <rPr>
        <sz val="12"/>
        <color theme="1"/>
        <rFont val="Calibri"/>
        <family val="2"/>
        <scheme val="minor"/>
      </rPr>
      <t xml:space="preserve"> of Incremental Cost:
Energy-Levelized Incremental Cost:
[Levelized Cost Eligible Renewable Resource – Levelized Cost Alternative]
Capacity-Levelized Incremental Cost:
[Levelized Cost Eligible Renewable Resource – Levelized Cost Alternative]
Energy + Capacity = Incremental Cost
</t>
    </r>
  </si>
  <si>
    <t>480-109-210(2)(a)(ii) Utility must annually calculate its revenue requirement ratio for 1) All Resources 2) Required Resources Target Year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</si>
  <si>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Annual Calculation</t>
    </r>
    <r>
      <rPr>
        <sz val="12"/>
        <color theme="1"/>
        <rFont val="Calibri"/>
        <family val="2"/>
        <scheme val="minor"/>
      </rPr>
      <t xml:space="preserve"> of Incremental Cost (Revenue Requirement Ratio):
1) Total Incremental Cost All* Resources:
{[sum of incremental costs of All* eligible resources + cost of unbundled RECs] - [revenue RECs]} / annual revenue requirement
</t>
    </r>
    <r>
      <rPr>
        <i/>
        <sz val="12"/>
        <color theme="1"/>
        <rFont val="Calibri"/>
        <family val="2"/>
        <scheme val="minor"/>
      </rPr>
      <t xml:space="preserve"> *required because of excess generation, Avista needs to report 2 incremental costs </t>
    </r>
    <r>
      <rPr>
        <sz val="12"/>
        <color theme="1"/>
        <rFont val="Calibri"/>
        <family val="2"/>
        <scheme val="minor"/>
      </rPr>
      <t xml:space="preserve">
2) Total Incremental Cost Required Resources for Target Year:
{[sum of incremental costs of Target Year* eligible resources used for target year compliance + cost of unbundled RECs] - [revenue RECs]} / annual revenue requirement
</t>
    </r>
  </si>
  <si>
    <t>sum of incremental costs of all eligible resources</t>
  </si>
  <si>
    <t>Total Incremental Cost (as dollar $ amt.)</t>
  </si>
  <si>
    <t>MWh</t>
  </si>
  <si>
    <t>Number of Megawatt-hours Needed for Target Year Compliance</t>
  </si>
  <si>
    <t>(B)</t>
  </si>
  <si>
    <t>Total Incremental Cost ($/MWh)</t>
  </si>
  <si>
    <t>Utility must (A) report its total incremental cost as a dollar amount and in dollars per megawatt-hour of renewable energy generated by all eligible renewable resources in the calcualtion (a)(i) of this subsection; and (B) multiply the dollars per megawatt-hour cost calculated in (a)(iii)(A) of this subsection by the number of megawatt-hours needed for target year compliance.</t>
  </si>
  <si>
    <t>RECs purchased</t>
  </si>
  <si>
    <t>Total Incremental Cost ($/MWh) Multiplied by Number of Megawatt-hours Needed for Target Year Compliance</t>
  </si>
  <si>
    <t>Levelized Cost Alternative ($/MWh)</t>
  </si>
  <si>
    <t>Levelized Cost Alternative ($/kW-yr)</t>
  </si>
  <si>
    <t>Energy</t>
  </si>
  <si>
    <t>Capacity</t>
  </si>
  <si>
    <t>Levelized Cost Eligible Renewable Resource ($/REC/MWh)</t>
  </si>
  <si>
    <t>Total Alternative Cost ($)</t>
  </si>
  <si>
    <t>Incremental Cost ($)</t>
  </si>
  <si>
    <t>Total Renewable Resource Cost</t>
  </si>
  <si>
    <t>$</t>
  </si>
  <si>
    <t>Total</t>
  </si>
  <si>
    <t>Washington Share</t>
  </si>
  <si>
    <t>Total WA Only Resources</t>
  </si>
  <si>
    <t>Total WA Share of Costs</t>
  </si>
  <si>
    <t>NOTES</t>
  </si>
  <si>
    <t>Note 1: WAC 480-109-210 (2) (G): Legacy resources. Any eligible resource that the utility acquired prior to March 31, 1999, is deemed to have an incremental cost of zero.</t>
  </si>
  <si>
    <t>Baker River Project - Lower Baker Unit 3</t>
  </si>
  <si>
    <t>Snoqualmie Falls - Snoqualmie Falls Units 1-4</t>
  </si>
  <si>
    <t>Wild Horse - Wild Horse</t>
  </si>
  <si>
    <t>Hopkins Ridge - Hopkins Ridge</t>
  </si>
  <si>
    <t>Wild Horse - Wild Horse - Phase II</t>
  </si>
  <si>
    <t>Hopkins Ridge - Hopkins Ridge Phase II</t>
  </si>
  <si>
    <t>Lower Snake River - Dodge Junction - LSR-Dodge Junction</t>
  </si>
  <si>
    <t>Lower Snake River - Phalen Gulch - LSR-Phalen Gulch</t>
  </si>
  <si>
    <t>Klondike III - Klondike Wind Power III LLC</t>
  </si>
  <si>
    <t>Washington Share:</t>
  </si>
  <si>
    <t>Resource--Washington Only</t>
  </si>
  <si>
    <t>Attachment 5</t>
  </si>
  <si>
    <t>Apprenticeship Credits for Eligible Resources</t>
  </si>
  <si>
    <t>**Note--These facilities qualify for apprenticeship credits therefore requiring less MWh for compliance</t>
  </si>
  <si>
    <t>(Avg cost/MWH for resources used)</t>
  </si>
  <si>
    <t>Total Renewable Portfolio</t>
  </si>
  <si>
    <t xml:space="preserve">  </t>
  </si>
  <si>
    <t xml:space="preserve">Hopkins Ridge - Hopkins Ridge </t>
  </si>
  <si>
    <t>SHADED INFORMATION IS DESIGNATED AS CONFIDENTIAL PER WAC 480-07-160</t>
  </si>
  <si>
    <t>Sierra Pacific Industries</t>
  </si>
  <si>
    <t>Revenue from REC sales</t>
  </si>
  <si>
    <t>ELECTRIC RESULTS OF OPERATIONS</t>
  </si>
  <si>
    <t>CONVERSION FACTOR</t>
  </si>
  <si>
    <t>LINE</t>
  </si>
  <si>
    <t>NO.</t>
  </si>
  <si>
    <t>DESCRIPTION</t>
  </si>
  <si>
    <t>BAD DEBTS</t>
  </si>
  <si>
    <t>ANNUAL FILING FEE</t>
  </si>
  <si>
    <t>SUM OF TAXES OTHER</t>
  </si>
  <si>
    <t xml:space="preserve">CALCULATION 1 (Note 1): </t>
  </si>
  <si>
    <t>CALCULATION 2 (Note 1):</t>
  </si>
  <si>
    <t>Sierra Pacific Industires</t>
  </si>
  <si>
    <t>Wild Horse - Wild Horse - Phase II **</t>
  </si>
  <si>
    <t>Lower Snake River - Dodge Junction - LSR-Dodge Junction**</t>
  </si>
  <si>
    <t>Lower Snake River - Phalen Gulch - LSR-Phalen Gulch**</t>
  </si>
  <si>
    <t>Without revenue sensitive items</t>
  </si>
  <si>
    <t>Total Annual Cost ($)
(2)(a)(i)(A)</t>
  </si>
  <si>
    <t>Apprenticeship Credits Detail</t>
  </si>
  <si>
    <t>TARGET YEAR: FORCAST SUBJECT TO CHANGE 
(WAC 480-109-210(2)(a)(ii)(B) and (C))</t>
  </si>
  <si>
    <t>ALL AVAILABLE RESOURCES ESTIMATED 
(RCW 19.285.070(1))</t>
  </si>
  <si>
    <t>Clearwater</t>
  </si>
  <si>
    <t>LSR Dodge</t>
  </si>
  <si>
    <t>LSR Phalen</t>
  </si>
  <si>
    <t>Annual Revenue Requirement (most recent rate case)</t>
  </si>
  <si>
    <t>PUGET SOUND ENERGY 2024 RPS REPORT</t>
  </si>
  <si>
    <t>`</t>
  </si>
  <si>
    <t>Electric Conversion Factor from UE-220066 updated for new Annual Filing Fee Rate</t>
  </si>
  <si>
    <t>PUGET SOUND ENERGY - ELECTRIC</t>
  </si>
  <si>
    <t>2022 GENERAL RATE CASE</t>
  </si>
  <si>
    <t>12 MONTHS ENDED JUNE 30, 2021</t>
  </si>
  <si>
    <t>RATE YEARS CALENDAR 2023 AND 2024</t>
  </si>
  <si>
    <t>%'s</t>
  </si>
  <si>
    <t>RATE</t>
  </si>
  <si>
    <t>STATE UTILITY TAX - NET OF BAD DEBTS ( 3.8734% - ( LINE 1 * 3.8734%) )</t>
  </si>
  <si>
    <t>CONVERSION FACTOR EXCLUDING FEDERAL INCOME TAX ( 1 - LINE 5)</t>
  </si>
  <si>
    <t>FEDERAL INCOME TAX</t>
  </si>
  <si>
    <t xml:space="preserve">CONVERSION FACTOR INCL FEDERAL INCOME TAX ( LINE 5 + LINE 8 ) </t>
  </si>
  <si>
    <t>2024 Estimated Data: Annual Calculation of Revenue Requirement Ratio</t>
  </si>
  <si>
    <t>(iii)(A) &amp; (B) Annual Reporting Summary Data: 2024</t>
  </si>
  <si>
    <t xml:space="preserve">Wild Horse II </t>
  </si>
  <si>
    <r>
      <t>Note 1:  To calculate revenue requirements all costs/revenues are multiplied by</t>
    </r>
    <r>
      <rPr>
        <sz val="11"/>
        <rFont val="Calibri"/>
        <family val="2"/>
        <scheme val="minor"/>
      </rPr>
      <t xml:space="preserve"> the conversion factor</t>
    </r>
    <r>
      <rPr>
        <sz val="11"/>
        <color theme="1"/>
        <rFont val="Calibri"/>
        <family val="2"/>
        <scheme val="minor"/>
      </rPr>
      <t xml:space="preserve"> to account for Washington's share Excise Tax, Uncollectibles and Commission Fees.</t>
    </r>
  </si>
  <si>
    <t xml:space="preserve">Golden Hills Wind Farm </t>
  </si>
  <si>
    <t xml:space="preserve">Golden Hills Wind Farm, LLC </t>
  </si>
  <si>
    <t>Golden Hills Wind Farm, LLC</t>
  </si>
  <si>
    <t>Agrees to Report - Section 4</t>
  </si>
  <si>
    <t>REC Sales were $0 in 2024 per Attachment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</si>
</sst>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00"/>
    <numFmt numFmtId="167" formatCode="0.0000%"/>
    <numFmt numFmtId="168" formatCode="_(&quot;$&quot;* #,##0_);_(&quot;$&quot;* \(#,##0\);_(&quot;$&quot;* &quot;-&quot;??_);_(@_)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FF0000"/>
      <name val="Times New Roman"/>
      <family val="1"/>
    </font>
    <font>
      <b/>
      <u/>
      <sz val="11"/>
      <color theme="1"/>
      <name val="Times New Roman"/>
      <family val="1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3" fillId="0" borderId="0" xfId="0" applyFont="1"/>
    <xf numFmtId="0" fontId="8" fillId="0" borderId="0" xfId="0" applyFont="1"/>
    <xf numFmtId="0" fontId="5" fillId="0" borderId="0" xfId="0" applyFont="1"/>
    <xf numFmtId="164" fontId="0" fillId="0" borderId="13" xfId="1" applyNumberFormat="1" applyFont="1" applyBorder="1"/>
    <xf numFmtId="0" fontId="4" fillId="0" borderId="0" xfId="0" applyFont="1"/>
    <xf numFmtId="0" fontId="0" fillId="0" borderId="13" xfId="0" applyBorder="1"/>
    <xf numFmtId="0" fontId="3" fillId="0" borderId="15" xfId="0" applyFont="1" applyBorder="1"/>
    <xf numFmtId="0" fontId="0" fillId="0" borderId="15" xfId="0" applyBorder="1"/>
    <xf numFmtId="0" fontId="0" fillId="0" borderId="18" xfId="0" applyBorder="1"/>
    <xf numFmtId="164" fontId="5" fillId="0" borderId="12" xfId="1" applyNumberFormat="1" applyFont="1" applyBorder="1"/>
    <xf numFmtId="164" fontId="5" fillId="0" borderId="12" xfId="1" applyNumberFormat="1" applyFont="1" applyFill="1" applyBorder="1"/>
    <xf numFmtId="0" fontId="5" fillId="0" borderId="12" xfId="0" applyFont="1" applyBorder="1" applyAlignment="1">
      <alignment wrapText="1"/>
    </xf>
    <xf numFmtId="16" fontId="5" fillId="0" borderId="12" xfId="0" applyNumberFormat="1" applyFont="1" applyBorder="1"/>
    <xf numFmtId="164" fontId="5" fillId="0" borderId="12" xfId="1" applyNumberFormat="1" applyFont="1" applyBorder="1" applyAlignment="1">
      <alignment wrapText="1"/>
    </xf>
    <xf numFmtId="0" fontId="5" fillId="0" borderId="12" xfId="0" applyFont="1" applyBorder="1"/>
    <xf numFmtId="164" fontId="5" fillId="0" borderId="12" xfId="1" applyNumberFormat="1" applyFont="1" applyBorder="1" applyAlignment="1">
      <alignment horizontal="right"/>
    </xf>
    <xf numFmtId="164" fontId="5" fillId="0" borderId="12" xfId="1" applyNumberFormat="1" applyFont="1" applyBorder="1" applyAlignment="1">
      <alignment horizontal="right" wrapText="1"/>
    </xf>
    <xf numFmtId="0" fontId="0" fillId="0" borderId="26" xfId="0" applyBorder="1"/>
    <xf numFmtId="164" fontId="0" fillId="0" borderId="28" xfId="1" applyNumberFormat="1" applyFont="1" applyBorder="1"/>
    <xf numFmtId="0" fontId="0" fillId="0" borderId="21" xfId="0" applyBorder="1" applyAlignment="1">
      <alignment horizontal="right" wrapText="1"/>
    </xf>
    <xf numFmtId="0" fontId="0" fillId="0" borderId="27" xfId="0" applyBorder="1" applyAlignment="1">
      <alignment horizontal="right" wrapText="1"/>
    </xf>
    <xf numFmtId="0" fontId="0" fillId="0" borderId="22" xfId="0" applyBorder="1" applyAlignment="1">
      <alignment horizontal="right"/>
    </xf>
    <xf numFmtId="16" fontId="0" fillId="0" borderId="24" xfId="0" applyNumberFormat="1" applyBorder="1"/>
    <xf numFmtId="164" fontId="0" fillId="0" borderId="25" xfId="0" applyNumberFormat="1" applyBorder="1" applyAlignment="1">
      <alignment horizontal="right"/>
    </xf>
    <xf numFmtId="0" fontId="0" fillId="0" borderId="24" xfId="0" applyBorder="1"/>
    <xf numFmtId="0" fontId="0" fillId="0" borderId="12" xfId="0" applyBorder="1"/>
    <xf numFmtId="0" fontId="0" fillId="0" borderId="30" xfId="0" applyBorder="1"/>
    <xf numFmtId="164" fontId="0" fillId="0" borderId="23" xfId="0" applyNumberFormat="1" applyBorder="1" applyAlignment="1">
      <alignment horizontal="right"/>
    </xf>
    <xf numFmtId="0" fontId="0" fillId="0" borderId="17" xfId="0" applyBorder="1"/>
    <xf numFmtId="0" fontId="0" fillId="0" borderId="17" xfId="0" applyBorder="1" applyAlignment="1">
      <alignment wrapText="1"/>
    </xf>
    <xf numFmtId="0" fontId="12" fillId="0" borderId="0" xfId="0" applyFont="1"/>
    <xf numFmtId="10" fontId="13" fillId="0" borderId="16" xfId="0" applyNumberFormat="1" applyFont="1" applyBorder="1"/>
    <xf numFmtId="0" fontId="3" fillId="0" borderId="15" xfId="0" applyFont="1" applyBorder="1" applyAlignment="1">
      <alignment horizontal="left" indent="1"/>
    </xf>
    <xf numFmtId="0" fontId="0" fillId="0" borderId="7" xfId="0" applyBorder="1"/>
    <xf numFmtId="164" fontId="0" fillId="0" borderId="8" xfId="0" applyNumberFormat="1" applyBorder="1"/>
    <xf numFmtId="164" fontId="0" fillId="0" borderId="0" xfId="0" applyNumberFormat="1"/>
    <xf numFmtId="16" fontId="0" fillId="0" borderId="14" xfId="0" applyNumberFormat="1" applyBorder="1"/>
    <xf numFmtId="0" fontId="14" fillId="0" borderId="0" xfId="0" applyFont="1"/>
    <xf numFmtId="43" fontId="0" fillId="0" borderId="13" xfId="0" applyNumberFormat="1" applyBorder="1"/>
    <xf numFmtId="37" fontId="0" fillId="0" borderId="0" xfId="0" applyNumberFormat="1"/>
    <xf numFmtId="0" fontId="0" fillId="0" borderId="3" xfId="0" applyBorder="1"/>
    <xf numFmtId="37" fontId="0" fillId="0" borderId="3" xfId="0" applyNumberFormat="1" applyBorder="1"/>
    <xf numFmtId="0" fontId="3" fillId="0" borderId="31" xfId="0" applyFont="1" applyBorder="1"/>
    <xf numFmtId="37" fontId="0" fillId="0" borderId="31" xfId="0" applyNumberFormat="1" applyBorder="1"/>
    <xf numFmtId="0" fontId="15" fillId="0" borderId="0" xfId="0" applyFont="1"/>
    <xf numFmtId="0" fontId="15" fillId="0" borderId="0" xfId="0" applyFont="1" applyAlignment="1">
      <alignment horizontal="right"/>
    </xf>
    <xf numFmtId="44" fontId="5" fillId="0" borderId="12" xfId="3" applyFont="1" applyBorder="1" applyAlignment="1">
      <alignment wrapText="1"/>
    </xf>
    <xf numFmtId="0" fontId="16" fillId="0" borderId="0" xfId="0" applyFont="1"/>
    <xf numFmtId="0" fontId="5" fillId="0" borderId="0" xfId="0" applyFont="1" applyAlignment="1">
      <alignment horizontal="right"/>
    </xf>
    <xf numFmtId="0" fontId="17" fillId="0" borderId="12" xfId="0" applyFont="1" applyBorder="1"/>
    <xf numFmtId="44" fontId="17" fillId="0" borderId="12" xfId="3" applyFont="1" applyBorder="1" applyAlignment="1">
      <alignment wrapText="1"/>
    </xf>
    <xf numFmtId="44" fontId="5" fillId="0" borderId="0" xfId="0" applyNumberFormat="1" applyFont="1"/>
    <xf numFmtId="164" fontId="5" fillId="0" borderId="0" xfId="1" applyNumberFormat="1" applyFont="1"/>
    <xf numFmtId="164" fontId="5" fillId="0" borderId="0" xfId="0" applyNumberFormat="1" applyFont="1"/>
    <xf numFmtId="0" fontId="13" fillId="0" borderId="0" xfId="0" applyFont="1"/>
    <xf numFmtId="0" fontId="0" fillId="0" borderId="2" xfId="0" applyBorder="1"/>
    <xf numFmtId="42" fontId="5" fillId="0" borderId="12" xfId="1" applyNumberFormat="1" applyFont="1" applyBorder="1" applyAlignment="1">
      <alignment wrapText="1"/>
    </xf>
    <xf numFmtId="164" fontId="0" fillId="0" borderId="0" xfId="1" applyNumberFormat="1" applyFont="1"/>
    <xf numFmtId="42" fontId="0" fillId="0" borderId="14" xfId="1" applyNumberFormat="1" applyFont="1" applyBorder="1"/>
    <xf numFmtId="42" fontId="0" fillId="0" borderId="14" xfId="0" applyNumberFormat="1" applyBorder="1"/>
    <xf numFmtId="42" fontId="0" fillId="0" borderId="12" xfId="1" applyNumberFormat="1" applyFont="1" applyBorder="1"/>
    <xf numFmtId="42" fontId="0" fillId="0" borderId="12" xfId="0" applyNumberFormat="1" applyBorder="1"/>
    <xf numFmtId="42" fontId="0" fillId="0" borderId="13" xfId="0" applyNumberFormat="1" applyBorder="1"/>
    <xf numFmtId="42" fontId="0" fillId="0" borderId="12" xfId="1" applyNumberFormat="1" applyFont="1" applyBorder="1" applyAlignment="1">
      <alignment horizontal="right"/>
    </xf>
    <xf numFmtId="42" fontId="0" fillId="0" borderId="13" xfId="1" applyNumberFormat="1" applyFont="1" applyBorder="1"/>
    <xf numFmtId="42" fontId="0" fillId="0" borderId="17" xfId="0" applyNumberFormat="1" applyBorder="1"/>
    <xf numFmtId="42" fontId="0" fillId="0" borderId="16" xfId="0" applyNumberFormat="1" applyBorder="1"/>
    <xf numFmtId="42" fontId="3" fillId="0" borderId="17" xfId="0" applyNumberFormat="1" applyFont="1" applyBorder="1"/>
    <xf numFmtId="42" fontId="3" fillId="0" borderId="16" xfId="0" applyNumberFormat="1" applyFont="1" applyBorder="1"/>
    <xf numFmtId="42" fontId="0" fillId="0" borderId="19" xfId="0" applyNumberFormat="1" applyBorder="1"/>
    <xf numFmtId="42" fontId="0" fillId="0" borderId="20" xfId="0" applyNumberFormat="1" applyBorder="1"/>
    <xf numFmtId="42" fontId="0" fillId="0" borderId="11" xfId="1" applyNumberFormat="1" applyFont="1" applyFill="1" applyBorder="1"/>
    <xf numFmtId="42" fontId="0" fillId="0" borderId="0" xfId="0" applyNumberFormat="1"/>
    <xf numFmtId="42" fontId="0" fillId="0" borderId="3" xfId="0" applyNumberFormat="1" applyBorder="1"/>
    <xf numFmtId="42" fontId="0" fillId="0" borderId="33" xfId="0" applyNumberFormat="1" applyBorder="1"/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1" fillId="0" borderId="0" xfId="0" applyFont="1"/>
    <xf numFmtId="0" fontId="21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21" fillId="0" borderId="0" xfId="0" applyFont="1" applyAlignment="1">
      <alignment horizontal="center"/>
    </xf>
    <xf numFmtId="0" fontId="21" fillId="0" borderId="31" xfId="0" applyFont="1" applyBorder="1" applyAlignment="1">
      <alignment horizontal="center"/>
    </xf>
    <xf numFmtId="0" fontId="11" fillId="0" borderId="31" xfId="0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6" fontId="11" fillId="0" borderId="0" xfId="0" applyNumberFormat="1" applyFont="1"/>
    <xf numFmtId="167" fontId="11" fillId="0" borderId="0" xfId="0" applyNumberFormat="1" applyFont="1"/>
    <xf numFmtId="166" fontId="11" fillId="0" borderId="31" xfId="0" applyNumberFormat="1" applyFont="1" applyBorder="1"/>
    <xf numFmtId="9" fontId="11" fillId="0" borderId="0" xfId="0" applyNumberFormat="1" applyFont="1"/>
    <xf numFmtId="166" fontId="11" fillId="0" borderId="32" xfId="0" applyNumberFormat="1" applyFont="1" applyBorder="1" applyProtection="1">
      <protection locked="0"/>
    </xf>
    <xf numFmtId="0" fontId="20" fillId="0" borderId="0" xfId="0" applyFont="1" applyAlignment="1">
      <alignment horizontal="centerContinuous"/>
    </xf>
    <xf numFmtId="0" fontId="22" fillId="0" borderId="0" xfId="0" applyFont="1" applyAlignment="1">
      <alignment horizontal="right"/>
    </xf>
    <xf numFmtId="168" fontId="5" fillId="0" borderId="12" xfId="3" applyNumberFormat="1" applyFont="1" applyBorder="1"/>
    <xf numFmtId="168" fontId="17" fillId="0" borderId="12" xfId="3" applyNumberFormat="1" applyFont="1" applyBorder="1"/>
    <xf numFmtId="44" fontId="5" fillId="0" borderId="0" xfId="3" applyFont="1"/>
    <xf numFmtId="168" fontId="0" fillId="0" borderId="12" xfId="3" applyNumberFormat="1" applyFont="1" applyBorder="1"/>
    <xf numFmtId="168" fontId="0" fillId="0" borderId="17" xfId="3" applyNumberFormat="1" applyFont="1" applyBorder="1"/>
    <xf numFmtId="44" fontId="0" fillId="0" borderId="12" xfId="3" applyFont="1" applyFill="1" applyBorder="1"/>
    <xf numFmtId="168" fontId="0" fillId="0" borderId="25" xfId="3" applyNumberFormat="1" applyFont="1" applyBorder="1" applyAlignment="1">
      <alignment horizontal="right"/>
    </xf>
    <xf numFmtId="168" fontId="0" fillId="0" borderId="17" xfId="0" applyNumberFormat="1" applyBorder="1" applyAlignment="1">
      <alignment wrapText="1"/>
    </xf>
    <xf numFmtId="168" fontId="0" fillId="0" borderId="16" xfId="0" applyNumberFormat="1" applyBorder="1" applyAlignment="1">
      <alignment horizontal="right"/>
    </xf>
    <xf numFmtId="44" fontId="0" fillId="0" borderId="13" xfId="3" applyFont="1" applyFill="1" applyBorder="1"/>
    <xf numFmtId="42" fontId="0" fillId="0" borderId="30" xfId="0" applyNumberFormat="1" applyBorder="1"/>
    <xf numFmtId="168" fontId="0" fillId="0" borderId="4" xfId="0" applyNumberFormat="1" applyBorder="1"/>
    <xf numFmtId="44" fontId="0" fillId="0" borderId="13" xfId="3" applyFont="1" applyFill="1" applyBorder="1" applyAlignment="1">
      <alignment horizontal="right"/>
    </xf>
    <xf numFmtId="43" fontId="0" fillId="0" borderId="0" xfId="0" applyNumberFormat="1"/>
    <xf numFmtId="42" fontId="0" fillId="0" borderId="12" xfId="1" applyNumberFormat="1" applyFont="1" applyFill="1" applyBorder="1" applyAlignment="1">
      <alignment horizontal="right"/>
    </xf>
    <xf numFmtId="42" fontId="0" fillId="0" borderId="13" xfId="1" applyNumberFormat="1" applyFont="1" applyFill="1" applyBorder="1"/>
    <xf numFmtId="0" fontId="5" fillId="0" borderId="12" xfId="0" applyFont="1" applyBorder="1" applyAlignment="1">
      <alignment horizontal="center" wrapText="1"/>
    </xf>
    <xf numFmtId="44" fontId="5" fillId="0" borderId="14" xfId="3" applyFont="1" applyFill="1" applyBorder="1" applyAlignment="1">
      <alignment wrapText="1"/>
    </xf>
    <xf numFmtId="164" fontId="5" fillId="0" borderId="0" xfId="1" applyNumberFormat="1" applyFont="1" applyFill="1"/>
    <xf numFmtId="43" fontId="5" fillId="0" borderId="12" xfId="1" applyFont="1" applyFill="1" applyBorder="1" applyAlignment="1">
      <alignment wrapText="1"/>
    </xf>
    <xf numFmtId="0" fontId="17" fillId="0" borderId="0" xfId="0" applyFont="1"/>
    <xf numFmtId="44" fontId="0" fillId="0" borderId="0" xfId="0" applyNumberFormat="1"/>
    <xf numFmtId="43" fontId="0" fillId="0" borderId="0" xfId="1" applyFont="1" applyFill="1"/>
    <xf numFmtId="0" fontId="0" fillId="0" borderId="34" xfId="0" applyBorder="1"/>
    <xf numFmtId="41" fontId="17" fillId="0" borderId="25" xfId="0" applyNumberFormat="1" applyFont="1" applyBorder="1" applyAlignment="1">
      <alignment horizontal="right" vertical="center"/>
    </xf>
    <xf numFmtId="41" fontId="17" fillId="0" borderId="6" xfId="0" applyNumberFormat="1" applyFont="1" applyBorder="1" applyAlignment="1">
      <alignment horizontal="right" vertical="center"/>
    </xf>
    <xf numFmtId="164" fontId="17" fillId="0" borderId="12" xfId="1" applyNumberFormat="1" applyFont="1" applyFill="1" applyBorder="1"/>
    <xf numFmtId="164" fontId="16" fillId="0" borderId="12" xfId="1" applyNumberFormat="1" applyFont="1" applyFill="1" applyBorder="1"/>
    <xf numFmtId="1" fontId="16" fillId="0" borderId="0" xfId="1" applyNumberFormat="1" applyFont="1" applyFill="1" applyAlignment="1">
      <alignment horizontal="right"/>
    </xf>
    <xf numFmtId="0" fontId="23" fillId="0" borderId="0" xfId="0" applyFont="1"/>
    <xf numFmtId="164" fontId="5" fillId="0" borderId="32" xfId="0" applyNumberFormat="1" applyFont="1" applyBorder="1"/>
    <xf numFmtId="10" fontId="0" fillId="0" borderId="0" xfId="2" applyNumberFormat="1" applyFont="1"/>
    <xf numFmtId="10" fontId="0" fillId="0" borderId="0" xfId="0" applyNumberFormat="1"/>
    <xf numFmtId="10" fontId="8" fillId="0" borderId="0" xfId="0" applyNumberFormat="1" applyFont="1"/>
    <xf numFmtId="0" fontId="24" fillId="0" borderId="12" xfId="0" applyFont="1" applyBorder="1"/>
    <xf numFmtId="42" fontId="0" fillId="0" borderId="14" xfId="1" applyNumberFormat="1" applyFont="1" applyFill="1" applyBorder="1"/>
    <xf numFmtId="42" fontId="0" fillId="0" borderId="12" xfId="1" applyNumberFormat="1" applyFont="1" applyFill="1" applyBorder="1"/>
    <xf numFmtId="0" fontId="5" fillId="0" borderId="30" xfId="0" applyFont="1" applyBorder="1" applyAlignment="1">
      <alignment horizontal="centerContinuous"/>
    </xf>
    <xf numFmtId="0" fontId="5" fillId="0" borderId="35" xfId="0" applyFont="1" applyBorder="1" applyAlignment="1">
      <alignment horizontal="centerContinuous"/>
    </xf>
    <xf numFmtId="0" fontId="0" fillId="0" borderId="0" xfId="0"/>
    <xf numFmtId="0" fontId="0" fillId="0" borderId="0" xfId="0" applyAlignment="1">
      <alignment wrapText="1"/>
    </xf>
    <xf numFmtId="0" fontId="0" fillId="0" borderId="15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8" fillId="0" borderId="10" xfId="0" applyFont="1" applyBorder="1" applyAlignment="1">
      <alignment wrapText="1" shrinkToFit="1"/>
    </xf>
    <xf numFmtId="0" fontId="8" fillId="0" borderId="11" xfId="0" applyFont="1" applyBorder="1" applyAlignment="1">
      <alignment wrapText="1" shrinkToFit="1"/>
    </xf>
    <xf numFmtId="168" fontId="0" fillId="0" borderId="6" xfId="3" applyNumberFormat="1" applyFont="1" applyBorder="1" applyAlignment="1">
      <alignment wrapText="1"/>
    </xf>
    <xf numFmtId="168" fontId="0" fillId="0" borderId="9" xfId="3" applyNumberFormat="1" applyFont="1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0" fillId="0" borderId="25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2" xfId="0" applyBorder="1" applyAlignment="1">
      <alignment horizontal="right" wrapText="1"/>
    </xf>
    <xf numFmtId="0" fontId="0" fillId="0" borderId="13" xfId="0" applyBorder="1" applyAlignment="1">
      <alignment horizontal="right" wrapText="1"/>
    </xf>
    <xf numFmtId="0" fontId="0" fillId="0" borderId="14" xfId="0" applyBorder="1" applyAlignment="1">
      <alignment horizontal="right" wrapText="1"/>
    </xf>
    <xf numFmtId="0" fontId="0" fillId="0" borderId="28" xfId="0" applyBorder="1" applyAlignment="1">
      <alignment horizontal="right" wrapText="1"/>
    </xf>
    <xf numFmtId="0" fontId="0" fillId="0" borderId="29" xfId="0" applyBorder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left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165" fontId="0" fillId="0" borderId="5" xfId="2" applyNumberFormat="1" applyFont="1" applyFill="1" applyBorder="1" applyAlignment="1">
      <alignment wrapText="1"/>
    </xf>
    <xf numFmtId="165" fontId="0" fillId="0" borderId="0" xfId="2" applyNumberFormat="1" applyFont="1" applyFill="1" applyBorder="1" applyAlignment="1">
      <alignment wrapText="1"/>
    </xf>
    <xf numFmtId="165" fontId="0" fillId="0" borderId="6" xfId="2" applyNumberFormat="1" applyFont="1" applyFill="1" applyBorder="1" applyAlignment="1">
      <alignment wrapText="1"/>
    </xf>
    <xf numFmtId="165" fontId="0" fillId="0" borderId="7" xfId="2" applyNumberFormat="1" applyFont="1" applyFill="1" applyBorder="1" applyAlignment="1">
      <alignment wrapText="1"/>
    </xf>
    <xf numFmtId="165" fontId="0" fillId="0" borderId="8" xfId="2" applyNumberFormat="1" applyFont="1" applyFill="1" applyBorder="1" applyAlignment="1">
      <alignment wrapText="1"/>
    </xf>
    <xf numFmtId="165" fontId="0" fillId="0" borderId="9" xfId="2" applyNumberFormat="1" applyFont="1" applyFill="1" applyBorder="1" applyAlignment="1">
      <alignment wrapText="1"/>
    </xf>
    <xf numFmtId="0" fontId="4" fillId="0" borderId="8" xfId="0" applyFont="1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1" fillId="0" borderId="8" xfId="0" applyFont="1" applyBorder="1" applyAlignment="1">
      <alignment wrapText="1"/>
    </xf>
  </cellXfs>
  <cellStyles count="5">
    <cellStyle name="Comma" xfId="1" builtinId="3"/>
    <cellStyle name="Currency" xfId="3" builtinId="4"/>
    <cellStyle name="Normal" xfId="0" builtinId="0"/>
    <cellStyle name="Normal 2" xfId="4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7</xdr:row>
      <xdr:rowOff>0</xdr:rowOff>
    </xdr:from>
    <xdr:to>
      <xdr:col>4</xdr:col>
      <xdr:colOff>1504949</xdr:colOff>
      <xdr:row>11</xdr:row>
      <xdr:rowOff>571500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934074" y="1000125"/>
          <a:ext cx="1266825" cy="133350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i="1"/>
            <a:t>Note:                Levelized cost of eligible renewable resource should include integration costs, where applicable.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RPS%20Reporting\2020\Attachment%203%20Tool\PSE-Attachment%203%20To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PS%20Reporting/2024/Support/Revenue%20Requirement/2024%20RPS%20Report%20-%20Calculation%20of%20Annual%20Revenue%20Require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PS%20Reporting/2024/A.%20%20Report%20to%20WUTC%20to%20be%20filed%20June%201,%202024/2.%20%20%20Attachment%200%20RPS%20Report/Section%206%20-%202024%20Compliance%20Pla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PS%20Reporting/2024/A.%20%20Report%20to%20WUTC%20to%20be%20filed%20June%201,%202024/5.%20%20%20Attachment%203%20Tool/NEW-PSE-RPS-Attach-3-(05-31-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structions"/>
      <sheetName val="Compliance Summary"/>
      <sheetName val="Facility Detail"/>
      <sheetName val="Generation Rollup"/>
    </sheetNames>
    <sheetDataSet>
      <sheetData sheetId="0"/>
      <sheetData sheetId="1"/>
      <sheetData sheetId="2"/>
      <sheetData sheetId="3">
        <row r="4">
          <cell r="B4" t="str">
            <v>Wild Horse</v>
          </cell>
          <cell r="C4" t="str">
            <v>W183</v>
          </cell>
          <cell r="E4" t="str">
            <v>Wind</v>
          </cell>
          <cell r="F4" t="str">
            <v>Not Eligible</v>
          </cell>
          <cell r="G4" t="str">
            <v>---</v>
          </cell>
        </row>
        <row r="5">
          <cell r="B5" t="str">
            <v>Hopkins Ridge</v>
          </cell>
          <cell r="C5" t="str">
            <v>W184</v>
          </cell>
          <cell r="E5" t="str">
            <v>Wind</v>
          </cell>
          <cell r="F5" t="str">
            <v>Not Eligible</v>
          </cell>
          <cell r="G5" t="str">
            <v>---</v>
          </cell>
        </row>
        <row r="6">
          <cell r="B6" t="str">
            <v>Klondike III</v>
          </cell>
          <cell r="C6" t="str">
            <v>W237</v>
          </cell>
          <cell r="E6" t="str">
            <v>Wind</v>
          </cell>
          <cell r="F6" t="str">
            <v>Not Eligible</v>
          </cell>
          <cell r="G6" t="str">
            <v>---</v>
          </cell>
        </row>
        <row r="7">
          <cell r="B7" t="str">
            <v>Wild Horse Phase II</v>
          </cell>
          <cell r="C7" t="str">
            <v>W1364</v>
          </cell>
          <cell r="E7" t="str">
            <v>Wind</v>
          </cell>
          <cell r="F7" t="str">
            <v>Eligible</v>
          </cell>
          <cell r="G7" t="str">
            <v>---</v>
          </cell>
        </row>
        <row r="8">
          <cell r="B8" t="str">
            <v>Hopkins Ridge Phase II</v>
          </cell>
          <cell r="C8" t="str">
            <v>W1382</v>
          </cell>
          <cell r="E8" t="str">
            <v>Wind</v>
          </cell>
          <cell r="F8" t="str">
            <v>Not Eligible</v>
          </cell>
          <cell r="G8" t="str">
            <v>---</v>
          </cell>
        </row>
        <row r="9">
          <cell r="B9" t="str">
            <v>Lower Snake River - Dodge Junction</v>
          </cell>
          <cell r="C9" t="str">
            <v>W2669</v>
          </cell>
          <cell r="E9" t="str">
            <v>Wind</v>
          </cell>
          <cell r="F9" t="str">
            <v>Eligible</v>
          </cell>
          <cell r="G9" t="str">
            <v>---</v>
          </cell>
        </row>
        <row r="10">
          <cell r="B10" t="str">
            <v>Lower Snake River - Phalen Gulch</v>
          </cell>
          <cell r="C10" t="str">
            <v>W2670</v>
          </cell>
          <cell r="E10" t="str">
            <v>Wind</v>
          </cell>
          <cell r="F10" t="str">
            <v>Eligible</v>
          </cell>
          <cell r="G10" t="str">
            <v>---</v>
          </cell>
        </row>
        <row r="11">
          <cell r="B11" t="str">
            <v>Wanapum Fish Bypass</v>
          </cell>
          <cell r="C11" t="str">
            <v>Not Available</v>
          </cell>
          <cell r="E11" t="str">
            <v>Water (Incremental Hydro)</v>
          </cell>
          <cell r="F11" t="str">
            <v>Not Eligible</v>
          </cell>
          <cell r="G11" t="str">
            <v>---</v>
          </cell>
        </row>
        <row r="12">
          <cell r="B12" t="str">
            <v>Baker River Project</v>
          </cell>
          <cell r="C12" t="str">
            <v>W4865</v>
          </cell>
          <cell r="E12" t="str">
            <v>Water (Incremental Hydro)</v>
          </cell>
          <cell r="F12" t="str">
            <v>Not Eligible</v>
          </cell>
          <cell r="G12" t="str">
            <v>---</v>
          </cell>
        </row>
        <row r="13">
          <cell r="B13" t="str">
            <v>Snoqualmie Falls Project</v>
          </cell>
          <cell r="C13" t="str">
            <v>W4866</v>
          </cell>
          <cell r="E13" t="str">
            <v>Water (Incremental Hydro)</v>
          </cell>
          <cell r="F13" t="str">
            <v>Not Eligible</v>
          </cell>
          <cell r="G13" t="str">
            <v>---</v>
          </cell>
        </row>
        <row r="14">
          <cell r="B14" t="str">
            <v>Klondike 1--REC only**</v>
          </cell>
          <cell r="C14" t="str">
            <v>W238</v>
          </cell>
          <cell r="E14" t="str">
            <v>Wind</v>
          </cell>
          <cell r="F14" t="str">
            <v>Not Eligible</v>
          </cell>
          <cell r="G14" t="str">
            <v>---</v>
          </cell>
        </row>
        <row r="15">
          <cell r="B15" t="str">
            <v>Stateline WA Wind--REC Only **</v>
          </cell>
          <cell r="C15" t="str">
            <v>W248</v>
          </cell>
          <cell r="E15" t="str">
            <v>Wind</v>
          </cell>
          <cell r="F15" t="str">
            <v>Not Eligible</v>
          </cell>
          <cell r="G15" t="str">
            <v>---</v>
          </cell>
        </row>
        <row r="16">
          <cell r="B16" t="str">
            <v>Horse Butte Wind--REC only **</v>
          </cell>
          <cell r="C16" t="str">
            <v>W3260</v>
          </cell>
          <cell r="E16" t="str">
            <v>Wind</v>
          </cell>
          <cell r="F16" t="str">
            <v>Not Eligible</v>
          </cell>
          <cell r="G16" t="str">
            <v>---</v>
          </cell>
        </row>
        <row r="17">
          <cell r="B17" t="str">
            <v>Grand View 5 East--REC Only**</v>
          </cell>
          <cell r="C17" t="str">
            <v>W5069</v>
          </cell>
          <cell r="E17" t="str">
            <v>Solar</v>
          </cell>
          <cell r="F17" t="str">
            <v>Not Eligible</v>
          </cell>
          <cell r="G17" t="str">
            <v>---</v>
          </cell>
        </row>
        <row r="18">
          <cell r="B18" t="str">
            <v>Grand View 2 West--REC Only **</v>
          </cell>
          <cell r="C18" t="str">
            <v>W5070</v>
          </cell>
          <cell r="E18" t="str">
            <v>Solar</v>
          </cell>
          <cell r="F18" t="str">
            <v>Not Eligible</v>
          </cell>
          <cell r="G18" t="str">
            <v>---</v>
          </cell>
        </row>
        <row r="19">
          <cell r="B19" t="str">
            <v>ID Solar 1 -- REC Only **</v>
          </cell>
          <cell r="C19" t="str">
            <v>W5076</v>
          </cell>
          <cell r="E19" t="str">
            <v>Solar</v>
          </cell>
          <cell r="F19" t="str">
            <v>Not Eligible</v>
          </cell>
          <cell r="G19" t="str">
            <v>---</v>
          </cell>
        </row>
        <row r="20">
          <cell r="B20" t="str">
            <v>Condon Wind Power -- REC Only **</v>
          </cell>
          <cell r="C20" t="str">
            <v>W774</v>
          </cell>
          <cell r="E20" t="str">
            <v>Wind</v>
          </cell>
          <cell r="F20" t="str">
            <v>Not Eligible</v>
          </cell>
          <cell r="G20" t="str">
            <v>---</v>
          </cell>
        </row>
        <row r="21">
          <cell r="B21" t="str">
            <v>Condon Wind Power Phase II -- REC Only **</v>
          </cell>
          <cell r="C21" t="str">
            <v>W833</v>
          </cell>
          <cell r="E21" t="str">
            <v>Wind</v>
          </cell>
          <cell r="F21" t="str">
            <v>Not Eligible</v>
          </cell>
          <cell r="G21" t="str">
            <v>---</v>
          </cell>
        </row>
        <row r="22">
          <cell r="B22" t="str">
            <v>Camp Reed Wind Park - Camp Reed Wind Park -- REC Only **</v>
          </cell>
          <cell r="C22" t="str">
            <v>W1875</v>
          </cell>
          <cell r="E22" t="str">
            <v>Wind</v>
          </cell>
          <cell r="F22" t="str">
            <v>Not Eligible</v>
          </cell>
          <cell r="G22" t="str">
            <v>---</v>
          </cell>
        </row>
        <row r="23">
          <cell r="B23" t="str">
            <v>Golden Valley Wind Park - Golden Valley Wind Park -- REC Only **</v>
          </cell>
          <cell r="C23" t="str">
            <v>W1862</v>
          </cell>
          <cell r="E23" t="str">
            <v>Wind</v>
          </cell>
          <cell r="F23" t="str">
            <v>Not Eligible</v>
          </cell>
          <cell r="G23" t="str">
            <v>---</v>
          </cell>
        </row>
        <row r="24">
          <cell r="B24" t="str">
            <v>Klondike III - Klondike Wind Power III LLC -- REC Only **</v>
          </cell>
          <cell r="C24" t="str">
            <v>W237</v>
          </cell>
          <cell r="E24" t="str">
            <v>Wind</v>
          </cell>
          <cell r="F24" t="str">
            <v>Not Eligible</v>
          </cell>
          <cell r="G24" t="str">
            <v>---</v>
          </cell>
        </row>
        <row r="25">
          <cell r="B25" t="str">
            <v>Meadow Creek Wind Farm - Five Pine Project -- REC Only **</v>
          </cell>
          <cell r="C25" t="str">
            <v>W3186</v>
          </cell>
          <cell r="E25" t="str">
            <v>Wind</v>
          </cell>
          <cell r="F25" t="str">
            <v>Not Eligible</v>
          </cell>
          <cell r="G25" t="str">
            <v>---</v>
          </cell>
        </row>
        <row r="26">
          <cell r="B26" t="str">
            <v>Meadow Creek Wind Farm - North Point Wind Farm -- REC Only **</v>
          </cell>
          <cell r="C26" t="str">
            <v>W3185</v>
          </cell>
          <cell r="E26" t="str">
            <v>Wind</v>
          </cell>
          <cell r="F26" t="str">
            <v>Not Eligible</v>
          </cell>
          <cell r="G26" t="str">
            <v>---</v>
          </cell>
        </row>
        <row r="27">
          <cell r="B27" t="str">
            <v>Mountain Air Wind Projects - Mountain Air Wind Projects -- REC Only **</v>
          </cell>
          <cell r="C27" t="str">
            <v>W2869</v>
          </cell>
          <cell r="E27" t="str">
            <v>Wind</v>
          </cell>
          <cell r="F27" t="str">
            <v>Not Eligible</v>
          </cell>
          <cell r="G27" t="str">
            <v>---</v>
          </cell>
        </row>
        <row r="28">
          <cell r="B28" t="str">
            <v>Nine Canyon Wind Project - Nine Canyon Phase 3 -- REC Only **</v>
          </cell>
          <cell r="C28" t="str">
            <v>W697</v>
          </cell>
          <cell r="E28" t="str">
            <v>Wind</v>
          </cell>
          <cell r="F28" t="str">
            <v>Not Eligible</v>
          </cell>
          <cell r="G28" t="str">
            <v>---</v>
          </cell>
        </row>
        <row r="29">
          <cell r="B29" t="str">
            <v>Oregon Trail Wind Park, LLC - Oregon Trail Wind Park -- REC Only **</v>
          </cell>
          <cell r="C29" t="str">
            <v>W1882</v>
          </cell>
          <cell r="E29" t="str">
            <v>Wind</v>
          </cell>
          <cell r="F29" t="str">
            <v>Not Eligible</v>
          </cell>
          <cell r="G29" t="str">
            <v>---</v>
          </cell>
        </row>
        <row r="30">
          <cell r="B30" t="str">
            <v>PaTu Wind Farm - PaTu Wind -- REC Only **</v>
          </cell>
          <cell r="C30" t="str">
            <v>W1844</v>
          </cell>
          <cell r="E30" t="str">
            <v>Wind</v>
          </cell>
          <cell r="F30" t="str">
            <v>Not Eligible</v>
          </cell>
          <cell r="G30" t="str">
            <v>---</v>
          </cell>
        </row>
        <row r="31">
          <cell r="B31" t="str">
            <v>Roseburg LFG - Roseburg LFG Energy -- REC Only **</v>
          </cell>
          <cell r="C31" t="str">
            <v>W2616</v>
          </cell>
          <cell r="E31" t="str">
            <v>Landfill Gas</v>
          </cell>
          <cell r="F31" t="str">
            <v>Not Eligible</v>
          </cell>
          <cell r="G31" t="str">
            <v>---</v>
          </cell>
        </row>
        <row r="32">
          <cell r="B32" t="str">
            <v>Salmon Falls Wind Park, LLC - Salmon Falls Wind Park -- REC Only **</v>
          </cell>
          <cell r="C32" t="str">
            <v>W1885</v>
          </cell>
          <cell r="E32" t="str">
            <v>Wind</v>
          </cell>
          <cell r="F32" t="str">
            <v>Not Eligible</v>
          </cell>
          <cell r="G32" t="str">
            <v>---</v>
          </cell>
        </row>
        <row r="33">
          <cell r="B33" t="str">
            <v>Sawtooth Wind Project - Sawtooth Wind Project -- REC Only **</v>
          </cell>
          <cell r="C33" t="str">
            <v>W2323</v>
          </cell>
          <cell r="E33" t="str">
            <v>Wind</v>
          </cell>
          <cell r="F33" t="str">
            <v>Not Eligible</v>
          </cell>
          <cell r="G33" t="str">
            <v>---</v>
          </cell>
        </row>
        <row r="34">
          <cell r="B34" t="str">
            <v>Thousand Springs Wind Park, LLC - Thousand Springs Wind Park -- REC Only **</v>
          </cell>
          <cell r="C34" t="str">
            <v>W1881</v>
          </cell>
          <cell r="E34" t="str">
            <v>Wind</v>
          </cell>
          <cell r="F34" t="str">
            <v>Not Eligible</v>
          </cell>
          <cell r="G34" t="str">
            <v>---</v>
          </cell>
        </row>
        <row r="35">
          <cell r="B35" t="str">
            <v>Tuana Gulch Wind Park, LLC - Tuana Gulch Wind Park -- REC Only **</v>
          </cell>
          <cell r="C35" t="str">
            <v>W1883</v>
          </cell>
          <cell r="E35" t="str">
            <v>Wind</v>
          </cell>
          <cell r="F35" t="str">
            <v>Not Eligible</v>
          </cell>
          <cell r="G35" t="str">
            <v>---</v>
          </cell>
        </row>
        <row r="36">
          <cell r="B36" t="str">
            <v>Tuana Springs Energy, LLC - Tuana Springs -- REC Only **</v>
          </cell>
          <cell r="C36" t="str">
            <v>W1503</v>
          </cell>
          <cell r="E36" t="str">
            <v>Wind</v>
          </cell>
          <cell r="F36" t="str">
            <v>Not Eligible</v>
          </cell>
          <cell r="G36" t="str">
            <v>---</v>
          </cell>
        </row>
        <row r="37">
          <cell r="B37" t="str">
            <v>White Creek Wind 1 - White Creek -- REC Only **</v>
          </cell>
          <cell r="C37" t="str">
            <v>W360</v>
          </cell>
          <cell r="E37" t="str">
            <v>Wind</v>
          </cell>
          <cell r="F37" t="str">
            <v>Not Eligible</v>
          </cell>
          <cell r="G37" t="str">
            <v>---</v>
          </cell>
        </row>
        <row r="38">
          <cell r="B38" t="str">
            <v>Facility 35</v>
          </cell>
          <cell r="F38" t="str">
            <v>---</v>
          </cell>
          <cell r="G38" t="str">
            <v>---</v>
          </cell>
        </row>
        <row r="39">
          <cell r="B39" t="str">
            <v>Facility 36</v>
          </cell>
          <cell r="F39" t="str">
            <v>---</v>
          </cell>
          <cell r="G39" t="str">
            <v>---</v>
          </cell>
        </row>
        <row r="40">
          <cell r="B40" t="str">
            <v>Facility 37</v>
          </cell>
          <cell r="F40" t="str">
            <v>---</v>
          </cell>
          <cell r="G40" t="str">
            <v>---</v>
          </cell>
        </row>
        <row r="41">
          <cell r="B41" t="str">
            <v>Facility 38</v>
          </cell>
          <cell r="F41" t="str">
            <v>---</v>
          </cell>
          <cell r="G41" t="str">
            <v>---</v>
          </cell>
        </row>
        <row r="42">
          <cell r="B42" t="str">
            <v>Facility 39</v>
          </cell>
          <cell r="F42" t="str">
            <v>---</v>
          </cell>
          <cell r="G42" t="str">
            <v>---</v>
          </cell>
        </row>
        <row r="43">
          <cell r="B43" t="str">
            <v>Facility 40</v>
          </cell>
          <cell r="F43" t="str">
            <v>---</v>
          </cell>
          <cell r="G43" t="str">
            <v>---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-937 Annual Rev Req"/>
      <sheetName val="2023 Rev Req"/>
      <sheetName val="2024 BLR Update"/>
    </sheetNames>
    <sheetDataSet>
      <sheetData sheetId="0">
        <row r="6">
          <cell r="C6">
            <v>3035342631.8056397</v>
          </cell>
        </row>
        <row r="13">
          <cell r="C13">
            <v>3196235787.8944845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 Table"/>
      <sheetName val="Apprenticeship Credits"/>
      <sheetName val="How selection was made"/>
      <sheetName val="Order of Priority "/>
    </sheetNames>
    <sheetDataSet>
      <sheetData sheetId="0">
        <row r="5">
          <cell r="L5">
            <v>101979</v>
          </cell>
        </row>
        <row r="6">
          <cell r="L6">
            <v>1291253</v>
          </cell>
        </row>
        <row r="8">
          <cell r="L8">
            <v>383773</v>
          </cell>
        </row>
        <row r="9">
          <cell r="L9">
            <v>18495</v>
          </cell>
        </row>
        <row r="10">
          <cell r="L10">
            <v>61644</v>
          </cell>
        </row>
        <row r="11">
          <cell r="L11">
            <v>482685.00000000006</v>
          </cell>
        </row>
        <row r="12">
          <cell r="L12">
            <v>96537.000000000015</v>
          </cell>
        </row>
        <row r="13">
          <cell r="L13">
            <v>350200.83333333337</v>
          </cell>
        </row>
        <row r="14">
          <cell r="L14">
            <v>70040.166666666672</v>
          </cell>
        </row>
        <row r="15">
          <cell r="L15">
            <v>17178</v>
          </cell>
        </row>
        <row r="16">
          <cell r="L16">
            <v>101051</v>
          </cell>
        </row>
        <row r="17">
          <cell r="L17">
            <v>142828</v>
          </cell>
        </row>
        <row r="18">
          <cell r="L18">
            <v>75645.000000000015</v>
          </cell>
        </row>
        <row r="19">
          <cell r="L19">
            <v>15129.000000000002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structions"/>
      <sheetName val="Compliance Summary"/>
      <sheetName val="Facility Detail"/>
      <sheetName val="Generation Rollup"/>
      <sheetName val="NEW-PSE-RPS-Attach-3-(05-31-202"/>
      <sheetName val="Load + Need"/>
    </sheetNames>
    <sheetDataSet>
      <sheetData sheetId="0"/>
      <sheetData sheetId="1"/>
      <sheetData sheetId="2">
        <row r="9">
          <cell r="D9">
            <v>3084363</v>
          </cell>
          <cell r="F9">
            <v>3208438</v>
          </cell>
        </row>
      </sheetData>
      <sheetData sheetId="3">
        <row r="68">
          <cell r="F68">
            <v>89806</v>
          </cell>
        </row>
      </sheetData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zoomScale="80" zoomScaleNormal="80" workbookViewId="0">
      <pane xSplit="1" ySplit="16" topLeftCell="B17" activePane="bottomRight" state="frozen"/>
      <selection pane="topRight" activeCell="B1" sqref="B1"/>
      <selection pane="bottomLeft" activeCell="A17" sqref="A17"/>
      <selection pane="bottomRight" activeCell="C31" sqref="C31"/>
    </sheetView>
  </sheetViews>
  <sheetFormatPr defaultColWidth="9.28515625" defaultRowHeight="15" x14ac:dyDescent="0.25"/>
  <cols>
    <col min="1" max="1" width="38.5703125" customWidth="1"/>
    <col min="2" max="4" width="18.7109375" customWidth="1"/>
    <col min="5" max="5" width="19.7109375" customWidth="1"/>
    <col min="6" max="6" width="22.28515625" customWidth="1"/>
    <col min="7" max="7" width="19.28515625" bestFit="1" customWidth="1"/>
    <col min="8" max="8" width="18" customWidth="1"/>
    <col min="9" max="9" width="16.28515625" bestFit="1" customWidth="1"/>
    <col min="10" max="10" width="13.28515625" bestFit="1" customWidth="1"/>
  </cols>
  <sheetData>
    <row r="1" spans="1:9" x14ac:dyDescent="0.25">
      <c r="A1" s="1" t="s">
        <v>76</v>
      </c>
      <c r="B1" s="1"/>
      <c r="H1" s="1" t="s">
        <v>43</v>
      </c>
      <c r="I1" s="1"/>
    </row>
    <row r="2" spans="1:9" ht="33" customHeight="1" thickBot="1" x14ac:dyDescent="0.45">
      <c r="A2" s="31" t="s">
        <v>48</v>
      </c>
    </row>
    <row r="3" spans="1:9" ht="15" customHeight="1" x14ac:dyDescent="0.25">
      <c r="A3" s="140" t="s">
        <v>0</v>
      </c>
      <c r="B3" s="141"/>
      <c r="C3" s="141"/>
      <c r="D3" s="141"/>
      <c r="E3" s="141"/>
      <c r="F3" s="141"/>
      <c r="G3" s="141"/>
      <c r="H3" s="142"/>
    </row>
    <row r="4" spans="1:9" ht="15.75" thickBot="1" x14ac:dyDescent="0.3">
      <c r="A4" s="143"/>
      <c r="B4" s="144"/>
      <c r="C4" s="144"/>
      <c r="D4" s="144"/>
      <c r="E4" s="144"/>
      <c r="F4" s="144"/>
      <c r="G4" s="144"/>
      <c r="H4" s="145"/>
    </row>
    <row r="5" spans="1:9" ht="0.75" customHeight="1" thickBot="1" x14ac:dyDescent="0.3">
      <c r="A5" s="143"/>
      <c r="B5" s="144"/>
      <c r="C5" s="144"/>
      <c r="D5" s="144"/>
      <c r="E5" s="144"/>
      <c r="F5" s="144"/>
      <c r="G5" s="144"/>
      <c r="H5" s="145"/>
    </row>
    <row r="6" spans="1:9" ht="16.5" hidden="1" customHeight="1" thickBot="1" x14ac:dyDescent="0.3">
      <c r="A6" s="143"/>
      <c r="B6" s="144"/>
      <c r="C6" s="144"/>
      <c r="D6" s="144"/>
      <c r="E6" s="144"/>
      <c r="F6" s="144"/>
      <c r="G6" s="144"/>
      <c r="H6" s="145"/>
    </row>
    <row r="7" spans="1:9" ht="15" customHeight="1" x14ac:dyDescent="0.25">
      <c r="A7" s="146" t="s">
        <v>5</v>
      </c>
      <c r="B7" s="147"/>
      <c r="C7" s="147"/>
      <c r="D7" s="147"/>
      <c r="E7" s="147"/>
      <c r="F7" s="147"/>
      <c r="G7" s="147"/>
      <c r="H7" s="148"/>
    </row>
    <row r="8" spans="1:9" x14ac:dyDescent="0.25">
      <c r="A8" s="149"/>
      <c r="B8" s="150"/>
      <c r="C8" s="150"/>
      <c r="D8" s="150"/>
      <c r="E8" s="150"/>
      <c r="F8" s="150"/>
      <c r="G8" s="150"/>
      <c r="H8" s="151"/>
    </row>
    <row r="9" spans="1:9" x14ac:dyDescent="0.25">
      <c r="A9" s="149"/>
      <c r="B9" s="150"/>
      <c r="C9" s="150"/>
      <c r="D9" s="150"/>
      <c r="E9" s="150"/>
      <c r="F9" s="150"/>
      <c r="G9" s="150"/>
      <c r="H9" s="151"/>
    </row>
    <row r="10" spans="1:9" x14ac:dyDescent="0.25">
      <c r="A10" s="149"/>
      <c r="B10" s="150"/>
      <c r="C10" s="150"/>
      <c r="D10" s="150"/>
      <c r="E10" s="150"/>
      <c r="F10" s="150"/>
      <c r="G10" s="150"/>
      <c r="H10" s="151"/>
    </row>
    <row r="11" spans="1:9" x14ac:dyDescent="0.25">
      <c r="A11" s="149"/>
      <c r="B11" s="150"/>
      <c r="C11" s="150"/>
      <c r="D11" s="150"/>
      <c r="E11" s="150"/>
      <c r="F11" s="150"/>
      <c r="G11" s="150"/>
      <c r="H11" s="151"/>
    </row>
    <row r="12" spans="1:9" ht="86.25" customHeight="1" thickBot="1" x14ac:dyDescent="0.3">
      <c r="A12" s="152"/>
      <c r="B12" s="153"/>
      <c r="C12" s="153"/>
      <c r="D12" s="153"/>
      <c r="E12" s="153"/>
      <c r="F12" s="153"/>
      <c r="G12" s="153"/>
      <c r="H12" s="154"/>
    </row>
    <row r="13" spans="1:9" ht="15.75" thickBot="1" x14ac:dyDescent="0.3"/>
    <row r="14" spans="1:9" x14ac:dyDescent="0.25">
      <c r="A14" s="156" t="s">
        <v>2</v>
      </c>
      <c r="B14" s="20" t="s">
        <v>3</v>
      </c>
      <c r="C14" s="20" t="s">
        <v>25</v>
      </c>
      <c r="D14" s="20" t="s">
        <v>19</v>
      </c>
      <c r="E14" s="20" t="s">
        <v>20</v>
      </c>
      <c r="F14" s="20" t="s">
        <v>20</v>
      </c>
      <c r="G14" s="21" t="s">
        <v>25</v>
      </c>
      <c r="H14" s="22" t="s">
        <v>25</v>
      </c>
    </row>
    <row r="15" spans="1:9" ht="15" customHeight="1" x14ac:dyDescent="0.25">
      <c r="A15" s="157"/>
      <c r="B15" s="158" t="s">
        <v>21</v>
      </c>
      <c r="C15" s="158" t="s">
        <v>68</v>
      </c>
      <c r="D15" s="159" t="s">
        <v>17</v>
      </c>
      <c r="E15" s="159" t="s">
        <v>18</v>
      </c>
      <c r="F15" s="159" t="s">
        <v>22</v>
      </c>
      <c r="G15" s="161" t="s">
        <v>23</v>
      </c>
      <c r="H15" s="155" t="s">
        <v>27</v>
      </c>
    </row>
    <row r="16" spans="1:9" ht="32.25" customHeight="1" x14ac:dyDescent="0.25">
      <c r="A16" s="157"/>
      <c r="B16" s="158"/>
      <c r="C16" s="158"/>
      <c r="D16" s="160"/>
      <c r="E16" s="160"/>
      <c r="F16" s="160"/>
      <c r="G16" s="162"/>
      <c r="H16" s="155"/>
    </row>
    <row r="17" spans="1:10" x14ac:dyDescent="0.25">
      <c r="A17" s="23" t="s">
        <v>32</v>
      </c>
      <c r="B17" s="98">
        <f>C17/'(2)(a)(iii)(A) and (B)'!C8</f>
        <v>78.538812785388131</v>
      </c>
      <c r="C17" s="96">
        <v>8600000</v>
      </c>
      <c r="D17" s="98">
        <v>7.92</v>
      </c>
      <c r="E17" s="98">
        <f>1.37/100*(24*365)</f>
        <v>120.012</v>
      </c>
      <c r="F17" s="96">
        <v>9290000</v>
      </c>
      <c r="G17" s="96">
        <f>C17-F17</f>
        <v>-690000</v>
      </c>
      <c r="H17" s="99">
        <f t="shared" ref="H17:H26" si="0">G17*$G$33</f>
        <v>-690000</v>
      </c>
    </row>
    <row r="18" spans="1:10" x14ac:dyDescent="0.25">
      <c r="A18" s="25" t="s">
        <v>33</v>
      </c>
      <c r="B18" s="98">
        <f>C18/'(2)(a)(iii)(A) and (B)'!C9</f>
        <v>112.69172228076337</v>
      </c>
      <c r="C18" s="96">
        <v>3850000</v>
      </c>
      <c r="D18" s="98">
        <v>2.44</v>
      </c>
      <c r="E18" s="98">
        <f>0.74/100*(24*365)</f>
        <v>64.823999999999998</v>
      </c>
      <c r="F18" s="96">
        <v>3180000</v>
      </c>
      <c r="G18" s="96">
        <f t="shared" ref="G18:G26" si="1">C18-F18</f>
        <v>670000</v>
      </c>
      <c r="H18" s="99">
        <f t="shared" si="0"/>
        <v>670000</v>
      </c>
    </row>
    <row r="19" spans="1:10" x14ac:dyDescent="0.25">
      <c r="A19" s="25" t="s">
        <v>34</v>
      </c>
      <c r="B19" s="98">
        <f>C19/'(2)(a)(iii)(A) and (B)'!C10</f>
        <v>54.340387941224044</v>
      </c>
      <c r="C19" s="96">
        <v>34940000</v>
      </c>
      <c r="D19" s="98">
        <v>26.53</v>
      </c>
      <c r="E19" s="98">
        <f>3.21/100*(24*365)</f>
        <v>281.19599999999997</v>
      </c>
      <c r="F19" s="96">
        <v>29740000</v>
      </c>
      <c r="G19" s="96">
        <f t="shared" si="1"/>
        <v>5200000</v>
      </c>
      <c r="H19" s="99">
        <f t="shared" si="0"/>
        <v>5200000</v>
      </c>
    </row>
    <row r="20" spans="1:10" x14ac:dyDescent="0.25">
      <c r="A20" s="25" t="s">
        <v>35</v>
      </c>
      <c r="B20" s="98">
        <f>C20/'(2)(a)(iii)(A) and (B)'!C11</f>
        <v>40.200639098066425</v>
      </c>
      <c r="C20" s="96">
        <v>18770000</v>
      </c>
      <c r="D20" s="98">
        <v>19.260000000000002</v>
      </c>
      <c r="E20" s="98">
        <f>1.71/100*(24*365)</f>
        <v>149.79599999999999</v>
      </c>
      <c r="F20" s="96">
        <v>20970000</v>
      </c>
      <c r="G20" s="96">
        <f t="shared" si="1"/>
        <v>-2200000</v>
      </c>
      <c r="H20" s="99">
        <f t="shared" si="0"/>
        <v>-2200000</v>
      </c>
      <c r="J20" s="58"/>
    </row>
    <row r="21" spans="1:10" x14ac:dyDescent="0.25">
      <c r="A21" s="25" t="s">
        <v>36</v>
      </c>
      <c r="B21" s="98">
        <f>C21/'(2)(a)(iii)(A) and (B)'!C12</f>
        <v>109.04544466188302</v>
      </c>
      <c r="C21" s="96">
        <v>10030000</v>
      </c>
      <c r="D21" s="98">
        <v>5.09</v>
      </c>
      <c r="E21" s="98">
        <f>0.81/100*(24*365)</f>
        <v>70.956000000000017</v>
      </c>
      <c r="F21" s="96">
        <v>5900000</v>
      </c>
      <c r="G21" s="96">
        <f>C21-F21</f>
        <v>4130000</v>
      </c>
      <c r="H21" s="99">
        <f t="shared" si="0"/>
        <v>4130000</v>
      </c>
    </row>
    <row r="22" spans="1:10" x14ac:dyDescent="0.25">
      <c r="A22" s="25" t="s">
        <v>37</v>
      </c>
      <c r="B22" s="98">
        <f>C22/'(2)(a)(iii)(A) and (B)'!C13</f>
        <v>60.882800608828006</v>
      </c>
      <c r="C22" s="96">
        <v>1280000</v>
      </c>
      <c r="D22" s="98">
        <v>1.19</v>
      </c>
      <c r="E22" s="98">
        <f>0.17/100*(24*365)</f>
        <v>14.892000000000001</v>
      </c>
      <c r="F22" s="96">
        <v>1360000</v>
      </c>
      <c r="G22" s="96">
        <f t="shared" si="1"/>
        <v>-80000</v>
      </c>
      <c r="H22" s="99">
        <f t="shared" si="0"/>
        <v>-80000</v>
      </c>
    </row>
    <row r="23" spans="1:10" x14ac:dyDescent="0.25">
      <c r="A23" s="25" t="s">
        <v>38</v>
      </c>
      <c r="B23" s="98">
        <f>C23/'(2)(a)(iii)(A) and (B)'!C14</f>
        <v>78.632950265108803</v>
      </c>
      <c r="C23" s="96">
        <v>39330000</v>
      </c>
      <c r="D23" s="98">
        <v>48.51</v>
      </c>
      <c r="E23" s="98">
        <f>1.69/100*(24*365)</f>
        <v>148.04399999999998</v>
      </c>
      <c r="F23" s="96">
        <v>27960000</v>
      </c>
      <c r="G23" s="96">
        <f t="shared" si="1"/>
        <v>11370000</v>
      </c>
      <c r="H23" s="99">
        <f t="shared" si="0"/>
        <v>11370000</v>
      </c>
    </row>
    <row r="24" spans="1:10" x14ac:dyDescent="0.25">
      <c r="A24" s="25" t="s">
        <v>39</v>
      </c>
      <c r="B24" s="98">
        <f>C24/'(2)(a)(iii)(A) and (B)'!C15</f>
        <v>78.6467133317242</v>
      </c>
      <c r="C24" s="96">
        <v>31280000</v>
      </c>
      <c r="D24" s="98">
        <v>48.51</v>
      </c>
      <c r="E24" s="98">
        <f>1.69/100*(24*365)</f>
        <v>148.04399999999998</v>
      </c>
      <c r="F24" s="96">
        <v>22230000</v>
      </c>
      <c r="G24" s="96">
        <f t="shared" si="1"/>
        <v>9050000</v>
      </c>
      <c r="H24" s="99">
        <f t="shared" si="0"/>
        <v>9050000</v>
      </c>
    </row>
    <row r="25" spans="1:10" x14ac:dyDescent="0.25">
      <c r="A25" s="25" t="s">
        <v>40</v>
      </c>
      <c r="B25" s="102">
        <f>C25/'(2)(a)(iii)(A) and (B)'!C16</f>
        <v>65.13191273465246</v>
      </c>
      <c r="C25" s="96">
        <v>10270000</v>
      </c>
      <c r="D25" s="98">
        <v>8.98</v>
      </c>
      <c r="E25" s="98">
        <f>0.93/100*(24*365)</f>
        <v>81.468000000000004</v>
      </c>
      <c r="F25" s="96">
        <v>9910000</v>
      </c>
      <c r="G25" s="96">
        <f t="shared" si="1"/>
        <v>360000</v>
      </c>
      <c r="H25" s="99">
        <f t="shared" si="0"/>
        <v>360000</v>
      </c>
    </row>
    <row r="26" spans="1:10" x14ac:dyDescent="0.25">
      <c r="A26" s="18" t="s">
        <v>51</v>
      </c>
      <c r="B26" s="102">
        <f>6770000/'(2)(a)(iii)(A) and (B)'!C17</f>
        <v>53.483117662858859</v>
      </c>
      <c r="C26" s="96">
        <v>6770000</v>
      </c>
      <c r="D26" s="102">
        <v>3.37</v>
      </c>
      <c r="E26" s="98">
        <f>1.41/100*(24*365)</f>
        <v>123.51599999999999</v>
      </c>
      <c r="F26" s="96">
        <v>4780000</v>
      </c>
      <c r="G26" s="96">
        <f t="shared" si="1"/>
        <v>1990000</v>
      </c>
      <c r="H26" s="99">
        <f t="shared" si="0"/>
        <v>1990000</v>
      </c>
      <c r="I26" s="58"/>
    </row>
    <row r="27" spans="1:10" x14ac:dyDescent="0.25">
      <c r="A27" s="18" t="s">
        <v>94</v>
      </c>
      <c r="B27" s="105">
        <f>C27/'(2)(a)(iii)(A) and (B)'!C18</f>
        <v>47.708190516367559</v>
      </c>
      <c r="C27" s="96">
        <v>32570000</v>
      </c>
      <c r="D27" s="105">
        <v>17.36</v>
      </c>
      <c r="E27" s="105">
        <f>10.52/100*(24*365)</f>
        <v>921.55200000000002</v>
      </c>
      <c r="F27" s="96">
        <v>27880000</v>
      </c>
      <c r="G27" s="96">
        <f>C27-F27</f>
        <v>4690000</v>
      </c>
      <c r="H27" s="99">
        <f>G27*$G$33</f>
        <v>4690000</v>
      </c>
      <c r="I27" s="106"/>
      <c r="J27" s="115"/>
    </row>
    <row r="28" spans="1:10" x14ac:dyDescent="0.25">
      <c r="A28" s="18" t="s">
        <v>72</v>
      </c>
      <c r="B28" s="105">
        <f>C28/'(2)(a)(iii)(A) and (B)'!C19</f>
        <v>41.527010520175999</v>
      </c>
      <c r="C28" s="96">
        <v>58950000</v>
      </c>
      <c r="D28" s="105">
        <v>36.47</v>
      </c>
      <c r="E28" s="105">
        <f>13.79/100*(24*365)</f>
        <v>1208.0039999999999</v>
      </c>
      <c r="F28" s="96">
        <v>50270000</v>
      </c>
      <c r="G28" s="96">
        <f>C28-F28</f>
        <v>8680000</v>
      </c>
      <c r="H28" s="99">
        <f>G28*$G$33</f>
        <v>8680000</v>
      </c>
    </row>
    <row r="29" spans="1:10" x14ac:dyDescent="0.25">
      <c r="A29" s="25"/>
      <c r="B29" s="127"/>
      <c r="C29" s="26"/>
      <c r="D29" s="26"/>
      <c r="E29" s="26"/>
      <c r="F29" s="26"/>
      <c r="G29" s="27"/>
      <c r="H29" s="24"/>
    </row>
    <row r="30" spans="1:10" ht="15.75" thickBot="1" x14ac:dyDescent="0.3">
      <c r="A30" s="18"/>
      <c r="B30" s="39"/>
      <c r="C30" s="4"/>
      <c r="D30" s="4"/>
      <c r="E30" s="6"/>
      <c r="F30" s="6"/>
      <c r="G30" s="19">
        <f t="shared" ref="G30" si="2">C30-F30</f>
        <v>0</v>
      </c>
      <c r="H30" s="28">
        <f>G30</f>
        <v>0</v>
      </c>
    </row>
    <row r="31" spans="1:10" ht="16.5" customHeight="1" thickBot="1" x14ac:dyDescent="0.3">
      <c r="A31" s="134" t="s">
        <v>24</v>
      </c>
      <c r="B31" s="135"/>
      <c r="C31" s="97">
        <f>SUM(C17:C30)</f>
        <v>256640000</v>
      </c>
      <c r="D31" s="29"/>
      <c r="E31" s="30"/>
      <c r="F31" s="100">
        <f>SUM(F17:F30)</f>
        <v>213470000</v>
      </c>
      <c r="G31" s="100">
        <f>SUM(G17:G30)</f>
        <v>43170000</v>
      </c>
      <c r="H31" s="101">
        <f>SUM(H17:H30)</f>
        <v>43170000</v>
      </c>
    </row>
    <row r="32" spans="1:10" ht="15.75" thickBot="1" x14ac:dyDescent="0.3"/>
    <row r="33" spans="1:8" ht="31.5" customHeight="1" thickBot="1" x14ac:dyDescent="0.3">
      <c r="A33" s="133" t="s">
        <v>31</v>
      </c>
      <c r="B33" s="132"/>
      <c r="C33" s="132"/>
      <c r="D33" s="132"/>
      <c r="E33" s="1"/>
      <c r="F33" s="7" t="s">
        <v>41</v>
      </c>
      <c r="G33" s="32">
        <v>1</v>
      </c>
      <c r="H33" s="114"/>
    </row>
    <row r="34" spans="1:8" x14ac:dyDescent="0.25">
      <c r="F34" s="136" t="s">
        <v>4</v>
      </c>
      <c r="G34" s="138">
        <f>H31</f>
        <v>43170000</v>
      </c>
    </row>
    <row r="35" spans="1:8" x14ac:dyDescent="0.25">
      <c r="A35" s="132"/>
      <c r="B35" s="132"/>
      <c r="C35" s="132"/>
      <c r="D35" s="132"/>
      <c r="F35" s="136"/>
      <c r="G35" s="138"/>
    </row>
    <row r="36" spans="1:8" ht="15.75" thickBot="1" x14ac:dyDescent="0.3">
      <c r="F36" s="137"/>
      <c r="G36" s="139"/>
    </row>
    <row r="37" spans="1:8" ht="22.35" customHeight="1" x14ac:dyDescent="0.25">
      <c r="A37" s="133"/>
      <c r="B37" s="133"/>
      <c r="C37" s="133"/>
      <c r="D37" s="133"/>
    </row>
    <row r="38" spans="1:8" ht="15.75" x14ac:dyDescent="0.25">
      <c r="H38" s="76"/>
    </row>
  </sheetData>
  <mergeCells count="16">
    <mergeCell ref="A3:H6"/>
    <mergeCell ref="A7:H12"/>
    <mergeCell ref="H15:H16"/>
    <mergeCell ref="A14:A16"/>
    <mergeCell ref="B15:B16"/>
    <mergeCell ref="C15:C16"/>
    <mergeCell ref="D15:D16"/>
    <mergeCell ref="E15:E16"/>
    <mergeCell ref="F15:F16"/>
    <mergeCell ref="G15:G16"/>
    <mergeCell ref="A35:D35"/>
    <mergeCell ref="A37:D37"/>
    <mergeCell ref="A31:B31"/>
    <mergeCell ref="F34:F36"/>
    <mergeCell ref="G34:G36"/>
    <mergeCell ref="A33:D33"/>
  </mergeCells>
  <pageMargins left="0.25" right="0.25" top="0.75" bottom="0.75" header="0.3" footer="0.3"/>
  <pageSetup scale="75" orientation="landscape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7"/>
  <sheetViews>
    <sheetView zoomScale="90" zoomScaleNormal="90" zoomScalePageLayoutView="69" workbookViewId="0">
      <pane xSplit="1" ySplit="20" topLeftCell="D21" activePane="bottomRight" state="frozen"/>
      <selection pane="topRight" activeCell="B1" sqref="B1"/>
      <selection pane="bottomLeft" activeCell="A21" sqref="A21"/>
      <selection pane="bottomRight" activeCell="A3" sqref="A3:G3"/>
    </sheetView>
  </sheetViews>
  <sheetFormatPr defaultColWidth="9.28515625" defaultRowHeight="15" x14ac:dyDescent="0.25"/>
  <cols>
    <col min="1" max="1" width="38.28515625" customWidth="1"/>
    <col min="2" max="2" width="24" customWidth="1"/>
    <col min="3" max="3" width="23.42578125" customWidth="1"/>
    <col min="4" max="4" width="22.7109375" customWidth="1"/>
    <col min="5" max="5" width="24.42578125" customWidth="1"/>
    <col min="6" max="6" width="14.7109375" bestFit="1" customWidth="1"/>
    <col min="7" max="7" width="22.5703125" bestFit="1" customWidth="1"/>
    <col min="8" max="8" width="18" customWidth="1"/>
  </cols>
  <sheetData>
    <row r="1" spans="1:7" ht="31.5" customHeight="1" x14ac:dyDescent="0.25">
      <c r="C1" s="163"/>
      <c r="D1" s="163"/>
      <c r="E1" s="163"/>
      <c r="F1" s="163"/>
      <c r="G1" s="163"/>
    </row>
    <row r="3" spans="1:7" ht="31.5" customHeight="1" x14ac:dyDescent="0.25">
      <c r="A3" s="164"/>
      <c r="B3" s="164"/>
      <c r="C3" s="164"/>
      <c r="D3" s="164"/>
      <c r="E3" s="164"/>
      <c r="F3" s="164"/>
      <c r="G3" s="164"/>
    </row>
    <row r="4" spans="1:7" ht="15.75" x14ac:dyDescent="0.25">
      <c r="G4" s="76"/>
    </row>
    <row r="5" spans="1:7" x14ac:dyDescent="0.25">
      <c r="A5" s="1" t="s">
        <v>76</v>
      </c>
      <c r="G5" s="1" t="s">
        <v>43</v>
      </c>
    </row>
    <row r="6" spans="1:7" ht="32.25" customHeight="1" thickBot="1" x14ac:dyDescent="0.4">
      <c r="A6" s="174" t="s">
        <v>89</v>
      </c>
      <c r="B6" s="166"/>
      <c r="C6" s="166"/>
      <c r="D6" s="166"/>
      <c r="E6" s="166"/>
      <c r="F6" s="166"/>
      <c r="G6" s="166"/>
    </row>
    <row r="7" spans="1:7" x14ac:dyDescent="0.25">
      <c r="A7" s="175" t="s">
        <v>6</v>
      </c>
      <c r="B7" s="141"/>
      <c r="C7" s="141"/>
      <c r="D7" s="141"/>
      <c r="E7" s="141"/>
      <c r="F7" s="141"/>
      <c r="G7" s="142"/>
    </row>
    <row r="8" spans="1:7" ht="15.75" thickBot="1" x14ac:dyDescent="0.3">
      <c r="A8" s="143"/>
      <c r="B8" s="144"/>
      <c r="C8" s="144"/>
      <c r="D8" s="144"/>
      <c r="E8" s="144"/>
      <c r="F8" s="144"/>
      <c r="G8" s="145"/>
    </row>
    <row r="9" spans="1:7" ht="0.75" customHeight="1" thickBot="1" x14ac:dyDescent="0.3">
      <c r="A9" s="143"/>
      <c r="B9" s="144"/>
      <c r="C9" s="144"/>
      <c r="D9" s="144"/>
      <c r="E9" s="144"/>
      <c r="F9" s="144"/>
      <c r="G9" s="145"/>
    </row>
    <row r="10" spans="1:7" ht="15.75" hidden="1" thickBot="1" x14ac:dyDescent="0.3">
      <c r="A10" s="176"/>
      <c r="B10" s="177"/>
      <c r="C10" s="177"/>
      <c r="D10" s="177"/>
      <c r="E10" s="177"/>
      <c r="F10" s="177"/>
      <c r="G10" s="178"/>
    </row>
    <row r="11" spans="1:7" x14ac:dyDescent="0.25">
      <c r="A11" s="179" t="s">
        <v>7</v>
      </c>
      <c r="B11" s="180"/>
      <c r="C11" s="180"/>
      <c r="D11" s="180"/>
      <c r="E11" s="180"/>
      <c r="F11" s="180"/>
      <c r="G11" s="181"/>
    </row>
    <row r="12" spans="1:7" x14ac:dyDescent="0.25">
      <c r="A12" s="157"/>
      <c r="B12" s="133"/>
      <c r="C12" s="133"/>
      <c r="D12" s="133"/>
      <c r="E12" s="133"/>
      <c r="F12" s="133"/>
      <c r="G12" s="182"/>
    </row>
    <row r="13" spans="1:7" x14ac:dyDescent="0.25">
      <c r="A13" s="157"/>
      <c r="B13" s="133"/>
      <c r="C13" s="133"/>
      <c r="D13" s="133"/>
      <c r="E13" s="133"/>
      <c r="F13" s="133"/>
      <c r="G13" s="182"/>
    </row>
    <row r="14" spans="1:7" x14ac:dyDescent="0.25">
      <c r="A14" s="157"/>
      <c r="B14" s="133"/>
      <c r="C14" s="133"/>
      <c r="D14" s="133"/>
      <c r="E14" s="133"/>
      <c r="F14" s="133"/>
      <c r="G14" s="182"/>
    </row>
    <row r="15" spans="1:7" x14ac:dyDescent="0.25">
      <c r="A15" s="157"/>
      <c r="B15" s="133"/>
      <c r="C15" s="133"/>
      <c r="D15" s="133"/>
      <c r="E15" s="133"/>
      <c r="F15" s="133"/>
      <c r="G15" s="182"/>
    </row>
    <row r="16" spans="1:7" ht="86.25" customHeight="1" thickBot="1" x14ac:dyDescent="0.3">
      <c r="A16" s="165"/>
      <c r="B16" s="166"/>
      <c r="C16" s="166"/>
      <c r="D16" s="166"/>
      <c r="E16" s="166"/>
      <c r="F16" s="166"/>
      <c r="G16" s="167"/>
    </row>
    <row r="17" spans="1:7" ht="15.75" thickBot="1" x14ac:dyDescent="0.3"/>
    <row r="18" spans="1:7" ht="32.25" customHeight="1" thickBot="1" x14ac:dyDescent="0.3">
      <c r="A18" s="183" t="s">
        <v>42</v>
      </c>
      <c r="B18" s="184" t="s">
        <v>71</v>
      </c>
      <c r="C18" s="184"/>
      <c r="D18" s="184"/>
      <c r="E18" s="184" t="s">
        <v>70</v>
      </c>
      <c r="F18" s="184"/>
      <c r="G18" s="184"/>
    </row>
    <row r="19" spans="1:7" ht="15" customHeight="1" thickBot="1" x14ac:dyDescent="0.3">
      <c r="A19" s="183"/>
      <c r="B19" s="185" t="s">
        <v>8</v>
      </c>
      <c r="C19" s="185" t="s">
        <v>15</v>
      </c>
      <c r="D19" s="185" t="s">
        <v>52</v>
      </c>
      <c r="E19" s="185" t="s">
        <v>8</v>
      </c>
      <c r="F19" s="185" t="s">
        <v>15</v>
      </c>
      <c r="G19" s="185" t="s">
        <v>52</v>
      </c>
    </row>
    <row r="20" spans="1:7" ht="15.75" thickBot="1" x14ac:dyDescent="0.3">
      <c r="A20" s="183"/>
      <c r="B20" s="185"/>
      <c r="C20" s="185"/>
      <c r="D20" s="185"/>
      <c r="E20" s="185"/>
      <c r="F20" s="185"/>
      <c r="G20" s="185"/>
    </row>
    <row r="21" spans="1:7" x14ac:dyDescent="0.25">
      <c r="A21" s="37" t="str">
        <f>+'(2)(a)(i) One Time (all)'!A17</f>
        <v>Baker River Project - Lower Baker Unit 3</v>
      </c>
      <c r="B21" s="128">
        <f>'(2)(a)(i) One Time (all)'!G17</f>
        <v>-690000</v>
      </c>
      <c r="C21" s="60"/>
      <c r="D21" s="60"/>
      <c r="E21" s="59">
        <f>'(2)(a)(iii)(A) and (B)'!F8</f>
        <v>-642607.39726027404</v>
      </c>
      <c r="F21" s="60"/>
      <c r="G21" s="60"/>
    </row>
    <row r="22" spans="1:7" x14ac:dyDescent="0.25">
      <c r="A22" s="37" t="str">
        <f>+'(2)(a)(i) One Time (all)'!A18</f>
        <v>Snoqualmie Falls - Snoqualmie Falls Units 1-4</v>
      </c>
      <c r="B22" s="129">
        <f>'(2)(a)(i) One Time (all)'!G18</f>
        <v>670000</v>
      </c>
      <c r="C22" s="62"/>
      <c r="D22" s="62"/>
      <c r="E22" s="59">
        <f>'(2)(a)(iii)(A) and (B)'!F9</f>
        <v>336882.68352651916</v>
      </c>
      <c r="F22" s="62"/>
      <c r="G22" s="63"/>
    </row>
    <row r="23" spans="1:7" x14ac:dyDescent="0.25">
      <c r="A23" s="37" t="str">
        <f>+'(2)(a)(i) One Time (all)'!A19</f>
        <v>Wild Horse - Wild Horse</v>
      </c>
      <c r="B23" s="129">
        <f>'(2)(a)(i) One Time (all)'!G19</f>
        <v>5200000</v>
      </c>
      <c r="C23" s="62"/>
      <c r="D23" s="62"/>
      <c r="E23" s="59">
        <f>'(2)(a)(iii)(A) and (B)'!F10</f>
        <v>1155091.8840904285</v>
      </c>
      <c r="F23" s="62"/>
      <c r="G23" s="63"/>
    </row>
    <row r="24" spans="1:7" x14ac:dyDescent="0.25">
      <c r="A24" s="37" t="str">
        <f>+'(2)(a)(i) One Time (all)'!A20</f>
        <v>Hopkins Ridge - Hopkins Ridge</v>
      </c>
      <c r="B24" s="129">
        <f>'(2)(a)(i) One Time (all)'!G20</f>
        <v>-2200000</v>
      </c>
      <c r="C24" s="62"/>
      <c r="D24" s="62"/>
      <c r="E24" s="59">
        <f>'(2)(a)(iii)(A) and (B)'!F11</f>
        <v>-1808280.4321193895</v>
      </c>
      <c r="F24" s="62"/>
      <c r="G24" s="63"/>
    </row>
    <row r="25" spans="1:7" x14ac:dyDescent="0.25">
      <c r="A25" s="37" t="str">
        <f>+'(2)(a)(i) One Time (all)'!A21</f>
        <v>Wild Horse - Wild Horse - Phase II</v>
      </c>
      <c r="B25" s="129">
        <f>'(2)(a)(i) One Time (all)'!G21</f>
        <v>4130000</v>
      </c>
      <c r="C25" s="62"/>
      <c r="D25" s="62"/>
      <c r="E25" s="59">
        <f>'(2)(a)(iii)(A) and (B)'!F12</f>
        <v>3396541.0958904112</v>
      </c>
      <c r="F25" s="62"/>
      <c r="G25" s="63"/>
    </row>
    <row r="26" spans="1:7" x14ac:dyDescent="0.25">
      <c r="A26" s="37" t="str">
        <f>+'(2)(a)(i) One Time (all)'!A22</f>
        <v>Hopkins Ridge - Hopkins Ridge Phase II</v>
      </c>
      <c r="B26" s="129">
        <f>'(2)(a)(i) One Time (all)'!G22</f>
        <v>-80000</v>
      </c>
      <c r="C26" s="62"/>
      <c r="D26" s="62"/>
      <c r="E26" s="59">
        <f>'(2)(a)(iii)(A) and (B)'!F13</f>
        <v>-70376.712328767127</v>
      </c>
      <c r="F26" s="62"/>
      <c r="G26" s="63"/>
    </row>
    <row r="27" spans="1:7" x14ac:dyDescent="0.25">
      <c r="A27" s="37" t="str">
        <f>+'(2)(a)(i) One Time (all)'!A23</f>
        <v>Lower Snake River - Dodge Junction - LSR-Dodge Junction</v>
      </c>
      <c r="B27" s="129">
        <f>'(2)(a)(i) One Time (all)'!G23</f>
        <v>11370000</v>
      </c>
      <c r="C27" s="62"/>
      <c r="D27" s="62"/>
      <c r="E27" s="59">
        <f>'(2)(a)(iii)(A) and (B)'!F14</f>
        <v>10972482.366066074</v>
      </c>
      <c r="F27" s="103"/>
      <c r="G27" s="63"/>
    </row>
    <row r="28" spans="1:7" x14ac:dyDescent="0.25">
      <c r="A28" s="37" t="str">
        <f>+'(2)(a)(i) One Time (all)'!A24</f>
        <v>Lower Snake River - Phalen Gulch - LSR-Phalen Gulch</v>
      </c>
      <c r="B28" s="129">
        <f>'(2)(a)(i) One Time (all)'!G24</f>
        <v>9050000</v>
      </c>
      <c r="C28" s="62"/>
      <c r="D28" s="62"/>
      <c r="E28" s="59">
        <f>'(2)(a)(iii)(A) and (B)'!F15</f>
        <v>7968555.247975166</v>
      </c>
      <c r="F28" s="62"/>
      <c r="G28" s="63"/>
    </row>
    <row r="29" spans="1:7" x14ac:dyDescent="0.25">
      <c r="A29" s="37" t="str">
        <f>+'(2)(a)(i) One Time (all)'!A25</f>
        <v>Klondike III - Klondike Wind Power III LLC</v>
      </c>
      <c r="B29" s="129">
        <f>'(2)(a)(i) One Time (all)'!G25</f>
        <v>360000</v>
      </c>
      <c r="C29" s="62"/>
      <c r="D29" s="62"/>
      <c r="E29" s="59">
        <f>'(2)(a)(iii)(A) and (B)'!F16</f>
        <v>140739.72602739726</v>
      </c>
      <c r="F29" s="62"/>
      <c r="G29" s="63"/>
    </row>
    <row r="30" spans="1:7" x14ac:dyDescent="0.25">
      <c r="A30" s="18" t="s">
        <v>51</v>
      </c>
      <c r="B30" s="129">
        <f>'(2)(a)(i) One Time (all)'!G26</f>
        <v>1990000</v>
      </c>
      <c r="C30" s="63"/>
      <c r="D30" s="65"/>
      <c r="E30" s="59">
        <f>'(2)(a)(iii)(A) and (B)'!F17</f>
        <v>1588626.2659777852</v>
      </c>
      <c r="F30" s="75"/>
      <c r="G30" s="63"/>
    </row>
    <row r="31" spans="1:7" x14ac:dyDescent="0.25">
      <c r="A31" s="116" t="s">
        <v>95</v>
      </c>
      <c r="B31" s="107">
        <f>'(2)(a)(i) One Time (all)'!G27</f>
        <v>4690000</v>
      </c>
      <c r="C31" s="63"/>
      <c r="D31" s="108"/>
      <c r="E31" s="59">
        <v>0</v>
      </c>
      <c r="F31" s="63"/>
      <c r="G31" s="63"/>
    </row>
    <row r="32" spans="1:7" x14ac:dyDescent="0.25">
      <c r="A32" s="116" t="s">
        <v>72</v>
      </c>
      <c r="B32" s="107">
        <f>'(2)(a)(i) One Time (all)'!G28</f>
        <v>8680000</v>
      </c>
      <c r="C32" s="63"/>
      <c r="D32" s="108"/>
      <c r="E32" s="59">
        <f>'(2)(a)(iii)(A) and (B)'!F19</f>
        <v>7895468.8994743433</v>
      </c>
      <c r="F32" s="63"/>
      <c r="G32" s="63"/>
    </row>
    <row r="33" spans="1:8" ht="15.75" thickBot="1" x14ac:dyDescent="0.3">
      <c r="A33" s="6" t="s">
        <v>97</v>
      </c>
      <c r="B33" s="61">
        <f>'(2)(a)(i) One Time (all)'!G29</f>
        <v>0</v>
      </c>
      <c r="C33" s="63"/>
      <c r="D33" s="63">
        <v>0</v>
      </c>
      <c r="E33" s="64">
        <f>'(2)(a)(i) One Time (all)'!G29</f>
        <v>0</v>
      </c>
      <c r="F33" s="63"/>
      <c r="G33" s="63">
        <v>0</v>
      </c>
    </row>
    <row r="34" spans="1:8" ht="15.75" thickBot="1" x14ac:dyDescent="0.3">
      <c r="A34" s="8" t="s">
        <v>26</v>
      </c>
      <c r="B34" s="66">
        <f t="shared" ref="B34:G34" si="0">SUM(B21:B33)</f>
        <v>43170000</v>
      </c>
      <c r="C34" s="66">
        <f t="shared" si="0"/>
        <v>0</v>
      </c>
      <c r="D34" s="66">
        <f t="shared" si="0"/>
        <v>0</v>
      </c>
      <c r="E34" s="66">
        <f t="shared" si="0"/>
        <v>30933123.627319694</v>
      </c>
      <c r="F34" s="66">
        <f t="shared" si="0"/>
        <v>0</v>
      </c>
      <c r="G34" s="67">
        <f t="shared" si="0"/>
        <v>0</v>
      </c>
    </row>
    <row r="35" spans="1:8" ht="15.75" thickBot="1" x14ac:dyDescent="0.3">
      <c r="A35" s="33" t="s">
        <v>28</v>
      </c>
      <c r="B35" s="68">
        <f>B34*'(2)(a)(i) One Time (all)'!$G$33</f>
        <v>43170000</v>
      </c>
      <c r="C35" s="68">
        <f>C34*'(2)(a)(i) One Time (all)'!$G$33</f>
        <v>0</v>
      </c>
      <c r="D35" s="68">
        <f>D34*'(2)(a)(i) One Time (all)'!$G$33</f>
        <v>0</v>
      </c>
      <c r="E35" s="68">
        <f>E34*'(2)(a)(i) One Time (all)'!$G$33</f>
        <v>30933123.627319694</v>
      </c>
      <c r="F35" s="68">
        <f>F34*'(2)(a)(i) One Time (all)'!$G$33</f>
        <v>0</v>
      </c>
      <c r="G35" s="69">
        <f>G34*'(2)(a)(i) One Time (all)'!$G$33</f>
        <v>0</v>
      </c>
    </row>
    <row r="36" spans="1:8" x14ac:dyDescent="0.25">
      <c r="A36" s="41"/>
      <c r="B36" s="42"/>
      <c r="C36" s="42"/>
      <c r="D36" s="42"/>
      <c r="E36" s="42"/>
      <c r="F36" s="42"/>
      <c r="G36" s="40"/>
    </row>
    <row r="37" spans="1:8" x14ac:dyDescent="0.25">
      <c r="A37" s="43"/>
      <c r="B37" s="44"/>
      <c r="C37" s="44"/>
      <c r="D37" s="44"/>
      <c r="E37" s="44"/>
      <c r="F37" s="44"/>
      <c r="G37" s="40"/>
    </row>
    <row r="38" spans="1:8" x14ac:dyDescent="0.25">
      <c r="A38" s="26"/>
      <c r="B38" s="61"/>
      <c r="C38" s="61"/>
      <c r="D38" s="61"/>
      <c r="E38" s="62"/>
      <c r="F38" s="62"/>
      <c r="G38" s="62"/>
    </row>
    <row r="39" spans="1:8" x14ac:dyDescent="0.25">
      <c r="A39" s="18"/>
      <c r="B39" s="65"/>
      <c r="C39" s="65"/>
      <c r="D39" s="65"/>
      <c r="E39" s="63"/>
      <c r="F39" s="63"/>
      <c r="G39" s="63"/>
    </row>
    <row r="40" spans="1:8" x14ac:dyDescent="0.25">
      <c r="A40" s="18"/>
      <c r="B40" s="65"/>
      <c r="C40" s="65"/>
      <c r="D40" s="65"/>
      <c r="E40" s="63"/>
      <c r="F40" s="63"/>
      <c r="G40" s="63"/>
    </row>
    <row r="41" spans="1:8" ht="15.75" thickBot="1" x14ac:dyDescent="0.3">
      <c r="A41" s="18"/>
      <c r="B41" s="63"/>
      <c r="C41" s="65"/>
      <c r="D41" s="63"/>
      <c r="E41" s="65"/>
      <c r="F41" s="63"/>
      <c r="G41" s="63"/>
    </row>
    <row r="42" spans="1:8" ht="15.75" thickBot="1" x14ac:dyDescent="0.3">
      <c r="A42" s="33"/>
      <c r="B42" s="68">
        <f>SUM(B38:B41)</f>
        <v>0</v>
      </c>
      <c r="C42" s="68">
        <f>SUM(C38:C41)</f>
        <v>0</v>
      </c>
      <c r="D42" s="68">
        <f t="shared" ref="D42:E42" si="1">SUM(D38:D41)</f>
        <v>0</v>
      </c>
      <c r="E42" s="68">
        <f t="shared" si="1"/>
        <v>0</v>
      </c>
      <c r="F42" s="68">
        <f>SUM(F38:F41)</f>
        <v>0</v>
      </c>
      <c r="G42" s="68">
        <f>SUM(G38:G41)</f>
        <v>0</v>
      </c>
    </row>
    <row r="43" spans="1:8" ht="15.75" thickBot="1" x14ac:dyDescent="0.3">
      <c r="A43" s="9"/>
      <c r="B43" s="70"/>
      <c r="C43" s="70"/>
      <c r="D43" s="70"/>
      <c r="E43" s="70"/>
      <c r="F43" s="70"/>
      <c r="G43" s="71"/>
    </row>
    <row r="44" spans="1:8" ht="15.75" thickBot="1" x14ac:dyDescent="0.3">
      <c r="A44" s="7" t="s">
        <v>29</v>
      </c>
      <c r="B44" s="68">
        <f t="shared" ref="B44:G44" si="2">B35+B42</f>
        <v>43170000</v>
      </c>
      <c r="C44" s="68">
        <f t="shared" si="2"/>
        <v>0</v>
      </c>
      <c r="D44" s="68">
        <f t="shared" si="2"/>
        <v>0</v>
      </c>
      <c r="E44" s="68">
        <f t="shared" si="2"/>
        <v>30933123.627319694</v>
      </c>
      <c r="F44" s="68">
        <f t="shared" si="2"/>
        <v>0</v>
      </c>
      <c r="G44" s="68">
        <f t="shared" si="2"/>
        <v>0</v>
      </c>
    </row>
    <row r="45" spans="1:8" ht="15.75" thickBot="1" x14ac:dyDescent="0.3">
      <c r="A45" s="34"/>
      <c r="B45" s="35"/>
      <c r="C45" s="35"/>
      <c r="D45" s="35"/>
      <c r="E45" s="36"/>
      <c r="F45" s="36"/>
      <c r="G45" s="35"/>
    </row>
    <row r="46" spans="1:8" ht="15.75" thickBot="1" x14ac:dyDescent="0.3">
      <c r="A46" s="165" t="s">
        <v>75</v>
      </c>
      <c r="B46" s="166"/>
      <c r="C46" s="167"/>
      <c r="D46" s="72">
        <f>'[2]I-937 Annual Rev Req'!$C$13</f>
        <v>3196235787.8944845</v>
      </c>
      <c r="E46" s="73"/>
      <c r="F46" s="73"/>
      <c r="G46" s="72">
        <f>+D46</f>
        <v>3196235787.8944845</v>
      </c>
    </row>
    <row r="47" spans="1:8" x14ac:dyDescent="0.25">
      <c r="B47" s="56" t="s">
        <v>61</v>
      </c>
      <c r="C47" s="41"/>
      <c r="D47" s="104">
        <f>SUM(B44:D44)*'electric conv fctr'!F20</f>
        <v>45425459.82</v>
      </c>
      <c r="E47" s="56" t="s">
        <v>62</v>
      </c>
      <c r="F47" s="74"/>
      <c r="G47" s="104">
        <f>SUM(E44:G44)*'electric conv fctr'!F20</f>
        <v>32549255.604352638</v>
      </c>
      <c r="H47" s="36"/>
    </row>
    <row r="48" spans="1:8" ht="15" customHeight="1" x14ac:dyDescent="0.25">
      <c r="B48" s="168">
        <f>D47/D46</f>
        <v>1.4212174205684604E-2</v>
      </c>
      <c r="C48" s="169"/>
      <c r="D48" s="170"/>
      <c r="E48" s="168">
        <f>G47/G46</f>
        <v>1.0183621536192863E-2</v>
      </c>
      <c r="F48" s="169"/>
      <c r="G48" s="170"/>
    </row>
    <row r="49" spans="1:7" ht="15.75" thickBot="1" x14ac:dyDescent="0.3">
      <c r="B49" s="171"/>
      <c r="C49" s="172"/>
      <c r="D49" s="173"/>
      <c r="E49" s="171"/>
      <c r="F49" s="172"/>
      <c r="G49" s="173"/>
    </row>
    <row r="50" spans="1:7" x14ac:dyDescent="0.25">
      <c r="B50" t="s">
        <v>67</v>
      </c>
      <c r="D50" s="124">
        <f>SUM(B44:D44)/D46</f>
        <v>1.350651293108703E-2</v>
      </c>
      <c r="E50" s="125"/>
      <c r="F50" s="126"/>
      <c r="G50" s="124">
        <f>SUM(E44:G44)/G46</f>
        <v>9.6779855054738764E-3</v>
      </c>
    </row>
    <row r="51" spans="1:7" x14ac:dyDescent="0.25">
      <c r="F51" s="2"/>
    </row>
    <row r="52" spans="1:7" x14ac:dyDescent="0.25">
      <c r="A52" s="38" t="s">
        <v>30</v>
      </c>
      <c r="F52" s="2"/>
    </row>
    <row r="53" spans="1:7" x14ac:dyDescent="0.25">
      <c r="A53" t="s">
        <v>92</v>
      </c>
    </row>
    <row r="55" spans="1:7" x14ac:dyDescent="0.25">
      <c r="B55" s="3"/>
      <c r="C55" s="3"/>
      <c r="D55" s="3"/>
      <c r="E55" s="3"/>
      <c r="F55" s="3"/>
    </row>
    <row r="56" spans="1:7" x14ac:dyDescent="0.25">
      <c r="A56" s="55"/>
      <c r="B56" s="3"/>
      <c r="C56" s="3"/>
      <c r="D56" s="3"/>
      <c r="E56" s="3"/>
      <c r="F56" s="3"/>
    </row>
    <row r="57" spans="1:7" x14ac:dyDescent="0.25">
      <c r="A57" s="55"/>
    </row>
  </sheetData>
  <sortState xmlns:xlrd2="http://schemas.microsoft.com/office/spreadsheetml/2017/richdata2" ref="A31:H32">
    <sortCondition descending="1" ref="A31:A32"/>
  </sortState>
  <mergeCells count="17">
    <mergeCell ref="G19:G20"/>
    <mergeCell ref="C1:G1"/>
    <mergeCell ref="A3:G3"/>
    <mergeCell ref="A46:C46"/>
    <mergeCell ref="B48:D49"/>
    <mergeCell ref="E48:G49"/>
    <mergeCell ref="A6:G6"/>
    <mergeCell ref="A7:G10"/>
    <mergeCell ref="A11:G16"/>
    <mergeCell ref="A18:A20"/>
    <mergeCell ref="B18:D18"/>
    <mergeCell ref="E18:G18"/>
    <mergeCell ref="B19:B20"/>
    <mergeCell ref="C19:C20"/>
    <mergeCell ref="D19:D20"/>
    <mergeCell ref="E19:E20"/>
    <mergeCell ref="F19:F20"/>
  </mergeCells>
  <pageMargins left="0.25" right="0.25" top="0.75" bottom="0.75" header="0.3" footer="0.3"/>
  <pageSetup scale="45" orientation="landscape" r:id="rId1"/>
  <headerFooter>
    <oddHeader xml:space="preserve">&amp;C                                                                                                                                                &amp;"-,Bold"SHADED INFORMATION IS DSIGNATED CONFIDENTIAL PER WAC 480-07-160&amp;"-,Regular"
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0"/>
  <sheetViews>
    <sheetView topLeftCell="A7" zoomScale="85" zoomScaleNormal="85" workbookViewId="0">
      <selection activeCell="B29" sqref="B29"/>
    </sheetView>
  </sheetViews>
  <sheetFormatPr defaultColWidth="9.28515625" defaultRowHeight="15" outlineLevelCol="1" x14ac:dyDescent="0.25"/>
  <cols>
    <col min="1" max="1" width="59" style="3" customWidth="1"/>
    <col min="2" max="2" width="19" style="3" customWidth="1"/>
    <col min="3" max="3" width="12" style="3" customWidth="1"/>
    <col min="4" max="4" width="12.28515625" style="3" customWidth="1"/>
    <col min="5" max="5" width="13.5703125" style="3" customWidth="1"/>
    <col min="6" max="6" width="23.42578125" style="3" customWidth="1"/>
    <col min="7" max="7" width="4.42578125" style="3" customWidth="1"/>
    <col min="8" max="8" width="23.28515625" style="3" customWidth="1" outlineLevel="1"/>
    <col min="9" max="9" width="13.42578125" style="3" customWidth="1" outlineLevel="1"/>
    <col min="10" max="10" width="125.7109375" style="3" customWidth="1" outlineLevel="1"/>
    <col min="11" max="16384" width="9.28515625" style="3"/>
  </cols>
  <sheetData>
    <row r="1" spans="1:9" ht="15.75" x14ac:dyDescent="0.25">
      <c r="F1" s="77" t="s">
        <v>50</v>
      </c>
    </row>
    <row r="3" spans="1:9" s="45" customFormat="1" x14ac:dyDescent="0.25">
      <c r="A3" s="1" t="s">
        <v>76</v>
      </c>
      <c r="B3" s="1"/>
      <c r="C3" s="1"/>
      <c r="F3" s="46" t="s">
        <v>43</v>
      </c>
    </row>
    <row r="4" spans="1:9" ht="31.5" customHeight="1" thickBot="1" x14ac:dyDescent="0.4">
      <c r="A4" s="174" t="s">
        <v>90</v>
      </c>
      <c r="B4" s="186"/>
      <c r="C4" s="186"/>
      <c r="D4" s="186"/>
      <c r="E4" s="186"/>
      <c r="F4" s="186"/>
    </row>
    <row r="5" spans="1:9" ht="72" customHeight="1" thickBot="1" x14ac:dyDescent="0.4">
      <c r="A5" s="5">
        <v>2024</v>
      </c>
      <c r="B5" s="186" t="s">
        <v>14</v>
      </c>
      <c r="C5" s="190"/>
      <c r="D5" s="190"/>
      <c r="E5" s="190"/>
      <c r="F5" s="190"/>
    </row>
    <row r="6" spans="1:9" ht="18" customHeight="1" x14ac:dyDescent="0.35">
      <c r="A6" s="5"/>
      <c r="B6" s="187" t="s">
        <v>1</v>
      </c>
      <c r="C6" s="188"/>
      <c r="D6" s="189"/>
      <c r="E6" s="187" t="s">
        <v>12</v>
      </c>
      <c r="F6" s="189"/>
    </row>
    <row r="7" spans="1:9" ht="90" x14ac:dyDescent="0.25">
      <c r="A7" s="12" t="s">
        <v>2</v>
      </c>
      <c r="B7" s="109" t="s">
        <v>9</v>
      </c>
      <c r="C7" s="109" t="s">
        <v>10</v>
      </c>
      <c r="D7" s="109" t="s">
        <v>13</v>
      </c>
      <c r="E7" s="109" t="s">
        <v>11</v>
      </c>
      <c r="F7" s="109" t="s">
        <v>16</v>
      </c>
    </row>
    <row r="8" spans="1:9" x14ac:dyDescent="0.25">
      <c r="A8" s="13" t="s">
        <v>32</v>
      </c>
      <c r="B8" s="93">
        <f>'(2)(a)(i) One Time (all)'!G17</f>
        <v>-690000</v>
      </c>
      <c r="C8" s="11">
        <v>109500</v>
      </c>
      <c r="D8" s="47">
        <f t="shared" ref="D8:D17" si="0">B8/C8</f>
        <v>-6.3013698630136989</v>
      </c>
      <c r="E8" s="117">
        <f>'[3]Compliance Table'!$L$5</f>
        <v>101979</v>
      </c>
      <c r="F8" s="57">
        <f>E8*D8</f>
        <v>-642607.39726027404</v>
      </c>
      <c r="I8" s="53"/>
    </row>
    <row r="9" spans="1:9" x14ac:dyDescent="0.25">
      <c r="A9" s="15" t="s">
        <v>33</v>
      </c>
      <c r="B9" s="10">
        <f>'(2)(a)(i) One Time (all)'!G18</f>
        <v>670000</v>
      </c>
      <c r="C9" s="11">
        <v>34164</v>
      </c>
      <c r="D9" s="47">
        <f t="shared" si="0"/>
        <v>19.611286734574406</v>
      </c>
      <c r="E9" s="118">
        <f>'[3]Compliance Table'!$L$15</f>
        <v>17178</v>
      </c>
      <c r="F9" s="57">
        <f t="shared" ref="F9:F17" si="1">E9*D9</f>
        <v>336882.68352651916</v>
      </c>
      <c r="I9" s="53"/>
    </row>
    <row r="10" spans="1:9" x14ac:dyDescent="0.25">
      <c r="A10" s="15" t="s">
        <v>34</v>
      </c>
      <c r="B10" s="10">
        <f>'(2)(a)(i) One Time (all)'!G19</f>
        <v>5200000</v>
      </c>
      <c r="C10" s="11">
        <v>642984</v>
      </c>
      <c r="D10" s="47">
        <f t="shared" si="0"/>
        <v>8.0872929964042655</v>
      </c>
      <c r="E10" s="119">
        <f>'[3]Compliance Table'!$L$17</f>
        <v>142828</v>
      </c>
      <c r="F10" s="57">
        <f t="shared" si="1"/>
        <v>1155091.8840904285</v>
      </c>
      <c r="I10" s="53"/>
    </row>
    <row r="11" spans="1:9" x14ac:dyDescent="0.25">
      <c r="A11" s="15" t="s">
        <v>49</v>
      </c>
      <c r="B11" s="10">
        <f>'(2)(a)(i) One Time (all)'!G20</f>
        <v>-2200000</v>
      </c>
      <c r="C11" s="11">
        <v>466908</v>
      </c>
      <c r="D11" s="47">
        <f t="shared" si="0"/>
        <v>-4.7118490152235557</v>
      </c>
      <c r="E11" s="11">
        <f>'[3]Compliance Table'!$L$8</f>
        <v>383773</v>
      </c>
      <c r="F11" s="57">
        <f t="shared" si="1"/>
        <v>-1808280.4321193895</v>
      </c>
      <c r="I11" s="53"/>
    </row>
    <row r="12" spans="1:9" x14ac:dyDescent="0.25">
      <c r="A12" s="15" t="s">
        <v>64</v>
      </c>
      <c r="B12" s="10">
        <f>'(2)(a)(i) One Time (all)'!G21</f>
        <v>4130000</v>
      </c>
      <c r="C12" s="11">
        <v>91980</v>
      </c>
      <c r="D12" s="47">
        <f t="shared" si="0"/>
        <v>44.901065449010652</v>
      </c>
      <c r="E12" s="11">
        <f>'[3]Compliance Table'!$L$18</f>
        <v>75645.000000000015</v>
      </c>
      <c r="F12" s="57">
        <f t="shared" si="1"/>
        <v>3396541.0958904112</v>
      </c>
      <c r="I12" s="53"/>
    </row>
    <row r="13" spans="1:9" x14ac:dyDescent="0.25">
      <c r="A13" s="15" t="s">
        <v>37</v>
      </c>
      <c r="B13" s="10">
        <f>'(2)(a)(i) One Time (all)'!G22</f>
        <v>-80000</v>
      </c>
      <c r="C13" s="11">
        <v>21024</v>
      </c>
      <c r="D13" s="47">
        <f t="shared" si="0"/>
        <v>-3.8051750380517504</v>
      </c>
      <c r="E13" s="11">
        <f>'[3]Compliance Table'!$L$9</f>
        <v>18495</v>
      </c>
      <c r="F13" s="57">
        <f t="shared" si="1"/>
        <v>-70376.712328767127</v>
      </c>
      <c r="I13" s="53"/>
    </row>
    <row r="14" spans="1:9" x14ac:dyDescent="0.25">
      <c r="A14" s="15" t="s">
        <v>65</v>
      </c>
      <c r="B14" s="10">
        <f>'(2)(a)(i) One Time (all)'!G23</f>
        <v>11370000</v>
      </c>
      <c r="C14" s="11">
        <v>500172</v>
      </c>
      <c r="D14" s="47">
        <f t="shared" si="0"/>
        <v>22.732180130035267</v>
      </c>
      <c r="E14" s="11">
        <f>'[3]Compliance Table'!$L$11</f>
        <v>482685.00000000006</v>
      </c>
      <c r="F14" s="57">
        <f t="shared" si="1"/>
        <v>10972482.366066074</v>
      </c>
      <c r="I14" s="53"/>
    </row>
    <row r="15" spans="1:9" x14ac:dyDescent="0.25">
      <c r="A15" s="15" t="s">
        <v>66</v>
      </c>
      <c r="B15" s="10">
        <f>'(2)(a)(i) One Time (all)'!G24</f>
        <v>9050000</v>
      </c>
      <c r="C15" s="11">
        <v>397728</v>
      </c>
      <c r="D15" s="47">
        <f t="shared" si="0"/>
        <v>22.754244106525061</v>
      </c>
      <c r="E15" s="11">
        <f>'[3]Compliance Table'!$L$13</f>
        <v>350200.83333333337</v>
      </c>
      <c r="F15" s="57">
        <f t="shared" si="1"/>
        <v>7968555.247975166</v>
      </c>
      <c r="I15" s="53"/>
    </row>
    <row r="16" spans="1:9" x14ac:dyDescent="0.25">
      <c r="A16" s="15" t="s">
        <v>40</v>
      </c>
      <c r="B16" s="10">
        <f>'(2)(a)(i) One Time (all)'!G25</f>
        <v>360000</v>
      </c>
      <c r="C16" s="11">
        <v>157680</v>
      </c>
      <c r="D16" s="47">
        <f t="shared" si="0"/>
        <v>2.2831050228310503</v>
      </c>
      <c r="E16" s="119">
        <f>'[3]Compliance Table'!$L$10</f>
        <v>61644</v>
      </c>
      <c r="F16" s="57">
        <f t="shared" si="1"/>
        <v>140739.72602739726</v>
      </c>
      <c r="I16" s="53"/>
    </row>
    <row r="17" spans="1:10" x14ac:dyDescent="0.25">
      <c r="A17" s="15" t="s">
        <v>63</v>
      </c>
      <c r="B17" s="10">
        <f>'(2)(a)(i) One Time (all)'!G26</f>
        <v>1990000</v>
      </c>
      <c r="C17" s="111">
        <v>126582</v>
      </c>
      <c r="D17" s="47">
        <f t="shared" si="0"/>
        <v>15.72103458627609</v>
      </c>
      <c r="E17" s="119">
        <f>'[3]Compliance Table'!$L$16</f>
        <v>101051</v>
      </c>
      <c r="F17" s="57">
        <f t="shared" si="1"/>
        <v>1588626.2659777852</v>
      </c>
      <c r="I17" s="53"/>
    </row>
    <row r="18" spans="1:10" x14ac:dyDescent="0.25">
      <c r="A18" s="15" t="s">
        <v>93</v>
      </c>
      <c r="B18" s="11">
        <f>'(2)(a)(i) One Time (all)'!G27</f>
        <v>4690000</v>
      </c>
      <c r="C18" s="11">
        <v>682692</v>
      </c>
      <c r="D18" s="110">
        <f>B18/C18</f>
        <v>6.8698622512055216</v>
      </c>
      <c r="E18" s="11">
        <v>0</v>
      </c>
      <c r="F18" s="57">
        <f>E18*D18</f>
        <v>0</v>
      </c>
      <c r="I18" s="111"/>
    </row>
    <row r="19" spans="1:10" x14ac:dyDescent="0.25">
      <c r="A19" s="15" t="s">
        <v>72</v>
      </c>
      <c r="B19" s="11">
        <f>'(2)(a)(i) One Time (all)'!G28</f>
        <v>8680000</v>
      </c>
      <c r="C19" s="11">
        <v>1419558</v>
      </c>
      <c r="D19" s="110">
        <f>B19/C19</f>
        <v>6.1145793268045407</v>
      </c>
      <c r="E19" s="119">
        <f>'[3]Compliance Table'!$L$6</f>
        <v>1291253</v>
      </c>
      <c r="F19" s="57">
        <f>E19*D19</f>
        <v>7895468.8994743433</v>
      </c>
      <c r="I19" s="111"/>
    </row>
    <row r="20" spans="1:10" x14ac:dyDescent="0.25">
      <c r="A20" s="15" t="s">
        <v>44</v>
      </c>
      <c r="B20" s="16"/>
      <c r="C20" s="11">
        <v>181706</v>
      </c>
      <c r="D20" s="16"/>
      <c r="E20" s="11">
        <f>C20</f>
        <v>181706</v>
      </c>
      <c r="F20" s="17">
        <v>0</v>
      </c>
      <c r="H20" s="122" t="s">
        <v>69</v>
      </c>
      <c r="I20" s="111"/>
    </row>
    <row r="21" spans="1:10" x14ac:dyDescent="0.25">
      <c r="A21" s="15"/>
      <c r="B21" s="11"/>
      <c r="C21" s="11"/>
      <c r="D21" s="112"/>
      <c r="E21" s="120"/>
      <c r="F21" s="57"/>
      <c r="H21" s="3" t="s">
        <v>73</v>
      </c>
      <c r="I21" s="111">
        <f>'[3]Compliance Table'!$L$12</f>
        <v>96537.000000000015</v>
      </c>
    </row>
    <row r="22" spans="1:10" x14ac:dyDescent="0.25">
      <c r="A22" s="15"/>
      <c r="B22" s="16"/>
      <c r="C22" s="11"/>
      <c r="D22" s="16"/>
      <c r="E22" s="120"/>
      <c r="F22" s="17"/>
      <c r="H22" s="3" t="s">
        <v>74</v>
      </c>
      <c r="I22" s="111">
        <f>'[3]Compliance Table'!$L$14</f>
        <v>70040.166666666672</v>
      </c>
    </row>
    <row r="23" spans="1:10" x14ac:dyDescent="0.25">
      <c r="A23" s="15" t="s">
        <v>97</v>
      </c>
      <c r="B23" s="10"/>
      <c r="C23" s="11"/>
      <c r="D23" s="14"/>
      <c r="E23" s="120"/>
      <c r="F23" s="14">
        <v>0</v>
      </c>
      <c r="H23" s="3" t="s">
        <v>91</v>
      </c>
      <c r="I23" s="111">
        <f>'[3]Compliance Table'!$L$19</f>
        <v>15129.000000000002</v>
      </c>
    </row>
    <row r="24" spans="1:10" s="48" customFormat="1" ht="15.75" thickBot="1" x14ac:dyDescent="0.3">
      <c r="A24" s="50" t="s">
        <v>47</v>
      </c>
      <c r="B24" s="94">
        <f>SUM(B8:B23)</f>
        <v>43170000</v>
      </c>
      <c r="C24" s="119">
        <f>SUM(C8:C23)</f>
        <v>4832678</v>
      </c>
      <c r="D24" s="51">
        <f>B24/C24</f>
        <v>8.9329353207476263</v>
      </c>
      <c r="E24" s="11">
        <f>SUM(E8:E23)</f>
        <v>3208437.8333333335</v>
      </c>
      <c r="F24" s="93">
        <f>SUM(F7:F23)</f>
        <v>30933123.627319694</v>
      </c>
      <c r="H24" s="3"/>
      <c r="I24" s="123">
        <f>SUM(I21:I23)</f>
        <v>181706.16666666669</v>
      </c>
      <c r="J24" s="113"/>
    </row>
    <row r="25" spans="1:10" ht="15.75" thickTop="1" x14ac:dyDescent="0.25">
      <c r="B25" s="130" t="s">
        <v>96</v>
      </c>
      <c r="C25" s="131"/>
      <c r="E25" s="121">
        <f>'[4]Compliance Summary'!$F$9-E24</f>
        <v>0.16666666651144624</v>
      </c>
      <c r="F25" s="95">
        <f>+F24/E24</f>
        <v>9.6411790516702727</v>
      </c>
    </row>
    <row r="26" spans="1:10" x14ac:dyDescent="0.25">
      <c r="A26" t="s">
        <v>45</v>
      </c>
      <c r="E26" s="52"/>
      <c r="F26" s="49" t="s">
        <v>46</v>
      </c>
    </row>
    <row r="27" spans="1:10" x14ac:dyDescent="0.25">
      <c r="E27" s="54"/>
    </row>
    <row r="30" spans="1:10" x14ac:dyDescent="0.25">
      <c r="D30" s="95">
        <f>B24/(C24-C20)</f>
        <v>9.2819307447991513</v>
      </c>
    </row>
  </sheetData>
  <sortState xmlns:xlrd2="http://schemas.microsoft.com/office/spreadsheetml/2017/richdata2" ref="C18:C19">
    <sortCondition ref="C18"/>
  </sortState>
  <mergeCells count="4">
    <mergeCell ref="A4:F4"/>
    <mergeCell ref="B6:D6"/>
    <mergeCell ref="E6:F6"/>
    <mergeCell ref="B5:F5"/>
  </mergeCells>
  <pageMargins left="0.25" right="0.25" top="0.75" bottom="0.75" header="0.3" footer="0.3"/>
  <pageSetup scale="65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23"/>
  <sheetViews>
    <sheetView workbookViewId="0">
      <selection activeCell="B8" sqref="B8"/>
    </sheetView>
  </sheetViews>
  <sheetFormatPr defaultRowHeight="15" x14ac:dyDescent="0.25"/>
  <cols>
    <col min="1" max="1" width="5" bestFit="1" customWidth="1"/>
    <col min="2" max="2" width="60.7109375" bestFit="1" customWidth="1"/>
    <col min="4" max="4" width="7.28515625" bestFit="1" customWidth="1"/>
    <col min="5" max="5" width="7.42578125" bestFit="1" customWidth="1"/>
  </cols>
  <sheetData>
    <row r="2" spans="1:5" x14ac:dyDescent="0.25">
      <c r="A2" t="s">
        <v>77</v>
      </c>
      <c r="B2" t="s">
        <v>78</v>
      </c>
    </row>
    <row r="3" spans="1:5" x14ac:dyDescent="0.25">
      <c r="A3" s="78"/>
      <c r="B3" s="78"/>
      <c r="C3" s="91"/>
      <c r="D3" s="91"/>
      <c r="E3" s="92"/>
    </row>
    <row r="4" spans="1:5" x14ac:dyDescent="0.25">
      <c r="A4" s="79"/>
      <c r="B4" s="79" t="s">
        <v>79</v>
      </c>
      <c r="C4" s="80"/>
      <c r="D4" s="80"/>
      <c r="E4" s="80"/>
    </row>
    <row r="5" spans="1:5" x14ac:dyDescent="0.25">
      <c r="A5" s="79"/>
      <c r="B5" s="79" t="s">
        <v>53</v>
      </c>
      <c r="C5" s="80"/>
      <c r="D5" s="80"/>
      <c r="E5" s="80"/>
    </row>
    <row r="6" spans="1:5" x14ac:dyDescent="0.25">
      <c r="A6" s="79"/>
      <c r="B6" s="79" t="s">
        <v>80</v>
      </c>
      <c r="C6" s="80"/>
      <c r="D6" s="80"/>
      <c r="E6" s="80"/>
    </row>
    <row r="7" spans="1:5" x14ac:dyDescent="0.25">
      <c r="A7" s="79"/>
      <c r="B7" s="79" t="s">
        <v>81</v>
      </c>
      <c r="C7" s="80"/>
      <c r="D7" s="80"/>
      <c r="E7" s="80"/>
    </row>
    <row r="8" spans="1:5" x14ac:dyDescent="0.25">
      <c r="A8" s="79"/>
      <c r="B8" s="79" t="s">
        <v>82</v>
      </c>
      <c r="C8" s="79"/>
      <c r="D8" s="79"/>
      <c r="E8" s="79"/>
    </row>
    <row r="9" spans="1:5" x14ac:dyDescent="0.25">
      <c r="A9" s="80"/>
      <c r="B9" s="80" t="s">
        <v>54</v>
      </c>
      <c r="C9" s="80"/>
      <c r="D9" s="80"/>
      <c r="E9" s="80"/>
    </row>
    <row r="10" spans="1:5" x14ac:dyDescent="0.25">
      <c r="A10" s="80"/>
      <c r="B10" s="80"/>
      <c r="C10" s="80"/>
      <c r="D10" s="80"/>
      <c r="E10" s="78"/>
    </row>
    <row r="11" spans="1:5" x14ac:dyDescent="0.25">
      <c r="A11" s="81" t="s">
        <v>55</v>
      </c>
      <c r="B11" s="81"/>
      <c r="C11" s="81"/>
      <c r="D11" s="78"/>
      <c r="E11" s="78"/>
    </row>
    <row r="12" spans="1:5" x14ac:dyDescent="0.25">
      <c r="A12" s="82" t="s">
        <v>56</v>
      </c>
      <c r="B12" s="82" t="s">
        <v>57</v>
      </c>
      <c r="C12" s="82"/>
      <c r="D12" s="83" t="s">
        <v>83</v>
      </c>
      <c r="E12" s="83" t="s">
        <v>84</v>
      </c>
    </row>
    <row r="13" spans="1:5" x14ac:dyDescent="0.25">
      <c r="A13" s="78"/>
      <c r="B13" s="78"/>
      <c r="C13" s="78"/>
      <c r="D13" s="78"/>
      <c r="E13" s="78"/>
    </row>
    <row r="14" spans="1:5" x14ac:dyDescent="0.25">
      <c r="A14" s="84">
        <v>1</v>
      </c>
      <c r="B14" s="85" t="s">
        <v>58</v>
      </c>
      <c r="C14" s="78"/>
      <c r="D14" s="78"/>
      <c r="E14" s="86">
        <v>7.1970000000000003E-3</v>
      </c>
    </row>
    <row r="15" spans="1:5" x14ac:dyDescent="0.25">
      <c r="A15" s="84">
        <v>2</v>
      </c>
      <c r="B15" s="85" t="s">
        <v>59</v>
      </c>
      <c r="C15" s="78"/>
      <c r="D15" s="78"/>
      <c r="E15" s="86">
        <v>4.0000000000000001E-3</v>
      </c>
    </row>
    <row r="16" spans="1:5" x14ac:dyDescent="0.25">
      <c r="A16" s="84">
        <v>3</v>
      </c>
      <c r="B16" s="85" t="s">
        <v>85</v>
      </c>
      <c r="C16" s="78"/>
      <c r="D16" s="87">
        <v>3.8733999999999998E-2</v>
      </c>
      <c r="E16" s="88">
        <v>3.8455000000000003E-2</v>
      </c>
    </row>
    <row r="17" spans="1:6" x14ac:dyDescent="0.25">
      <c r="A17" s="84">
        <v>4</v>
      </c>
      <c r="B17" s="85"/>
      <c r="C17" s="78"/>
      <c r="D17" s="78"/>
      <c r="E17" s="86"/>
    </row>
    <row r="18" spans="1:6" x14ac:dyDescent="0.25">
      <c r="A18" s="84">
        <v>5</v>
      </c>
      <c r="B18" s="85" t="s">
        <v>60</v>
      </c>
      <c r="C18" s="78"/>
      <c r="D18" s="78"/>
      <c r="E18" s="86">
        <v>4.9652000000000002E-2</v>
      </c>
    </row>
    <row r="19" spans="1:6" x14ac:dyDescent="0.25">
      <c r="A19" s="84">
        <v>6</v>
      </c>
      <c r="B19" s="78"/>
      <c r="C19" s="78"/>
      <c r="D19" s="78"/>
      <c r="E19" s="86"/>
    </row>
    <row r="20" spans="1:6" x14ac:dyDescent="0.25">
      <c r="A20" s="84">
        <v>7</v>
      </c>
      <c r="B20" s="78" t="s">
        <v>86</v>
      </c>
      <c r="C20" s="78"/>
      <c r="D20" s="78"/>
      <c r="E20" s="86">
        <v>0.95034799999999997</v>
      </c>
      <c r="F20">
        <f>ROUND(1/E20,6)</f>
        <v>1.052246</v>
      </c>
    </row>
    <row r="21" spans="1:6" x14ac:dyDescent="0.25">
      <c r="A21" s="84">
        <v>8</v>
      </c>
      <c r="B21" s="85" t="s">
        <v>87</v>
      </c>
      <c r="C21" s="78"/>
      <c r="D21" s="89">
        <v>0.21</v>
      </c>
      <c r="E21" s="86">
        <v>0.199573</v>
      </c>
    </row>
    <row r="22" spans="1:6" ht="15.75" thickBot="1" x14ac:dyDescent="0.3">
      <c r="A22" s="84">
        <v>9</v>
      </c>
      <c r="B22" s="85" t="s">
        <v>88</v>
      </c>
      <c r="C22" s="78"/>
      <c r="D22" s="78"/>
      <c r="E22" s="90">
        <v>0.75077499999999997</v>
      </c>
    </row>
    <row r="23" spans="1:6" ht="15.75" thickTop="1" x14ac:dyDescent="0.25"/>
  </sheetData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E0704D55FD35D48AB17237786508806" ma:contentTypeVersion="16" ma:contentTypeDescription="" ma:contentTypeScope="" ma:versionID="36c6f02228d1989ee193a0a391f73c2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2024-05-31T07:00:00+00:00</OpenedDate>
    <Date1 xmlns="dc463f71-b30c-4ab2-9473-d307f9d35888">2024-05-31T07:00:00+00:00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240411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1650E5E-83A4-4F16-9441-47774AD87581}"/>
</file>

<file path=customXml/itemProps2.xml><?xml version="1.0" encoding="utf-8"?>
<ds:datastoreItem xmlns:ds="http://schemas.openxmlformats.org/officeDocument/2006/customXml" ds:itemID="{5BEF5B95-1E30-4DEE-A7DE-B1C8D80737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952347-C971-4FC1-8E45-FB0E16866E1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E3C0770-BF6D-4E3A-A997-5A63301BCE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(2)(a)(i) One Time (all)</vt:lpstr>
      <vt:lpstr>(2)(a)(ii)Annual2024est (C)</vt:lpstr>
      <vt:lpstr>(2)(a)(iii)(A) and (B)</vt:lpstr>
      <vt:lpstr>electric conv fctr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Scanlan, Kathi (UTC)</dc:creator>
  <cp:lastModifiedBy>Booth, Avery (UTC)</cp:lastModifiedBy>
  <cp:lastPrinted>2021-05-26T00:10:20Z</cp:lastPrinted>
  <dcterms:created xsi:type="dcterms:W3CDTF">2016-07-07T17:22:29Z</dcterms:created>
  <dcterms:modified xsi:type="dcterms:W3CDTF">2024-05-31T16:02:57Z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0x0101006E56B4D1795A2E4DB2F0B01679ED314A003E0704D55FD35D48AB17237786508806</vt:lpwstr>
  </property>
  <property fmtid="{D5CDD505-2E9C-101B-9397-08002B2CF9AE}" pid="3" name="_docset_NoMedatataSyncRequired">
    <vt:lpwstr>False</vt:lpwstr>
  </property>
</Properties>
</file>