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6.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mduresources.sharepoint.com/sites/WestRegulatoryGeneral/Shared Documents/Projects/CCA Refiling/Update with 2024 Forecast/"/>
    </mc:Choice>
  </mc:AlternateContent>
  <xr:revisionPtr revIDLastSave="14" documentId="13_ncr:1_{8EDD77CB-632F-44E5-8894-85538D3F761F}" xr6:coauthVersionLast="47" xr6:coauthVersionMax="47" xr10:uidLastSave="{D08E31D8-3A8E-4002-B9FF-3F6C54BDEF65}"/>
  <bookViews>
    <workbookView xWindow="-38520" yWindow="-120" windowWidth="38640" windowHeight="21240" tabRatio="860" xr2:uid="{A4246E3C-FB43-4CA1-AE55-A89F5BE79BD6}"/>
  </bookViews>
  <sheets>
    <sheet name="Total CCA" sheetId="37" r:id="rId1"/>
    <sheet name="CCA Breakdown (R)" sheetId="9" r:id="rId2"/>
    <sheet name="CCA Allocation" sheetId="43" r:id="rId3"/>
    <sheet name="WA Climate Act Credit 503,504" sheetId="42" r:id="rId4"/>
    <sheet name="Customer Bill Impact" sheetId="44" r:id="rId5"/>
    <sheet name="Rev. Sensitivity Factor" sheetId="34" r:id="rId6"/>
    <sheet name="503 Cost,Benefit Amort" sheetId="22" r:id="rId7"/>
    <sheet name="504-663 Cost Amort" sheetId="23" r:id="rId8"/>
    <sheet name="504 Benefit Amort" sheetId="26" r:id="rId9"/>
    <sheet name="505 Benefit Amort" sheetId="28" r:id="rId10"/>
    <sheet name="511 Benefit Amort" sheetId="27" r:id="rId11"/>
    <sheet name="570 Benefit Amort" sheetId="29" r:id="rId12"/>
    <sheet name="663 Benefit Amort" sheetId="30" r:id="rId13"/>
    <sheet name="Eligible Customers WP" sheetId="40" r:id="rId14"/>
    <sheet name="Eligible Therms WP" sheetId="41" r:id="rId15"/>
    <sheet name="Forecasted Customer Count WP" sheetId="31" r:id="rId16"/>
    <sheet name="Forecasted Therms WP" sheetId="6" r:id="rId17"/>
    <sheet name="Tracker WP (R)" sheetId="57" r:id="rId18"/>
    <sheet name="NAICS Historical WP" sheetId="4" r:id="rId19"/>
    <sheet name="WA Schedule Summaries WP" sheetId="35" r:id="rId20"/>
    <sheet name="ACOD Interest Rates WP" sheetId="24" r:id="rId21"/>
    <sheet name="CCA 1823.2058 WP" sheetId="51" r:id="rId22"/>
    <sheet name="CCA 1823.2063 WP (R)" sheetId="52" r:id="rId23"/>
    <sheet name="CCA 1823.2064 WP (R)" sheetId="53" r:id="rId24"/>
    <sheet name="CCA 1823.2065 WP (R)" sheetId="54" r:id="rId25"/>
    <sheet name="CCA 2540.20491 WP (R)" sheetId="55" r:id="rId26"/>
  </sheets>
  <definedNames>
    <definedName name="__123Graph_A" hidden="1">#REF!</definedName>
    <definedName name="__123Graph_B" hidden="1">#REF!</definedName>
    <definedName name="__123Graph_D" hidden="1">#REF!</definedName>
    <definedName name="__123Graph_E" hidden="1">#REF!</definedName>
    <definedName name="__123Graph_F" hidden="1">#REF!</definedName>
    <definedName name="__IntlFixup" hidden="1">TRUE</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d1" hidden="1">{"annual",#N/A,FALSE,"Pro Forma";#N/A,#N/A,FALSE,"Golf Operations"}</definedName>
    <definedName name="_Dist_Values" hidden="1">#REF!</definedName>
    <definedName name="_Fill" hidden="1">#REF!</definedName>
    <definedName name="_xlnm._FilterDatabase" hidden="1">#REF!</definedName>
    <definedName name="_gr1" hidden="1">{"three",#N/A,FALSE,"Capital";"four",#N/A,FALSE,"Capital"}</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255</definedName>
    <definedName name="_Regression_Int" localSheetId="20" hidden="1">1</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Table2_Out" hidden="1">#REF!</definedName>
    <definedName name="_wr1" hidden="1">{"Output-3Column",#N/A,FALSE,"Output"}</definedName>
    <definedName name="_wrn1" hidden="1">{"Inflation-BaseYear",#N/A,FALSE,"Inputs"}</definedName>
    <definedName name="a" hidden="1">{"Print_Detail",#N/A,FALSE,"Redemption_Maturity Extract"}</definedName>
    <definedName name="Access_Button1" hidden="1">"Headcount_Workbook_Schedules_List"</definedName>
    <definedName name="AccessCode" hidden="1">""""</definedName>
    <definedName name="AccessDatabase" hidden="1">"C:\ncux\bud\rms_inv.mdb"</definedName>
    <definedName name="ACODINT22">'ACOD Interest Rates WP'!$A$10:$C$21</definedName>
    <definedName name="ACODINT23">'ACOD Interest Rates WP'!$A$22:$C$33</definedName>
    <definedName name="ACODINT24">'ACOD Interest Rates WP'!$A$34:$C$45</definedName>
    <definedName name="ACwvu.allocations." hidden="1">#REF!</definedName>
    <definedName name="ACwvu.annual._.hotel." hidden="1">#REF!</definedName>
    <definedName name="ACwvu.bottom._.line." hidden="1">#REF!</definedName>
    <definedName name="ACwvu.cash._.flow." hidden="1">#REF!</definedName>
    <definedName name="ACwvu.combo." hidden="1">#REF!</definedName>
    <definedName name="ACwvu.full." hidden="1">#REF!</definedName>
    <definedName name="ACwvu.offsite." hidden="1">#REF!</definedName>
    <definedName name="ACwvu.onsite." hidden="1">#REF!</definedName>
    <definedName name="anscount" hidden="1">2</definedName>
    <definedName name="ARORINT22" localSheetId="20">'ACOD Interest Rates WP'!$A$10:$C$21</definedName>
    <definedName name="ARORINT22">#REF!</definedName>
    <definedName name="ARORINT23" localSheetId="20">'ACOD Interest Rates WP'!$A$22:$C$33</definedName>
    <definedName name="ARORINT23">#REF!</definedName>
    <definedName name="ARORINT24">#REF!</definedName>
    <definedName name="asa" hidden="1">{"Factors Pages 1-2",#N/A,FALSE,"Factors";"Factors Page 3",#N/A,FALSE,"Factors";"Factors Page 4",#N/A,FALSE,"Factors";"Factors Page 5",#N/A,FALSE,"Factors";"Factors Pages 8-27",#N/A,FALSE,"Factors"}</definedName>
    <definedName name="b" hidden="1">{"One",#N/A,FALSE,"CClub";"Two",#N/A,FALSE,"CClub";"Three",#N/A,FALSE,"CClub";"Four",#N/A,FALSE,"CClub";"Five",#N/A,FALSE,"CClub"}</definedName>
    <definedName name="bi" hidden="1">{#N/A,#N/A,FALSE,"BidCo Assumptions";#N/A,#N/A,FALSE,"Credit Stats";#N/A,#N/A,FALSE,"Bidco Summary";#N/A,#N/A,FALSE,"BIDCO Consolidated"}</definedName>
    <definedName name="BNE_MESSAGES_HIDDEN" hidden="1">#REF!</definedName>
    <definedName name="cd" hidden="1">{"annual",#N/A,FALSE,"Pro Forma";#N/A,#N/A,FALSE,"Golf Operations"}</definedName>
    <definedName name="cgf" hidden="1">{"PRINT",#N/A,TRUE,"APPA";"PRINT",#N/A,TRUE,"APS";"PRINT",#N/A,TRUE,"BHPL";"PRINT",#N/A,TRUE,"BHPL2";"PRINT",#N/A,TRUE,"CDWR";"PRINT",#N/A,TRUE,"EWEB";"PRINT",#N/A,TRUE,"LADWP";"PRINT",#N/A,TRUE,"NEVBASE"}</definedName>
    <definedName name="CODINT22">#REF!</definedName>
    <definedName name="CODINT23">#REF!</definedName>
    <definedName name="CODINT24">#REF!</definedName>
    <definedName name="combined1" hidden="1">{"YTD-Total",#N/A,TRUE,"Provision";"YTD-Utility",#N/A,TRUE,"Prov Utility";"YTD-NonUtility",#N/A,TRUE,"Prov NonUtility"}</definedName>
    <definedName name="Company">#REF!</definedName>
    <definedName name="Cwvu.annual." hidden="1">#REF!,#REF!,#REF!,#REF!,#REF!,#REF!,#REF!,#REF!,#REF!,#REF!,#REF!,#REF!,#REF!,#REF!,#REF!,#REF!,#REF!,#REF!,#REF!,#REF!,#REF!,#REF!,#REF!,#REF!</definedName>
    <definedName name="Cwvu.annual._.hotel." hidden="1">#REF!,#REF!,#REF!,#REF!,#REF!,#REF!,#REF!,#REF!,#REF!,#REF!,#REF!,#REF!,#REF!,#REF!,#REF!,#REF!,#REF!,#REF!,#REF!</definedName>
    <definedName name="Cwvu.bottom._.line." hidden="1">#REF!,#REF!,#REF!,#REF!,#REF!,#REF!,#REF!,#REF!,#REF!,#REF!,#REF!,#REF!,#REF!,#REF!,#REF!,#REF!,#REF!,#REF!,#REF!,#REF!,#REF!,#REF!</definedName>
    <definedName name="Cwvu.cash._.flow." hidden="1">#REF!,#REF!,#REF!,#REF!,#REF!,#REF!,#REF!,#REF!,#REF!,#REF!,#REF!,#REF!,#REF!,#REF!,#REF!,#REF!,#REF!,#REF!,#REF!,#REF!,#REF!,#REF!,#REF!,#REF!,#REF!,#REF!,#REF!,#REF!,#REF!,#REF!,#REF!,#REF!,#REF!,#REF!,#REF!,#REF!,#REF!,#REF!,#REF!,#REF!,#REF!</definedName>
    <definedName name="Cwvu.combo." hidden="1">#REF!,#REF!,#REF!,#REF!,#REF!,#REF!,#REF!,#REF!,#REF!,#REF!,#REF!,#REF!,#REF!,#REF!,#REF!,#REF!,#REF!,#REF!,#REF!,#REF!,#REF!,#REF!</definedName>
    <definedName name="Cwvu.GREY_ALL." hidden="1">#REF!</definedName>
    <definedName name="dd" hidden="1">{"Print_Detail",#N/A,FALSE,"Redemption_Maturity Extract"}</definedName>
    <definedName name="ddd" hidden="1">{"Full",#N/A,FALSE,"Sec MTN B Summary"}</definedName>
    <definedName name="dddd" hidden="1">{"RedPrem_InitRed View",#N/A,FALSE,"Sec MTN B Summary"}</definedName>
    <definedName name="dddddd" hidden="1">{"Pivot1",#N/A,FALSE,"Redemption_Maturity Extract"}</definedName>
    <definedName name="dddddddd" hidden="1">{"Pivot2",#N/A,FALSE,"Redemption_Maturity Extract"}</definedName>
    <definedName name="DUDE" hidden="1">#REF!</definedName>
    <definedName name="enrgy" hidden="1">{#N/A,#N/A,FALSE,"Bgt";#N/A,#N/A,FALSE,"Act";#N/A,#N/A,FALSE,"Chrt Data";#N/A,#N/A,FALSE,"Bus Result";#N/A,#N/A,FALSE,"Main Charts";#N/A,#N/A,FALSE,"P&amp;L Ttl";#N/A,#N/A,FALSE,"P&amp;L C_Ttl";#N/A,#N/A,FALSE,"P&amp;L C_Oct";#N/A,#N/A,FALSE,"P&amp;L C_Sep";#N/A,#N/A,FALSE,"1996";#N/A,#N/A,FALSE,"Data"}</definedName>
    <definedName name="EV__ALLOWSTOPEXPAND__" hidden="1">1</definedName>
    <definedName name="EV__EVCOM_OPTIONS__" hidden="1">8</definedName>
    <definedName name="EV__EXPOPTIONS__" hidden="1">0</definedName>
    <definedName name="EV__LASTREFTIME__" hidden="1">40535.431400463</definedName>
    <definedName name="EV__MAXEXPCOLS__" hidden="1">100</definedName>
    <definedName name="EV__MAXEXPROWS__" hidden="1">2000</definedName>
    <definedName name="EV__MEMORYCVW__" hidden="1">0</definedName>
    <definedName name="EV__WBEVMODE__" hidden="1">0</definedName>
    <definedName name="EV__WBREFOPTIONS__" hidden="1">55</definedName>
    <definedName name="EV__WBVERSION__" hidden="1">0</definedName>
    <definedName name="EV__WSINFO__" hidden="1">"kab"</definedName>
    <definedName name="FERCINT13" localSheetId="20">'ACOD Interest Rates WP'!#REF!</definedName>
    <definedName name="FERCINT13">#REF!</definedName>
    <definedName name="FERCINT14" localSheetId="20">'ACOD Interest Rates WP'!#REF!</definedName>
    <definedName name="FERCINT14">#REF!</definedName>
    <definedName name="FERCINT15" localSheetId="20">'ACOD Interest Rates WP'!#REF!</definedName>
    <definedName name="FERCINT15">#REF!</definedName>
    <definedName name="FERCINT16" localSheetId="20">'ACOD Interest Rates WP'!#REF!</definedName>
    <definedName name="FERCINT16">#REF!</definedName>
    <definedName name="FERCINT17" localSheetId="20">'ACOD Interest Rates WP'!#REF!</definedName>
    <definedName name="FERCINT17">#REF!</definedName>
    <definedName name="FERCINT18" localSheetId="20">'ACOD Interest Rates WP'!#REF!</definedName>
    <definedName name="FERCINT18">#REF!</definedName>
    <definedName name="FERCINT19" localSheetId="20">'ACOD Interest Rates WP'!#REF!</definedName>
    <definedName name="FERCINT19">#REF!</definedName>
    <definedName name="FERCINT20" localSheetId="20">'ACOD Interest Rates WP'!#REF!</definedName>
    <definedName name="FERCINT20">#REF!</definedName>
    <definedName name="FERCINT21" localSheetId="20">'ACOD Interest Rates WP'!#REF!</definedName>
    <definedName name="FERCINT21">#REF!</definedName>
    <definedName name="FERCINT22" localSheetId="20">'ACOD Interest Rates WP'!$A$10:$C$21</definedName>
    <definedName name="FERCINT22">#REF!</definedName>
    <definedName name="FERCINT23" localSheetId="20">'ACOD Interest Rates WP'!$A$22:$C$33</definedName>
    <definedName name="FERCINT23">#REF!</definedName>
    <definedName name="FERCINT24">#REF!</definedName>
    <definedName name="fffff" hidden="1">{"ALL",#N/A,FALSE,"A"}</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fsdfsad" hidden="1">{"ALL",#N/A,FALSE,"A"}</definedName>
    <definedName name="gr" hidden="1">{"three",#N/A,FALSE,"Capital";"four",#N/A,FALSE,"Capital"}</definedName>
    <definedName name="help" hidden="1">{"ALL",#N/A,FALSE,"A"}</definedName>
    <definedName name="HROptim" hidden="1">{#N/A,#N/A,FALSE,"Summary";#N/A,#N/A,FALSE,"SmPlants";#N/A,#N/A,FALSE,"Utah";#N/A,#N/A,FALSE,"Idaho";#N/A,#N/A,FALSE,"Lewis River";#N/A,#N/A,FALSE,"NrthUmpq";#N/A,#N/A,FALSE,"KlamRog"}</definedName>
    <definedName name="HTML1_1" hidden="1">"'[MONET71.xls]Market Hubs by Condition'!$A$1:$F$44"</definedName>
    <definedName name="HTML1_10" hidden="1">"Dave_LeVee"</definedName>
    <definedName name="HTML1_11" hidden="1">1</definedName>
    <definedName name="HTML1_12" hidden="1">"G:\MONET\WEB\FORECAST\hub71.htm"</definedName>
    <definedName name="HTML1_2" hidden="1">1</definedName>
    <definedName name="HTML1_3" hidden="1">"MONET71"</definedName>
    <definedName name="HTML1_4" hidden="1">"Market Hubs by Condition"</definedName>
    <definedName name="HTML1_5" hidden="1">""</definedName>
    <definedName name="HTML1_6" hidden="1">1</definedName>
    <definedName name="HTML1_7" hidden="1">1</definedName>
    <definedName name="HTML1_8" hidden="1">"4/10/96"</definedName>
    <definedName name="HTML1_9" hidden="1">"Resource Forecasting Department"</definedName>
    <definedName name="HTML2_1" hidden="1">"[MONET71.xls]FlatMarginalCost!$A$1:$E$132"</definedName>
    <definedName name="HTML2_10" hidden="1">"Dave_LeVee"</definedName>
    <definedName name="HTML2_11" hidden="1">1</definedName>
    <definedName name="HTML2_12" hidden="1">"G:\MONET\WEB\FORECAST\mc71.htm"</definedName>
    <definedName name="HTML2_2" hidden="1">1</definedName>
    <definedName name="HTML2_3" hidden="1">"MONET71"</definedName>
    <definedName name="HTML2_4" hidden="1">"FlatMarginalCost"</definedName>
    <definedName name="HTML2_5" hidden="1">""</definedName>
    <definedName name="HTML2_6" hidden="1">1</definedName>
    <definedName name="HTML2_7" hidden="1">1</definedName>
    <definedName name="HTML2_8" hidden="1">"4/10/96"</definedName>
    <definedName name="HTML2_9" hidden="1">"Resource Forecasting Department"</definedName>
    <definedName name="HTML3_1" hidden="1">"'[MONET84.XLS]Market Hubs by Condition'!$A$1:$F$36"</definedName>
    <definedName name="HTML3_10" hidden="1">"dave_levee@pgn.com"</definedName>
    <definedName name="HTML3_11" hidden="1">1</definedName>
    <definedName name="HTML3_12" hidden="1">"G:\MONET\WEB\FORECAST\Hub84.htm"</definedName>
    <definedName name="HTML3_2" hidden="1">1</definedName>
    <definedName name="HTML3_3" hidden="1">"MONET84"</definedName>
    <definedName name="HTML3_4" hidden="1">"Market Hubs by Condition"</definedName>
    <definedName name="HTML3_5" hidden="1">""</definedName>
    <definedName name="HTML3_6" hidden="1">1</definedName>
    <definedName name="HTML3_7" hidden="1">1</definedName>
    <definedName name="HTML3_8" hidden="1">"4/15/96"</definedName>
    <definedName name="HTML3_9" hidden="1">"Resource Forecasting Department"</definedName>
    <definedName name="HTML4_1" hidden="1">"[MONET84.XLS]ConditionMarginalCost!$A$1:$E$286"</definedName>
    <definedName name="HTML4_10" hidden="1">"dave_levee@pgn.com"</definedName>
    <definedName name="HTML4_11" hidden="1">1</definedName>
    <definedName name="HTML4_12" hidden="1">"G:\MONET\WEB\FORECAST\mc84.htm"</definedName>
    <definedName name="HTML4_2" hidden="1">1</definedName>
    <definedName name="HTML4_3" hidden="1">"MONET84"</definedName>
    <definedName name="HTML4_4" hidden="1">"ConditionMarginalCost"</definedName>
    <definedName name="HTML4_5" hidden="1">""</definedName>
    <definedName name="HTML4_6" hidden="1">1</definedName>
    <definedName name="HTML4_7" hidden="1">1</definedName>
    <definedName name="HTML4_8" hidden="1">"4/15/96"</definedName>
    <definedName name="HTML4_9" hidden="1">"Resource Forecasting Department"</definedName>
    <definedName name="HTML5_1" hidden="1">"[MONET84.XLS]ConditionMarginalCost!$A$1:$E$177"</definedName>
    <definedName name="HTML5_10" hidden="1">"dave_levee@pgn.com"</definedName>
    <definedName name="HTML5_11" hidden="1">1</definedName>
    <definedName name="HTML5_12" hidden="1">"G:\MONET\WEB\FORECAST\mc84.htm"</definedName>
    <definedName name="HTML5_2" hidden="1">1</definedName>
    <definedName name="HTML5_3" hidden="1">"MONET84"</definedName>
    <definedName name="HTML5_4" hidden="1">"ConditionMarginalCost"</definedName>
    <definedName name="HTML5_5" hidden="1">""</definedName>
    <definedName name="HTML5_6" hidden="1">1</definedName>
    <definedName name="HTML5_7" hidden="1">1</definedName>
    <definedName name="HTML5_8" hidden="1">"4/15/96"</definedName>
    <definedName name="HTML5_9" hidden="1">"Resource Forecasting Department"</definedName>
    <definedName name="HTMLCount" hidden="1">5</definedName>
    <definedName name="inventory" hidden="1">{#N/A,#N/A,FALSE,"Summary";#N/A,#N/A,FALSE,"SmPlants";#N/A,#N/A,FALSE,"Utah";#N/A,#N/A,FALSE,"Idaho";#N/A,#N/A,FALSE,"Lewis River";#N/A,#N/A,FALSE,"NrthUmpq";#N/A,#N/A,FALSE,"KlamRog"}</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JIM" hidden="1">{#N/A,#N/A,FALSE,"Sheet5"}</definedName>
    <definedName name="June" hidden="1">{"three",#N/A,FALSE,"Capital";"four",#N/A,FALSE,"Capital"}</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2_WBEVMODE" hidden="1">0</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3</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Pal_Workbook_GUID" hidden="1">"VX3CWJGNQX2CCGI81U4N2V76"</definedName>
    <definedName name="pete" hidden="1">{#N/A,#N/A,FALSE,"Bgt";#N/A,#N/A,FALSE,"Act";#N/A,#N/A,FALSE,"Chrt Data";#N/A,#N/A,FALSE,"Bus Result";#N/A,#N/A,FALSE,"Main Charts";#N/A,#N/A,FALSE,"P&amp;L Ttl";#N/A,#N/A,FALSE,"P&amp;L C_Ttl";#N/A,#N/A,FALSE,"P&amp;L C_Oct";#N/A,#N/A,FALSE,"P&amp;L C_Sep";#N/A,#N/A,FALSE,"1996";#N/A,#N/A,FALSE,"Data"}</definedName>
    <definedName name="PPPPPPPPPPPPPPPP" hidden="1">{#N/A,#N/A,FALSE,"Sheet5"}</definedName>
    <definedName name="PricingInfo" hidden="1">#REF!</definedName>
    <definedName name="_xlnm.Print_Area" localSheetId="6">'503 Cost,Benefit Amort'!$A$1:$E$72</definedName>
    <definedName name="_xlnm.Print_Area" localSheetId="8">'504 Benefit Amort'!$A$1:$E$27</definedName>
    <definedName name="_xlnm.Print_Area" localSheetId="7">'504-663 Cost Amort'!$A$1:$E$26</definedName>
    <definedName name="_xlnm.Print_Area" localSheetId="20">'ACOD Interest Rates WP'!$A$1:$D$45</definedName>
    <definedName name="_xlnm.Print_Area" localSheetId="21">'CCA 1823.2058 WP'!$A$1:$N$38</definedName>
    <definedName name="_xlnm.Print_Area" localSheetId="22">'CCA 1823.2063 WP (R)'!$A$3:$M$35</definedName>
    <definedName name="_xlnm.Print_Area" localSheetId="23">'CCA 1823.2064 WP (R)'!$A$3:$M$35</definedName>
    <definedName name="_xlnm.Print_Area" localSheetId="24">'CCA 1823.2065 WP (R)'!$A$3:$O$35</definedName>
    <definedName name="_xlnm.Print_Area" localSheetId="25">'CCA 2540.20491 WP (R)'!$A$3:$M$40</definedName>
    <definedName name="_xlnm.Print_Area" localSheetId="2">'CCA Allocation'!$A$1:$AC$44</definedName>
    <definedName name="_xlnm.Print_Area" localSheetId="1">'CCA Breakdown (R)'!$A$1:$J$42</definedName>
    <definedName name="_xlnm.Print_Area" localSheetId="4">'Customer Bill Impact'!$A$1:$O$57</definedName>
    <definedName name="_xlnm.Print_Area" localSheetId="15">'Forecasted Customer Count WP'!$A$1:$Q$19</definedName>
    <definedName name="_xlnm.Print_Area" localSheetId="16">'Forecasted Therms WP'!$A$1:$Q$18</definedName>
    <definedName name="_xlnm.Print_Area" localSheetId="5">'Rev. Sensitivity Factor'!$A$1:$D$43</definedName>
    <definedName name="_xlnm.Print_Area" localSheetId="0">'Total CCA'!$A$1:$C$26</definedName>
    <definedName name="_xlnm.Print_Area" localSheetId="3">'WA Climate Act Credit 503,504'!$A$1:$N$18</definedName>
    <definedName name="_xlnm.Print_Titles" localSheetId="2">'CCA Allocation'!$A:$B</definedName>
    <definedName name="_xlnm.Print_Titles" localSheetId="3">'WA Climate Act Credit 503,504'!$A:$A</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hidden="1">{"PRINT",#N/A,TRUE,"APPA";"PRINT",#N/A,TRUE,"APS";"PRINT",#N/A,TRUE,"BHPL";"PRINT",#N/A,TRUE,"BHPL2";"PRINT",#N/A,TRUE,"CDWR";"PRINT",#N/A,TRUE,"EWEB";"PRINT",#N/A,TRUE,"LADWP";"PRINT",#N/A,TRUE,"NEVBASE"}</definedName>
    <definedName name="Rwvu.allocations." hidden="1">#REF!</definedName>
    <definedName name="Rwvu.annual._.hotel." hidden="1">#REF!</definedName>
    <definedName name="Rwvu.bottom._.line." hidden="1">#REF!</definedName>
    <definedName name="Rwvu.cash._.flow." hidden="1">#REF!</definedName>
    <definedName name="Rwvu.combo." hidden="1">#REF!</definedName>
    <definedName name="Rwvu.offsite." hidden="1">#REF!</definedName>
    <definedName name="Rwvu.onsite." hidden="1">#REF!</definedName>
    <definedName name="SAPBEXhrIndnt" hidden="1">"Wide"</definedName>
    <definedName name="SAPBEXrevision" hidden="1">1</definedName>
    <definedName name="SAPBEXsysID" hidden="1">"BWP"</definedName>
    <definedName name="SAPBEXwbID" hidden="1">"45FIHJWMI3GHFVKWLVCY66MTN"</definedName>
    <definedName name="SAPsysID" hidden="1">"708C5W7SBKP804JT78WJ0JNKI"</definedName>
    <definedName name="SAPwbID" hidden="1">"ARS"</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preadsheetBuilder_2" hidden="1">#REF!</definedName>
    <definedName name="SpreadsheetBuilder_3" hidden="1">#REF!</definedName>
    <definedName name="standard1" hidden="1">{"YTD-Total",#N/A,FALSE,"Provision"}</definedName>
    <definedName name="Swvu.allocations." hidden="1">#REF!</definedName>
    <definedName name="Swvu.annual._.hotel." hidden="1">#REF!</definedName>
    <definedName name="Swvu.bottom._.line." hidden="1">#REF!</definedName>
    <definedName name="Swvu.cash._.flow." hidden="1">#REF!</definedName>
    <definedName name="Swvu.combo." hidden="1">#REF!</definedName>
    <definedName name="Swvu.full." hidden="1">#REF!</definedName>
    <definedName name="Swvu.offsite." hidden="1">#REF!</definedName>
    <definedName name="Swvu.onsite." hidden="1">#REF!</definedName>
    <definedName name="TAXINT18">#REF!</definedName>
    <definedName name="TAXINT19">#REF!</definedName>
    <definedName name="TAXINT20">#REF!</definedName>
    <definedName name="TAXINT21">#REF!</definedName>
    <definedName name="TAXINT22">#REF!</definedName>
    <definedName name="TAXINT23">#REF!</definedName>
    <definedName name="Title1">#REF!</definedName>
    <definedName name="Title2">#REF!</definedName>
    <definedName name="Title3">#REF!</definedName>
    <definedName name="Title8">#REF!</definedName>
    <definedName name="TP_Footer_User" hidden="1">"Dylan Moser"</definedName>
    <definedName name="TP_Footer_Version" hidden="1">"v4.00"</definedName>
    <definedName name="trth" hidden="1">{"ALL",#N/A,FALSE,"A"}</definedName>
    <definedName name="vcdv" hidden="1">#REF!</definedName>
    <definedName name="w" hidden="1">#REF!</definedName>
    <definedName name="wr" hidden="1">{"Output-3Column",#N/A,FALSE,"Output"}</definedName>
    <definedName name="wrn" hidden="1">{"Inflation-BaseYear",#N/A,FALSE,"Inputs"}</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{"ALL",#N/A,FALSE,"A"}</definedName>
    <definedName name="wrn.All._.BSs._.and._.JEs." hidden="1">{#N/A,#N/A,FALSE,"Top level";#N/A,#N/A,FALSE,"Top level JEs";#N/A,#N/A,FALSE,"PHI";#N/A,#N/A,FALSE,"PHI JEs";#N/A,#N/A,FALSE,"PacifiCorp";#N/A,#N/A,FALSE,"PacifiCorp JEs";#N/A,#N/A,FALSE,"PGHC";#N/A,#N/A,FALSE,"PGHC JEs";#N/A,#N/A,FALSE,"Domestic"}</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Sheet";#N/A,#N/A,FALSE,"T-Accounts";#N/A,#N/A,FALSE,"Expense Detail 10 01 to 3  02";#N/A,#N/A,FALSE,"Expense Detail 4 01 to 9 01";#N/A,#N/A,FALSE,"Three Factor % 3  2002"}</definedName>
    <definedName name="wrn.All._.Sheets." hidden="1">{"IncSt",#N/A,FALSE,"IS";"BalSht",#N/A,FALSE,"BS";"IntCash",#N/A,FALSE,"Int. Cash";"Stats",#N/A,FALSE,"Stats"}</definedName>
    <definedName name="wrn.annual." hidden="1">{"annual",#N/A,FALSE,"Pro Forma"}</definedName>
    <definedName name="wrn.Annual._.Detail." hidden="1">{"annualsum",#N/A,FALSE,"Cost Summary";"annual1",#N/A,FALSE,"Phase_1";"annual2",#N/A,FALSE,"Phase_2";"annual3",#N/A,FALSE,"Phase_3";"annual4",#N/A,FALSE,"Phase_4"}</definedName>
    <definedName name="wrn.Annual._.Golf." hidden="1">{"a_dev",#N/A,FALSE,"Golf Development";"a_memstats",#N/A,FALSE,"Golf Development";"a_opstats",#N/A,FALSE,"Golf Development";"a_rev",#N/A,FALSE,"Golf Development";"a_return",#N/A,FALSE,"Golf Development"}</definedName>
    <definedName name="wrn.Annual._.Hotel." hidden="1">{"annual hotel",#N/A,FALSE,"Hotel Development"}</definedName>
    <definedName name="wrn.Annual._.Land._.Sales." hidden="1">{"annual",#N/A,FALSE,"Land Sales"}</definedName>
    <definedName name="wrn.Annual._.Report." hidden="1">{"annual",#N/A,FALSE,"Pro Forma";#N/A,#N/A,FALSE,"Golf Operations"}</definedName>
    <definedName name="wrn.Annual._.Report._.no._.releases." hidden="1">{"a_sales",#N/A,FALSE,"Summary";"a_debt",#N/A,FALSE,"Summary";"a_cash",#N/A,FALSE,"Summary";"a_accrual",#N/A,FALSE,"Summary"}</definedName>
    <definedName name="wrn.Annual._.Report._.with._.releases." hidden="1">{"a_sales",#N/A,FALSE,"Summary";"a_debt",#N/A,FALSE,"Summary";"a_releases",#N/A,FALSE,"Summary";"a_cash",#N/A,FALSE,"Summary";"a_accrual",#N/A,FALSE,"Summary"}</definedName>
    <definedName name="wrn.Annual_5yr." hidden="1">{"ISP1Y5",#N/A,TRUE,"Template";"ISP2Y5",#N/A,TRUE,"Template";"BSY5",#N/A,TRUE,"Template";"ICFY5",#N/A,TRUE,"Template";"TPY5",#N/A,TRUE,"Template";"CtrlY5",#N/A,TRUE,"Template"}</definedName>
    <definedName name="wrn.Assets." hidden="1">{"ASSETS",#N/A,FALSE,"Assets"}</definedName>
    <definedName name="wrn.ASSOC_CO." hidden="1">{"ASSC_CO",#N/A,FALSE,"A"}</definedName>
    <definedName name="wrn.BidCo." hidden="1">{#N/A,#N/A,FALSE,"BidCo Assumptions";#N/A,#N/A,FALSE,"Credit Stats";#N/A,#N/A,FALSE,"Bidco Summary";#N/A,#N/A,FALSE,"BIDCO Consolidated"}</definedName>
    <definedName name="wrn.BS." hidden="1">{"BS",#N/A,FALSE,"A"}</definedName>
    <definedName name="wrn.BUS._.RPT." hidden="1">{#N/A,#N/A,FALSE,"P&amp;L Ttl";#N/A,#N/A,FALSE,"P&amp;L C_Ttl New";#N/A,#N/A,FALSE,"Bus Res";#N/A,#N/A,FALSE,"Chrts";#N/A,#N/A,FALSE,"pcf";#N/A,#N/A,FALSE,"pcr ";#N/A,#N/A,FALSE,"Exp Stmt ";#N/A,#N/A,FALSE,"Exp Stmt BU";#N/A,#N/A,FALSE,"Cap";#N/A,#N/A,FALSE,"IT Ytd"}</definedName>
    <definedName name="wrn.CASH." hidden="1">{#N/A,#N/A,FALSE,"Sheet5"}</definedName>
    <definedName name="wrn.Cash._.and._.Accrual." hidden="1">{"a_cash",#N/A,FALSE,"Summary";"a_accrual",#N/A,FALSE,"Summary"}</definedName>
    <definedName name="wrn.Combined._.YTD." hidden="1">{"YTD-Total",#N/A,TRUE,"Provision";"YTD-Utility",#N/A,TRUE,"Prov Utility";"YTD-NonUtility",#N/A,TRUE,"Prov NonUtility"}</definedName>
    <definedName name="wrn.Complete._.Report."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nsolGrossGrp." hidden="1">{"Conol gross povision grouped",#N/A,FALSE,"Consol Gross";"Consol Gross Grouped",#N/A,FALSE,"Consol Gross"}</definedName>
    <definedName name="wrn.Current._.Estimate."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DCF._.Valuation." hidden="1">{"value box",#N/A,TRUE,"DPL Inc. Fin Statements";"unlevered free cash flows",#N/A,TRUE,"DPL Inc. Fin Statements"}</definedName>
    <definedName name="wrn.Detail." hidden="1">{"Print_Detail",#N/A,FALSE,"Redemption_Maturity Extract"}</definedName>
    <definedName name="wrn.Diane._.s._.Version." hidden="1">{"Full",#N/A,FALSE,"Sec MTN B Summary"}</definedName>
    <definedName name="wrn.Distribution._.Version." hidden="1">{"RedPrem_InitRed View",#N/A,FALSE,"Sec MTN B Summary"}</definedName>
    <definedName name="wrn.Factors._.Tab._.10." hidden="1">{"Factors Pages 1-2",#N/A,FALSE,"Factors";"Factors Page 3",#N/A,FALSE,"Factors";"Factors Page 4",#N/A,FALSE,"Factors";"Factors Page 5",#N/A,FALSE,"Factors";"Factors Pages 8-27",#N/A,FALSE,"Factors"}</definedName>
    <definedName name="wrn.FCB." hidden="1">{"FCB_ALL",#N/A,FALSE,"FCB"}</definedName>
    <definedName name="wrn.fcb2" hidden="1">{"FCB_ALL",#N/A,FALSE,"FCB"}</definedName>
    <definedName name="wrn.Financials." hidden="1">{#N/A,#N/A,TRUE,"Income Statement";#N/A,#N/A,TRUE,"Balance Sheet";#N/A,#N/A,TRUE,"Cash Flow"}</definedName>
    <definedName name="wrn.Five._.Year._.Test." hidden="1">{"Five Year Plan",#N/A,TRUE,"Monthly Summary-IIIXIILP";"Five Year Plan",#N/A,TRUE,"Cash Flow"}</definedName>
    <definedName name="wrn.full._.report."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greg." hidden="1">{"three",#N/A,FALSE,"Capital";"four",#N/A,FALSE,"Capital"}</definedName>
    <definedName name="wrn.III._.X._.Co._.Five._.Year._.Plan."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XCo._.Five._.Year._.Summary._.Reports." hidden="1">{#N/A,#N/A,TRUE,"Title Page-Financial Stmts IIIX";#N/A,#N/A,TRUE,"Sumry_Income IIIXCo";#N/A,#N/A,TRUE,"Sumry_Balance Sheet IIIXCo";#N/A,#N/A,TRUE,"Sumry_Cash Flow IIIXCo";#N/A,#N/A,TRUE,"Antelope Creek";#N/A,#N/A,TRUE,"QEP";#N/A,#N/A,TRUE,"Raton"}</definedName>
    <definedName name="wrn.IIIXCo._.FY._.2004._.Plan." hidden="1">{"IIIXCo FY 04 Plan",#N/A,FALSE,"Monthly Summary-IIIXIILP"}</definedName>
    <definedName name="wrn.Inputs." hidden="1">{"Inflation-BaseYear",#N/A,FALSE,"Inputs"}</definedName>
    <definedName name="wrn.Invested._.Capital." hidden="1">{#N/A,#N/A,FALSE,"Invested Capital-Total";#N/A,#N/A,FALSE,"Invested Capital-SEI";#N/A,#N/A,FALSE,"Invested Capital-Utah";#N/A,#N/A,FALSE,"Invested Capital-Raton"}</definedName>
    <definedName name="wrn.Liab." hidden="1">{"LIAB",#N/A,FALSE,"Liab"}</definedName>
    <definedName name="wrn.Monthly_Yr1." hidden="1">{"ISP1Y1",#N/A,TRUE,"Template";"ISP2Y1",#N/A,TRUE,"Template";"BSY1",#N/A,TRUE,"Template";"ICFY1",#N/A,TRUE,"Template";"TPY1",#N/A,TRUE,"Template";"CtrlY1",#N/A,TRUE,"Template"}</definedName>
    <definedName name="wrn.monthly_yr2" hidden="1">{"ISP1Y1",#N/A,TRUE,"Template";"ISP2Y1",#N/A,TRUE,"Template";"BSY1",#N/A,TRUE,"Template";"ICFY1",#N/A,TRUE,"Template";"TPY1",#N/A,TRUE,"Template";"CtrlY1",#N/A,TRUE,"Template"}</definedName>
    <definedName name="wrn.Monthly_Yr2." hidden="1">{"ISP1Y2",#N/A,TRUE,"Template";"ISP2Y2",#N/A,TRUE,"Template";"BSY2",#N/A,TRUE,"Template";"ICFY2",#N/A,TRUE,"Template";"TPY2",#N/A,TRUE,"Template";"CtrlY2",#N/A,TRUE,"Template"}</definedName>
    <definedName name="wrn.NetWorth." hidden="1">{"NW",#N/A,FALSE,"STMT"}</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utput3Column." hidden="1">{"Output-3Column",#N/A,FALSE,"Output"}</definedName>
    <definedName name="wrn.OutputAll." hidden="1">{"Output-All",#N/A,FALSE,"Output"}</definedName>
    <definedName name="wrn.OutputBaseYear." hidden="1">{"Output-BaseYear",#N/A,FALSE,"Output"}</definedName>
    <definedName name="wrn.OutputMin." hidden="1">{"Output-Min",#N/A,FALSE,"Output"}</definedName>
    <definedName name="wrn.OutputPercent." hidden="1">{"Output%",#N/A,FALSE,"Output"}</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d." hidden="1">{"Pfd",#N/A,FALSE,"Pfd"}</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ivot1." hidden="1">{"Pivot1",#N/A,FALSE,"Redemption_Maturity Extract"}</definedName>
    <definedName name="wrn.Pivot2." hidden="1">{"Pivot2",#N/A,FALSE,"Redemption_Maturity Extract"}</definedName>
    <definedName name="wrn.Plan._.2004."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PMCoCodeView." hidden="1">{"PPM Co Code View",#N/A,FALSE,"Comp Codes"}</definedName>
    <definedName name="wrn.PPMreconview." hidden="1">{"PPM Recon View",#N/A,FALSE,"Hyperion Proof"}</definedName>
    <definedName name="wrn.PrintAll." hidden="1">{"PA1",#N/A,TRUE,"BORDMW";"pa2",#N/A,TRUE,"BORDMW";"PA3",#N/A,TRUE,"BORDMW";"PA4",#N/A,TRUE,"BORDMW"}</definedName>
    <definedName name="wrn.ProofElectricOnly." hidden="1">{"Electric Only",#N/A,FALSE,"Hyperion Proof"}</definedName>
    <definedName name="wrn.ProofTotal." hidden="1">{"Proof Total",#N/A,FALSE,"Hyperion Proof"}</definedName>
    <definedName name="wrn.quarterly." hidden="1">{"quarterly",#N/A,FALSE,"Pro Forma"}</definedName>
    <definedName name="wrn.Reformat._.only." hidden="1">{#N/A,#N/A,FALSE,"Dec 1999 mapping"}</definedName>
    <definedName name="wrn.Releases._.Cash._.Accrual." hidden="1">{"a_releases",#N/A,FALSE,"Summary";"a_cash",#N/A,FALSE,"Summary";"a_accrual",#N/A,FALSE,"Summary"}</definedName>
    <definedName name="wrn.rpt96." hidden="1">{"rmrev1",#N/A,FALSE,"Forecast96";"rmrev2",#N/A,FALSE,"Forecast96";"rmrev3",#N/A,FALSE,"Forecast96"}</definedName>
    <definedName name="wrn.sales." hidden="1">{"sales",#N/A,FALSE,"Sales";"sales existing",#N/A,FALSE,"Sales";"sales rd1",#N/A,FALSE,"Sales";"sales rd2",#N/A,FALSE,"Sales"}</definedName>
    <definedName name="wrn.Sales._.and._.Debt." hidden="1">{"a_sales",#N/A,FALSE,"Summary";"a_debt",#N/A,FALSE,"Summary"}</definedName>
    <definedName name="wrn.SALES._.VAR._.95._.BUDGET." hidden="1">{"PRINT",#N/A,TRUE,"APPA";"PRINT",#N/A,TRUE,"APS";"PRINT",#N/A,TRUE,"BHPL";"PRINT",#N/A,TRUE,"BHPL2";"PRINT",#N/A,TRUE,"CDWR";"PRINT",#N/A,TRUE,"EWEB";"PRINT",#N/A,TRUE,"LADWP";"PRINT",#N/A,TRUE,"NEVBASE"}</definedName>
    <definedName name="wrn.SCHED._.BC." hidden="1">{"SCHED_B&amp;C",#N/A,FALSE,"A"}</definedName>
    <definedName name="wrn.SCHED._.DE." hidden="1">{"SCHED_D&amp;E",#N/A,FALSE,"A"}</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hared._.Costs." hidden="1">{"cash flow",#N/A,FALSE,"Shared Costs";"allocations",#N/A,FALSE,"Shared Costs"}</definedName>
    <definedName name="wrn.SHEDA." hidden="1">{"SCHED_A",#N/A,FALSE,"A"}</definedName>
    <definedName name="wrn.STAND_ALONE_BOTH." hidden="1">{"FCB_ALL",#N/A,FALSE,"FCB";"GREY_ALL",#N/A,FALSE,"GREY"}</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Tariff99." hidden="1">{"103Decup",#N/A,TRUE,"TRF103";"101Refund",#N/A,TRUE,"TRF101A";"101EEAAcct",#N/A,TRUE,"TRF101C";"107DSMRef",#N/A,TRUE,"TRF107";"107Amort",#N/A,TRUE,"DSM Amort";"102RPAInt",#N/A,TRUE,"TRF102B";"111Price1",#N/A,TRUE,"TRF111A";"111Price2",#N/A,TRUE,"TRF111B"}</definedName>
    <definedName name="wrn.UK._.Conversion._.Only." hidden="1">{#N/A,#N/A,FALSE,"Dec 1999 UK Continuing Ops"}</definedName>
    <definedName name="wrn.Wacc." hidden="1">{"Area1",#N/A,FALSE,"OREWACC";"Area2",#N/A,FALSE,"OREWACC"}</definedName>
    <definedName name="wrn.YearEnd." hidden="1">{"Factors Pages 1-2",#N/A,FALSE,"Variables";"Factors Page 3",#N/A,FALSE,"Variables";"Factors Page 4",#N/A,FALSE,"Variables";"Factors Page 5",#N/A,FALSE,"Variables";"YE Pages 7-26",#N/A,FALSE,"Variables"}</definedName>
    <definedName name="wrng" hidden="1">{"Output-BaseYear",#N/A,FALSE,"Output"}</definedName>
    <definedName name="wrnh" hidden="1">{"Output-All",#N/A,FALSE,"Output"}</definedName>
    <definedName name="wvu.allocations."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nnual."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_.hotel."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bottom._.line."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cash._.flow."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ombo."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full."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offsite."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nsite."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quarterly."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xxx" hidden="1">#REF!</definedName>
    <definedName name="y" hidden="1">#REF!</definedName>
    <definedName name="z" hidden="1">#REF!</definedName>
    <definedName name="Z_01844156_6462_4A28_9785_1A86F4D0C834_.wvu.PrintTitles"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 i="57" l="1"/>
  <c r="F6" i="44" l="1"/>
  <c r="G6" i="44"/>
  <c r="E28" i="40"/>
  <c r="E27" i="40"/>
  <c r="E19" i="40"/>
  <c r="N26" i="57"/>
  <c r="L12" i="42" l="1"/>
  <c r="L6" i="42" l="1"/>
  <c r="AL26" i="57"/>
  <c r="D38" i="51" s="1"/>
  <c r="AK26" i="57"/>
  <c r="D37" i="51" s="1"/>
  <c r="AJ26" i="57"/>
  <c r="D36" i="51" s="1"/>
  <c r="AI26" i="57"/>
  <c r="D35" i="51" s="1"/>
  <c r="AH26" i="57"/>
  <c r="D34" i="51" s="1"/>
  <c r="AB26" i="57"/>
  <c r="AA26" i="57"/>
  <c r="Z26" i="57"/>
  <c r="Y26" i="57"/>
  <c r="X26" i="57"/>
  <c r="W26" i="57"/>
  <c r="V26" i="57"/>
  <c r="U26" i="57"/>
  <c r="T26" i="57"/>
  <c r="S26" i="57"/>
  <c r="R26" i="57"/>
  <c r="Q26" i="57"/>
  <c r="P26" i="57"/>
  <c r="O26" i="57"/>
  <c r="M26" i="57"/>
  <c r="L26" i="57"/>
  <c r="K26" i="57"/>
  <c r="J26" i="57"/>
  <c r="I26" i="57"/>
  <c r="H26" i="57"/>
  <c r="G26" i="57"/>
  <c r="F26" i="57"/>
  <c r="E26" i="57"/>
  <c r="D26" i="57"/>
  <c r="C26" i="57"/>
  <c r="B26" i="57"/>
  <c r="AC26" i="57"/>
  <c r="AG24" i="57"/>
  <c r="AG26" i="57" s="1"/>
  <c r="D33" i="51" s="1"/>
  <c r="AF24" i="57"/>
  <c r="AF26" i="57" s="1"/>
  <c r="D32" i="51" s="1"/>
  <c r="AE24" i="57"/>
  <c r="AE26" i="57" s="1"/>
  <c r="D31" i="51" s="1"/>
  <c r="AD24" i="57"/>
  <c r="AD26" i="57" s="1"/>
  <c r="D30" i="51" s="1"/>
  <c r="AL3" i="57"/>
  <c r="AK3" i="57"/>
  <c r="AJ3" i="57"/>
  <c r="AI3" i="57"/>
  <c r="AH3" i="57"/>
  <c r="AG3" i="57"/>
  <c r="AF3" i="57"/>
  <c r="AE3" i="57"/>
  <c r="AD3" i="57"/>
  <c r="AC3" i="57"/>
  <c r="AB3" i="57"/>
  <c r="AA3" i="57"/>
  <c r="Z3" i="57"/>
  <c r="Y3" i="57"/>
  <c r="X3" i="57"/>
  <c r="W3" i="57"/>
  <c r="V3" i="57"/>
  <c r="U3" i="57"/>
  <c r="T3" i="57"/>
  <c r="S3" i="57"/>
  <c r="R3" i="57"/>
  <c r="Q3" i="57"/>
  <c r="P3" i="57"/>
  <c r="O3" i="57"/>
  <c r="N3" i="57"/>
  <c r="M3" i="57"/>
  <c r="L3" i="57"/>
  <c r="K3" i="57"/>
  <c r="J3" i="57"/>
  <c r="I3" i="57"/>
  <c r="H3" i="57"/>
  <c r="G3" i="57"/>
  <c r="F3" i="57"/>
  <c r="E3" i="57"/>
  <c r="D3" i="57"/>
  <c r="C3" i="57"/>
  <c r="B61" i="22" l="1" a="1"/>
  <c r="B61" i="22" s="1"/>
  <c r="B62" i="22" a="1"/>
  <c r="B62" i="22" s="1"/>
  <c r="B63" i="22" a="1"/>
  <c r="B63" i="22"/>
  <c r="B64" i="22" a="1"/>
  <c r="B64" i="22" s="1"/>
  <c r="B65" i="22" a="1"/>
  <c r="B65" i="22" s="1"/>
  <c r="B66" i="22" a="1"/>
  <c r="B66" i="22" s="1"/>
  <c r="B67" i="22" a="1"/>
  <c r="B67" i="22" s="1"/>
  <c r="B68" i="22" a="1"/>
  <c r="B68" i="22" s="1"/>
  <c r="B69" i="22" a="1"/>
  <c r="B69" i="22" s="1"/>
  <c r="B60" i="22" a="1"/>
  <c r="B60" i="22"/>
  <c r="B34" i="22" a="1"/>
  <c r="B34" i="22" s="1"/>
  <c r="B10" i="22" a="1"/>
  <c r="B10" i="22" s="1"/>
  <c r="B11" i="22" a="1"/>
  <c r="B11" i="22"/>
  <c r="B12" i="22" a="1"/>
  <c r="B12" i="22" s="1"/>
  <c r="B13" i="22" a="1"/>
  <c r="B13" i="22" s="1"/>
  <c r="B14" i="22" a="1"/>
  <c r="B14" i="22" s="1"/>
  <c r="B15" i="22" a="1"/>
  <c r="B15" i="22" s="1"/>
  <c r="B16" i="22" a="1"/>
  <c r="B16" i="22" s="1"/>
  <c r="B17" i="22" a="1"/>
  <c r="B17" i="22" s="1"/>
  <c r="B9" i="22" a="1"/>
  <c r="B9" i="22" s="1"/>
  <c r="B8" i="22" a="1"/>
  <c r="B8" i="22"/>
  <c r="E6" i="41" a="1"/>
  <c r="E6" i="41" s="1"/>
  <c r="E17" i="41" s="1"/>
  <c r="F20" i="40"/>
  <c r="E20" i="40"/>
  <c r="E8" i="40"/>
  <c r="F38" i="40"/>
  <c r="G38" i="40"/>
  <c r="H38" i="40"/>
  <c r="I38" i="40"/>
  <c r="J38" i="40"/>
  <c r="K38" i="40"/>
  <c r="L38" i="40"/>
  <c r="M38" i="40"/>
  <c r="N38" i="40"/>
  <c r="E38" i="40"/>
  <c r="E37" i="40"/>
  <c r="E12" i="40"/>
  <c r="E10" i="40"/>
  <c r="E21" i="40" s="1"/>
  <c r="E33" i="40" s="1"/>
  <c r="E9" i="40"/>
  <c r="E31" i="40" s="1"/>
  <c r="E29" i="40"/>
  <c r="D23" i="51"/>
  <c r="D22" i="51"/>
  <c r="H12" i="51"/>
  <c r="H13" i="51" s="1"/>
  <c r="H14" i="51" l="1"/>
  <c r="F15" i="51" s="1"/>
  <c r="K13" i="51"/>
  <c r="K12" i="51"/>
  <c r="B19" i="22"/>
  <c r="K14" i="51"/>
  <c r="H15" i="51" l="1"/>
  <c r="F16" i="51" s="1"/>
  <c r="H16" i="51" s="1"/>
  <c r="K15" i="51" l="1"/>
  <c r="F17" i="51"/>
  <c r="H17" i="51" s="1"/>
  <c r="K16" i="51"/>
  <c r="F18" i="51" l="1"/>
  <c r="H18" i="51" s="1"/>
  <c r="K17" i="51"/>
  <c r="F19" i="51" l="1"/>
  <c r="H19" i="51" s="1"/>
  <c r="K18" i="51"/>
  <c r="F20" i="51" l="1"/>
  <c r="H20" i="51" s="1"/>
  <c r="K19" i="51"/>
  <c r="F21" i="51" l="1"/>
  <c r="H21" i="51" s="1"/>
  <c r="K20" i="51"/>
  <c r="F22" i="51" l="1"/>
  <c r="H22" i="51" s="1"/>
  <c r="K21" i="51"/>
  <c r="K22" i="51" l="1"/>
  <c r="F23" i="51"/>
  <c r="H23" i="51" s="1"/>
  <c r="K23" i="51" l="1"/>
  <c r="F24" i="51"/>
  <c r="H24" i="51" s="1"/>
  <c r="F25" i="51" l="1"/>
  <c r="H25" i="51" s="1"/>
  <c r="K24" i="51"/>
  <c r="F26" i="51" l="1"/>
  <c r="K25" i="51"/>
  <c r="H26" i="51" l="1"/>
  <c r="F27" i="51"/>
  <c r="K26" i="51"/>
  <c r="H27" i="51" l="1"/>
  <c r="K27" i="51"/>
  <c r="F28" i="51"/>
  <c r="H28" i="51" s="1"/>
  <c r="F29" i="51" l="1"/>
  <c r="H29" i="51" s="1"/>
  <c r="K28" i="51"/>
  <c r="F30" i="51" l="1"/>
  <c r="K29" i="51"/>
  <c r="H30" i="51" l="1"/>
  <c r="F31" i="51" s="1"/>
  <c r="H31" i="51" s="1"/>
  <c r="K30" i="51"/>
  <c r="F32" i="51" l="1"/>
  <c r="H32" i="51" s="1"/>
  <c r="K31" i="51"/>
  <c r="F33" i="51" l="1"/>
  <c r="H33" i="51" s="1"/>
  <c r="K32" i="51"/>
  <c r="F34" i="51" l="1"/>
  <c r="H34" i="51" s="1"/>
  <c r="K33" i="51"/>
  <c r="K34" i="51" l="1"/>
  <c r="F35" i="51"/>
  <c r="H35" i="51" s="1"/>
  <c r="K35" i="51" l="1"/>
  <c r="F36" i="51"/>
  <c r="H36" i="51" s="1"/>
  <c r="K36" i="51" l="1"/>
  <c r="F37" i="51"/>
  <c r="H37" i="51" s="1"/>
  <c r="F38" i="51" l="1"/>
  <c r="H38" i="51" l="1"/>
  <c r="C35" i="34" l="1"/>
  <c r="J49" i="4"/>
  <c r="Q48" i="4"/>
  <c r="C48" i="4"/>
  <c r="T33" i="4"/>
  <c r="T34" i="4"/>
  <c r="T35" i="4"/>
  <c r="T36" i="4"/>
  <c r="T37" i="4"/>
  <c r="T38" i="4"/>
  <c r="T39" i="4"/>
  <c r="T40" i="4"/>
  <c r="M33" i="4"/>
  <c r="M34" i="4"/>
  <c r="M35" i="4"/>
  <c r="M36" i="4"/>
  <c r="M37" i="4"/>
  <c r="M38" i="4"/>
  <c r="M39" i="4"/>
  <c r="M40" i="4"/>
  <c r="F33" i="4"/>
  <c r="F34" i="4"/>
  <c r="F35" i="4"/>
  <c r="F36" i="4"/>
  <c r="F37" i="4"/>
  <c r="F38" i="4"/>
  <c r="F39" i="4"/>
  <c r="F40" i="4"/>
  <c r="B20" i="26" l="1"/>
  <c r="J20" i="44"/>
  <c r="J8" i="44"/>
  <c r="J29" i="44"/>
  <c r="J14" i="44"/>
  <c r="J10" i="44"/>
  <c r="J37" i="44"/>
  <c r="J47" i="44"/>
  <c r="E30" i="40"/>
  <c r="B7" i="26" s="1"/>
  <c r="F34" i="41"/>
  <c r="G34" i="41"/>
  <c r="H34" i="41"/>
  <c r="I34" i="41"/>
  <c r="J34" i="41"/>
  <c r="K34" i="41"/>
  <c r="L34" i="41"/>
  <c r="M34" i="41"/>
  <c r="N34" i="41"/>
  <c r="O34" i="41"/>
  <c r="P34" i="41"/>
  <c r="F35" i="41"/>
  <c r="G35" i="41"/>
  <c r="H35" i="41"/>
  <c r="I35" i="41"/>
  <c r="J35" i="41"/>
  <c r="K35" i="41"/>
  <c r="L35" i="41"/>
  <c r="M35" i="41"/>
  <c r="N35" i="41"/>
  <c r="O35" i="41"/>
  <c r="P35" i="41"/>
  <c r="F36" i="41"/>
  <c r="G36" i="41"/>
  <c r="H36" i="41"/>
  <c r="I36" i="41"/>
  <c r="J36" i="41"/>
  <c r="K36" i="41"/>
  <c r="L36" i="41"/>
  <c r="M36" i="41"/>
  <c r="N36" i="41"/>
  <c r="O36" i="41"/>
  <c r="P36" i="41"/>
  <c r="F37" i="41"/>
  <c r="G37" i="41"/>
  <c r="H37" i="41"/>
  <c r="I37" i="41"/>
  <c r="J37" i="41"/>
  <c r="K37" i="41"/>
  <c r="L37" i="41"/>
  <c r="M37" i="41"/>
  <c r="N37" i="41"/>
  <c r="O37" i="41"/>
  <c r="P37" i="41"/>
  <c r="F38" i="41"/>
  <c r="G38" i="41"/>
  <c r="H38" i="41"/>
  <c r="I38" i="41"/>
  <c r="J38" i="41"/>
  <c r="K38" i="41"/>
  <c r="L38" i="41"/>
  <c r="M38" i="41"/>
  <c r="N38" i="41"/>
  <c r="O38" i="41"/>
  <c r="P38" i="41"/>
  <c r="F39" i="41"/>
  <c r="G39" i="41"/>
  <c r="H39" i="41"/>
  <c r="I39" i="41"/>
  <c r="J39" i="41"/>
  <c r="K39" i="41"/>
  <c r="L39" i="41"/>
  <c r="M39" i="41"/>
  <c r="N39" i="41"/>
  <c r="O39" i="41"/>
  <c r="P39" i="41"/>
  <c r="E35" i="41"/>
  <c r="E36" i="41"/>
  <c r="E37" i="41"/>
  <c r="E38" i="41"/>
  <c r="E39" i="41"/>
  <c r="E34" i="41"/>
  <c r="B20" i="6" a="1"/>
  <c r="B20" i="6" s="1"/>
  <c r="B8" i="30"/>
  <c r="B9" i="30"/>
  <c r="E36" i="40"/>
  <c r="B7" i="29" s="1"/>
  <c r="F36" i="40"/>
  <c r="B8" i="29" s="1"/>
  <c r="G36" i="40"/>
  <c r="B9" i="29" s="1"/>
  <c r="H36" i="40"/>
  <c r="B10" i="29" s="1"/>
  <c r="I36" i="40"/>
  <c r="B11" i="29" s="1"/>
  <c r="J36" i="40"/>
  <c r="B12" i="29" s="1"/>
  <c r="K36" i="40"/>
  <c r="B13" i="29" s="1"/>
  <c r="L36" i="40"/>
  <c r="B14" i="29" s="1"/>
  <c r="M36" i="40"/>
  <c r="B15" i="29" s="1"/>
  <c r="N36" i="40"/>
  <c r="B16" i="29" s="1"/>
  <c r="E34" i="40"/>
  <c r="B7" i="27" s="1"/>
  <c r="F34" i="40"/>
  <c r="B8" i="27" s="1"/>
  <c r="G34" i="40"/>
  <c r="B9" i="27" s="1"/>
  <c r="H34" i="40"/>
  <c r="B10" i="27" s="1"/>
  <c r="I34" i="40"/>
  <c r="B11" i="27" s="1"/>
  <c r="J34" i="40"/>
  <c r="B12" i="27" s="1"/>
  <c r="K34" i="40"/>
  <c r="B13" i="27" s="1"/>
  <c r="L34" i="40"/>
  <c r="B14" i="27" s="1"/>
  <c r="M34" i="40"/>
  <c r="B15" i="27" s="1"/>
  <c r="N34" i="40"/>
  <c r="B16" i="27" s="1"/>
  <c r="F30" i="40"/>
  <c r="B8" i="26" s="1"/>
  <c r="G30" i="40"/>
  <c r="B9" i="26" s="1"/>
  <c r="H30" i="40"/>
  <c r="B10" i="26" s="1"/>
  <c r="I30" i="40"/>
  <c r="B11" i="26" s="1"/>
  <c r="J30" i="40"/>
  <c r="B12" i="26" s="1"/>
  <c r="K30" i="40"/>
  <c r="B13" i="26" s="1"/>
  <c r="L30" i="40"/>
  <c r="B14" i="26" s="1"/>
  <c r="M30" i="40"/>
  <c r="B15" i="26" s="1"/>
  <c r="N30" i="40"/>
  <c r="B16" i="26" s="1"/>
  <c r="E32" i="40"/>
  <c r="B7" i="28" s="1"/>
  <c r="F32" i="40"/>
  <c r="B8" i="28" s="1"/>
  <c r="G32" i="40"/>
  <c r="B9" i="28" s="1"/>
  <c r="H32" i="40"/>
  <c r="B10" i="28" s="1"/>
  <c r="I32" i="40"/>
  <c r="B11" i="28" s="1"/>
  <c r="J32" i="40"/>
  <c r="B12" i="28" s="1"/>
  <c r="K32" i="40"/>
  <c r="B13" i="28" s="1"/>
  <c r="L32" i="40"/>
  <c r="B14" i="28" s="1"/>
  <c r="M32" i="40"/>
  <c r="B15" i="28" s="1"/>
  <c r="N32" i="40"/>
  <c r="B16" i="28" s="1"/>
  <c r="B21" i="31"/>
  <c r="N11" i="41" a="1"/>
  <c r="N11" i="41" s="1"/>
  <c r="M11" i="41" a="1"/>
  <c r="M11" i="41" s="1"/>
  <c r="L11" i="41" a="1"/>
  <c r="L11" i="41" s="1"/>
  <c r="K11" i="41" a="1"/>
  <c r="K11" i="41" s="1"/>
  <c r="J11" i="41" a="1"/>
  <c r="J11" i="41" s="1"/>
  <c r="I11" i="41" a="1"/>
  <c r="I11" i="41" s="1"/>
  <c r="H11" i="41" a="1"/>
  <c r="H11" i="41" s="1"/>
  <c r="G11" i="41" a="1"/>
  <c r="G11" i="41" s="1"/>
  <c r="F11" i="41" a="1"/>
  <c r="F11" i="41" s="1"/>
  <c r="E11" i="41" a="1"/>
  <c r="E11" i="41" s="1"/>
  <c r="N10" i="41" a="1"/>
  <c r="N10" i="41" s="1"/>
  <c r="M10" i="41" a="1"/>
  <c r="M10" i="41" s="1"/>
  <c r="L10" i="41" a="1"/>
  <c r="L10" i="41" s="1"/>
  <c r="K10" i="41" a="1"/>
  <c r="K10" i="41" s="1"/>
  <c r="J10" i="41" a="1"/>
  <c r="J10" i="41" s="1"/>
  <c r="I10" i="41" a="1"/>
  <c r="I10" i="41" s="1"/>
  <c r="H10" i="41" a="1"/>
  <c r="H10" i="41" s="1"/>
  <c r="G10" i="41" a="1"/>
  <c r="G10" i="41" s="1"/>
  <c r="F10" i="41" a="1"/>
  <c r="F10" i="41" s="1"/>
  <c r="E10" i="41" a="1"/>
  <c r="E10" i="41" s="1"/>
  <c r="N9" i="41" a="1"/>
  <c r="N9" i="41" s="1"/>
  <c r="M9" i="41" a="1"/>
  <c r="M9" i="41" s="1"/>
  <c r="L9" i="41" a="1"/>
  <c r="L9" i="41" s="1"/>
  <c r="K9" i="41" a="1"/>
  <c r="K9" i="41" s="1"/>
  <c r="J9" i="41" a="1"/>
  <c r="J9" i="41" s="1"/>
  <c r="I9" i="41" a="1"/>
  <c r="I9" i="41" s="1"/>
  <c r="H9" i="41" a="1"/>
  <c r="H9" i="41" s="1"/>
  <c r="G9" i="41" a="1"/>
  <c r="G9" i="41" s="1"/>
  <c r="F9" i="41" a="1"/>
  <c r="F9" i="41" s="1"/>
  <c r="E9" i="41" a="1"/>
  <c r="E9" i="41" s="1"/>
  <c r="N8" i="41"/>
  <c r="M8" i="41"/>
  <c r="L8" i="41"/>
  <c r="K8" i="41"/>
  <c r="J8" i="41"/>
  <c r="I8" i="41"/>
  <c r="H8" i="41"/>
  <c r="G8" i="41"/>
  <c r="F8" i="41"/>
  <c r="E8" i="41"/>
  <c r="N7" i="41" a="1"/>
  <c r="N7" i="41" s="1"/>
  <c r="M7" i="41" a="1"/>
  <c r="M7" i="41" s="1"/>
  <c r="L7" i="41" a="1"/>
  <c r="L7" i="41" s="1"/>
  <c r="K7" i="41" a="1"/>
  <c r="K7" i="41" s="1"/>
  <c r="J7" i="41" a="1"/>
  <c r="J7" i="41" s="1"/>
  <c r="I7" i="41" a="1"/>
  <c r="I7" i="41" s="1"/>
  <c r="H7" i="41" a="1"/>
  <c r="H7" i="41" s="1"/>
  <c r="G7" i="41" a="1"/>
  <c r="G7" i="41" s="1"/>
  <c r="F7" i="41" a="1"/>
  <c r="F7" i="41" s="1"/>
  <c r="E7" i="41" a="1"/>
  <c r="E7" i="41" s="1"/>
  <c r="N6" i="41" a="1"/>
  <c r="N6" i="41" s="1"/>
  <c r="M6" i="41" a="1"/>
  <c r="M6" i="41" s="1"/>
  <c r="L6" i="41" a="1"/>
  <c r="L6" i="41" s="1"/>
  <c r="K6" i="41" a="1"/>
  <c r="K6" i="41" s="1"/>
  <c r="J6" i="41" a="1"/>
  <c r="J6" i="41" s="1"/>
  <c r="J18" i="41" s="1"/>
  <c r="I6" i="41" a="1"/>
  <c r="I6" i="41" s="1"/>
  <c r="H6" i="41" a="1"/>
  <c r="H6" i="41" s="1"/>
  <c r="G6" i="41" a="1"/>
  <c r="G6" i="41" s="1"/>
  <c r="F6" i="41" a="1"/>
  <c r="F6" i="41" s="1"/>
  <c r="F18" i="41" s="1"/>
  <c r="E18" i="41"/>
  <c r="E16" i="41" s="1"/>
  <c r="E39" i="40"/>
  <c r="N12" i="40"/>
  <c r="M12" i="40"/>
  <c r="L12" i="40"/>
  <c r="K12" i="40"/>
  <c r="J12" i="40"/>
  <c r="I12" i="40"/>
  <c r="H12" i="40"/>
  <c r="G12" i="40"/>
  <c r="F12" i="40"/>
  <c r="N10" i="40"/>
  <c r="M10" i="40"/>
  <c r="L10" i="40"/>
  <c r="K10" i="40"/>
  <c r="J10" i="40"/>
  <c r="I10" i="40"/>
  <c r="H10" i="40"/>
  <c r="G10" i="40"/>
  <c r="F10" i="40"/>
  <c r="N9" i="40"/>
  <c r="M9" i="40"/>
  <c r="L9" i="40"/>
  <c r="K9" i="40"/>
  <c r="J9" i="40"/>
  <c r="I9" i="40"/>
  <c r="H9" i="40"/>
  <c r="G9" i="40"/>
  <c r="F9" i="40"/>
  <c r="N8" i="40"/>
  <c r="N29" i="40" s="1"/>
  <c r="M8" i="40"/>
  <c r="M29" i="40" s="1"/>
  <c r="L8" i="40"/>
  <c r="L29" i="40" s="1"/>
  <c r="K8" i="40"/>
  <c r="K29" i="40" s="1"/>
  <c r="J8" i="40"/>
  <c r="J29" i="40" s="1"/>
  <c r="I8" i="40"/>
  <c r="I29" i="40" s="1"/>
  <c r="H8" i="40"/>
  <c r="H29" i="40" s="1"/>
  <c r="G8" i="40"/>
  <c r="F8" i="40"/>
  <c r="T34" i="41" l="1"/>
  <c r="T36" i="41"/>
  <c r="S38" i="41"/>
  <c r="T37" i="41"/>
  <c r="T35" i="41"/>
  <c r="S39" i="41"/>
  <c r="T38" i="41"/>
  <c r="T39" i="41"/>
  <c r="S34" i="41"/>
  <c r="U34" i="41" s="1"/>
  <c r="V34" i="41" s="1"/>
  <c r="S35" i="41"/>
  <c r="U35" i="41" s="1"/>
  <c r="S36" i="41"/>
  <c r="U36" i="41" s="1"/>
  <c r="W36" i="41" s="1"/>
  <c r="S37" i="41"/>
  <c r="U37" i="41" s="1"/>
  <c r="W37" i="41" s="1"/>
  <c r="F19" i="40"/>
  <c r="B13" i="23"/>
  <c r="B10" i="23"/>
  <c r="B11" i="23"/>
  <c r="Q39" i="41"/>
  <c r="B12" i="23"/>
  <c r="B14" i="23"/>
  <c r="B15" i="23"/>
  <c r="B16" i="23"/>
  <c r="B7" i="23"/>
  <c r="B8" i="23"/>
  <c r="B9" i="23"/>
  <c r="Q38" i="41"/>
  <c r="Q37" i="41"/>
  <c r="Q36" i="41"/>
  <c r="Q35" i="41"/>
  <c r="B16" i="30"/>
  <c r="Q34" i="41"/>
  <c r="B7" i="30"/>
  <c r="B15" i="30"/>
  <c r="B14" i="30"/>
  <c r="B13" i="30"/>
  <c r="B11" i="30"/>
  <c r="B12" i="30"/>
  <c r="B10" i="30"/>
  <c r="E28" i="41"/>
  <c r="O6" i="41"/>
  <c r="J12" i="41"/>
  <c r="O13" i="40"/>
  <c r="P13" i="40"/>
  <c r="O8" i="40"/>
  <c r="P12" i="40"/>
  <c r="O32" i="40"/>
  <c r="O9" i="40"/>
  <c r="O34" i="40"/>
  <c r="O30" i="40"/>
  <c r="O12" i="40"/>
  <c r="O36" i="40"/>
  <c r="K12" i="41"/>
  <c r="L12" i="41"/>
  <c r="O10" i="41"/>
  <c r="O11" i="41"/>
  <c r="M12" i="41"/>
  <c r="N12" i="41"/>
  <c r="N18" i="41"/>
  <c r="O9" i="41"/>
  <c r="O7" i="41"/>
  <c r="H12" i="41"/>
  <c r="H18" i="41"/>
  <c r="I12" i="41"/>
  <c r="I18" i="41"/>
  <c r="F12" i="41"/>
  <c r="O8" i="41"/>
  <c r="E12" i="41"/>
  <c r="G12" i="41"/>
  <c r="K18" i="41"/>
  <c r="L18" i="41"/>
  <c r="M18" i="41"/>
  <c r="G18" i="41"/>
  <c r="P9" i="40"/>
  <c r="O10" i="40"/>
  <c r="P8" i="40"/>
  <c r="G29" i="40"/>
  <c r="F29" i="40"/>
  <c r="P10" i="40"/>
  <c r="F24" i="40"/>
  <c r="F28" i="41" s="1"/>
  <c r="F27" i="41" s="1"/>
  <c r="U39" i="41" l="1"/>
  <c r="V39" i="41" s="1"/>
  <c r="W35" i="41"/>
  <c r="V35" i="41"/>
  <c r="W34" i="41"/>
  <c r="U38" i="41"/>
  <c r="V36" i="41"/>
  <c r="V37" i="41"/>
  <c r="E54" i="40"/>
  <c r="D34" i="44" s="1"/>
  <c r="E50" i="40"/>
  <c r="D25" i="44" s="1"/>
  <c r="O38" i="40"/>
  <c r="E48" i="40"/>
  <c r="D12" i="44" s="1"/>
  <c r="E52" i="40"/>
  <c r="D16" i="44" s="1"/>
  <c r="E26" i="41"/>
  <c r="E25" i="41" s="1"/>
  <c r="E20" i="41"/>
  <c r="E19" i="41" s="1"/>
  <c r="E22" i="41"/>
  <c r="E21" i="41" s="1"/>
  <c r="O18" i="41"/>
  <c r="F21" i="40"/>
  <c r="G21" i="40" s="1"/>
  <c r="F20" i="41"/>
  <c r="O29" i="40"/>
  <c r="F23" i="40"/>
  <c r="F37" i="40" s="1"/>
  <c r="E27" i="41"/>
  <c r="O12" i="41"/>
  <c r="F39" i="40"/>
  <c r="G24" i="40"/>
  <c r="G28" i="41" s="1"/>
  <c r="B12" i="42" l="1"/>
  <c r="W39" i="41"/>
  <c r="V38" i="41"/>
  <c r="W38" i="41"/>
  <c r="E56" i="40"/>
  <c r="D41" i="44" s="1"/>
  <c r="E47" i="40"/>
  <c r="D10" i="44" s="1"/>
  <c r="F27" i="40"/>
  <c r="B35" i="22" s="1" a="1"/>
  <c r="B35" i="22" s="1"/>
  <c r="F31" i="40"/>
  <c r="G20" i="40"/>
  <c r="G20" i="41" s="1"/>
  <c r="F26" i="41"/>
  <c r="F25" i="41" s="1"/>
  <c r="H21" i="40"/>
  <c r="H22" i="41" s="1"/>
  <c r="G22" i="41"/>
  <c r="F33" i="40"/>
  <c r="F22" i="41"/>
  <c r="G23" i="40"/>
  <c r="F19" i="41"/>
  <c r="C12" i="42" s="1"/>
  <c r="G33" i="40"/>
  <c r="F28" i="40"/>
  <c r="G19" i="40"/>
  <c r="G39" i="40"/>
  <c r="H24" i="40"/>
  <c r="H28" i="41" s="1"/>
  <c r="G27" i="40" l="1"/>
  <c r="B36" i="22" s="1" a="1"/>
  <c r="B36" i="22" s="1"/>
  <c r="G26" i="41"/>
  <c r="G25" i="41" s="1"/>
  <c r="G37" i="40"/>
  <c r="F17" i="41"/>
  <c r="F16" i="41" s="1"/>
  <c r="C6" i="42" s="1"/>
  <c r="I21" i="40"/>
  <c r="I22" i="41" s="1"/>
  <c r="G31" i="40"/>
  <c r="H20" i="40"/>
  <c r="H20" i="41" s="1"/>
  <c r="H23" i="40"/>
  <c r="H33" i="40"/>
  <c r="G19" i="41"/>
  <c r="D12" i="42" s="1"/>
  <c r="F21" i="41"/>
  <c r="G27" i="41"/>
  <c r="H27" i="41"/>
  <c r="G21" i="41"/>
  <c r="G28" i="40"/>
  <c r="H19" i="40"/>
  <c r="I24" i="40"/>
  <c r="I28" i="41" s="1"/>
  <c r="H39" i="40"/>
  <c r="B6" i="42" l="1"/>
  <c r="H26" i="41"/>
  <c r="H25" i="41" s="1"/>
  <c r="H37" i="40"/>
  <c r="H27" i="40"/>
  <c r="B37" i="22" s="1" a="1"/>
  <c r="B37" i="22" s="1"/>
  <c r="G17" i="41"/>
  <c r="G16" i="41" s="1"/>
  <c r="D6" i="42" s="1"/>
  <c r="I20" i="40"/>
  <c r="I20" i="41" s="1"/>
  <c r="I33" i="40"/>
  <c r="J21" i="40"/>
  <c r="J22" i="41" s="1"/>
  <c r="H31" i="40"/>
  <c r="I23" i="40"/>
  <c r="H19" i="41"/>
  <c r="E12" i="42" s="1"/>
  <c r="I27" i="41"/>
  <c r="S27" i="41" s="1"/>
  <c r="J23" i="40"/>
  <c r="I39" i="40"/>
  <c r="J24" i="40"/>
  <c r="J28" i="41" s="1"/>
  <c r="H28" i="40"/>
  <c r="I19" i="40"/>
  <c r="J26" i="41" l="1"/>
  <c r="J25" i="41" s="1"/>
  <c r="J37" i="40"/>
  <c r="I26" i="41"/>
  <c r="I25" i="41" s="1"/>
  <c r="S25" i="41" s="1"/>
  <c r="I37" i="40"/>
  <c r="K21" i="40"/>
  <c r="K22" i="41" s="1"/>
  <c r="I27" i="40"/>
  <c r="B38" i="22" s="1" a="1"/>
  <c r="B38" i="22" s="1"/>
  <c r="H17" i="41"/>
  <c r="I31" i="40"/>
  <c r="J33" i="40"/>
  <c r="J20" i="40"/>
  <c r="J20" i="41" s="1"/>
  <c r="I19" i="41"/>
  <c r="F12" i="42" s="1"/>
  <c r="I21" i="41"/>
  <c r="H21" i="41"/>
  <c r="S21" i="41" s="1"/>
  <c r="J27" i="41"/>
  <c r="J19" i="40"/>
  <c r="I28" i="40"/>
  <c r="K24" i="40"/>
  <c r="K28" i="41" s="1"/>
  <c r="J39" i="40"/>
  <c r="K23" i="40"/>
  <c r="S19" i="41" l="1"/>
  <c r="L21" i="40"/>
  <c r="L22" i="41" s="1"/>
  <c r="K33" i="40"/>
  <c r="K26" i="41"/>
  <c r="K25" i="41" s="1"/>
  <c r="K37" i="40"/>
  <c r="J27" i="40"/>
  <c r="B39" i="22" s="1" a="1"/>
  <c r="B39" i="22" s="1"/>
  <c r="I17" i="41"/>
  <c r="I16" i="41" s="1"/>
  <c r="F6" i="42" s="1"/>
  <c r="K20" i="40"/>
  <c r="K20" i="41" s="1"/>
  <c r="K19" i="41" s="1"/>
  <c r="H12" i="42" s="1"/>
  <c r="J31" i="40"/>
  <c r="J19" i="41"/>
  <c r="H16" i="41"/>
  <c r="K27" i="41"/>
  <c r="L33" i="40"/>
  <c r="M21" i="40"/>
  <c r="M22" i="41" s="1"/>
  <c r="J28" i="40"/>
  <c r="K19" i="40"/>
  <c r="L24" i="40"/>
  <c r="L28" i="41" s="1"/>
  <c r="K39" i="40"/>
  <c r="L23" i="40"/>
  <c r="S16" i="41" l="1"/>
  <c r="E6" i="42"/>
  <c r="G12" i="42"/>
  <c r="L26" i="41"/>
  <c r="L25" i="41" s="1"/>
  <c r="L37" i="40"/>
  <c r="K27" i="40"/>
  <c r="B40" i="22" s="1" a="1"/>
  <c r="B40" i="22" s="1"/>
  <c r="J17" i="41"/>
  <c r="J16" i="41" s="1"/>
  <c r="L20" i="40"/>
  <c r="L20" i="41" s="1"/>
  <c r="L19" i="41" s="1"/>
  <c r="I12" i="42" s="1"/>
  <c r="K31" i="40"/>
  <c r="J21" i="41"/>
  <c r="L27" i="41"/>
  <c r="K21" i="41"/>
  <c r="M33" i="40"/>
  <c r="N21" i="40"/>
  <c r="N22" i="41" s="1"/>
  <c r="M23" i="40"/>
  <c r="L39" i="40"/>
  <c r="M24" i="40"/>
  <c r="M28" i="41" s="1"/>
  <c r="K28" i="40"/>
  <c r="L19" i="40"/>
  <c r="G6" i="42" l="1"/>
  <c r="M26" i="41"/>
  <c r="M25" i="41" s="1"/>
  <c r="M37" i="40"/>
  <c r="L27" i="40"/>
  <c r="B41" i="22" s="1" a="1"/>
  <c r="B41" i="22" s="1"/>
  <c r="K17" i="41"/>
  <c r="K16" i="41" s="1"/>
  <c r="H6" i="42" s="1"/>
  <c r="M20" i="40"/>
  <c r="M20" i="41" s="1"/>
  <c r="M19" i="41" s="1"/>
  <c r="L31" i="40"/>
  <c r="M27" i="41"/>
  <c r="L21" i="41"/>
  <c r="N23" i="40"/>
  <c r="L28" i="40"/>
  <c r="M19" i="40"/>
  <c r="M39" i="40"/>
  <c r="N24" i="40"/>
  <c r="N28" i="41" s="1"/>
  <c r="N33" i="40"/>
  <c r="O33" i="40" s="1"/>
  <c r="M31" i="40" l="1"/>
  <c r="J12" i="42"/>
  <c r="N26" i="41"/>
  <c r="N37" i="40"/>
  <c r="O37" i="40" s="1"/>
  <c r="M27" i="40"/>
  <c r="B42" i="22" s="1" a="1"/>
  <c r="B42" i="22" s="1"/>
  <c r="L17" i="41"/>
  <c r="L16" i="41" s="1"/>
  <c r="I6" i="42" s="1"/>
  <c r="N20" i="40"/>
  <c r="N20" i="41" s="1"/>
  <c r="M21" i="41"/>
  <c r="M28" i="40"/>
  <c r="N19" i="40"/>
  <c r="N28" i="40" s="1"/>
  <c r="E51" i="40"/>
  <c r="D29" i="44" s="1"/>
  <c r="P32" i="40"/>
  <c r="N39" i="40"/>
  <c r="O39" i="40" s="1"/>
  <c r="N31" i="40" l="1"/>
  <c r="O31" i="40" s="1"/>
  <c r="N27" i="40"/>
  <c r="B43" i="22" s="1" a="1"/>
  <c r="B43" i="22" s="1"/>
  <c r="P38" i="40"/>
  <c r="N17" i="41"/>
  <c r="M17" i="41"/>
  <c r="M16" i="41" s="1"/>
  <c r="I47" i="40"/>
  <c r="F51" i="40" s="1"/>
  <c r="E29" i="44" s="1"/>
  <c r="F29" i="44" s="1"/>
  <c r="N25" i="41"/>
  <c r="O26" i="41"/>
  <c r="N27" i="41"/>
  <c r="O28" i="41"/>
  <c r="N19" i="41"/>
  <c r="O20" i="41"/>
  <c r="P30" i="40"/>
  <c r="E55" i="40"/>
  <c r="D37" i="44" s="1"/>
  <c r="P36" i="40"/>
  <c r="O28" i="40"/>
  <c r="E57" i="40"/>
  <c r="D47" i="44" s="1"/>
  <c r="E49" i="40" l="1"/>
  <c r="D14" i="44" s="1"/>
  <c r="J6" i="42"/>
  <c r="O19" i="41"/>
  <c r="K12" i="42"/>
  <c r="R19" i="41"/>
  <c r="T19" i="41" s="1"/>
  <c r="O27" i="41"/>
  <c r="R27" i="41"/>
  <c r="T27" i="41" s="1"/>
  <c r="O25" i="41"/>
  <c r="R25" i="41"/>
  <c r="T25" i="41" s="1"/>
  <c r="I50" i="40"/>
  <c r="E46" i="40"/>
  <c r="D8" i="44" s="1"/>
  <c r="O27" i="40"/>
  <c r="I46" i="40"/>
  <c r="F49" i="40" s="1"/>
  <c r="E14" i="44" s="1"/>
  <c r="F14" i="44" s="1"/>
  <c r="I49" i="40"/>
  <c r="E45" i="41"/>
  <c r="F50" i="40"/>
  <c r="E25" i="44" s="1"/>
  <c r="F25" i="44" s="1"/>
  <c r="N21" i="41"/>
  <c r="O22" i="41"/>
  <c r="N16" i="41"/>
  <c r="R16" i="41" s="1"/>
  <c r="T16" i="41" s="1"/>
  <c r="O17" i="41"/>
  <c r="P27" i="40" l="1"/>
  <c r="U25" i="41"/>
  <c r="V25" i="41"/>
  <c r="O16" i="41"/>
  <c r="K6" i="42"/>
  <c r="U27" i="41"/>
  <c r="V27" i="41"/>
  <c r="O21" i="41"/>
  <c r="R21" i="41"/>
  <c r="T21" i="41" s="1"/>
  <c r="U19" i="41"/>
  <c r="V19" i="41"/>
  <c r="B13" i="42"/>
  <c r="E45" i="40"/>
  <c r="E47" i="41"/>
  <c r="F54" i="40"/>
  <c r="E34" i="44" s="1"/>
  <c r="F34" i="44" s="1"/>
  <c r="F55" i="40"/>
  <c r="E37" i="44" s="1"/>
  <c r="F37" i="44" s="1"/>
  <c r="E48" i="41"/>
  <c r="F56" i="40"/>
  <c r="E41" i="44" s="1"/>
  <c r="F41" i="44" s="1"/>
  <c r="F57" i="40"/>
  <c r="E47" i="44" s="1"/>
  <c r="F47" i="44" s="1"/>
  <c r="E44" i="41"/>
  <c r="F48" i="40"/>
  <c r="E12" i="44" s="1"/>
  <c r="F12" i="44" s="1"/>
  <c r="I45" i="40" l="1"/>
  <c r="F46" i="40" s="1"/>
  <c r="E8" i="44" s="1"/>
  <c r="F8" i="44" s="1"/>
  <c r="D6" i="44"/>
  <c r="W27" i="41"/>
  <c r="U21" i="41"/>
  <c r="V21" i="41"/>
  <c r="V16" i="41"/>
  <c r="C13" i="42"/>
  <c r="D13" i="42"/>
  <c r="E13" i="42"/>
  <c r="F13" i="42"/>
  <c r="H13" i="42"/>
  <c r="I13" i="42"/>
  <c r="G13" i="42"/>
  <c r="J13" i="42"/>
  <c r="K13" i="42"/>
  <c r="W19" i="41"/>
  <c r="W25" i="41"/>
  <c r="F45" i="40"/>
  <c r="F47" i="40"/>
  <c r="E10" i="44" s="1"/>
  <c r="F10" i="44" s="1"/>
  <c r="E43" i="41"/>
  <c r="L13" i="42" l="1"/>
  <c r="E6" i="44"/>
  <c r="K7" i="42"/>
  <c r="U16" i="41"/>
  <c r="W16" i="41" s="1"/>
  <c r="C7" i="42"/>
  <c r="B7" i="42"/>
  <c r="L7" i="42" s="1"/>
  <c r="D7" i="42"/>
  <c r="F7" i="42"/>
  <c r="E7" i="42"/>
  <c r="H7" i="42"/>
  <c r="G7" i="42"/>
  <c r="I7" i="42"/>
  <c r="J7" i="42"/>
  <c r="W21" i="41"/>
  <c r="C25" i="6" l="1" a="1"/>
  <c r="C25" i="6" s="1"/>
  <c r="D25" i="6" a="1"/>
  <c r="D25" i="6" s="1"/>
  <c r="E25" i="6" a="1"/>
  <c r="E25" i="6" s="1"/>
  <c r="F25" i="6" a="1"/>
  <c r="F25" i="6" s="1"/>
  <c r="G25" i="6" a="1"/>
  <c r="G25" i="6" s="1"/>
  <c r="H25" i="6" a="1"/>
  <c r="H25" i="6" s="1"/>
  <c r="I25" i="6" a="1"/>
  <c r="I25" i="6" s="1"/>
  <c r="J25" i="6" a="1"/>
  <c r="J25" i="6" s="1"/>
  <c r="K25" i="6" a="1"/>
  <c r="K25" i="6" s="1"/>
  <c r="L25" i="6" a="1"/>
  <c r="L25" i="6" s="1"/>
  <c r="M25" i="6" a="1"/>
  <c r="M25" i="6" s="1"/>
  <c r="B25" i="6" a="1"/>
  <c r="B25" i="6" s="1"/>
  <c r="C24" i="6" a="1"/>
  <c r="C24" i="6" s="1"/>
  <c r="D24" i="6" a="1"/>
  <c r="D24" i="6" s="1"/>
  <c r="E24" i="6" a="1"/>
  <c r="E24" i="6" s="1"/>
  <c r="F24" i="6" a="1"/>
  <c r="F24" i="6" s="1"/>
  <c r="G24" i="6" a="1"/>
  <c r="G24" i="6" s="1"/>
  <c r="H24" i="6" a="1"/>
  <c r="H24" i="6" s="1"/>
  <c r="I24" i="6" a="1"/>
  <c r="I24" i="6" s="1"/>
  <c r="J24" i="6" a="1"/>
  <c r="J24" i="6" s="1"/>
  <c r="K24" i="6" a="1"/>
  <c r="K24" i="6" s="1"/>
  <c r="L24" i="6" a="1"/>
  <c r="L24" i="6"/>
  <c r="M24" i="6" a="1"/>
  <c r="M24" i="6" s="1"/>
  <c r="B24" i="6" a="1"/>
  <c r="B24" i="6" s="1"/>
  <c r="C23" i="6" a="1"/>
  <c r="C23" i="6" s="1"/>
  <c r="D23" i="6" a="1"/>
  <c r="D23" i="6" s="1"/>
  <c r="E23" i="6" a="1"/>
  <c r="E23" i="6" s="1"/>
  <c r="F23" i="6" a="1"/>
  <c r="F23" i="6" s="1"/>
  <c r="G23" i="6" a="1"/>
  <c r="G23" i="6" s="1"/>
  <c r="H23" i="6" a="1"/>
  <c r="H23" i="6" s="1"/>
  <c r="I23" i="6" a="1"/>
  <c r="I23" i="6" s="1"/>
  <c r="J23" i="6" a="1"/>
  <c r="J23" i="6" s="1"/>
  <c r="K23" i="6" a="1"/>
  <c r="K23" i="6" s="1"/>
  <c r="L23" i="6" a="1"/>
  <c r="L23" i="6" s="1"/>
  <c r="M23" i="6" a="1"/>
  <c r="M23" i="6" s="1"/>
  <c r="B23" i="6" a="1"/>
  <c r="B23" i="6" s="1"/>
  <c r="D21" i="6" a="1"/>
  <c r="D21" i="6" s="1"/>
  <c r="E21" i="6" a="1"/>
  <c r="E21" i="6" s="1"/>
  <c r="F21" i="6" a="1"/>
  <c r="F21" i="6" s="1"/>
  <c r="G21" i="6" a="1"/>
  <c r="G21" i="6" s="1"/>
  <c r="H21" i="6" a="1"/>
  <c r="H21" i="6" s="1"/>
  <c r="I21" i="6" a="1"/>
  <c r="I21" i="6" s="1"/>
  <c r="J21" i="6" a="1"/>
  <c r="J21" i="6" s="1"/>
  <c r="K21" i="6" a="1"/>
  <c r="K21" i="6" s="1"/>
  <c r="L21" i="6" a="1"/>
  <c r="L21" i="6" s="1"/>
  <c r="M21" i="6" a="1"/>
  <c r="M21" i="6" s="1"/>
  <c r="C21" i="6" a="1"/>
  <c r="C21" i="6" s="1"/>
  <c r="B21" i="6" a="1"/>
  <c r="B21" i="6" s="1"/>
  <c r="M20" i="6" a="1"/>
  <c r="M20" i="6" s="1"/>
  <c r="D20" i="6" a="1"/>
  <c r="D20" i="6" s="1"/>
  <c r="E20" i="6" a="1"/>
  <c r="E20" i="6" s="1"/>
  <c r="F20" i="6" a="1"/>
  <c r="F20" i="6" s="1"/>
  <c r="G20" i="6" a="1"/>
  <c r="G20" i="6" s="1"/>
  <c r="H20" i="6" a="1"/>
  <c r="H20" i="6" s="1"/>
  <c r="I20" i="6" a="1"/>
  <c r="I20" i="6" s="1"/>
  <c r="J20" i="6" a="1"/>
  <c r="J20" i="6" s="1"/>
  <c r="K20" i="6" a="1"/>
  <c r="K20" i="6" s="1"/>
  <c r="L20" i="6" a="1"/>
  <c r="L20" i="6" s="1"/>
  <c r="C20" i="6" a="1"/>
  <c r="C20" i="6" s="1"/>
  <c r="C22" i="6"/>
  <c r="D22" i="6"/>
  <c r="E22" i="6"/>
  <c r="F22" i="6"/>
  <c r="G22" i="6"/>
  <c r="H22" i="6"/>
  <c r="I22" i="6"/>
  <c r="J22" i="6"/>
  <c r="K22" i="6"/>
  <c r="L22" i="6"/>
  <c r="M22" i="6"/>
  <c r="B22" i="6"/>
  <c r="K32" i="35"/>
  <c r="M32" i="35" s="1"/>
  <c r="K31" i="35"/>
  <c r="M31" i="35" s="1"/>
  <c r="K30" i="35"/>
  <c r="M30" i="35" s="1"/>
  <c r="M29" i="35"/>
  <c r="M28" i="35"/>
  <c r="M24" i="35"/>
  <c r="M23" i="35"/>
  <c r="M20" i="35"/>
  <c r="M19" i="35"/>
  <c r="M18" i="35"/>
  <c r="M15" i="35"/>
  <c r="M14" i="35"/>
  <c r="M13" i="35"/>
  <c r="M10" i="35"/>
  <c r="M7" i="35"/>
  <c r="C32" i="44" l="1"/>
  <c r="C28" i="44"/>
  <c r="C35" i="44"/>
  <c r="G35" i="44" s="1"/>
  <c r="G34" i="44" s="1"/>
  <c r="C38" i="44"/>
  <c r="G38" i="44" s="1"/>
  <c r="G37" i="44" s="1"/>
  <c r="C36" i="44"/>
  <c r="C39" i="44"/>
  <c r="C23" i="44"/>
  <c r="C19" i="44"/>
  <c r="C48" i="44"/>
  <c r="C42" i="44"/>
  <c r="C31" i="44"/>
  <c r="G31" i="44" s="1"/>
  <c r="G29" i="44" s="1"/>
  <c r="C27" i="44"/>
  <c r="G27" i="44" s="1"/>
  <c r="G25" i="44" s="1"/>
  <c r="C49" i="44"/>
  <c r="G49" i="44" s="1"/>
  <c r="C43" i="44"/>
  <c r="G43" i="44" s="1"/>
  <c r="C10" i="44"/>
  <c r="C8" i="44"/>
  <c r="G8" i="44" s="1"/>
  <c r="C6" i="44"/>
  <c r="C44" i="44"/>
  <c r="G44" i="44" s="1"/>
  <c r="C50" i="44"/>
  <c r="G50" i="44" s="1"/>
  <c r="C30" i="44"/>
  <c r="G30" i="44" s="1"/>
  <c r="C26" i="44"/>
  <c r="G26" i="44" s="1"/>
  <c r="C12" i="44"/>
  <c r="C14" i="44"/>
  <c r="G14" i="44" s="1"/>
  <c r="C45" i="44"/>
  <c r="C51" i="44"/>
  <c r="C21" i="44"/>
  <c r="C17" i="44"/>
  <c r="C46" i="44"/>
  <c r="C52" i="44"/>
  <c r="C18" i="44"/>
  <c r="C22" i="44"/>
  <c r="N22" i="6"/>
  <c r="N23" i="6"/>
  <c r="N20" i="6"/>
  <c r="N21" i="6"/>
  <c r="N25" i="6"/>
  <c r="N24" i="6"/>
  <c r="L48" i="44" l="1"/>
  <c r="M48" i="44" s="1"/>
  <c r="G47" i="44"/>
  <c r="G48" i="44"/>
  <c r="L42" i="44"/>
  <c r="M42" i="44"/>
  <c r="G42" i="44"/>
  <c r="G41" i="44" s="1"/>
  <c r="G12" i="44"/>
  <c r="G10" i="44"/>
  <c r="C52" i="4" l="1"/>
  <c r="C33" i="34" l="1"/>
  <c r="B20" i="34"/>
  <c r="C14" i="34"/>
  <c r="D12" i="34" l="1"/>
  <c r="C16" i="34"/>
  <c r="C21" i="22" l="1"/>
  <c r="C47" i="22"/>
  <c r="C18" i="34"/>
  <c r="C20" i="34" s="1"/>
  <c r="C22" i="34" s="1"/>
  <c r="C24" i="34" s="1"/>
  <c r="C26" i="34" s="1"/>
  <c r="C21" i="31" l="1"/>
  <c r="D21" i="31"/>
  <c r="E21" i="31"/>
  <c r="F21" i="31"/>
  <c r="G21" i="31"/>
  <c r="H21" i="31"/>
  <c r="I21" i="31"/>
  <c r="J21" i="31"/>
  <c r="K21" i="31"/>
  <c r="L21" i="31"/>
  <c r="M21" i="31"/>
  <c r="N21" i="31"/>
  <c r="O21" i="31"/>
  <c r="P21" i="31"/>
  <c r="Q21" i="31"/>
  <c r="G11" i="40" l="1"/>
  <c r="F11" i="40"/>
  <c r="E11" i="40"/>
  <c r="E22" i="40" s="1"/>
  <c r="E35" i="40" s="1"/>
  <c r="N11" i="40"/>
  <c r="M11" i="40"/>
  <c r="L11" i="40"/>
  <c r="K11" i="40"/>
  <c r="J11" i="40"/>
  <c r="I11" i="40"/>
  <c r="H11" i="40"/>
  <c r="B18" i="28"/>
  <c r="B18" i="26"/>
  <c r="B18" i="30"/>
  <c r="B18" i="29"/>
  <c r="B18" i="27"/>
  <c r="P11" i="40" l="1"/>
  <c r="O11" i="40"/>
  <c r="Q54" i="4"/>
  <c r="B19" i="24"/>
  <c r="B20" i="24" s="1"/>
  <c r="B21" i="24" s="1"/>
  <c r="B22" i="24" s="1"/>
  <c r="B23" i="24" s="1"/>
  <c r="B24" i="24" s="1"/>
  <c r="B25" i="24" s="1"/>
  <c r="B26" i="24" s="1"/>
  <c r="B27" i="24" s="1"/>
  <c r="B28" i="24" s="1"/>
  <c r="B29" i="24" s="1"/>
  <c r="B30" i="24" s="1"/>
  <c r="B31" i="24" s="1"/>
  <c r="B32" i="24" s="1"/>
  <c r="B33" i="24" s="1"/>
  <c r="B34" i="24" s="1"/>
  <c r="B35" i="24" s="1"/>
  <c r="B36" i="24" s="1"/>
  <c r="B37" i="24" s="1"/>
  <c r="B38" i="24" s="1"/>
  <c r="B39" i="24" s="1"/>
  <c r="B40" i="24" s="1"/>
  <c r="B41" i="24" s="1"/>
  <c r="B42" i="24" s="1"/>
  <c r="B43" i="24" s="1"/>
  <c r="B44" i="24" s="1"/>
  <c r="B45" i="24" s="1"/>
  <c r="K53" i="4" l="1"/>
  <c r="K54" i="4"/>
  <c r="K55" i="4"/>
  <c r="K56" i="4"/>
  <c r="K57" i="4"/>
  <c r="K58" i="4"/>
  <c r="K59" i="4"/>
  <c r="K60" i="4"/>
  <c r="K61" i="4"/>
  <c r="K62" i="4"/>
  <c r="K63" i="4"/>
  <c r="K52" i="4"/>
  <c r="R53" i="4"/>
  <c r="R54" i="4"/>
  <c r="R55" i="4"/>
  <c r="R56" i="4"/>
  <c r="R57" i="4"/>
  <c r="R58" i="4"/>
  <c r="R59" i="4"/>
  <c r="R60" i="4"/>
  <c r="R61" i="4"/>
  <c r="R62" i="4"/>
  <c r="R63" i="4"/>
  <c r="R52" i="4"/>
  <c r="Q53" i="4"/>
  <c r="Q55" i="4"/>
  <c r="Q56" i="4"/>
  <c r="Q57" i="4"/>
  <c r="Q58" i="4"/>
  <c r="Q59" i="4"/>
  <c r="Q60" i="4"/>
  <c r="Q61" i="4"/>
  <c r="Q62" i="4"/>
  <c r="Q63" i="4"/>
  <c r="Q52" i="4"/>
  <c r="C62" i="4"/>
  <c r="J53" i="4"/>
  <c r="J54" i="4"/>
  <c r="J55" i="4"/>
  <c r="J56" i="4"/>
  <c r="J57" i="4"/>
  <c r="J58" i="4"/>
  <c r="J59" i="4"/>
  <c r="J60" i="4"/>
  <c r="J61" i="4"/>
  <c r="J62" i="4"/>
  <c r="J63" i="4"/>
  <c r="J52" i="4"/>
  <c r="D53" i="4"/>
  <c r="D54" i="4"/>
  <c r="D55" i="4"/>
  <c r="D56" i="4"/>
  <c r="D57" i="4"/>
  <c r="D58" i="4"/>
  <c r="D59" i="4"/>
  <c r="D60" i="4"/>
  <c r="D61" i="4"/>
  <c r="D62" i="4"/>
  <c r="D63" i="4"/>
  <c r="D52" i="4"/>
  <c r="C53" i="4"/>
  <c r="C54" i="4"/>
  <c r="C55" i="4"/>
  <c r="C56" i="4"/>
  <c r="C57" i="4"/>
  <c r="C58" i="4"/>
  <c r="C59" i="4"/>
  <c r="C60" i="4"/>
  <c r="C61" i="4"/>
  <c r="C63" i="4"/>
  <c r="B71" i="22" l="1"/>
  <c r="F22" i="40"/>
  <c r="E24" i="41"/>
  <c r="E23" i="41" s="1"/>
  <c r="F35" i="40" l="1"/>
  <c r="G22" i="40"/>
  <c r="F24" i="41"/>
  <c r="B18" i="23"/>
  <c r="F23" i="41" l="1"/>
  <c r="G35" i="40"/>
  <c r="G24" i="41"/>
  <c r="G23" i="41" s="1"/>
  <c r="H22" i="40"/>
  <c r="H35" i="40" l="1"/>
  <c r="I22" i="40"/>
  <c r="H24" i="41"/>
  <c r="H23" i="41" s="1"/>
  <c r="I35" i="40" l="1"/>
  <c r="J22" i="40"/>
  <c r="I24" i="41"/>
  <c r="I23" i="41" l="1"/>
  <c r="S23" i="41" s="1"/>
  <c r="J35" i="40"/>
  <c r="K22" i="40"/>
  <c r="J24" i="41"/>
  <c r="J23" i="41" s="1"/>
  <c r="K35" i="40" l="1"/>
  <c r="K24" i="41"/>
  <c r="K23" i="41" s="1"/>
  <c r="L22" i="40"/>
  <c r="L35" i="40" l="1"/>
  <c r="M22" i="40"/>
  <c r="L24" i="41"/>
  <c r="L23" i="41" s="1"/>
  <c r="M35" i="40" l="1"/>
  <c r="M24" i="41"/>
  <c r="M23" i="41" s="1"/>
  <c r="N22" i="40"/>
  <c r="N35" i="40" l="1"/>
  <c r="O35" i="40" s="1"/>
  <c r="N24" i="41"/>
  <c r="B45" i="22"/>
  <c r="O40" i="40" l="1"/>
  <c r="P34" i="40"/>
  <c r="N23" i="41"/>
  <c r="O24" i="41"/>
  <c r="E53" i="40"/>
  <c r="D20" i="44" s="1"/>
  <c r="O23" i="41" l="1"/>
  <c r="O29" i="41" s="1"/>
  <c r="R23" i="41"/>
  <c r="I48" i="40"/>
  <c r="T23" i="41" l="1"/>
  <c r="V23" i="41" s="1"/>
  <c r="E46" i="41"/>
  <c r="E49" i="41" s="1"/>
  <c r="F52" i="40"/>
  <c r="E16" i="44" s="1"/>
  <c r="F16" i="44" s="1"/>
  <c r="G17" i="44" s="1"/>
  <c r="G16" i="44" s="1"/>
  <c r="F53" i="40"/>
  <c r="E20" i="44" s="1"/>
  <c r="F20" i="44" s="1"/>
  <c r="G21" i="44" s="1"/>
  <c r="G20" i="44" s="1"/>
  <c r="U23" i="41" l="1"/>
  <c r="W23" i="41" s="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T5" i="4"/>
  <c r="T6" i="4"/>
  <c r="T7" i="4"/>
  <c r="T8" i="4"/>
  <c r="T9" i="4"/>
  <c r="T10" i="4"/>
  <c r="T11" i="4"/>
  <c r="T12" i="4"/>
  <c r="T13" i="4"/>
  <c r="T14" i="4"/>
  <c r="T15" i="4"/>
  <c r="T16" i="4"/>
  <c r="T17" i="4"/>
  <c r="T18" i="4"/>
  <c r="T19" i="4"/>
  <c r="T20" i="4"/>
  <c r="T21" i="4"/>
  <c r="T22" i="4"/>
  <c r="T23" i="4"/>
  <c r="T24" i="4"/>
  <c r="T25" i="4"/>
  <c r="T26" i="4"/>
  <c r="T27" i="4"/>
  <c r="T28" i="4"/>
  <c r="T29" i="4"/>
  <c r="T30" i="4"/>
  <c r="T31" i="4"/>
  <c r="T32"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C10" i="22" l="1"/>
  <c r="C8" i="22"/>
  <c r="D8" i="22" s="1"/>
  <c r="D23" i="22"/>
  <c r="C12" i="22"/>
  <c r="C9" i="22"/>
  <c r="C14" i="22"/>
  <c r="C16" i="22"/>
  <c r="C11" i="22"/>
  <c r="C15" i="22"/>
  <c r="C13" i="22"/>
  <c r="C17" i="22"/>
  <c r="E23" i="22"/>
  <c r="C11" i="23" l="1"/>
  <c r="E8" i="22"/>
  <c r="C19" i="22"/>
  <c r="E19" i="22" s="1"/>
  <c r="C12" i="23"/>
  <c r="C15" i="23"/>
  <c r="C14" i="23"/>
  <c r="C9" i="23"/>
  <c r="C7" i="23"/>
  <c r="E22" i="23"/>
  <c r="C16" i="23"/>
  <c r="C8" i="23"/>
  <c r="C10" i="23"/>
  <c r="C13" i="23"/>
  <c r="Q46" i="4"/>
  <c r="J46" i="4"/>
  <c r="C46" i="4"/>
  <c r="R45" i="4"/>
  <c r="Q45" i="4"/>
  <c r="K45" i="4"/>
  <c r="J45" i="4"/>
  <c r="D45" i="4"/>
  <c r="C45" i="4"/>
  <c r="R44" i="4"/>
  <c r="Q44" i="4"/>
  <c r="K44" i="4"/>
  <c r="J44" i="4"/>
  <c r="D44" i="4"/>
  <c r="C44" i="4"/>
  <c r="D7" i="23" l="1"/>
  <c r="E7" i="23" s="1"/>
  <c r="D8" i="23" s="1"/>
  <c r="E8" i="23" s="1"/>
  <c r="D9" i="23" s="1"/>
  <c r="E9" i="23" s="1"/>
  <c r="D10" i="23" s="1"/>
  <c r="E10" i="23" s="1"/>
  <c r="D11" i="23" s="1"/>
  <c r="E11" i="23" s="1"/>
  <c r="D12" i="23" s="1"/>
  <c r="E12" i="23" s="1"/>
  <c r="D13" i="23" s="1"/>
  <c r="E13" i="23" s="1"/>
  <c r="D14" i="23" s="1"/>
  <c r="E14" i="23" s="1"/>
  <c r="D15" i="23" s="1"/>
  <c r="E15" i="23" s="1"/>
  <c r="D16" i="23" s="1"/>
  <c r="D18" i="23" s="1"/>
  <c r="D9" i="22"/>
  <c r="C18" i="23"/>
  <c r="E18" i="23" s="1"/>
  <c r="Q49" i="4"/>
  <c r="C49" i="4"/>
  <c r="E9" i="22" l="1"/>
  <c r="D10" i="22" s="1"/>
  <c r="E10" i="22" s="1"/>
  <c r="D11" i="22" s="1"/>
  <c r="E11" i="22" s="1"/>
  <c r="D12" i="22" s="1"/>
  <c r="E12" i="22" s="1"/>
  <c r="D13" i="22" s="1"/>
  <c r="E13" i="22" s="1"/>
  <c r="D14" i="22" s="1"/>
  <c r="E14" i="22" s="1"/>
  <c r="D15" i="22" s="1"/>
  <c r="E15" i="22" s="1"/>
  <c r="D16" i="22" s="1"/>
  <c r="E16" i="22" s="1"/>
  <c r="D17" i="22" s="1"/>
  <c r="E16" i="23"/>
  <c r="E23" i="23"/>
  <c r="E17" i="22" l="1"/>
  <c r="D19" i="22"/>
  <c r="E24" i="22" s="1"/>
  <c r="E25" i="22"/>
  <c r="E24" i="23"/>
  <c r="D24" i="22" l="1"/>
  <c r="D25" i="22" s="1"/>
  <c r="D26" i="22" s="1"/>
  <c r="H37" i="44"/>
  <c r="H34" i="44"/>
  <c r="H47" i="44"/>
  <c r="I47" i="44" s="1"/>
  <c r="K47" i="44" s="1"/>
  <c r="H41" i="44"/>
  <c r="H20" i="44"/>
  <c r="H16" i="44"/>
  <c r="H25" i="44"/>
  <c r="H29" i="44"/>
  <c r="H6" i="44" l="1"/>
  <c r="H10" i="44"/>
  <c r="H8" i="44"/>
  <c r="C40" i="22"/>
  <c r="L30" i="44"/>
  <c r="M30" i="44" s="1"/>
  <c r="I29" i="44"/>
  <c r="K29" i="44" s="1"/>
  <c r="L31" i="44"/>
  <c r="M31" i="44" s="1"/>
  <c r="L32" i="44"/>
  <c r="L17" i="44"/>
  <c r="M17" i="44" s="1"/>
  <c r="L19" i="44"/>
  <c r="I16" i="44"/>
  <c r="L18" i="44"/>
  <c r="L27" i="44"/>
  <c r="M27" i="44" s="1"/>
  <c r="L28" i="44"/>
  <c r="L26" i="44"/>
  <c r="M26" i="44" s="1"/>
  <c r="I25" i="44"/>
  <c r="L36" i="44"/>
  <c r="L35" i="44"/>
  <c r="M35" i="44" s="1"/>
  <c r="I34" i="44"/>
  <c r="L23" i="44"/>
  <c r="L21" i="44"/>
  <c r="M21" i="44" s="1"/>
  <c r="M20" i="44" s="1"/>
  <c r="N20" i="44" s="1"/>
  <c r="O20" i="44" s="1"/>
  <c r="L22" i="44"/>
  <c r="I20" i="44"/>
  <c r="K20" i="44" s="1"/>
  <c r="L44" i="44"/>
  <c r="L45" i="44"/>
  <c r="L46" i="44"/>
  <c r="L52" i="44"/>
  <c r="L43" i="44"/>
  <c r="I41" i="44"/>
  <c r="L51" i="44"/>
  <c r="L50" i="44"/>
  <c r="L49" i="44"/>
  <c r="L39" i="44"/>
  <c r="L38" i="44"/>
  <c r="M38" i="44" s="1"/>
  <c r="M37" i="44" s="1"/>
  <c r="N37" i="44" s="1"/>
  <c r="O37" i="44" s="1"/>
  <c r="I37" i="44"/>
  <c r="K37" i="44" s="1"/>
  <c r="H14" i="44"/>
  <c r="L6" i="44" l="1"/>
  <c r="I6" i="44"/>
  <c r="L8" i="44"/>
  <c r="M8" i="44" s="1"/>
  <c r="N8" i="44" s="1"/>
  <c r="O8" i="44" s="1"/>
  <c r="I8" i="44"/>
  <c r="K8" i="44" s="1"/>
  <c r="I10" i="44"/>
  <c r="N10" i="44" s="1"/>
  <c r="O10" i="44" s="1"/>
  <c r="L10" i="44"/>
  <c r="M10" i="44" s="1"/>
  <c r="E49" i="22"/>
  <c r="D49" i="22"/>
  <c r="C38" i="22"/>
  <c r="C35" i="22"/>
  <c r="C9" i="29"/>
  <c r="C13" i="29"/>
  <c r="C11" i="29"/>
  <c r="C14" i="29"/>
  <c r="C12" i="29"/>
  <c r="C16" i="29"/>
  <c r="C10" i="29"/>
  <c r="C15" i="29"/>
  <c r="C8" i="29"/>
  <c r="E22" i="29"/>
  <c r="C7" i="29"/>
  <c r="D7" i="29" s="1"/>
  <c r="E7" i="29" s="1"/>
  <c r="C9" i="26"/>
  <c r="C13" i="26"/>
  <c r="C14" i="26"/>
  <c r="E22" i="26"/>
  <c r="C8" i="26"/>
  <c r="C10" i="26"/>
  <c r="C12" i="26"/>
  <c r="C11" i="26"/>
  <c r="C15" i="26"/>
  <c r="C16" i="26"/>
  <c r="C7" i="26"/>
  <c r="D7" i="26" s="1"/>
  <c r="E7" i="26" s="1"/>
  <c r="D22" i="26"/>
  <c r="C37" i="22"/>
  <c r="C42" i="22"/>
  <c r="C39" i="22"/>
  <c r="C8" i="27"/>
  <c r="C16" i="27"/>
  <c r="C10" i="27"/>
  <c r="C15" i="27"/>
  <c r="C12" i="27"/>
  <c r="C9" i="27"/>
  <c r="C11" i="27"/>
  <c r="C7" i="27"/>
  <c r="C13" i="27"/>
  <c r="E22" i="27"/>
  <c r="C14" i="27"/>
  <c r="C41" i="22"/>
  <c r="C12" i="28"/>
  <c r="C8" i="28"/>
  <c r="E22" i="28"/>
  <c r="C14" i="28"/>
  <c r="C11" i="28"/>
  <c r="C9" i="28"/>
  <c r="C15" i="28"/>
  <c r="C7" i="28"/>
  <c r="C10" i="28"/>
  <c r="C16" i="28"/>
  <c r="C13" i="28"/>
  <c r="C34" i="22"/>
  <c r="D34" i="22" s="1"/>
  <c r="E34" i="22" s="1"/>
  <c r="C43" i="22"/>
  <c r="C64" i="22"/>
  <c r="C69" i="22"/>
  <c r="C62" i="22"/>
  <c r="C60" i="22"/>
  <c r="D60" i="22" s="1"/>
  <c r="E60" i="22" s="1"/>
  <c r="C66" i="22"/>
  <c r="C65" i="22"/>
  <c r="C63" i="22"/>
  <c r="C68" i="22"/>
  <c r="C61" i="22"/>
  <c r="C67" i="22"/>
  <c r="C36" i="22"/>
  <c r="C14" i="30"/>
  <c r="C15" i="30"/>
  <c r="C12" i="30"/>
  <c r="C16" i="30"/>
  <c r="C9" i="30"/>
  <c r="C11" i="30"/>
  <c r="E22" i="30"/>
  <c r="C7" i="30"/>
  <c r="D7" i="30" s="1"/>
  <c r="E7" i="30" s="1"/>
  <c r="C10" i="30"/>
  <c r="C13" i="30"/>
  <c r="C8" i="30"/>
  <c r="H12" i="44"/>
  <c r="I12" i="44" s="1"/>
  <c r="M29" i="44"/>
  <c r="L14" i="44"/>
  <c r="M14" i="44" s="1"/>
  <c r="N14" i="44" s="1"/>
  <c r="O14" i="44" s="1"/>
  <c r="I14" i="44"/>
  <c r="K14" i="44" s="1"/>
  <c r="D35" i="22" l="1"/>
  <c r="E35" i="22" s="1"/>
  <c r="D36" i="22" s="1"/>
  <c r="E36" i="22" s="1"/>
  <c r="D37" i="22" s="1"/>
  <c r="E37" i="22" s="1"/>
  <c r="D38" i="22" s="1"/>
  <c r="E38" i="22" s="1"/>
  <c r="D39" i="22" s="1"/>
  <c r="E39" i="22" s="1"/>
  <c r="D40" i="22" s="1"/>
  <c r="E40" i="22" s="1"/>
  <c r="D41" i="22" s="1"/>
  <c r="E41" i="22" s="1"/>
  <c r="D42" i="22" s="1"/>
  <c r="E42" i="22" s="1"/>
  <c r="D43" i="22" s="1"/>
  <c r="D45" i="22" s="1"/>
  <c r="D8" i="29"/>
  <c r="E8" i="29" s="1"/>
  <c r="D9" i="29" s="1"/>
  <c r="E9" i="29" s="1"/>
  <c r="D10" i="29" s="1"/>
  <c r="E10" i="29" s="1"/>
  <c r="D11" i="29" s="1"/>
  <c r="E11" i="29" s="1"/>
  <c r="D12" i="29" s="1"/>
  <c r="E12" i="29" s="1"/>
  <c r="D13" i="29" s="1"/>
  <c r="E13" i="29" s="1"/>
  <c r="D14" i="29" s="1"/>
  <c r="E14" i="29" s="1"/>
  <c r="D15" i="29" s="1"/>
  <c r="E15" i="29" s="1"/>
  <c r="C45" i="22"/>
  <c r="E45" i="22" s="1"/>
  <c r="D7" i="28"/>
  <c r="E7" i="28" s="1"/>
  <c r="D8" i="28" s="1"/>
  <c r="E8" i="28" s="1"/>
  <c r="D9" i="28" s="1"/>
  <c r="E9" i="28" s="1"/>
  <c r="D10" i="28" s="1"/>
  <c r="E10" i="28" s="1"/>
  <c r="D11" i="28" s="1"/>
  <c r="E11" i="28" s="1"/>
  <c r="D12" i="28" s="1"/>
  <c r="E12" i="28" s="1"/>
  <c r="D13" i="28" s="1"/>
  <c r="E13" i="28" s="1"/>
  <c r="D14" i="28" s="1"/>
  <c r="E14" i="28" s="1"/>
  <c r="D15" i="28" s="1"/>
  <c r="E15" i="28" s="1"/>
  <c r="C18" i="28"/>
  <c r="E18" i="28" s="1"/>
  <c r="C18" i="27"/>
  <c r="E18" i="27" s="1"/>
  <c r="C71" i="22"/>
  <c r="E71" i="22" s="1"/>
  <c r="D61" i="22"/>
  <c r="C18" i="29"/>
  <c r="E18" i="29" s="1"/>
  <c r="D7" i="27"/>
  <c r="E7" i="27" s="1"/>
  <c r="D8" i="27" s="1"/>
  <c r="E8" i="27" s="1"/>
  <c r="D9" i="27" s="1"/>
  <c r="E9" i="27" s="1"/>
  <c r="D10" i="27" s="1"/>
  <c r="E10" i="27" s="1"/>
  <c r="D11" i="27" s="1"/>
  <c r="E11" i="27" s="1"/>
  <c r="D12" i="27" s="1"/>
  <c r="E12" i="27" s="1"/>
  <c r="D13" i="27" s="1"/>
  <c r="E13" i="27" s="1"/>
  <c r="D14" i="27" s="1"/>
  <c r="E14" i="27" s="1"/>
  <c r="D15" i="27" s="1"/>
  <c r="E15" i="27" s="1"/>
  <c r="D16" i="27" s="1"/>
  <c r="D18" i="27" s="1"/>
  <c r="E23" i="27" s="1"/>
  <c r="J16" i="44" s="1"/>
  <c r="L12" i="44"/>
  <c r="D16" i="29" l="1"/>
  <c r="D18" i="29" s="1"/>
  <c r="E23" i="29" s="1"/>
  <c r="E24" i="29" s="1"/>
  <c r="E43" i="22"/>
  <c r="E61" i="22"/>
  <c r="D62" i="22" s="1"/>
  <c r="E62" i="22" s="1"/>
  <c r="D63" i="22" s="1"/>
  <c r="E63" i="22" s="1"/>
  <c r="D64" i="22" s="1"/>
  <c r="E64" i="22" s="1"/>
  <c r="D65" i="22" s="1"/>
  <c r="E65" i="22" s="1"/>
  <c r="D66" i="22" s="1"/>
  <c r="E66" i="22" s="1"/>
  <c r="D67" i="22" s="1"/>
  <c r="E67" i="22" s="1"/>
  <c r="D68" i="22" s="1"/>
  <c r="E68" i="22" s="1"/>
  <c r="D69" i="22" s="1"/>
  <c r="E69" i="22" s="1"/>
  <c r="D16" i="28"/>
  <c r="D18" i="28" s="1"/>
  <c r="E23" i="28" s="1"/>
  <c r="E24" i="27"/>
  <c r="E16" i="27"/>
  <c r="M16" i="44"/>
  <c r="N16" i="44" s="1"/>
  <c r="O16" i="44" s="1"/>
  <c r="K16" i="44"/>
  <c r="E50" i="22"/>
  <c r="D50" i="22"/>
  <c r="D51" i="22" s="1"/>
  <c r="D52" i="22" s="1"/>
  <c r="J34" i="44" l="1"/>
  <c r="E16" i="29"/>
  <c r="E16" i="28"/>
  <c r="E24" i="28"/>
  <c r="D71" i="22"/>
  <c r="N6" i="42"/>
  <c r="B9" i="42" s="1"/>
  <c r="E51" i="22"/>
  <c r="J25" i="44" l="1"/>
  <c r="M34" i="44"/>
  <c r="N34" i="44" s="1"/>
  <c r="O34" i="44" s="1"/>
  <c r="K34" i="44"/>
  <c r="E9" i="42"/>
  <c r="I9" i="42"/>
  <c r="F9" i="42"/>
  <c r="H9" i="42"/>
  <c r="J9" i="42"/>
  <c r="C9" i="42"/>
  <c r="G9" i="42"/>
  <c r="K9" i="42"/>
  <c r="D9" i="42"/>
  <c r="K25" i="44" l="1"/>
  <c r="M25" i="44"/>
  <c r="N25" i="44" s="1"/>
  <c r="O25" i="44" s="1"/>
  <c r="J6" i="44"/>
  <c r="K6" i="44" s="1"/>
  <c r="L9" i="42"/>
  <c r="N9" i="42"/>
  <c r="M6" i="44" l="1"/>
  <c r="N6" i="44" s="1"/>
  <c r="O6" i="44" s="1"/>
  <c r="D8" i="26"/>
  <c r="E8" i="26" l="1"/>
  <c r="D9" i="26" l="1"/>
  <c r="E9" i="26" l="1"/>
  <c r="D10" i="26" l="1"/>
  <c r="E10" i="26" s="1"/>
  <c r="D11" i="26" l="1"/>
  <c r="E11" i="26" s="1"/>
  <c r="D12" i="26" l="1"/>
  <c r="E12" i="26" s="1"/>
  <c r="D13" i="26" l="1"/>
  <c r="E13" i="26" s="1"/>
  <c r="D14" i="26" l="1"/>
  <c r="E14" i="26" s="1"/>
  <c r="D15" i="26" l="1"/>
  <c r="E15" i="26" s="1"/>
  <c r="D16" i="26" l="1"/>
  <c r="D18" i="26" s="1"/>
  <c r="D23" i="26" s="1"/>
  <c r="D24" i="26" l="1"/>
  <c r="D25" i="26" s="1"/>
  <c r="N12" i="42" s="1"/>
  <c r="B15" i="42" s="1"/>
  <c r="E23" i="26"/>
  <c r="E16" i="26"/>
  <c r="C18" i="26"/>
  <c r="E18" i="26" s="1"/>
  <c r="E24" i="26" l="1"/>
  <c r="C15" i="42" l="1"/>
  <c r="D8" i="30"/>
  <c r="J12" i="44" l="1"/>
  <c r="K12" i="44" s="1"/>
  <c r="G15" i="42"/>
  <c r="E15" i="42"/>
  <c r="F15" i="42"/>
  <c r="I15" i="42"/>
  <c r="H15" i="42"/>
  <c r="J15" i="42"/>
  <c r="K15" i="42"/>
  <c r="D15" i="42"/>
  <c r="E8" i="30"/>
  <c r="M12" i="44" l="1"/>
  <c r="N12" i="44" s="1"/>
  <c r="O12" i="44" s="1"/>
  <c r="L15" i="42"/>
  <c r="N15" i="42"/>
  <c r="D9" i="30"/>
  <c r="E9" i="30" l="1"/>
  <c r="D10" i="30" l="1"/>
  <c r="E10" i="30" l="1"/>
  <c r="D11" i="30" l="1"/>
  <c r="E11" i="30" l="1"/>
  <c r="D12" i="30" l="1"/>
  <c r="E12" i="30" s="1"/>
  <c r="D13" i="30" l="1"/>
  <c r="E13" i="30" s="1"/>
  <c r="D14" i="30" l="1"/>
  <c r="E14" i="30" s="1"/>
  <c r="D15" i="30" l="1"/>
  <c r="E15" i="30" l="1"/>
  <c r="C18" i="30" l="1"/>
  <c r="E18" i="30" s="1"/>
  <c r="D16" i="30"/>
  <c r="D18" i="30" s="1"/>
  <c r="E23" i="30" l="1"/>
  <c r="E24" i="30" s="1"/>
  <c r="E16" i="30"/>
  <c r="J41" i="44" l="1"/>
  <c r="K41" i="44" s="1"/>
  <c r="M44" i="44" l="1"/>
  <c r="M43" i="44"/>
  <c r="M41" i="44" l="1"/>
  <c r="N41" i="44" s="1"/>
  <c r="O41" i="44" s="1"/>
  <c r="M50" i="44"/>
  <c r="M49" i="44"/>
  <c r="M47" i="44" l="1"/>
  <c r="N47" i="44" s="1"/>
  <c r="O47" i="44" s="1"/>
  <c r="N29" i="44"/>
  <c r="O29" i="4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<sst xmlns="http://schemas.openxmlformats.org/spreadsheetml/2006/main" count="1119" uniqueCount="407">
  <si>
    <t>Cascade Natural Gas Corporation</t>
  </si>
  <si>
    <t>Advice No. CNGC/W24-03-01</t>
  </si>
  <si>
    <t>Schedule 700, Climate Commitment Act Adjustment Schedule</t>
  </si>
  <si>
    <t>CCA Costs</t>
  </si>
  <si>
    <t>Emissions Allowances</t>
  </si>
  <si>
    <t>Deferred Costs</t>
  </si>
  <si>
    <t>Interest</t>
  </si>
  <si>
    <t>Subtotal w/ Interest</t>
  </si>
  <si>
    <t>Interest During Amortization</t>
  </si>
  <si>
    <t>Subtotal w/ Amortization Interest</t>
  </si>
  <si>
    <t>Revenue Sensitive Factor</t>
  </si>
  <si>
    <t>Total CCA Costs</t>
  </si>
  <si>
    <t>CCA Benefits</t>
  </si>
  <si>
    <t>Consignment Revenue</t>
  </si>
  <si>
    <t xml:space="preserve">Interest </t>
  </si>
  <si>
    <t>B&amp;O Tax</t>
  </si>
  <si>
    <t>Total CCA Benefits</t>
  </si>
  <si>
    <t>CCA Cost Breakdown</t>
  </si>
  <si>
    <t>2024 Forecast</t>
  </si>
  <si>
    <t>Total</t>
  </si>
  <si>
    <t>Labor/Benefits</t>
  </si>
  <si>
    <t>Brokerage Fee</t>
  </si>
  <si>
    <t>Consulting</t>
  </si>
  <si>
    <t>Other</t>
  </si>
  <si>
    <t>Total Deferred Costs</t>
  </si>
  <si>
    <t xml:space="preserve">     Account 1823.2058</t>
  </si>
  <si>
    <t xml:space="preserve">     Account 1823.2065</t>
  </si>
  <si>
    <t>Total Interest</t>
  </si>
  <si>
    <t>CCA Benefit Breakdown</t>
  </si>
  <si>
    <t>Account 2540.20491</t>
  </si>
  <si>
    <t>Tariff Schedule</t>
  </si>
  <si>
    <t>Description</t>
  </si>
  <si>
    <t>Residential,      Pre-07/21/2021</t>
  </si>
  <si>
    <t>Residential,  Post-07/21/2021</t>
  </si>
  <si>
    <t>Residential, Low-Income</t>
  </si>
  <si>
    <t>General Commercial,       Pre-07/21/2021</t>
  </si>
  <si>
    <t>General Commercial, Post-07/21/2021</t>
  </si>
  <si>
    <t>General Industrial,        Pre-07/21/2021</t>
  </si>
  <si>
    <t>General Industrial,     Post-07/21/2021</t>
  </si>
  <si>
    <t>Large Volume, Pre-07/21/2021</t>
  </si>
  <si>
    <t>Large Volume, Post-07/21/2021</t>
  </si>
  <si>
    <t>Interuptible, Pre-07/21/2021</t>
  </si>
  <si>
    <t>Interuptible,   Post-07/21/2021</t>
  </si>
  <si>
    <t>Transport,             Pre-07/21/2021</t>
  </si>
  <si>
    <t>Receive Benefits</t>
  </si>
  <si>
    <t>Yes</t>
  </si>
  <si>
    <t>No</t>
  </si>
  <si>
    <t>Total Therm Usage</t>
  </si>
  <si>
    <t>Customer Class Percentage of Total Therm Usage</t>
  </si>
  <si>
    <t>Total CCA Costs through December 2024</t>
  </si>
  <si>
    <t>Customer Class CCA Cost Allocation</t>
  </si>
  <si>
    <t>Interest Accrued</t>
  </si>
  <si>
    <t>Costs After Revenue Sensitive Factor</t>
  </si>
  <si>
    <t>Revenue Requirement</t>
  </si>
  <si>
    <t>Total Eligbile Therms</t>
  </si>
  <si>
    <t>Customer Class Percentage of Total Eligible Therms</t>
  </si>
  <si>
    <t>Benefits Allocation</t>
  </si>
  <si>
    <t>Benefits After Revenue Sensitive Factor</t>
  </si>
  <si>
    <t>N/A</t>
  </si>
  <si>
    <t>Notes:</t>
  </si>
  <si>
    <t>Non-Winter</t>
  </si>
  <si>
    <t>Winter</t>
  </si>
  <si>
    <t>May</t>
  </si>
  <si>
    <t>June</t>
  </si>
  <si>
    <t>July</t>
  </si>
  <si>
    <t>August</t>
  </si>
  <si>
    <t>September</t>
  </si>
  <si>
    <t>October</t>
  </si>
  <si>
    <t>November</t>
  </si>
  <si>
    <t>December</t>
  </si>
  <si>
    <t>January</t>
  </si>
  <si>
    <t>February</t>
  </si>
  <si>
    <t>March</t>
  </si>
  <si>
    <t>Total NV Credit</t>
  </si>
  <si>
    <t>Percentage of Annual Therm Usage</t>
  </si>
  <si>
    <t>Average Monthly Credit</t>
  </si>
  <si>
    <t>Schedule 503 Pre-7/25/2021</t>
  </si>
  <si>
    <t>Schedule 504 Pre-7/25/2021</t>
  </si>
  <si>
    <t>Basic Service Charge</t>
  </si>
  <si>
    <t>Current Billing Rate</t>
  </si>
  <si>
    <t>Customer Count</t>
  </si>
  <si>
    <t>Annual Therms (Per Customer)</t>
  </si>
  <si>
    <t>Average Monthly Therms (Per Customer)</t>
  </si>
  <si>
    <t>Current Monthly Bill</t>
  </si>
  <si>
    <t>Proposed Billing Rate</t>
  </si>
  <si>
    <t>Proposed Monthly Bill</t>
  </si>
  <si>
    <t>Proposed Bill Difference $</t>
  </si>
  <si>
    <t>Rate Schedule 503-Residential Service - Pre August 2021</t>
  </si>
  <si>
    <t>Rate Schedule 503-Residential Service - Post August 2021</t>
  </si>
  <si>
    <t>Rate Schedule 503-Residential Service - Low-income</t>
  </si>
  <si>
    <t>Rate Schedule 504-General Commerical Service Pre-07/25/21</t>
  </si>
  <si>
    <t>Rate Schedule 504-General Commerical Service Post-07/25/21</t>
  </si>
  <si>
    <t>Rate Schedule 511-Large Volume General Pre-07/21/25</t>
  </si>
  <si>
    <t>First 20,000 Therms</t>
  </si>
  <si>
    <t>Next 80,000 Therms</t>
  </si>
  <si>
    <t>Over 100,000 Therms</t>
  </si>
  <si>
    <t>Rate Schedule 511-Large Volume General Post-07/25/21</t>
  </si>
  <si>
    <t>Rate Schedule 505-General Industrial Service Pre-07/25/21</t>
  </si>
  <si>
    <t>First 500 Therms</t>
  </si>
  <si>
    <t>3,500 Next Therms</t>
  </si>
  <si>
    <t>4,000 &amp; Over Therms</t>
  </si>
  <si>
    <t>Rate Schedule 505-General Industrial Service Post-07/25/21</t>
  </si>
  <si>
    <t>Rate Schedule 570-Interruptible Service Pre-07/25/21</t>
  </si>
  <si>
    <t>30,000 Next Therms</t>
  </si>
  <si>
    <t>30,000 &amp; Over Therms</t>
  </si>
  <si>
    <t>Rate Schedule 570-Interruptible Service Post-07/25/21</t>
  </si>
  <si>
    <t>Rate Schedule 663-Distribution System Transportation Pre-07/25/21</t>
  </si>
  <si>
    <t>System Balancing Charge</t>
  </si>
  <si>
    <t>First 100,000 Therms</t>
  </si>
  <si>
    <t>Next 200,000 Therms</t>
  </si>
  <si>
    <t>Over 500,000 Therms</t>
  </si>
  <si>
    <t>Rate Schedule 663-Distribution System Transportation Post-07/25/21</t>
  </si>
  <si>
    <t>CNGC Low-Income Cust. %</t>
  </si>
  <si>
    <t>Total Number of Customers</t>
  </si>
  <si>
    <t>July 2021 Customers</t>
  </si>
  <si>
    <t>Total by Schedule (Forecasted)</t>
  </si>
  <si>
    <t>May 2024</t>
  </si>
  <si>
    <t>Jun 2024</t>
  </si>
  <si>
    <t>Jul 2024</t>
  </si>
  <si>
    <t>Aug 2024</t>
  </si>
  <si>
    <t>Sep 2024</t>
  </si>
  <si>
    <t>Oct 2024</t>
  </si>
  <si>
    <t>Nov 2024</t>
  </si>
  <si>
    <t>Dec 2024</t>
  </si>
  <si>
    <t>Jan 2025</t>
  </si>
  <si>
    <t>Feb 2025</t>
  </si>
  <si>
    <t>Mar 2025</t>
  </si>
  <si>
    <t>Totals</t>
  </si>
  <si>
    <t>Average</t>
  </si>
  <si>
    <t>Schedule 503 Residential</t>
  </si>
  <si>
    <t>Schedule 504 Gen. Commercial</t>
  </si>
  <si>
    <t>Schedule 505 Gen. Industrial</t>
  </si>
  <si>
    <t>Schedule 511 LV General</t>
  </si>
  <si>
    <t>Schedule 570 Interruptible</t>
  </si>
  <si>
    <t>Schedule 663 Transportation</t>
  </si>
  <si>
    <t>Schedule 663 Transportation*</t>
  </si>
  <si>
    <t>*Schedule 663 customer count based on 2023 year end count. Customer count is declining so there is no forecast.</t>
  </si>
  <si>
    <t>Exempt/NAICS Customers</t>
  </si>
  <si>
    <t>New Customers - Post 7/25/21</t>
  </si>
  <si>
    <t>Marginal Customer</t>
  </si>
  <si>
    <t>Eligible Customers by Schedule Breakdown</t>
  </si>
  <si>
    <t>Schedule 503 Post-7/25/2021</t>
  </si>
  <si>
    <t>Schedule 503 Low Income</t>
  </si>
  <si>
    <t>Schedule 504 Post-7/25/2021</t>
  </si>
  <si>
    <t>Schedule 505 Pre-7/25/2021</t>
  </si>
  <si>
    <t>Schedule 505 Post-7/25/2021</t>
  </si>
  <si>
    <t>Schedule 511 Pre-7/25/2021</t>
  </si>
  <si>
    <t>Schedule 511 Post-7/25/2021</t>
  </si>
  <si>
    <t>Schedule 570 Pre-7/25/2021</t>
  </si>
  <si>
    <t>Schedule 570 Post-7/25/20211</t>
  </si>
  <si>
    <t>Schedule 663 Pre-7/25/2021</t>
  </si>
  <si>
    <t>Schedule 663 Post-7/25/2021</t>
  </si>
  <si>
    <t>Average Customers</t>
  </si>
  <si>
    <t>Percentage of Respective Sched.</t>
  </si>
  <si>
    <t>Schedule 503 Residential Total</t>
  </si>
  <si>
    <t>Schedule 504 Gen. Commercial Total</t>
  </si>
  <si>
    <t>Schedule 505 Gen. Industrial Total</t>
  </si>
  <si>
    <t>Schedule 511 LV General Total</t>
  </si>
  <si>
    <t>Schedule 570 Interruptible Total</t>
  </si>
  <si>
    <t>Schedule 663 Transportation Total</t>
  </si>
  <si>
    <t>CNGC Low Income Cust. %</t>
  </si>
  <si>
    <t>Schedule</t>
  </si>
  <si>
    <t>Residential</t>
  </si>
  <si>
    <t>Gen. Commercial</t>
  </si>
  <si>
    <t>Gen. Industrial</t>
  </si>
  <si>
    <t>LV General</t>
  </si>
  <si>
    <t>Interuptible</t>
  </si>
  <si>
    <t>Transportation</t>
  </si>
  <si>
    <t>Eligible Therm Usage by Schedule Breakdown</t>
  </si>
  <si>
    <t>Winter %</t>
  </si>
  <si>
    <t>Non-Winter %</t>
  </si>
  <si>
    <t>Eligible Therms for 2024 (For Bill Impact)</t>
  </si>
  <si>
    <t>2024 Therm Usage</t>
  </si>
  <si>
    <t>Jan</t>
  </si>
  <si>
    <t>Feb</t>
  </si>
  <si>
    <t>Mar</t>
  </si>
  <si>
    <t>Apr</t>
  </si>
  <si>
    <t>Jun</t>
  </si>
  <si>
    <t>Jul</t>
  </si>
  <si>
    <t>Aug</t>
  </si>
  <si>
    <t>Sep</t>
  </si>
  <si>
    <t>Oct</t>
  </si>
  <si>
    <t>Nov</t>
  </si>
  <si>
    <t>Dec</t>
  </si>
  <si>
    <t>Year</t>
  </si>
  <si>
    <t>2024 Average Monthly Customer Therm Usage</t>
  </si>
  <si>
    <t>Conversion Factor for Revenue Sensitive Costs</t>
  </si>
  <si>
    <t>UG-210755</t>
  </si>
  <si>
    <t>Line No</t>
  </si>
  <si>
    <t>Calculations</t>
  </si>
  <si>
    <t>A</t>
  </si>
  <si>
    <t>B</t>
  </si>
  <si>
    <t>Revenues</t>
  </si>
  <si>
    <t>Operating Revenue Deductions</t>
  </si>
  <si>
    <t>Uncollectible Accounts</t>
  </si>
  <si>
    <t>State B&amp;O Tax</t>
  </si>
  <si>
    <t>Commission Fees</t>
  </si>
  <si>
    <t>Interest expense</t>
  </si>
  <si>
    <t>State Taxable Income</t>
  </si>
  <si>
    <t>State Income Tax</t>
  </si>
  <si>
    <t>Federal Taxable Income</t>
  </si>
  <si>
    <t>Total Income Taxes</t>
  </si>
  <si>
    <t>Total Revenue Sensitive Costs</t>
  </si>
  <si>
    <t>Conversion Factor</t>
  </si>
  <si>
    <t>Combo-State &amp; Federal Income Tax</t>
  </si>
  <si>
    <t xml:space="preserve">  State</t>
  </si>
  <si>
    <t xml:space="preserve">  Federal </t>
  </si>
  <si>
    <t>State and Federal Effective Tax Rate</t>
  </si>
  <si>
    <t>Revenue Sensitivity Factor</t>
  </si>
  <si>
    <t>Rate Calculator for Schedule 503 - Residential</t>
  </si>
  <si>
    <t>Costs</t>
  </si>
  <si>
    <t>Amortization</t>
  </si>
  <si>
    <t>Balance</t>
  </si>
  <si>
    <t>Interest Rate</t>
  </si>
  <si>
    <t>Benefits</t>
  </si>
  <si>
    <t>Revenue Sensitive Factor (RSF)</t>
  </si>
  <si>
    <t>Benefit Calculator for Schedule 503 - Residential, Low Income</t>
  </si>
  <si>
    <t>Rate Calculator for Schedules 504-663</t>
  </si>
  <si>
    <t>Therms</t>
  </si>
  <si>
    <t>Benefit Calculator for Schedule 504</t>
  </si>
  <si>
    <t>Benefit Calculator for Schedule 505</t>
  </si>
  <si>
    <t>Benefit Calculator for Schedule 511</t>
  </si>
  <si>
    <t>Benefit Calculator for Schedule 570</t>
  </si>
  <si>
    <t>Benefit Calculator for Schedule 663</t>
  </si>
  <si>
    <t>Jan 2024</t>
  </si>
  <si>
    <t>Feb 2024</t>
  </si>
  <si>
    <t>Mar 2024</t>
  </si>
  <si>
    <t>Apr 2024</t>
  </si>
  <si>
    <t>Year 2024</t>
  </si>
  <si>
    <t xml:space="preserve">   WA Residential </t>
  </si>
  <si>
    <t xml:space="preserve">   WA Core Commercial </t>
  </si>
  <si>
    <t xml:space="preserve">   WA LV Commercial </t>
  </si>
  <si>
    <t xml:space="preserve">   WA Core Industrial </t>
  </si>
  <si>
    <t xml:space="preserve">   WA LV Industrial </t>
  </si>
  <si>
    <t xml:space="preserve">   WA Core Industrial Interruptible </t>
  </si>
  <si>
    <t xml:space="preserve">   Gas Revenue Schedule Total </t>
  </si>
  <si>
    <t xml:space="preserve">     </t>
  </si>
  <si>
    <t>2024 Final</t>
  </si>
  <si>
    <t>CNG Transportation Volume - Dt</t>
  </si>
  <si>
    <t xml:space="preserve">   WA Non-Core </t>
  </si>
  <si>
    <t>Sales Volume - Dt</t>
  </si>
  <si>
    <t xml:space="preserve">   WA Electric Generation </t>
  </si>
  <si>
    <t>YEAR</t>
  </si>
  <si>
    <t>WA Demand</t>
  </si>
  <si>
    <t>Forecasted CNG WA Demand (Dth)</t>
  </si>
  <si>
    <t>Forecasted CNG WA Emissions (MTCO2e)</t>
  </si>
  <si>
    <t>Actual CNG WA Demand (Dth)</t>
  </si>
  <si>
    <t>Actual CNG WA Emissions (MTCO2e)</t>
  </si>
  <si>
    <t>Compliance Instruments</t>
  </si>
  <si>
    <t>Offsets WA Volume (MTCO2e)</t>
  </si>
  <si>
    <t>Offsets WA Price ($/MTCO2e)</t>
  </si>
  <si>
    <t>Offsets WA Cost ($)</t>
  </si>
  <si>
    <t>WA Allowance Auction Volumes (MTCO2e)</t>
  </si>
  <si>
    <t>WA Allowance Auction Price ($/MTCO2e)</t>
  </si>
  <si>
    <t>WA Allowance Auction Cost ($)</t>
  </si>
  <si>
    <t>Revenue from consignment of WA no-cost allowances ($)</t>
  </si>
  <si>
    <t>Labor/Benefits WA</t>
  </si>
  <si>
    <t>Brokerage Fee WA</t>
  </si>
  <si>
    <t>Consulting WA</t>
  </si>
  <si>
    <t>Other WA</t>
  </si>
  <si>
    <t>Other WA Deferred Costs</t>
  </si>
  <si>
    <t>Washington Costs</t>
  </si>
  <si>
    <t xml:space="preserve">     Offsets Cost</t>
  </si>
  <si>
    <t xml:space="preserve">     Allowance Auction Costs</t>
  </si>
  <si>
    <t xml:space="preserve">     Labor/Benefits</t>
  </si>
  <si>
    <t xml:space="preserve">     Brokerage Fee</t>
  </si>
  <si>
    <t xml:space="preserve">     Consulting</t>
  </si>
  <si>
    <t xml:space="preserve">     Other</t>
  </si>
  <si>
    <t>Washington Revenues</t>
  </si>
  <si>
    <t xml:space="preserve">     Revenue from NCA consignment</t>
  </si>
  <si>
    <t>Net</t>
  </si>
  <si>
    <t>2022 TOTAL</t>
  </si>
  <si>
    <t xml:space="preserve">2023 TOTAL </t>
  </si>
  <si>
    <t xml:space="preserve">2024 TOTAL </t>
  </si>
  <si>
    <t>April</t>
  </si>
  <si>
    <t>MONTH</t>
  </si>
  <si>
    <t>THERMS</t>
  </si>
  <si>
    <t>REVENUE</t>
  </si>
  <si>
    <t>Column1</t>
  </si>
  <si>
    <t>3-Year Average Therm Values for Exempt Customers</t>
  </si>
  <si>
    <t xml:space="preserve">June </t>
  </si>
  <si>
    <t>Schedule 663</t>
  </si>
  <si>
    <t>Schedule 570</t>
  </si>
  <si>
    <t>Sept</t>
  </si>
  <si>
    <t>2020-21</t>
  </si>
  <si>
    <t>2021-22</t>
  </si>
  <si>
    <t>2022-23</t>
  </si>
  <si>
    <t>3-YR Avg</t>
  </si>
  <si>
    <t>State of Washington-Natural Gas</t>
  </si>
  <si>
    <t>Effective-November 1, 2023</t>
  </si>
  <si>
    <t>Margin</t>
  </si>
  <si>
    <t>WACOG      Sch 590</t>
  </si>
  <si>
    <t>Temporary Gas Cost       Sch 590</t>
  </si>
  <si>
    <t>Un-Protected EDIT                   Sch 582</t>
  </si>
  <si>
    <t>Cares Program Sch 592</t>
  </si>
  <si>
    <t>WEAF          Sch 593</t>
  </si>
  <si>
    <t>Decoupling Mechanism Adj.  Sch 594</t>
  </si>
  <si>
    <t>Cost Recovery Mechanism Sch 597</t>
  </si>
  <si>
    <t>Conservation Program Adjustment           Sch 596</t>
  </si>
  <si>
    <t>Billing Rate as of Nov. 1, 2023</t>
  </si>
  <si>
    <t>Rate Schedule 503-Residential Service</t>
  </si>
  <si>
    <t>All Gas Used per Month</t>
  </si>
  <si>
    <t>Rate Schedule 504-General Commerical Service</t>
  </si>
  <si>
    <t>Rate Schedule 511-Large Volume General</t>
  </si>
  <si>
    <t>First 20000</t>
  </si>
  <si>
    <t>Next 80000</t>
  </si>
  <si>
    <t>Over 100000</t>
  </si>
  <si>
    <t>Rate Schedule 505-General Industrial Service</t>
  </si>
  <si>
    <t>First 500</t>
  </si>
  <si>
    <t>3500 Next</t>
  </si>
  <si>
    <t>4000 &amp; Over</t>
  </si>
  <si>
    <t>Rate Schedule 570-Interruptible Service</t>
  </si>
  <si>
    <t>30000 Next</t>
  </si>
  <si>
    <t>30000 &amp; Over</t>
  </si>
  <si>
    <t>Rate Schedule 663-Distribution System Transportation</t>
  </si>
  <si>
    <t>Contract Demand Charge</t>
  </si>
  <si>
    <t>First 100000</t>
  </si>
  <si>
    <t>Next 200000</t>
  </si>
  <si>
    <t>Over 500000</t>
  </si>
  <si>
    <t>CASCADE NATURAL GAS CORPORATION</t>
  </si>
  <si>
    <t>Used for carrying charge on deferred Climate Commitment Act Balances</t>
  </si>
  <si>
    <t>STATE OF WASHINGTON</t>
  </si>
  <si>
    <t>Docket UG-220759  Order 01</t>
  </si>
  <si>
    <t>Approved Cost of Debt Interest Rates</t>
  </si>
  <si>
    <t>Check for rate changes at settlement of each General Rate Case</t>
  </si>
  <si>
    <t>Rates can be found as part of Settlement Agreement Documentation</t>
  </si>
  <si>
    <t>Month/ Year</t>
  </si>
  <si>
    <t xml:space="preserve"> # of Days in Month</t>
  </si>
  <si>
    <t>ACODINT22</t>
  </si>
  <si>
    <t>ACODINT23</t>
  </si>
  <si>
    <t>ACODINT24</t>
  </si>
  <si>
    <t>State:</t>
  </si>
  <si>
    <t>Washington</t>
  </si>
  <si>
    <t>Description:</t>
  </si>
  <si>
    <t>WA Climate Control Act (CCA) compliance costs - Deferral</t>
  </si>
  <si>
    <t>Account number:</t>
  </si>
  <si>
    <t>47WA.1823.2058</t>
  </si>
  <si>
    <t>Class of customers:</t>
  </si>
  <si>
    <t>All</t>
  </si>
  <si>
    <t>Deferral period:</t>
  </si>
  <si>
    <t>10/1/22 - ????</t>
  </si>
  <si>
    <t>Amortization period:</t>
  </si>
  <si>
    <t>Unknown</t>
  </si>
  <si>
    <t>Narrative:</t>
  </si>
  <si>
    <t>Costs of compliance with Climate Control Act, including consultants, incremental employees, purchase/trade of Carbon Compliance Inststruments, and certain RNG costs.  Docket UG-220759  Order 01</t>
  </si>
  <si>
    <t>Debit (Credit)</t>
  </si>
  <si>
    <t>Rate</t>
  </si>
  <si>
    <t>Deferral</t>
  </si>
  <si>
    <t>Adjustments</t>
  </si>
  <si>
    <t>Deferred Balance</t>
  </si>
  <si>
    <t>General Ledger Balance</t>
  </si>
  <si>
    <t>Difference to G/L Balance</t>
  </si>
  <si>
    <t>Reconciled By</t>
  </si>
  <si>
    <t>Date Reconciled</t>
  </si>
  <si>
    <t>T Durado</t>
  </si>
  <si>
    <t>488.51 Int True-up to reflect timing of deferral postings.</t>
  </si>
  <si>
    <t>(539.95) Int True-up to reflect ACOD Int Rate</t>
  </si>
  <si>
    <t>WA CCA Emissions Allowances Purchased - Non Current</t>
  </si>
  <si>
    <t>47WA.1823.2063</t>
  </si>
  <si>
    <t>Note: Interest on Purchased Allowances recorded</t>
  </si>
  <si>
    <t xml:space="preserve">1/1/23 - </t>
  </si>
  <si>
    <t>in 47WA.1823.2065</t>
  </si>
  <si>
    <t>To record Emissions Allowances purchased under WA Climate Protection Act.  WA UG-220759 Order 01</t>
  </si>
  <si>
    <t>WA CCA Liability Offset - Non Current</t>
  </si>
  <si>
    <t>47WA.1823.2064</t>
  </si>
  <si>
    <t>To record difference between Allowances Purchased and estimated Emissions Liability under WA Climate Protection Act.  WA UG-220759 Order 01</t>
  </si>
  <si>
    <t>Accrued Interest on WA CCA Emissions Allowances Purchased - Non Current</t>
  </si>
  <si>
    <t>47WA.1823.2065</t>
  </si>
  <si>
    <t>To record Accrued Interest onEmissions Allowances purchased under WA Climate Protection Act.  WA UG-220759 Order 01</t>
  </si>
  <si>
    <t>Allowances Purchased
47WA.1581.1</t>
  </si>
  <si>
    <t>Allowances Purchased
47WA.1581.3</t>
  </si>
  <si>
    <t>Interest Bearing Balance</t>
  </si>
  <si>
    <t>Running Interest Total</t>
  </si>
  <si>
    <t>General Ledger Balance 47WA.1823.2065</t>
  </si>
  <si>
    <t>WA Climate Control Act (CCA) Consignment Proceeds - Deferral</t>
  </si>
  <si>
    <t>47WA.2540.20491</t>
  </si>
  <si>
    <t>Proceeds related to compliance with Climate Control Act, including credit auction revenues from sale of CCA Allowances/Credits.  Docket UG-220759  Order 01</t>
  </si>
  <si>
    <t>Cascade Natural Gas Corp.</t>
  </si>
  <si>
    <t>Washington Jurisdiction</t>
  </si>
  <si>
    <t>Twelve-Months ended December 31, 2020</t>
  </si>
  <si>
    <t>Transport, Post-07/21/2021</t>
  </si>
  <si>
    <t>Schedule 511 Calculation</t>
  </si>
  <si>
    <r>
      <rPr>
        <b/>
        <sz val="11"/>
        <color theme="1"/>
        <rFont val="Calibri"/>
        <family val="2"/>
        <scheme val="minor"/>
      </rPr>
      <t>Schedule 503</t>
    </r>
    <r>
      <rPr>
        <sz val="11"/>
        <color theme="1"/>
        <rFont val="Calibri"/>
        <family val="2"/>
        <scheme val="minor"/>
      </rPr>
      <t xml:space="preserve"> Pre-7/25/2021 Therms</t>
    </r>
  </si>
  <si>
    <r>
      <rPr>
        <b/>
        <sz val="11"/>
        <color theme="1"/>
        <rFont val="Calibri"/>
        <family val="2"/>
        <scheme val="minor"/>
      </rPr>
      <t>Schedule 504</t>
    </r>
    <r>
      <rPr>
        <sz val="11"/>
        <color theme="1"/>
        <rFont val="Calibri"/>
        <family val="2"/>
        <scheme val="minor"/>
      </rPr>
      <t xml:space="preserve"> Pre-7/25/2021 Therms</t>
    </r>
  </si>
  <si>
    <t>Potential Monthly WA Climate Act Credit</t>
  </si>
  <si>
    <t>Monthly WA Climate Act Fee (Per Therm)</t>
  </si>
  <si>
    <r>
      <t>Maximum Monthly WA Climate Act Credit</t>
    </r>
    <r>
      <rPr>
        <vertAlign val="superscript"/>
        <sz val="11"/>
        <color theme="1"/>
        <rFont val="Calibri"/>
        <family val="2"/>
        <scheme val="minor"/>
      </rPr>
      <t>1</t>
    </r>
  </si>
  <si>
    <r>
      <t>Proposed WA Climate Act Rate (Credit)</t>
    </r>
    <r>
      <rPr>
        <b/>
        <vertAlign val="superscript"/>
        <sz val="11"/>
        <rFont val="Calibri"/>
        <family val="2"/>
        <scheme val="minor"/>
      </rPr>
      <t>1</t>
    </r>
  </si>
  <si>
    <t>Proposed WA Climate Act Rate (Charge)</t>
  </si>
  <si>
    <t>Proposed WA Climate Act Rate Bill Increase</t>
  </si>
  <si>
    <t>Proposed WA Climate Act Net Bill Impact</t>
  </si>
  <si>
    <t>Proposed WA Climate Act Bill Impact %</t>
  </si>
  <si>
    <t>1) For Schedules 503 and 504 the Credit changes monthly to better reflect actual patterns of usage.</t>
  </si>
  <si>
    <t>1) Monthly Bill Credit capped at 80% of total WA Climate Act Fee.</t>
  </si>
  <si>
    <t>2) Schedule 503 Residential and Schedule 504 General Commercial receive a monthly WA Climate Act credit.</t>
  </si>
  <si>
    <t>2024 Q1</t>
  </si>
  <si>
    <t>Total Eligible Forecasted Loads - 10 Months (Therms)</t>
  </si>
  <si>
    <t>Average Customer Count                 (Jun 24 - Mar 25)</t>
  </si>
  <si>
    <t>Effective-June 1, 2024</t>
  </si>
  <si>
    <t>EAG Stipends</t>
  </si>
  <si>
    <r>
      <t>B&amp;O Tax</t>
    </r>
    <r>
      <rPr>
        <u/>
        <vertAlign val="superscript"/>
        <sz val="11"/>
        <color theme="1"/>
        <rFont val="Calibri"/>
        <family val="2"/>
        <scheme val="minor"/>
      </rPr>
      <t>1</t>
    </r>
  </si>
  <si>
    <t>1) B&amp;O tax was applied to 2023 actual/historical consignment revenues in the Company's original filing. Subsequent to the original filing, HB 2199 was passed, thereby making the consignment revenues associated with the Climate Commitment Act not subject to B&amp;O tax. The company has updated the filing to reflect this.</t>
  </si>
  <si>
    <t>Total Benefits through December 2024</t>
  </si>
  <si>
    <t>UG-240141, Advice No. W24-03-01</t>
  </si>
  <si>
    <t xml:space="preserve"> </t>
  </si>
  <si>
    <t>Redacted</t>
  </si>
  <si>
    <r>
      <t xml:space="preserve">Shaded information is designated as </t>
    </r>
    <r>
      <rPr>
        <b/>
        <sz val="11"/>
        <color rgb="FFFF0000"/>
        <rFont val="Calibri"/>
        <family val="2"/>
        <scheme val="minor"/>
      </rPr>
      <t>CONFIDENTIAL</t>
    </r>
    <r>
      <rPr>
        <sz val="11"/>
        <color rgb="FFFF0000"/>
        <rFont val="Calibri"/>
        <family val="2"/>
        <scheme val="minor"/>
      </rPr>
      <t xml:space="preserve"> </t>
    </r>
    <r>
      <rPr>
        <sz val="11"/>
        <color theme="1"/>
        <rFont val="Calibri"/>
        <family val="2"/>
        <scheme val="minor"/>
      </rPr>
      <t>per WAC 480-07-160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</si>
</sst>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44" formatCode="_(&quot;$&quot;* #,##0.00_);_(&quot;$&quot;* \(#,##0.00\);_(&quot;$&quot;* &quot;-&quot;??_);_(@_)"/>
    <numFmt numFmtId="43" formatCode="_(* #,##0.00_);_(* \(#,##0.00\);_(* &quot;-&quot;??_);_(@_)"/>
    <numFmt numFmtId="164" formatCode="#,##0_);[Red]\(#,##0\);&quot;0&quot;"/>
    <numFmt numFmtId="165" formatCode="#,##0.0000_);[Red]\(#,##0.0000\);&quot; &quot;"/>
    <numFmt numFmtId="166" formatCode="_(&quot;$&quot;* #,##0_);_(&quot;$&quot;* \(#,##0\);_(&quot;$&quot;* &quot;-&quot;??_);_(@_)"/>
    <numFmt numFmtId="167" formatCode="_(* #,##0_);_(* \(#,##0\);_(* &quot;-&quot;??_);_(@_)"/>
    <numFmt numFmtId="168" formatCode="_(&quot;$&quot;* #,##0.00000_);_(&quot;$&quot;* \(#,##0.00000\);_(&quot;$&quot;* &quot;-&quot;??_);_(@_)"/>
    <numFmt numFmtId="169" formatCode="&quot;$&quot;#,##0.00"/>
    <numFmt numFmtId="170" formatCode="&quot;$&quot;#,##0"/>
    <numFmt numFmtId="171" formatCode="mm/dd/yy;@"/>
    <numFmt numFmtId="172" formatCode="[$-409]mmm\-yy;@"/>
    <numFmt numFmtId="173" formatCode="#,##0.00_);[Red]\(#,##0.00\);&quot; &quot;"/>
    <numFmt numFmtId="174" formatCode="0.00000"/>
    <numFmt numFmtId="175" formatCode="_(&quot;$&quot;* #,##0.0000_);_(&quot;$&quot;* \(#,##0.0000\);_(&quot;$&quot;* &quot;-&quot;??_);_(@_)"/>
    <numFmt numFmtId="176" formatCode="#,##0.00000_);\(#,##0.00000\)"/>
    <numFmt numFmtId="177" formatCode="&quot;$&quot;#,##0.00000"/>
    <numFmt numFmtId="178" formatCode="_(&quot;$&quot;* #,##0.000000_);_(&quot;$&quot;* \(#,##0.000000\);_(&quot;$&quot;* &quot;-&quot;??_);_(@_)"/>
    <numFmt numFmtId="179" formatCode="_(* #,##0.0000_);_(* \(#,##0.0000\);_(* &quot;-&quot;??_);_(@_)"/>
    <numFmt numFmtId="180" formatCode="_(&quot;$&quot;* #,##0.00000_);_(&quot;$&quot;* \(#,##0.00000\);_(&quot;$&quot;* &quot;-&quot;?????_);_(@_)"/>
    <numFmt numFmtId="181" formatCode="_(&quot;$&quot;* #,##0.00_);_(&quot;$&quot;* \(#,##0.00\);_(&quot;$&quot;* &quot;-&quot;?????_);_(@_)"/>
    <numFmt numFmtId="182" formatCode="_(&quot;$&quot;* #,##0.0000000_);_(&quot;$&quot;* \(#,##0.0000000\);_(&quot;$&quot;* &quot;-&quot;??_);_(@_)"/>
    <numFmt numFmtId="183" formatCode="_([$$-409]* #,##0.00_);_([$$-409]* \(#,##0.00\);_([$$-409]* &quot;-&quot;??_);_(@_)"/>
    <numFmt numFmtId="184" formatCode="_(* #,##0.0000000_);_(* \(#,##0.0000000\);_(* &quot;-&quot;??_);_(@_)"/>
  </numFmts>
  <fonts count="5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u/>
      <sz val="11"/>
      <color theme="1"/>
      <name val="Calibri"/>
      <family val="2"/>
      <scheme val="minor"/>
    </font>
    <font>
      <sz val="11"/>
      <name val="Calibri"/>
      <family val="2"/>
      <scheme val="minor"/>
    </font>
    <font>
      <b/>
      <sz val="11"/>
      <name val="Calibri"/>
      <family val="2"/>
      <scheme val="minor"/>
    </font>
    <font>
      <sz val="12"/>
      <name val="Helv"/>
    </font>
    <font>
      <sz val="10"/>
      <name val="Calibri"/>
      <family val="2"/>
      <scheme val="minor"/>
    </font>
    <font>
      <b/>
      <sz val="10"/>
      <name val="Calibri"/>
      <family val="2"/>
      <scheme val="minor"/>
    </font>
    <font>
      <b/>
      <i/>
      <sz val="8"/>
      <name val="Calibri"/>
      <family val="2"/>
      <scheme val="minor"/>
    </font>
    <font>
      <sz val="12"/>
      <name val="Times New Roman"/>
      <family val="1"/>
    </font>
    <font>
      <sz val="8"/>
      <name val="Calibri"/>
      <family val="2"/>
      <scheme val="minor"/>
    </font>
    <font>
      <u/>
      <sz val="11"/>
      <color theme="1"/>
      <name val="Calibri"/>
      <family val="2"/>
      <scheme val="minor"/>
    </font>
    <font>
      <sz val="11"/>
      <color rgb="FF00B0F0"/>
      <name val="Calibri"/>
      <family val="2"/>
      <scheme val="minor"/>
    </font>
    <font>
      <b/>
      <sz val="12"/>
      <name val="Calibri"/>
      <family val="2"/>
      <scheme val="minor"/>
    </font>
    <font>
      <sz val="12"/>
      <name val="Calibri"/>
      <family val="2"/>
      <scheme val="minor"/>
    </font>
    <font>
      <u/>
      <sz val="9.6"/>
      <color indexed="12"/>
      <name val="Helv"/>
    </font>
    <font>
      <u/>
      <sz val="10"/>
      <color indexed="12"/>
      <name val="Calibri"/>
      <family val="2"/>
      <scheme val="minor"/>
    </font>
    <font>
      <sz val="10"/>
      <name val="Arial"/>
      <family val="2"/>
    </font>
    <font>
      <sz val="11"/>
      <color indexed="8"/>
      <name val="Calibri"/>
      <family val="2"/>
      <scheme val="minor"/>
    </font>
    <font>
      <sz val="11"/>
      <color rgb="FF000000"/>
      <name val="Calibri"/>
      <family val="2"/>
    </font>
    <font>
      <sz val="11"/>
      <color rgb="FF0000FF"/>
      <name val="Calibri"/>
      <family val="2"/>
      <scheme val="minor"/>
    </font>
    <font>
      <sz val="11"/>
      <name val="Calibri"/>
      <family val="2"/>
    </font>
    <font>
      <b/>
      <sz val="11"/>
      <name val="Calibri"/>
      <family val="2"/>
    </font>
    <font>
      <u/>
      <sz val="11"/>
      <name val="Calibri"/>
      <family val="2"/>
      <scheme val="minor"/>
    </font>
    <font>
      <sz val="10"/>
      <name val="Arial"/>
      <family val="2"/>
    </font>
    <font>
      <sz val="20"/>
      <name val="Calibri"/>
      <family val="2"/>
      <scheme val="minor"/>
    </font>
    <font>
      <i/>
      <sz val="11"/>
      <name val="Calibri"/>
      <family val="2"/>
      <scheme val="minor"/>
    </font>
    <font>
      <b/>
      <u/>
      <sz val="10"/>
      <color theme="1"/>
      <name val="Calibri"/>
      <family val="2"/>
      <scheme val="minor"/>
    </font>
    <font>
      <vertAlign val="superscript"/>
      <sz val="11"/>
      <color theme="1"/>
      <name val="Calibri"/>
      <family val="2"/>
      <scheme val="minor"/>
    </font>
    <font>
      <b/>
      <vertAlign val="superscript"/>
      <sz val="11"/>
      <name val="Calibri"/>
      <family val="2"/>
      <scheme val="minor"/>
    </font>
    <font>
      <b/>
      <sz val="11"/>
      <color rgb="FFFF0000"/>
      <name val="Calibri"/>
      <family val="2"/>
      <scheme val="minor"/>
    </font>
    <font>
      <u/>
      <vertAlign val="superscript"/>
      <sz val="11"/>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1" tint="4.9989318521683403E-2"/>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double">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right style="thin">
        <color indexed="64"/>
      </right>
      <top style="double">
        <color indexed="64"/>
      </top>
      <bottom/>
      <diagonal/>
    </border>
  </borders>
  <cellStyleXfs count="5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39" fontId="23" fillId="0" borderId="0"/>
    <xf numFmtId="43" fontId="27" fillId="0" borderId="0" applyFont="0" applyFill="0" applyBorder="0" applyAlignment="0" applyProtection="0"/>
    <xf numFmtId="0" fontId="33" fillId="0" borderId="0" applyNumberFormat="0" applyFill="0" applyBorder="0" applyAlignment="0" applyProtection="0">
      <alignment vertical="top"/>
      <protection locked="0"/>
    </xf>
    <xf numFmtId="0" fontId="35" fillId="0" borderId="0"/>
    <xf numFmtId="9" fontId="27" fillId="0" borderId="0" applyFont="0" applyFill="0" applyBorder="0" applyAlignment="0" applyProtection="0"/>
    <xf numFmtId="0" fontId="36" fillId="0" borderId="0"/>
    <xf numFmtId="43" fontId="1" fillId="0" borderId="0" applyFont="0" applyFill="0" applyBorder="0" applyAlignment="0" applyProtection="0"/>
    <xf numFmtId="0" fontId="35" fillId="0" borderId="0"/>
    <xf numFmtId="0" fontId="35" fillId="0" borderId="0"/>
    <xf numFmtId="0" fontId="35" fillId="0" borderId="0"/>
    <xf numFmtId="0" fontId="42" fillId="0" borderId="0"/>
    <xf numFmtId="44" fontId="35" fillId="0" borderId="0" applyFont="0" applyFill="0" applyBorder="0" applyAlignment="0" applyProtection="0"/>
    <xf numFmtId="0" fontId="35" fillId="0" borderId="0"/>
    <xf numFmtId="0" fontId="1" fillId="0" borderId="0"/>
  </cellStyleXfs>
  <cellXfs count="496">
    <xf numFmtId="0" fontId="0" fillId="0" borderId="0" xfId="0"/>
    <xf numFmtId="164" fontId="18" fillId="0" borderId="0" xfId="0" applyNumberFormat="1" applyFont="1" applyAlignment="1">
      <alignment horizontal="right"/>
    </xf>
    <xf numFmtId="164" fontId="18" fillId="0" borderId="0" xfId="0" applyNumberFormat="1" applyFont="1" applyAlignment="1">
      <alignment horizontal="left"/>
    </xf>
    <xf numFmtId="49" fontId="18" fillId="0" borderId="0" xfId="0" applyNumberFormat="1" applyFont="1" applyAlignment="1">
      <alignment horizontal="right" wrapText="1"/>
    </xf>
    <xf numFmtId="49" fontId="18" fillId="0" borderId="0" xfId="0" applyNumberFormat="1" applyFont="1" applyAlignment="1">
      <alignment horizontal="left" wrapText="1"/>
    </xf>
    <xf numFmtId="0" fontId="16" fillId="0" borderId="0" xfId="0" applyFont="1"/>
    <xf numFmtId="165" fontId="18" fillId="0" borderId="0" xfId="0" applyNumberFormat="1" applyFont="1" applyAlignment="1">
      <alignment horizontal="right"/>
    </xf>
    <xf numFmtId="0" fontId="16" fillId="0" borderId="0" xfId="0" applyFont="1" applyAlignment="1">
      <alignment horizontal="left"/>
    </xf>
    <xf numFmtId="167" fontId="0" fillId="0" borderId="0" xfId="43" applyNumberFormat="1" applyFont="1"/>
    <xf numFmtId="167" fontId="0" fillId="0" borderId="0" xfId="0" applyNumberFormat="1"/>
    <xf numFmtId="0" fontId="16" fillId="33" borderId="0" xfId="0" applyFont="1" applyFill="1"/>
    <xf numFmtId="0" fontId="16" fillId="33" borderId="0" xfId="0" applyFont="1" applyFill="1" applyAlignment="1">
      <alignment horizontal="left"/>
    </xf>
    <xf numFmtId="0" fontId="0" fillId="33" borderId="0" xfId="0" applyFill="1"/>
    <xf numFmtId="43" fontId="0" fillId="0" borderId="0" xfId="43" applyFont="1"/>
    <xf numFmtId="43" fontId="0" fillId="0" borderId="0" xfId="0" applyNumberFormat="1"/>
    <xf numFmtId="0" fontId="0" fillId="0" borderId="0" xfId="0" applyAlignment="1">
      <alignment horizontal="center"/>
    </xf>
    <xf numFmtId="167" fontId="0" fillId="0" borderId="0" xfId="43" applyNumberFormat="1" applyFont="1" applyFill="1"/>
    <xf numFmtId="10" fontId="0" fillId="0" borderId="0" xfId="44" applyNumberFormat="1" applyFont="1" applyFill="1"/>
    <xf numFmtId="39" fontId="24" fillId="0" borderId="0" xfId="45" applyFont="1"/>
    <xf numFmtId="39" fontId="25" fillId="0" borderId="11" xfId="45" applyFont="1" applyBorder="1" applyAlignment="1">
      <alignment horizontal="center" wrapText="1"/>
    </xf>
    <xf numFmtId="39" fontId="24" fillId="0" borderId="0" xfId="45" applyFont="1" applyAlignment="1">
      <alignment horizontal="left"/>
    </xf>
    <xf numFmtId="9" fontId="0" fillId="0" borderId="0" xfId="44" applyFont="1"/>
    <xf numFmtId="0" fontId="16" fillId="0" borderId="0" xfId="0" applyFont="1" applyAlignment="1">
      <alignment horizontal="center"/>
    </xf>
    <xf numFmtId="0" fontId="0" fillId="0" borderId="41" xfId="0" applyBorder="1"/>
    <xf numFmtId="9" fontId="30" fillId="0" borderId="42" xfId="44" applyFont="1" applyBorder="1"/>
    <xf numFmtId="166" fontId="0" fillId="0" borderId="0" xfId="42" applyNumberFormat="1" applyFont="1" applyFill="1"/>
    <xf numFmtId="43" fontId="0" fillId="0" borderId="0" xfId="43" applyFont="1" applyFill="1"/>
    <xf numFmtId="39" fontId="31" fillId="0" borderId="0" xfId="45" applyFont="1" applyAlignment="1">
      <alignment horizontal="left"/>
    </xf>
    <xf numFmtId="39" fontId="32" fillId="0" borderId="0" xfId="45" applyFont="1"/>
    <xf numFmtId="39" fontId="33" fillId="0" borderId="0" xfId="47" applyNumberFormat="1" applyAlignment="1" applyProtection="1">
      <alignment horizontal="left"/>
    </xf>
    <xf numFmtId="39" fontId="34" fillId="0" borderId="0" xfId="47" applyNumberFormat="1" applyFont="1" applyAlignment="1" applyProtection="1">
      <alignment horizontal="left"/>
    </xf>
    <xf numFmtId="39" fontId="24" fillId="0" borderId="0" xfId="45" applyFont="1" applyAlignment="1">
      <alignment horizontal="right"/>
    </xf>
    <xf numFmtId="172" fontId="24" fillId="0" borderId="20" xfId="48" applyNumberFormat="1" applyFont="1" applyBorder="1" applyAlignment="1">
      <alignment horizontal="center" vertical="top"/>
    </xf>
    <xf numFmtId="10" fontId="24" fillId="0" borderId="0" xfId="49" applyNumberFormat="1" applyFont="1" applyAlignment="1">
      <alignment horizontal="center"/>
    </xf>
    <xf numFmtId="37" fontId="24" fillId="0" borderId="28" xfId="45" applyNumberFormat="1" applyFont="1" applyBorder="1" applyAlignment="1">
      <alignment horizontal="center"/>
    </xf>
    <xf numFmtId="172" fontId="24" fillId="0" borderId="0" xfId="48" applyNumberFormat="1" applyFont="1" applyAlignment="1">
      <alignment horizontal="center" vertical="top"/>
    </xf>
    <xf numFmtId="10" fontId="24" fillId="0" borderId="0" xfId="49" applyNumberFormat="1" applyFont="1" applyFill="1" applyAlignment="1">
      <alignment horizontal="center"/>
    </xf>
    <xf numFmtId="172" fontId="24" fillId="0" borderId="44" xfId="48" applyNumberFormat="1" applyFont="1" applyBorder="1" applyAlignment="1">
      <alignment horizontal="center" vertical="top"/>
    </xf>
    <xf numFmtId="10" fontId="24" fillId="0" borderId="11" xfId="49" applyNumberFormat="1" applyFont="1" applyBorder="1" applyAlignment="1">
      <alignment horizontal="center"/>
    </xf>
    <xf numFmtId="37" fontId="24" fillId="0" borderId="24" xfId="45" applyNumberFormat="1" applyFont="1" applyBorder="1" applyAlignment="1">
      <alignment horizontal="center"/>
    </xf>
    <xf numFmtId="10" fontId="24" fillId="0" borderId="0" xfId="49" applyNumberFormat="1" applyFont="1" applyBorder="1" applyAlignment="1">
      <alignment horizontal="center"/>
    </xf>
    <xf numFmtId="172" fontId="24" fillId="0" borderId="11" xfId="48" applyNumberFormat="1" applyFont="1" applyBorder="1" applyAlignment="1">
      <alignment horizontal="center" vertical="top"/>
    </xf>
    <xf numFmtId="173" fontId="18" fillId="0" borderId="0" xfId="0" applyNumberFormat="1" applyFont="1" applyAlignment="1">
      <alignment horizontal="right"/>
    </xf>
    <xf numFmtId="9" fontId="0" fillId="0" borderId="0" xfId="44" applyFont="1" applyFill="1"/>
    <xf numFmtId="167" fontId="0" fillId="0" borderId="0" xfId="43" applyNumberFormat="1" applyFont="1" applyFill="1" applyBorder="1"/>
    <xf numFmtId="167" fontId="0" fillId="0" borderId="0" xfId="43" applyNumberFormat="1" applyFont="1" applyFill="1" applyBorder="1" applyAlignment="1">
      <alignment horizontal="center" vertical="center"/>
    </xf>
    <xf numFmtId="167" fontId="0" fillId="0" borderId="0" xfId="43" applyNumberFormat="1" applyFont="1" applyAlignment="1">
      <alignment horizontal="center" vertical="center"/>
    </xf>
    <xf numFmtId="167" fontId="0" fillId="0" borderId="40" xfId="0" applyNumberFormat="1" applyBorder="1"/>
    <xf numFmtId="166" fontId="0" fillId="0" borderId="0" xfId="42" applyNumberFormat="1" applyFont="1" applyFill="1" applyBorder="1"/>
    <xf numFmtId="167" fontId="0" fillId="0" borderId="28" xfId="43" applyNumberFormat="1" applyFont="1" applyBorder="1"/>
    <xf numFmtId="167" fontId="0" fillId="0" borderId="35" xfId="43" applyNumberFormat="1" applyFont="1" applyFill="1" applyBorder="1"/>
    <xf numFmtId="167" fontId="0" fillId="0" borderId="45" xfId="43" applyNumberFormat="1" applyFont="1" applyFill="1" applyBorder="1"/>
    <xf numFmtId="167" fontId="16" fillId="0" borderId="0" xfId="43" applyNumberFormat="1" applyFont="1"/>
    <xf numFmtId="167" fontId="0" fillId="0" borderId="43" xfId="43" applyNumberFormat="1" applyFont="1" applyFill="1" applyBorder="1"/>
    <xf numFmtId="167" fontId="0" fillId="0" borderId="0" xfId="43" applyNumberFormat="1" applyFont="1" applyBorder="1"/>
    <xf numFmtId="167" fontId="0" fillId="0" borderId="24" xfId="43" applyNumberFormat="1" applyFont="1" applyBorder="1"/>
    <xf numFmtId="0" fontId="22" fillId="0" borderId="0" xfId="55" applyFont="1"/>
    <xf numFmtId="0" fontId="21" fillId="0" borderId="0" xfId="55" applyFont="1"/>
    <xf numFmtId="0" fontId="43" fillId="0" borderId="0" xfId="55" applyFont="1" applyAlignment="1">
      <alignment horizontal="center"/>
    </xf>
    <xf numFmtId="177" fontId="21" fillId="0" borderId="0" xfId="55" applyNumberFormat="1" applyFont="1" applyAlignment="1">
      <alignment horizontal="center"/>
    </xf>
    <xf numFmtId="2" fontId="21" fillId="0" borderId="0" xfId="56" applyNumberFormat="1" applyFont="1" applyFill="1"/>
    <xf numFmtId="0" fontId="44" fillId="0" borderId="0" xfId="55" applyFont="1" applyAlignment="1">
      <alignment horizontal="center"/>
    </xf>
    <xf numFmtId="0" fontId="22" fillId="0" borderId="0" xfId="55" applyFont="1" applyAlignment="1">
      <alignment wrapText="1"/>
    </xf>
    <xf numFmtId="0" fontId="21" fillId="0" borderId="0" xfId="55" applyFont="1" applyAlignment="1">
      <alignment wrapText="1"/>
    </xf>
    <xf numFmtId="0" fontId="22" fillId="0" borderId="11" xfId="55" applyFont="1" applyBorder="1" applyAlignment="1">
      <alignment horizontal="center" wrapText="1"/>
    </xf>
    <xf numFmtId="0" fontId="22" fillId="0" borderId="41" xfId="55" applyFont="1" applyBorder="1" applyAlignment="1">
      <alignment horizontal="center" wrapText="1"/>
    </xf>
    <xf numFmtId="0" fontId="22" fillId="0" borderId="51" xfId="55" applyFont="1" applyBorder="1" applyAlignment="1">
      <alignment horizontal="center" wrapText="1"/>
    </xf>
    <xf numFmtId="0" fontId="22" fillId="0" borderId="42" xfId="55" applyFont="1" applyBorder="1" applyAlignment="1">
      <alignment horizontal="center" wrapText="1"/>
    </xf>
    <xf numFmtId="0" fontId="21" fillId="0" borderId="36" xfId="55" applyFont="1" applyBorder="1"/>
    <xf numFmtId="0" fontId="21" fillId="0" borderId="35" xfId="55" applyFont="1" applyBorder="1"/>
    <xf numFmtId="169" fontId="21" fillId="0" borderId="0" xfId="55" applyNumberFormat="1" applyFont="1" applyAlignment="1">
      <alignment horizontal="center"/>
    </xf>
    <xf numFmtId="168" fontId="21" fillId="0" borderId="36" xfId="55" applyNumberFormat="1" applyFont="1" applyBorder="1"/>
    <xf numFmtId="168" fontId="21" fillId="0" borderId="36" xfId="56" applyNumberFormat="1" applyFont="1" applyFill="1" applyBorder="1"/>
    <xf numFmtId="168" fontId="21" fillId="0" borderId="0" xfId="57" applyNumberFormat="1" applyFont="1"/>
    <xf numFmtId="168" fontId="21" fillId="0" borderId="0" xfId="55" applyNumberFormat="1" applyFont="1"/>
    <xf numFmtId="168" fontId="21" fillId="0" borderId="35" xfId="55" applyNumberFormat="1" applyFont="1" applyBorder="1"/>
    <xf numFmtId="178" fontId="21" fillId="0" borderId="0" xfId="55" applyNumberFormat="1" applyFont="1"/>
    <xf numFmtId="168" fontId="21" fillId="0" borderId="0" xfId="56" applyNumberFormat="1" applyFont="1" applyFill="1" applyBorder="1"/>
    <xf numFmtId="168" fontId="21" fillId="0" borderId="29" xfId="56" applyNumberFormat="1" applyFont="1" applyFill="1" applyBorder="1"/>
    <xf numFmtId="168" fontId="21" fillId="0" borderId="30" xfId="56" applyNumberFormat="1" applyFont="1" applyFill="1" applyBorder="1"/>
    <xf numFmtId="168" fontId="21" fillId="0" borderId="30" xfId="55" applyNumberFormat="1" applyFont="1" applyBorder="1"/>
    <xf numFmtId="168" fontId="21" fillId="0" borderId="43" xfId="55" applyNumberFormat="1" applyFont="1" applyBorder="1"/>
    <xf numFmtId="2" fontId="21" fillId="0" borderId="0" xfId="55" applyNumberFormat="1" applyFont="1"/>
    <xf numFmtId="0" fontId="21" fillId="0" borderId="0" xfId="55" applyFont="1" applyAlignment="1">
      <alignment horizontal="center"/>
    </xf>
    <xf numFmtId="164" fontId="19" fillId="0" borderId="0" xfId="0" applyNumberFormat="1" applyFont="1" applyAlignment="1">
      <alignment horizontal="right"/>
    </xf>
    <xf numFmtId="164" fontId="45" fillId="0" borderId="0" xfId="0" applyNumberFormat="1" applyFont="1" applyAlignment="1">
      <alignment horizontal="right"/>
    </xf>
    <xf numFmtId="167" fontId="0" fillId="0" borderId="0" xfId="43" applyNumberFormat="1" applyFont="1" applyBorder="1" applyAlignment="1">
      <alignment horizontal="center" vertical="center"/>
    </xf>
    <xf numFmtId="167" fontId="36" fillId="0" borderId="0" xfId="43" applyNumberFormat="1" applyFont="1" applyBorder="1" applyAlignment="1">
      <alignment horizontal="center" vertical="center"/>
    </xf>
    <xf numFmtId="0" fontId="0" fillId="0" borderId="0" xfId="0" applyAlignment="1">
      <alignment horizontal="right"/>
    </xf>
    <xf numFmtId="164" fontId="19" fillId="0" borderId="0" xfId="0" applyNumberFormat="1" applyFont="1" applyAlignment="1">
      <alignment horizontal="left"/>
    </xf>
    <xf numFmtId="164" fontId="0" fillId="0" borderId="0" xfId="0" applyNumberFormat="1" applyAlignment="1">
      <alignment horizontal="right"/>
    </xf>
    <xf numFmtId="167" fontId="0" fillId="0" borderId="47" xfId="0" applyNumberFormat="1" applyBorder="1"/>
    <xf numFmtId="167" fontId="0" fillId="0" borderId="10" xfId="0" applyNumberFormat="1" applyBorder="1"/>
    <xf numFmtId="167" fontId="0" fillId="0" borderId="26" xfId="0" applyNumberFormat="1" applyBorder="1"/>
    <xf numFmtId="167" fontId="1" fillId="0" borderId="0" xfId="43" applyNumberFormat="1" applyFont="1" applyFill="1" applyBorder="1"/>
    <xf numFmtId="167" fontId="0" fillId="0" borderId="28" xfId="0" applyNumberFormat="1" applyBorder="1"/>
    <xf numFmtId="167" fontId="0" fillId="0" borderId="11" xfId="0" applyNumberFormat="1" applyBorder="1"/>
    <xf numFmtId="167" fontId="0" fillId="0" borderId="24" xfId="0" applyNumberFormat="1" applyBorder="1"/>
    <xf numFmtId="165" fontId="18" fillId="0" borderId="0" xfId="0" applyNumberFormat="1" applyFont="1" applyAlignment="1">
      <alignment horizontal="left"/>
    </xf>
    <xf numFmtId="14" fontId="16" fillId="0" borderId="0" xfId="0" applyNumberFormat="1" applyFont="1"/>
    <xf numFmtId="167" fontId="0" fillId="0" borderId="0" xfId="0" applyNumberFormat="1" applyAlignment="1">
      <alignment horizontal="center"/>
    </xf>
    <xf numFmtId="164" fontId="0" fillId="0" borderId="0" xfId="0" applyNumberFormat="1" applyAlignment="1">
      <alignment horizontal="left"/>
    </xf>
    <xf numFmtId="0" fontId="0" fillId="0" borderId="0" xfId="0" applyAlignment="1">
      <alignment horizontal="left" indent="2"/>
    </xf>
    <xf numFmtId="0" fontId="0" fillId="0" borderId="0" xfId="0" applyAlignment="1">
      <alignment horizontal="left"/>
    </xf>
    <xf numFmtId="0" fontId="16" fillId="0" borderId="0" xfId="0" applyFont="1" applyAlignment="1">
      <alignment vertical="center"/>
    </xf>
    <xf numFmtId="167" fontId="0" fillId="0" borderId="22" xfId="43" applyNumberFormat="1" applyFont="1" applyFill="1" applyBorder="1"/>
    <xf numFmtId="167" fontId="0" fillId="0" borderId="11" xfId="43" applyNumberFormat="1" applyFont="1" applyFill="1" applyBorder="1"/>
    <xf numFmtId="0" fontId="16" fillId="0" borderId="16" xfId="0" applyFont="1" applyBorder="1" applyAlignment="1">
      <alignment horizontal="center"/>
    </xf>
    <xf numFmtId="0" fontId="16" fillId="0" borderId="27" xfId="0" applyFont="1" applyBorder="1" applyAlignment="1">
      <alignment horizontal="center"/>
    </xf>
    <xf numFmtId="164" fontId="16" fillId="0" borderId="26" xfId="0" applyNumberFormat="1" applyFont="1" applyBorder="1" applyAlignment="1">
      <alignment horizontal="right"/>
    </xf>
    <xf numFmtId="164" fontId="16" fillId="0" borderId="28" xfId="0" applyNumberFormat="1" applyFont="1" applyBorder="1" applyAlignment="1">
      <alignment horizontal="right"/>
    </xf>
    <xf numFmtId="164" fontId="16" fillId="0" borderId="24" xfId="0" applyNumberFormat="1" applyFont="1" applyBorder="1" applyAlignment="1">
      <alignment horizontal="right"/>
    </xf>
    <xf numFmtId="0" fontId="16" fillId="0" borderId="48" xfId="0" applyFont="1" applyBorder="1" applyAlignment="1">
      <alignment horizontal="center"/>
    </xf>
    <xf numFmtId="0" fontId="16" fillId="0" borderId="45" xfId="0" applyFont="1" applyBorder="1" applyAlignment="1">
      <alignment horizontal="center"/>
    </xf>
    <xf numFmtId="17" fontId="16" fillId="0" borderId="45" xfId="0" applyNumberFormat="1" applyFont="1" applyBorder="1" applyAlignment="1">
      <alignment horizontal="center"/>
    </xf>
    <xf numFmtId="0" fontId="16" fillId="0" borderId="22" xfId="0" applyFont="1" applyBorder="1" applyAlignment="1">
      <alignment horizontal="center"/>
    </xf>
    <xf numFmtId="0" fontId="16" fillId="0" borderId="10" xfId="0" applyFont="1" applyBorder="1" applyAlignment="1">
      <alignment horizontal="center"/>
    </xf>
    <xf numFmtId="17" fontId="16" fillId="0" borderId="10" xfId="0" applyNumberFormat="1" applyFont="1" applyBorder="1" applyAlignment="1">
      <alignment horizontal="center"/>
    </xf>
    <xf numFmtId="167" fontId="0" fillId="0" borderId="24" xfId="43" applyNumberFormat="1" applyFont="1" applyFill="1" applyBorder="1"/>
    <xf numFmtId="167" fontId="0" fillId="0" borderId="31" xfId="43" applyNumberFormat="1" applyFont="1" applyFill="1" applyBorder="1"/>
    <xf numFmtId="167" fontId="0" fillId="0" borderId="50" xfId="43" applyNumberFormat="1" applyFont="1" applyFill="1" applyBorder="1"/>
    <xf numFmtId="167" fontId="0" fillId="0" borderId="50" xfId="0" applyNumberFormat="1" applyBorder="1"/>
    <xf numFmtId="164" fontId="16" fillId="0" borderId="46" xfId="0" applyNumberFormat="1" applyFont="1" applyBorder="1" applyAlignment="1">
      <alignment horizontal="center"/>
    </xf>
    <xf numFmtId="164" fontId="16" fillId="0" borderId="16" xfId="0" applyNumberFormat="1" applyFont="1" applyBorder="1" applyAlignment="1">
      <alignment horizontal="center"/>
    </xf>
    <xf numFmtId="0" fontId="0" fillId="0" borderId="16" xfId="0" applyBorder="1" applyAlignment="1">
      <alignment horizontal="left"/>
    </xf>
    <xf numFmtId="167" fontId="0" fillId="0" borderId="27" xfId="0" applyNumberFormat="1" applyBorder="1"/>
    <xf numFmtId="167" fontId="0" fillId="0" borderId="19" xfId="0" applyNumberFormat="1" applyBorder="1"/>
    <xf numFmtId="167" fontId="0" fillId="0" borderId="25" xfId="0" applyNumberFormat="1" applyBorder="1"/>
    <xf numFmtId="164" fontId="16" fillId="0" borderId="0" xfId="0" applyNumberFormat="1" applyFont="1" applyAlignment="1">
      <alignment horizontal="right"/>
    </xf>
    <xf numFmtId="167" fontId="1" fillId="0" borderId="28" xfId="43" applyNumberFormat="1" applyFont="1" applyFill="1" applyBorder="1"/>
    <xf numFmtId="164" fontId="16" fillId="0" borderId="10" xfId="0" applyNumberFormat="1" applyFont="1" applyBorder="1" applyAlignment="1">
      <alignment horizontal="center"/>
    </xf>
    <xf numFmtId="0" fontId="0" fillId="34" borderId="0" xfId="0" applyFill="1"/>
    <xf numFmtId="167" fontId="0" fillId="34" borderId="0" xfId="0" applyNumberFormat="1" applyFill="1"/>
    <xf numFmtId="167" fontId="0" fillId="0" borderId="48" xfId="43" applyNumberFormat="1" applyFont="1" applyFill="1" applyBorder="1" applyAlignment="1">
      <alignment horizontal="right"/>
    </xf>
    <xf numFmtId="173" fontId="18" fillId="0" borderId="0" xfId="0" applyNumberFormat="1" applyFont="1" applyAlignment="1">
      <alignment horizontal="left"/>
    </xf>
    <xf numFmtId="164" fontId="0" fillId="0" borderId="27" xfId="0" applyNumberFormat="1" applyBorder="1" applyAlignment="1">
      <alignment horizontal="right"/>
    </xf>
    <xf numFmtId="164" fontId="0" fillId="0" borderId="19" xfId="0" applyNumberFormat="1" applyBorder="1" applyAlignment="1">
      <alignment horizontal="right"/>
    </xf>
    <xf numFmtId="164" fontId="0" fillId="0" borderId="25" xfId="0" applyNumberFormat="1" applyBorder="1" applyAlignment="1">
      <alignment horizontal="right"/>
    </xf>
    <xf numFmtId="0" fontId="0" fillId="0" borderId="46" xfId="0" applyBorder="1" applyAlignment="1">
      <alignment horizontal="left"/>
    </xf>
    <xf numFmtId="167" fontId="0" fillId="0" borderId="28" xfId="43" applyNumberFormat="1" applyFont="1" applyFill="1" applyBorder="1"/>
    <xf numFmtId="167" fontId="0" fillId="0" borderId="11" xfId="43" applyNumberFormat="1" applyFont="1" applyBorder="1"/>
    <xf numFmtId="167" fontId="0" fillId="0" borderId="0" xfId="43" applyNumberFormat="1" applyFont="1" applyFill="1" applyBorder="1" applyAlignment="1">
      <alignment horizontal="right"/>
    </xf>
    <xf numFmtId="167" fontId="0" fillId="0" borderId="10" xfId="43" applyNumberFormat="1" applyFont="1" applyFill="1" applyBorder="1" applyAlignment="1">
      <alignment horizontal="right"/>
    </xf>
    <xf numFmtId="167" fontId="0" fillId="0" borderId="26" xfId="43" applyNumberFormat="1" applyFont="1" applyFill="1" applyBorder="1" applyAlignment="1">
      <alignment horizontal="right"/>
    </xf>
    <xf numFmtId="167" fontId="0" fillId="0" borderId="20" xfId="43" applyNumberFormat="1" applyFont="1" applyFill="1" applyBorder="1" applyAlignment="1">
      <alignment horizontal="right"/>
    </xf>
    <xf numFmtId="167" fontId="0" fillId="0" borderId="28" xfId="43" applyNumberFormat="1" applyFont="1" applyFill="1" applyBorder="1" applyAlignment="1">
      <alignment horizontal="right"/>
    </xf>
    <xf numFmtId="167" fontId="0" fillId="0" borderId="44" xfId="43" applyNumberFormat="1" applyFont="1" applyFill="1" applyBorder="1" applyAlignment="1">
      <alignment horizontal="right"/>
    </xf>
    <xf numFmtId="167" fontId="0" fillId="0" borderId="11" xfId="43" applyNumberFormat="1" applyFont="1" applyFill="1" applyBorder="1" applyAlignment="1">
      <alignment horizontal="right"/>
    </xf>
    <xf numFmtId="167" fontId="0" fillId="0" borderId="24" xfId="43" applyNumberFormat="1" applyFont="1" applyFill="1" applyBorder="1" applyAlignment="1">
      <alignment horizontal="right"/>
    </xf>
    <xf numFmtId="10" fontId="0" fillId="0" borderId="0" xfId="44" applyNumberFormat="1" applyFont="1" applyFill="1" applyBorder="1"/>
    <xf numFmtId="10" fontId="1" fillId="0" borderId="0" xfId="44" applyNumberFormat="1" applyFont="1" applyFill="1" applyBorder="1"/>
    <xf numFmtId="167" fontId="0" fillId="0" borderId="0" xfId="44" applyNumberFormat="1" applyFont="1" applyFill="1" applyAlignment="1">
      <alignment horizontal="center"/>
    </xf>
    <xf numFmtId="44" fontId="0" fillId="0" borderId="0" xfId="42" applyFont="1" applyAlignment="1">
      <alignment horizontal="right"/>
    </xf>
    <xf numFmtId="0" fontId="0" fillId="0" borderId="0" xfId="0" applyFill="1"/>
    <xf numFmtId="0" fontId="0" fillId="0" borderId="0" xfId="0" applyFill="1" applyAlignment="1">
      <alignment horizontal="center"/>
    </xf>
    <xf numFmtId="0" fontId="0" fillId="35" borderId="0" xfId="0" applyFill="1"/>
    <xf numFmtId="0" fontId="16" fillId="35" borderId="0" xfId="0" applyFont="1" applyFill="1"/>
    <xf numFmtId="44" fontId="0" fillId="35" borderId="0" xfId="42" applyFont="1" applyFill="1"/>
    <xf numFmtId="44" fontId="0" fillId="35" borderId="0" xfId="0" applyNumberFormat="1" applyFill="1"/>
    <xf numFmtId="0" fontId="0" fillId="35" borderId="0" xfId="0" applyFill="1" applyAlignment="1">
      <alignment horizontal="center"/>
    </xf>
    <xf numFmtId="0" fontId="0" fillId="35" borderId="0" xfId="0" applyFill="1" applyAlignment="1">
      <alignment horizontal="center" wrapText="1"/>
    </xf>
    <xf numFmtId="0" fontId="16" fillId="35" borderId="11" xfId="0" applyFont="1" applyFill="1" applyBorder="1"/>
    <xf numFmtId="0" fontId="0" fillId="35" borderId="11" xfId="0" applyFill="1" applyBorder="1"/>
    <xf numFmtId="0" fontId="0" fillId="35" borderId="11" xfId="0" applyFill="1" applyBorder="1" applyAlignment="1">
      <alignment horizontal="center"/>
    </xf>
    <xf numFmtId="167" fontId="0" fillId="35" borderId="0" xfId="43" applyNumberFormat="1" applyFont="1" applyFill="1" applyBorder="1"/>
    <xf numFmtId="167" fontId="0" fillId="35" borderId="0" xfId="0" applyNumberFormat="1" applyFill="1"/>
    <xf numFmtId="9" fontId="0" fillId="35" borderId="0" xfId="44" applyFont="1" applyFill="1" applyBorder="1"/>
    <xf numFmtId="10" fontId="0" fillId="35" borderId="0" xfId="44" applyNumberFormat="1" applyFont="1" applyFill="1" applyBorder="1"/>
    <xf numFmtId="10" fontId="0" fillId="35" borderId="0" xfId="0" applyNumberFormat="1" applyFill="1"/>
    <xf numFmtId="44" fontId="0" fillId="35" borderId="0" xfId="42" applyFont="1" applyFill="1" applyBorder="1"/>
    <xf numFmtId="174" fontId="0" fillId="35" borderId="0" xfId="0" applyNumberFormat="1" applyFill="1"/>
    <xf numFmtId="43" fontId="0" fillId="35" borderId="0" xfId="0" applyNumberFormat="1" applyFill="1"/>
    <xf numFmtId="0" fontId="0" fillId="35" borderId="0" xfId="0" applyFill="1" applyAlignment="1">
      <alignment wrapText="1"/>
    </xf>
    <xf numFmtId="0" fontId="0" fillId="35" borderId="46" xfId="0" applyFill="1" applyBorder="1"/>
    <xf numFmtId="0" fontId="0" fillId="35" borderId="45" xfId="0" applyFill="1" applyBorder="1"/>
    <xf numFmtId="168" fontId="0" fillId="35" borderId="45" xfId="42" applyNumberFormat="1" applyFont="1" applyFill="1" applyBorder="1" applyAlignment="1">
      <alignment horizontal="center"/>
    </xf>
    <xf numFmtId="168" fontId="0" fillId="35" borderId="45" xfId="42" applyNumberFormat="1" applyFont="1" applyFill="1" applyBorder="1"/>
    <xf numFmtId="168" fontId="0" fillId="35" borderId="45" xfId="0" applyNumberFormat="1" applyFill="1" applyBorder="1"/>
    <xf numFmtId="168" fontId="0" fillId="35" borderId="22" xfId="0" applyNumberFormat="1" applyFill="1" applyBorder="1"/>
    <xf numFmtId="43" fontId="0" fillId="35" borderId="0" xfId="43" applyFont="1" applyFill="1" applyBorder="1"/>
    <xf numFmtId="180" fontId="0" fillId="35" borderId="0" xfId="0" applyNumberFormat="1" applyFill="1"/>
    <xf numFmtId="44" fontId="0" fillId="35" borderId="45" xfId="0" applyNumberFormat="1" applyFill="1" applyBorder="1"/>
    <xf numFmtId="0" fontId="46" fillId="35" borderId="45" xfId="0" applyFont="1" applyFill="1" applyBorder="1" applyAlignment="1">
      <alignment horizontal="left"/>
    </xf>
    <xf numFmtId="44" fontId="0" fillId="35" borderId="45" xfId="42" applyFont="1" applyFill="1" applyBorder="1"/>
    <xf numFmtId="0" fontId="0" fillId="35" borderId="0" xfId="0" applyFill="1" applyAlignment="1">
      <alignment horizontal="right"/>
    </xf>
    <xf numFmtId="0" fontId="0" fillId="35" borderId="0" xfId="0" applyFill="1" applyAlignment="1">
      <alignment horizontal="left"/>
    </xf>
    <xf numFmtId="0" fontId="22" fillId="35" borderId="0" xfId="55" applyFont="1" applyFill="1"/>
    <xf numFmtId="0" fontId="21" fillId="35" borderId="0" xfId="55" applyFont="1" applyFill="1"/>
    <xf numFmtId="177" fontId="21" fillId="35" borderId="0" xfId="55" applyNumberFormat="1" applyFont="1" applyFill="1" applyAlignment="1">
      <alignment horizontal="center"/>
    </xf>
    <xf numFmtId="0" fontId="44" fillId="35" borderId="0" xfId="55" applyFont="1" applyFill="1" applyAlignment="1">
      <alignment horizontal="center"/>
    </xf>
    <xf numFmtId="9" fontId="21" fillId="35" borderId="0" xfId="44" applyFont="1" applyFill="1"/>
    <xf numFmtId="0" fontId="22" fillId="35" borderId="0" xfId="55" applyFont="1" applyFill="1" applyAlignment="1">
      <alignment wrapText="1"/>
    </xf>
    <xf numFmtId="0" fontId="22" fillId="35" borderId="0" xfId="55" applyFont="1" applyFill="1" applyAlignment="1">
      <alignment horizontal="center" wrapText="1"/>
    </xf>
    <xf numFmtId="0" fontId="21" fillId="35" borderId="0" xfId="55" applyFont="1" applyFill="1" applyAlignment="1">
      <alignment wrapText="1"/>
    </xf>
    <xf numFmtId="169" fontId="21" fillId="35" borderId="0" xfId="55" applyNumberFormat="1" applyFont="1" applyFill="1" applyAlignment="1">
      <alignment horizontal="center"/>
    </xf>
    <xf numFmtId="168" fontId="21" fillId="35" borderId="0" xfId="55" applyNumberFormat="1" applyFont="1" applyFill="1"/>
    <xf numFmtId="167" fontId="21" fillId="35" borderId="0" xfId="43" applyNumberFormat="1" applyFont="1" applyFill="1"/>
    <xf numFmtId="169" fontId="21" fillId="35" borderId="0" xfId="55" applyNumberFormat="1" applyFont="1" applyFill="1"/>
    <xf numFmtId="168" fontId="21" fillId="35" borderId="0" xfId="42" applyNumberFormat="1" applyFont="1" applyFill="1"/>
    <xf numFmtId="44" fontId="21" fillId="35" borderId="0" xfId="42" applyFont="1" applyFill="1"/>
    <xf numFmtId="44" fontId="21" fillId="35" borderId="0" xfId="55" applyNumberFormat="1" applyFont="1" applyFill="1"/>
    <xf numFmtId="10" fontId="21" fillId="35" borderId="0" xfId="44" applyNumberFormat="1" applyFont="1" applyFill="1"/>
    <xf numFmtId="43" fontId="21" fillId="35" borderId="0" xfId="43" applyFont="1" applyFill="1"/>
    <xf numFmtId="175" fontId="21" fillId="35" borderId="0" xfId="55" applyNumberFormat="1" applyFont="1" applyFill="1"/>
    <xf numFmtId="44" fontId="21" fillId="35" borderId="0" xfId="55" applyNumberFormat="1" applyFont="1" applyFill="1" applyAlignment="1">
      <alignment horizontal="center"/>
    </xf>
    <xf numFmtId="10" fontId="21" fillId="35" borderId="0" xfId="55" applyNumberFormat="1" applyFont="1" applyFill="1"/>
    <xf numFmtId="181" fontId="21" fillId="35" borderId="0" xfId="55" applyNumberFormat="1" applyFont="1" applyFill="1"/>
    <xf numFmtId="0" fontId="21" fillId="35" borderId="0" xfId="55" applyFont="1" applyFill="1" applyAlignment="1">
      <alignment horizontal="left" indent="2"/>
    </xf>
    <xf numFmtId="180" fontId="21" fillId="35" borderId="0" xfId="55" applyNumberFormat="1" applyFont="1" applyFill="1"/>
    <xf numFmtId="183" fontId="21" fillId="35" borderId="0" xfId="42" applyNumberFormat="1" applyFont="1" applyFill="1"/>
    <xf numFmtId="44" fontId="0" fillId="35" borderId="0" xfId="55" applyNumberFormat="1" applyFont="1" applyFill="1"/>
    <xf numFmtId="44" fontId="0" fillId="35" borderId="0" xfId="44" applyNumberFormat="1" applyFont="1" applyFill="1"/>
    <xf numFmtId="9" fontId="0" fillId="35" borderId="0" xfId="44" applyFont="1" applyFill="1"/>
    <xf numFmtId="179" fontId="21" fillId="35" borderId="0" xfId="43" applyNumberFormat="1" applyFont="1" applyFill="1"/>
    <xf numFmtId="180" fontId="44" fillId="35" borderId="0" xfId="55" applyNumberFormat="1" applyFont="1" applyFill="1" applyAlignment="1">
      <alignment horizontal="center"/>
    </xf>
    <xf numFmtId="9" fontId="44" fillId="35" borderId="0" xfId="44" applyFont="1" applyFill="1" applyAlignment="1">
      <alignment horizontal="center"/>
    </xf>
    <xf numFmtId="0" fontId="21" fillId="35" borderId="0" xfId="55" applyFont="1" applyFill="1" applyAlignment="1">
      <alignment horizontal="center"/>
    </xf>
    <xf numFmtId="0" fontId="1" fillId="35" borderId="0" xfId="0" applyFont="1" applyFill="1"/>
    <xf numFmtId="0" fontId="21" fillId="35" borderId="11" xfId="53" applyFont="1" applyFill="1" applyBorder="1" applyAlignment="1">
      <alignment horizontal="center" wrapText="1"/>
    </xf>
    <xf numFmtId="0" fontId="21" fillId="35" borderId="11" xfId="53" applyFont="1" applyFill="1" applyBorder="1" applyAlignment="1">
      <alignment horizontal="center"/>
    </xf>
    <xf numFmtId="174" fontId="21" fillId="35" borderId="11" xfId="53" applyNumberFormat="1" applyFont="1" applyFill="1" applyBorder="1" applyAlignment="1">
      <alignment horizontal="center"/>
    </xf>
    <xf numFmtId="0" fontId="37" fillId="35" borderId="0" xfId="0" applyFont="1" applyFill="1"/>
    <xf numFmtId="0" fontId="21" fillId="35" borderId="45" xfId="53" applyFont="1" applyFill="1" applyBorder="1" applyAlignment="1">
      <alignment horizontal="center"/>
    </xf>
    <xf numFmtId="174" fontId="21" fillId="35" borderId="45" xfId="53" applyNumberFormat="1" applyFont="1" applyFill="1" applyBorder="1" applyAlignment="1">
      <alignment horizontal="center"/>
    </xf>
    <xf numFmtId="0" fontId="21" fillId="35" borderId="0" xfId="53" applyFont="1" applyFill="1" applyAlignment="1">
      <alignment horizontal="center"/>
    </xf>
    <xf numFmtId="0" fontId="21" fillId="35" borderId="0" xfId="53" applyFont="1" applyFill="1"/>
    <xf numFmtId="174" fontId="21" fillId="35" borderId="0" xfId="53" applyNumberFormat="1" applyFont="1" applyFill="1"/>
    <xf numFmtId="0" fontId="21" fillId="35" borderId="0" xfId="53" quotePrefix="1" applyFont="1" applyFill="1" applyAlignment="1">
      <alignment horizontal="center"/>
    </xf>
    <xf numFmtId="0" fontId="21" fillId="35" borderId="0" xfId="53" quotePrefix="1" applyFont="1" applyFill="1" applyAlignment="1">
      <alignment horizontal="left"/>
    </xf>
    <xf numFmtId="0" fontId="21" fillId="35" borderId="0" xfId="53" quotePrefix="1" applyFont="1" applyFill="1" applyAlignment="1">
      <alignment horizontal="left" indent="1"/>
    </xf>
    <xf numFmtId="174" fontId="21" fillId="35" borderId="0" xfId="54" applyNumberFormat="1" applyFont="1" applyFill="1"/>
    <xf numFmtId="0" fontId="1" fillId="35" borderId="0" xfId="53" applyFont="1" applyFill="1" applyAlignment="1">
      <alignment horizontal="center"/>
    </xf>
    <xf numFmtId="174" fontId="38" fillId="35" borderId="0" xfId="54" applyNumberFormat="1" applyFont="1" applyFill="1"/>
    <xf numFmtId="174" fontId="1" fillId="35" borderId="0" xfId="0" applyNumberFormat="1" applyFont="1" applyFill="1"/>
    <xf numFmtId="174" fontId="21" fillId="35" borderId="11" xfId="53" applyNumberFormat="1" applyFont="1" applyFill="1" applyBorder="1"/>
    <xf numFmtId="0" fontId="22" fillId="35" borderId="0" xfId="53" quotePrefix="1" applyFont="1" applyFill="1" applyAlignment="1">
      <alignment horizontal="left" indent="2"/>
    </xf>
    <xf numFmtId="0" fontId="21" fillId="35" borderId="0" xfId="53" applyFont="1" applyFill="1" applyAlignment="1">
      <alignment horizontal="left" indent="1"/>
    </xf>
    <xf numFmtId="0" fontId="21" fillId="35" borderId="0" xfId="53" applyFont="1" applyFill="1" applyAlignment="1">
      <alignment horizontal="left"/>
    </xf>
    <xf numFmtId="0" fontId="39" fillId="35" borderId="0" xfId="0" applyFont="1" applyFill="1"/>
    <xf numFmtId="174" fontId="22" fillId="35" borderId="0" xfId="53" applyNumberFormat="1" applyFont="1" applyFill="1"/>
    <xf numFmtId="0" fontId="40" fillId="35" borderId="0" xfId="0" applyFont="1" applyFill="1"/>
    <xf numFmtId="0" fontId="41" fillId="35" borderId="0" xfId="0" applyFont="1" applyFill="1" applyAlignment="1">
      <alignment horizontal="left"/>
    </xf>
    <xf numFmtId="176" fontId="21" fillId="35" borderId="0" xfId="0" applyNumberFormat="1" applyFont="1" applyFill="1"/>
    <xf numFmtId="0" fontId="21" fillId="35" borderId="0" xfId="0" applyFont="1" applyFill="1" applyAlignment="1">
      <alignment horizontal="left"/>
    </xf>
    <xf numFmtId="176" fontId="38" fillId="35" borderId="0" xfId="0" applyNumberFormat="1" applyFont="1" applyFill="1"/>
    <xf numFmtId="0" fontId="21" fillId="35" borderId="0" xfId="0" applyFont="1" applyFill="1"/>
    <xf numFmtId="174" fontId="16" fillId="35" borderId="16" xfId="0" applyNumberFormat="1" applyFont="1" applyFill="1" applyBorder="1"/>
    <xf numFmtId="0" fontId="16" fillId="35" borderId="0" xfId="0" applyFont="1" applyFill="1" applyAlignment="1">
      <alignment vertical="top"/>
    </xf>
    <xf numFmtId="0" fontId="16" fillId="35" borderId="0" xfId="0" applyFont="1" applyFill="1" applyAlignment="1">
      <alignment horizontal="center" wrapText="1"/>
    </xf>
    <xf numFmtId="10" fontId="1" fillId="35" borderId="0" xfId="44" applyNumberFormat="1" applyFont="1" applyFill="1" applyBorder="1" applyAlignment="1">
      <alignment horizontal="center" wrapText="1"/>
    </xf>
    <xf numFmtId="44" fontId="0" fillId="35" borderId="0" xfId="0" applyNumberFormat="1" applyFill="1" applyAlignment="1">
      <alignment horizontal="center" wrapText="1"/>
    </xf>
    <xf numFmtId="0" fontId="0" fillId="35" borderId="12" xfId="0" applyFill="1" applyBorder="1"/>
    <xf numFmtId="44" fontId="0" fillId="35" borderId="12" xfId="42" applyFont="1" applyFill="1" applyBorder="1"/>
    <xf numFmtId="44" fontId="1" fillId="35" borderId="0" xfId="42" applyFont="1" applyFill="1" applyBorder="1" applyAlignment="1">
      <alignment horizontal="center" wrapText="1"/>
    </xf>
    <xf numFmtId="167" fontId="0" fillId="35" borderId="11" xfId="0" applyNumberFormat="1" applyFill="1" applyBorder="1"/>
    <xf numFmtId="0" fontId="16" fillId="35" borderId="0" xfId="0" applyFont="1" applyFill="1" applyAlignment="1">
      <alignment horizontal="left" vertical="top" wrapText="1"/>
    </xf>
    <xf numFmtId="10" fontId="0" fillId="35" borderId="0" xfId="44" applyNumberFormat="1" applyFont="1" applyFill="1" applyBorder="1" applyAlignment="1">
      <alignment horizontal="center"/>
    </xf>
    <xf numFmtId="0" fontId="13" fillId="35" borderId="0" xfId="0" applyFont="1" applyFill="1" applyAlignment="1">
      <alignment horizontal="center"/>
    </xf>
    <xf numFmtId="0" fontId="13" fillId="35" borderId="0" xfId="0" applyFont="1" applyFill="1"/>
    <xf numFmtId="0" fontId="16" fillId="35" borderId="40" xfId="0" applyFont="1" applyFill="1" applyBorder="1" applyAlignment="1">
      <alignment horizontal="left" vertical="center"/>
    </xf>
    <xf numFmtId="10" fontId="21" fillId="35" borderId="0" xfId="49" applyNumberFormat="1" applyFont="1" applyFill="1" applyBorder="1" applyAlignment="1">
      <alignment horizontal="center"/>
    </xf>
    <xf numFmtId="44" fontId="0" fillId="35" borderId="0" xfId="42" applyFont="1" applyFill="1" applyBorder="1" applyAlignment="1">
      <alignment horizontal="center" wrapText="1"/>
    </xf>
    <xf numFmtId="167" fontId="1" fillId="35" borderId="0" xfId="43" applyNumberFormat="1" applyFont="1" applyFill="1" applyBorder="1"/>
    <xf numFmtId="17" fontId="0" fillId="35" borderId="0" xfId="0" applyNumberFormat="1" applyFill="1"/>
    <xf numFmtId="43" fontId="1" fillId="35" borderId="0" xfId="43" applyFont="1" applyFill="1" applyBorder="1"/>
    <xf numFmtId="167" fontId="1" fillId="35" borderId="10" xfId="43" applyNumberFormat="1" applyFont="1" applyFill="1" applyBorder="1"/>
    <xf numFmtId="43" fontId="1" fillId="35" borderId="10" xfId="43" applyFont="1" applyFill="1" applyBorder="1"/>
    <xf numFmtId="0" fontId="16" fillId="35" borderId="40" xfId="0" applyFont="1" applyFill="1" applyBorder="1" applyAlignment="1">
      <alignment vertical="center"/>
    </xf>
    <xf numFmtId="167" fontId="0" fillId="35" borderId="10" xfId="43" applyNumberFormat="1" applyFont="1" applyFill="1" applyBorder="1"/>
    <xf numFmtId="44" fontId="0" fillId="35" borderId="10" xfId="0" applyNumberFormat="1" applyFill="1" applyBorder="1"/>
    <xf numFmtId="167" fontId="0" fillId="35" borderId="0" xfId="43" applyNumberFormat="1" applyFont="1" applyFill="1"/>
    <xf numFmtId="0" fontId="0" fillId="35" borderId="0" xfId="0" applyFill="1" applyBorder="1"/>
    <xf numFmtId="0" fontId="16" fillId="35" borderId="0" xfId="0" applyFont="1" applyFill="1" applyBorder="1"/>
    <xf numFmtId="0" fontId="0" fillId="35" borderId="0" xfId="0" applyFill="1" applyBorder="1" applyAlignment="1">
      <alignment horizontal="left" indent="2"/>
    </xf>
    <xf numFmtId="44" fontId="0" fillId="35" borderId="0" xfId="0" applyNumberFormat="1" applyFill="1" applyBorder="1"/>
    <xf numFmtId="0" fontId="16" fillId="35" borderId="0" xfId="0" applyFont="1" applyFill="1" applyBorder="1" applyAlignment="1">
      <alignment horizontal="left"/>
    </xf>
    <xf numFmtId="0" fontId="46" fillId="35" borderId="0" xfId="0" applyFont="1" applyFill="1" applyBorder="1" applyAlignment="1">
      <alignment horizontal="left"/>
    </xf>
    <xf numFmtId="181" fontId="21" fillId="35" borderId="11" xfId="55" applyNumberFormat="1" applyFont="1" applyFill="1" applyBorder="1"/>
    <xf numFmtId="44" fontId="21" fillId="35" borderId="11" xfId="55" applyNumberFormat="1" applyFont="1" applyFill="1" applyBorder="1"/>
    <xf numFmtId="44" fontId="21" fillId="35" borderId="11" xfId="42" applyFont="1" applyFill="1" applyBorder="1"/>
    <xf numFmtId="44" fontId="0" fillId="35" borderId="11" xfId="55" applyNumberFormat="1" applyFont="1" applyFill="1" applyBorder="1"/>
    <xf numFmtId="0" fontId="16" fillId="35" borderId="0" xfId="0" applyFont="1" applyFill="1" applyAlignment="1">
      <alignment horizontal="center"/>
    </xf>
    <xf numFmtId="0" fontId="22" fillId="0" borderId="0" xfId="55" applyFont="1" applyFill="1" applyAlignment="1">
      <alignment horizontal="center" wrapText="1"/>
    </xf>
    <xf numFmtId="167" fontId="0" fillId="0" borderId="0" xfId="0" applyNumberFormat="1" applyFill="1" applyAlignment="1">
      <alignment horizontal="center"/>
    </xf>
    <xf numFmtId="167" fontId="0" fillId="0" borderId="0" xfId="0" applyNumberFormat="1" applyFill="1"/>
    <xf numFmtId="10" fontId="0" fillId="0" borderId="0" xfId="0" applyNumberFormat="1" applyFill="1"/>
    <xf numFmtId="166" fontId="0" fillId="0" borderId="0" xfId="0" applyNumberFormat="1" applyFill="1"/>
    <xf numFmtId="43" fontId="0" fillId="0" borderId="0" xfId="0" applyNumberFormat="1" applyFill="1"/>
    <xf numFmtId="0" fontId="16" fillId="0" borderId="0" xfId="0" applyFont="1" applyFill="1"/>
    <xf numFmtId="17" fontId="16" fillId="0" borderId="0" xfId="0" applyNumberFormat="1" applyFont="1" applyFill="1"/>
    <xf numFmtId="0" fontId="0" fillId="0" borderId="30" xfId="0" applyFill="1" applyBorder="1"/>
    <xf numFmtId="0" fontId="0" fillId="0" borderId="36" xfId="0" applyFill="1" applyBorder="1"/>
    <xf numFmtId="0" fontId="0" fillId="0" borderId="35" xfId="0" applyFill="1" applyBorder="1"/>
    <xf numFmtId="0" fontId="0" fillId="0" borderId="29" xfId="0" applyFill="1" applyBorder="1"/>
    <xf numFmtId="167" fontId="0" fillId="0" borderId="30" xfId="43" applyNumberFormat="1" applyFont="1" applyFill="1" applyBorder="1"/>
    <xf numFmtId="1" fontId="0" fillId="0" borderId="0" xfId="0" applyNumberFormat="1" applyFill="1"/>
    <xf numFmtId="44" fontId="0" fillId="0" borderId="0" xfId="42" applyFont="1" applyFill="1"/>
    <xf numFmtId="44" fontId="0" fillId="0" borderId="0" xfId="0" applyNumberFormat="1" applyFill="1"/>
    <xf numFmtId="43" fontId="0" fillId="35" borderId="0" xfId="43" applyFont="1" applyFill="1"/>
    <xf numFmtId="0" fontId="0" fillId="35" borderId="48" xfId="0" applyFill="1" applyBorder="1"/>
    <xf numFmtId="0" fontId="0" fillId="35" borderId="20" xfId="0" applyFill="1" applyBorder="1"/>
    <xf numFmtId="9" fontId="0" fillId="35" borderId="28" xfId="44" applyFont="1" applyFill="1" applyBorder="1"/>
    <xf numFmtId="44" fontId="0" fillId="35" borderId="24" xfId="0" applyNumberFormat="1" applyFill="1" applyBorder="1"/>
    <xf numFmtId="0" fontId="0" fillId="35" borderId="48" xfId="0" applyFill="1" applyBorder="1" applyAlignment="1">
      <alignment horizontal="left"/>
    </xf>
    <xf numFmtId="0" fontId="0" fillId="35" borderId="44" xfId="0" applyFill="1" applyBorder="1"/>
    <xf numFmtId="43" fontId="0" fillId="35" borderId="0" xfId="0" applyNumberFormat="1" applyFill="1" applyBorder="1"/>
    <xf numFmtId="0" fontId="0" fillId="35" borderId="0" xfId="0" applyFill="1" applyBorder="1" applyAlignment="1">
      <alignment horizontal="left"/>
    </xf>
    <xf numFmtId="167" fontId="0" fillId="35" borderId="26" xfId="43" applyNumberFormat="1" applyFont="1" applyFill="1" applyBorder="1"/>
    <xf numFmtId="167" fontId="0" fillId="35" borderId="37" xfId="43" applyNumberFormat="1" applyFont="1" applyFill="1" applyBorder="1"/>
    <xf numFmtId="9" fontId="0" fillId="35" borderId="35" xfId="0" applyNumberFormat="1" applyFill="1" applyBorder="1"/>
    <xf numFmtId="0" fontId="0" fillId="35" borderId="28" xfId="0" applyFill="1" applyBorder="1"/>
    <xf numFmtId="44" fontId="0" fillId="35" borderId="11" xfId="0" applyNumberFormat="1" applyFill="1" applyBorder="1"/>
    <xf numFmtId="44" fontId="0" fillId="35" borderId="43" xfId="0" applyNumberFormat="1" applyFill="1" applyBorder="1"/>
    <xf numFmtId="167" fontId="0" fillId="35" borderId="10" xfId="43" applyNumberFormat="1" applyFont="1" applyFill="1" applyBorder="1" applyAlignment="1">
      <alignment horizontal="center"/>
    </xf>
    <xf numFmtId="167" fontId="0" fillId="35" borderId="26" xfId="43" applyNumberFormat="1" applyFont="1" applyFill="1" applyBorder="1" applyAlignment="1">
      <alignment horizontal="center"/>
    </xf>
    <xf numFmtId="9" fontId="0" fillId="35" borderId="43" xfId="43" applyNumberFormat="1" applyFont="1" applyFill="1" applyBorder="1"/>
    <xf numFmtId="43" fontId="0" fillId="35" borderId="28" xfId="43" applyFont="1" applyFill="1" applyBorder="1"/>
    <xf numFmtId="44" fontId="0" fillId="35" borderId="11" xfId="42" applyFont="1" applyFill="1" applyBorder="1"/>
    <xf numFmtId="44" fontId="0" fillId="35" borderId="24" xfId="42" applyFont="1" applyFill="1" applyBorder="1"/>
    <xf numFmtId="43" fontId="0" fillId="35" borderId="42" xfId="43" applyFont="1" applyFill="1" applyBorder="1"/>
    <xf numFmtId="9" fontId="0" fillId="35" borderId="0" xfId="0" applyNumberFormat="1" applyFill="1"/>
    <xf numFmtId="169" fontId="21" fillId="35" borderId="11" xfId="55" applyNumberFormat="1" applyFont="1" applyFill="1" applyBorder="1"/>
    <xf numFmtId="174" fontId="0" fillId="35" borderId="11" xfId="0" applyNumberFormat="1" applyFill="1" applyBorder="1" applyAlignment="1"/>
    <xf numFmtId="174" fontId="0" fillId="35" borderId="11" xfId="0" applyNumberFormat="1" applyFill="1" applyBorder="1"/>
    <xf numFmtId="184" fontId="0" fillId="35" borderId="0" xfId="0" applyNumberFormat="1" applyFill="1"/>
    <xf numFmtId="0" fontId="0" fillId="0" borderId="0" xfId="0" applyFill="1" applyBorder="1"/>
    <xf numFmtId="167" fontId="0" fillId="0" borderId="0" xfId="0" applyNumberFormat="1" applyBorder="1"/>
    <xf numFmtId="167" fontId="0" fillId="35" borderId="37" xfId="43" applyNumberFormat="1" applyFont="1" applyFill="1" applyBorder="1" applyAlignment="1">
      <alignment horizontal="center"/>
    </xf>
    <xf numFmtId="43" fontId="0" fillId="34" borderId="0" xfId="43" applyFont="1" applyFill="1"/>
    <xf numFmtId="0" fontId="0" fillId="34" borderId="51" xfId="0" applyFill="1" applyBorder="1"/>
    <xf numFmtId="0" fontId="0" fillId="0" borderId="0" xfId="0" applyFill="1" applyAlignment="1">
      <alignment wrapText="1"/>
    </xf>
    <xf numFmtId="44" fontId="0" fillId="35" borderId="22" xfId="0" applyNumberFormat="1" applyFill="1" applyBorder="1"/>
    <xf numFmtId="168" fontId="21" fillId="0" borderId="0" xfId="55" applyNumberFormat="1" applyFont="1" applyFill="1"/>
    <xf numFmtId="0" fontId="0" fillId="35" borderId="10" xfId="0" applyFill="1" applyBorder="1"/>
    <xf numFmtId="0" fontId="0" fillId="35" borderId="26" xfId="0" applyFill="1" applyBorder="1"/>
    <xf numFmtId="0" fontId="16" fillId="35" borderId="20" xfId="0" applyFont="1" applyFill="1" applyBorder="1"/>
    <xf numFmtId="0" fontId="16" fillId="35" borderId="11" xfId="0" applyFont="1" applyFill="1" applyBorder="1" applyAlignment="1">
      <alignment horizontal="center"/>
    </xf>
    <xf numFmtId="0" fontId="16" fillId="35" borderId="0" xfId="0" applyFont="1" applyFill="1" applyBorder="1" applyAlignment="1">
      <alignment horizontal="center"/>
    </xf>
    <xf numFmtId="0" fontId="16" fillId="35" borderId="24" xfId="0" applyFont="1" applyFill="1" applyBorder="1" applyAlignment="1">
      <alignment horizontal="center"/>
    </xf>
    <xf numFmtId="0" fontId="29" fillId="35" borderId="20" xfId="0" applyFont="1" applyFill="1" applyBorder="1" applyAlignment="1">
      <alignment horizontal="left"/>
    </xf>
    <xf numFmtId="169" fontId="0" fillId="35" borderId="28" xfId="0" applyNumberFormat="1" applyFill="1" applyBorder="1"/>
    <xf numFmtId="0" fontId="0" fillId="35" borderId="20" xfId="0" applyFill="1" applyBorder="1" applyAlignment="1">
      <alignment horizontal="left"/>
    </xf>
    <xf numFmtId="0" fontId="29" fillId="35" borderId="20" xfId="0" applyFont="1" applyFill="1" applyBorder="1"/>
    <xf numFmtId="0" fontId="0" fillId="35" borderId="20" xfId="0" applyFill="1" applyBorder="1" applyAlignment="1">
      <alignment horizontal="left" indent="2"/>
    </xf>
    <xf numFmtId="169" fontId="0" fillId="35" borderId="0" xfId="0" applyNumberFormat="1" applyFill="1"/>
    <xf numFmtId="44" fontId="0" fillId="35" borderId="10" xfId="42" applyFont="1" applyFill="1" applyBorder="1"/>
    <xf numFmtId="169" fontId="0" fillId="35" borderId="26" xfId="0" applyNumberFormat="1" applyFill="1" applyBorder="1"/>
    <xf numFmtId="0" fontId="21" fillId="35" borderId="20" xfId="0" applyFont="1" applyFill="1" applyBorder="1" applyAlignment="1">
      <alignment horizontal="left" indent="2"/>
    </xf>
    <xf numFmtId="0" fontId="21" fillId="35" borderId="20" xfId="0" applyFont="1" applyFill="1" applyBorder="1" applyAlignment="1">
      <alignment horizontal="left"/>
    </xf>
    <xf numFmtId="169" fontId="0" fillId="35" borderId="50" xfId="0" applyNumberFormat="1" applyFill="1" applyBorder="1"/>
    <xf numFmtId="169" fontId="0" fillId="35" borderId="52" xfId="0" applyNumberFormat="1" applyFill="1" applyBorder="1"/>
    <xf numFmtId="169" fontId="16" fillId="35" borderId="28" xfId="0" applyNumberFormat="1" applyFont="1" applyFill="1" applyBorder="1"/>
    <xf numFmtId="169" fontId="0" fillId="35" borderId="24" xfId="0" applyNumberFormat="1" applyFill="1" applyBorder="1"/>
    <xf numFmtId="44" fontId="0" fillId="35" borderId="28" xfId="42" applyFont="1" applyFill="1" applyBorder="1"/>
    <xf numFmtId="44" fontId="0" fillId="35" borderId="28" xfId="0" applyNumberFormat="1" applyFill="1" applyBorder="1"/>
    <xf numFmtId="44" fontId="0" fillId="35" borderId="49" xfId="0" applyNumberFormat="1" applyFill="1" applyBorder="1"/>
    <xf numFmtId="44" fontId="16" fillId="35" borderId="28" xfId="42" applyFont="1" applyFill="1" applyBorder="1"/>
    <xf numFmtId="0" fontId="0" fillId="35" borderId="24" xfId="0" applyFill="1" applyBorder="1"/>
    <xf numFmtId="0" fontId="0" fillId="35" borderId="0" xfId="0" applyFill="1" applyAlignment="1">
      <alignment horizontal="left" vertical="top" wrapText="1"/>
    </xf>
    <xf numFmtId="0" fontId="16" fillId="35" borderId="0" xfId="0" applyFont="1" applyFill="1" applyAlignment="1">
      <alignment horizontal="left" vertical="top"/>
    </xf>
    <xf numFmtId="10" fontId="0" fillId="35" borderId="0" xfId="44" applyNumberFormat="1" applyFont="1" applyFill="1" applyBorder="1" applyAlignment="1">
      <alignment horizontal="center" wrapText="1"/>
    </xf>
    <xf numFmtId="43" fontId="0" fillId="35" borderId="11" xfId="43" applyFont="1" applyFill="1" applyBorder="1"/>
    <xf numFmtId="168" fontId="0" fillId="35" borderId="0" xfId="42" applyNumberFormat="1" applyFont="1" applyFill="1" applyBorder="1"/>
    <xf numFmtId="168" fontId="0" fillId="35" borderId="12" xfId="42" applyNumberFormat="1" applyFont="1" applyFill="1" applyBorder="1"/>
    <xf numFmtId="182" fontId="0" fillId="35" borderId="0" xfId="0" applyNumberFormat="1" applyFill="1"/>
    <xf numFmtId="39" fontId="24" fillId="35" borderId="0" xfId="45" applyFont="1" applyFill="1" applyAlignment="1" applyProtection="1">
      <alignment horizontal="left"/>
      <protection locked="0"/>
    </xf>
    <xf numFmtId="39" fontId="24" fillId="35" borderId="0" xfId="45" applyFont="1" applyFill="1"/>
    <xf numFmtId="39" fontId="24" fillId="35" borderId="0" xfId="45" applyFont="1" applyFill="1" applyAlignment="1">
      <alignment horizontal="left" vertical="top" wrapText="1"/>
    </xf>
    <xf numFmtId="39" fontId="24" fillId="35" borderId="0" xfId="45" applyFont="1" applyFill="1" applyAlignment="1">
      <alignment horizontal="left" vertical="top"/>
    </xf>
    <xf numFmtId="39" fontId="24" fillId="35" borderId="0" xfId="45" applyFont="1" applyFill="1" applyAlignment="1">
      <alignment horizontal="left" wrapText="1"/>
    </xf>
    <xf numFmtId="39" fontId="24" fillId="35" borderId="0" xfId="45" applyFont="1" applyFill="1" applyAlignment="1">
      <alignment horizontal="left"/>
    </xf>
    <xf numFmtId="39" fontId="25" fillId="35" borderId="11" xfId="45" applyFont="1" applyFill="1" applyBorder="1" applyAlignment="1">
      <alignment horizontal="center" wrapText="1"/>
    </xf>
    <xf numFmtId="39" fontId="25" fillId="35" borderId="11" xfId="45" applyFont="1" applyFill="1" applyBorder="1" applyAlignment="1">
      <alignment horizontal="center"/>
    </xf>
    <xf numFmtId="39" fontId="24" fillId="35" borderId="0" xfId="45" applyFont="1" applyFill="1" applyAlignment="1">
      <alignment horizontal="center"/>
    </xf>
    <xf numFmtId="171" fontId="24" fillId="35" borderId="0" xfId="45" applyNumberFormat="1" applyFont="1" applyFill="1" applyAlignment="1">
      <alignment horizontal="center"/>
    </xf>
    <xf numFmtId="17" fontId="24" fillId="35" borderId="0" xfId="45" applyNumberFormat="1" applyFont="1" applyFill="1"/>
    <xf numFmtId="39" fontId="24" fillId="36" borderId="0" xfId="45" applyFont="1" applyFill="1"/>
    <xf numFmtId="39" fontId="24" fillId="36" borderId="0" xfId="45" applyFont="1" applyFill="1" applyAlignment="1">
      <alignment horizontal="center"/>
    </xf>
    <xf numFmtId="171" fontId="24" fillId="36" borderId="0" xfId="45" applyNumberFormat="1" applyFont="1" applyFill="1" applyAlignment="1">
      <alignment horizontal="center"/>
    </xf>
    <xf numFmtId="43" fontId="24" fillId="36" borderId="0" xfId="46" applyFont="1" applyFill="1"/>
    <xf numFmtId="39" fontId="24" fillId="35" borderId="0" xfId="45" applyFont="1" applyFill="1" applyProtection="1">
      <protection locked="0"/>
    </xf>
    <xf numFmtId="17" fontId="24" fillId="35" borderId="10" xfId="45" applyNumberFormat="1" applyFont="1" applyFill="1" applyBorder="1"/>
    <xf numFmtId="39" fontId="25" fillId="35" borderId="0" xfId="45" applyFont="1" applyFill="1" applyAlignment="1">
      <alignment horizontal="center" wrapText="1"/>
    </xf>
    <xf numFmtId="39" fontId="25" fillId="35" borderId="0" xfId="45" applyFont="1" applyFill="1" applyAlignment="1">
      <alignment horizontal="center"/>
    </xf>
    <xf numFmtId="44" fontId="0" fillId="36" borderId="0" xfId="42" applyFont="1" applyFill="1" applyBorder="1"/>
    <xf numFmtId="44" fontId="1" fillId="36" borderId="0" xfId="42" applyFont="1" applyFill="1" applyBorder="1"/>
    <xf numFmtId="44" fontId="21" fillId="36" borderId="0" xfId="42" applyFont="1" applyFill="1" applyBorder="1"/>
    <xf numFmtId="44" fontId="0" fillId="36" borderId="10" xfId="42" applyFont="1" applyFill="1" applyBorder="1"/>
    <xf numFmtId="44" fontId="0" fillId="36" borderId="11" xfId="42" applyFont="1" applyFill="1" applyBorder="1"/>
    <xf numFmtId="0" fontId="0" fillId="36" borderId="0" xfId="0" applyFill="1"/>
    <xf numFmtId="44" fontId="0" fillId="36" borderId="0" xfId="0" applyNumberFormat="1" applyFill="1"/>
    <xf numFmtId="0" fontId="46" fillId="36" borderId="0" xfId="42" applyNumberFormat="1" applyFont="1" applyFill="1" applyBorder="1" applyAlignment="1">
      <alignment horizontal="left" vertical="top"/>
    </xf>
    <xf numFmtId="0" fontId="46" fillId="36" borderId="0" xfId="0" applyFont="1" applyFill="1" applyAlignment="1">
      <alignment horizontal="left" vertical="top"/>
    </xf>
    <xf numFmtId="0" fontId="0" fillId="36" borderId="11" xfId="0" applyFill="1" applyBorder="1"/>
    <xf numFmtId="14" fontId="0" fillId="35" borderId="0" xfId="0" applyNumberFormat="1" applyFill="1"/>
    <xf numFmtId="0" fontId="20" fillId="35" borderId="13" xfId="0" applyFont="1" applyFill="1" applyBorder="1"/>
    <xf numFmtId="0" fontId="20" fillId="35" borderId="14" xfId="0" applyFont="1" applyFill="1" applyBorder="1"/>
    <xf numFmtId="0" fontId="0" fillId="35" borderId="15" xfId="0" applyFill="1" applyBorder="1"/>
    <xf numFmtId="0" fontId="20" fillId="35" borderId="16" xfId="0" applyFont="1" applyFill="1" applyBorder="1"/>
    <xf numFmtId="0" fontId="0" fillId="35" borderId="16" xfId="0" applyFill="1" applyBorder="1"/>
    <xf numFmtId="0" fontId="0" fillId="35" borderId="17" xfId="0" applyFill="1" applyBorder="1"/>
    <xf numFmtId="0" fontId="0" fillId="35" borderId="18" xfId="0" applyFill="1" applyBorder="1"/>
    <xf numFmtId="167" fontId="21" fillId="35" borderId="0" xfId="43" applyNumberFormat="1" applyFont="1" applyFill="1" applyBorder="1"/>
    <xf numFmtId="167" fontId="14" fillId="35" borderId="0" xfId="43" applyNumberFormat="1" applyFont="1" applyFill="1" applyBorder="1"/>
    <xf numFmtId="170" fontId="0" fillId="35" borderId="0" xfId="0" applyNumberFormat="1" applyFill="1"/>
    <xf numFmtId="169" fontId="0" fillId="35" borderId="13" xfId="0" applyNumberFormat="1" applyFill="1" applyBorder="1"/>
    <xf numFmtId="169" fontId="0" fillId="35" borderId="21" xfId="0" applyNumberFormat="1" applyFill="1" applyBorder="1"/>
    <xf numFmtId="169" fontId="0" fillId="35" borderId="14" xfId="0" applyNumberFormat="1" applyFill="1" applyBorder="1"/>
    <xf numFmtId="169" fontId="0" fillId="35" borderId="15" xfId="0" applyNumberFormat="1" applyFill="1" applyBorder="1"/>
    <xf numFmtId="169" fontId="0" fillId="35" borderId="22" xfId="0" applyNumberFormat="1" applyFill="1" applyBorder="1"/>
    <xf numFmtId="169" fontId="0" fillId="35" borderId="16" xfId="0" applyNumberFormat="1" applyFill="1" applyBorder="1"/>
    <xf numFmtId="169" fontId="0" fillId="35" borderId="17" xfId="0" applyNumberFormat="1" applyFill="1" applyBorder="1"/>
    <xf numFmtId="169" fontId="0" fillId="35" borderId="23" xfId="0" applyNumberFormat="1" applyFill="1" applyBorder="1"/>
    <xf numFmtId="169" fontId="0" fillId="35" borderId="18" xfId="0" applyNumberFormat="1" applyFill="1" applyBorder="1"/>
    <xf numFmtId="169" fontId="14" fillId="35" borderId="16" xfId="0" applyNumberFormat="1" applyFont="1" applyFill="1" applyBorder="1"/>
    <xf numFmtId="169" fontId="48" fillId="35" borderId="16" xfId="0" applyNumberFormat="1" applyFont="1" applyFill="1" applyBorder="1"/>
    <xf numFmtId="169" fontId="21" fillId="35" borderId="16" xfId="0" applyNumberFormat="1" applyFont="1" applyFill="1" applyBorder="1"/>
    <xf numFmtId="44" fontId="14" fillId="35" borderId="18" xfId="0" applyNumberFormat="1" applyFont="1" applyFill="1" applyBorder="1"/>
    <xf numFmtId="44" fontId="21" fillId="35" borderId="18" xfId="0" applyNumberFormat="1" applyFont="1" applyFill="1" applyBorder="1"/>
    <xf numFmtId="169" fontId="21" fillId="35" borderId="14" xfId="0" applyNumberFormat="1" applyFont="1" applyFill="1" applyBorder="1"/>
    <xf numFmtId="169" fontId="14" fillId="35" borderId="14" xfId="0" applyNumberFormat="1" applyFont="1" applyFill="1" applyBorder="1"/>
    <xf numFmtId="44" fontId="0" fillId="35" borderId="16" xfId="0" applyNumberFormat="1" applyFill="1" applyBorder="1"/>
    <xf numFmtId="169" fontId="0" fillId="35" borderId="0" xfId="42" applyNumberFormat="1" applyFont="1" applyFill="1"/>
    <xf numFmtId="169" fontId="21" fillId="35" borderId="18" xfId="0" applyNumberFormat="1" applyFont="1" applyFill="1" applyBorder="1"/>
    <xf numFmtId="44" fontId="0" fillId="35" borderId="18" xfId="0" applyNumberFormat="1" applyFill="1" applyBorder="1"/>
    <xf numFmtId="14" fontId="16" fillId="35" borderId="0" xfId="0" applyNumberFormat="1" applyFont="1" applyFill="1"/>
    <xf numFmtId="167" fontId="0" fillId="36" borderId="14" xfId="43" applyNumberFormat="1" applyFont="1" applyFill="1" applyBorder="1" applyAlignment="1">
      <alignment horizontal="center"/>
    </xf>
    <xf numFmtId="167" fontId="14" fillId="36" borderId="16" xfId="43" applyNumberFormat="1" applyFont="1" applyFill="1" applyBorder="1" applyAlignment="1">
      <alignment horizontal="center"/>
    </xf>
    <xf numFmtId="167" fontId="14" fillId="36" borderId="16" xfId="43" applyNumberFormat="1" applyFont="1" applyFill="1" applyBorder="1"/>
    <xf numFmtId="167" fontId="0" fillId="36" borderId="16" xfId="43" applyNumberFormat="1" applyFont="1" applyFill="1" applyBorder="1" applyAlignment="1">
      <alignment horizontal="center"/>
    </xf>
    <xf numFmtId="167" fontId="21" fillId="36" borderId="16" xfId="43" applyNumberFormat="1" applyFont="1" applyFill="1" applyBorder="1" applyAlignment="1">
      <alignment horizontal="center"/>
    </xf>
    <xf numFmtId="167" fontId="1" fillId="36" borderId="16" xfId="43" applyNumberFormat="1" applyFont="1" applyFill="1" applyBorder="1" applyAlignment="1">
      <alignment horizontal="center"/>
    </xf>
    <xf numFmtId="167" fontId="0" fillId="36" borderId="18" xfId="43" applyNumberFormat="1" applyFont="1" applyFill="1" applyBorder="1"/>
    <xf numFmtId="167" fontId="21" fillId="36" borderId="18" xfId="43" applyNumberFormat="1" applyFont="1" applyFill="1" applyBorder="1"/>
    <xf numFmtId="167" fontId="1" fillId="36" borderId="18" xfId="43" applyNumberFormat="1" applyFont="1" applyFill="1" applyBorder="1"/>
    <xf numFmtId="167" fontId="14" fillId="36" borderId="18" xfId="43" applyNumberFormat="1" applyFont="1" applyFill="1" applyBorder="1"/>
    <xf numFmtId="169" fontId="0" fillId="36" borderId="21" xfId="0" applyNumberFormat="1" applyFill="1" applyBorder="1"/>
    <xf numFmtId="169" fontId="0" fillId="36" borderId="14" xfId="0" applyNumberFormat="1" applyFill="1" applyBorder="1"/>
    <xf numFmtId="169" fontId="0" fillId="36" borderId="22" xfId="0" applyNumberFormat="1" applyFill="1" applyBorder="1"/>
    <xf numFmtId="169" fontId="0" fillId="36" borderId="16" xfId="0" applyNumberFormat="1" applyFill="1" applyBorder="1"/>
    <xf numFmtId="169" fontId="0" fillId="36" borderId="23" xfId="0" applyNumberFormat="1" applyFill="1" applyBorder="1"/>
    <xf numFmtId="169" fontId="0" fillId="36" borderId="18" xfId="0" applyNumberFormat="1" applyFill="1" applyBorder="1"/>
    <xf numFmtId="1" fontId="0" fillId="36" borderId="14" xfId="0" applyNumberFormat="1" applyFill="1" applyBorder="1"/>
    <xf numFmtId="1" fontId="21" fillId="36" borderId="14" xfId="0" applyNumberFormat="1" applyFont="1" applyFill="1" applyBorder="1"/>
    <xf numFmtId="1" fontId="14" fillId="36" borderId="14" xfId="0" applyNumberFormat="1" applyFont="1" applyFill="1" applyBorder="1"/>
    <xf numFmtId="169" fontId="21" fillId="36" borderId="16" xfId="0" applyNumberFormat="1" applyFont="1" applyFill="1" applyBorder="1"/>
    <xf numFmtId="169" fontId="14" fillId="36" borderId="16" xfId="0" applyNumberFormat="1" applyFont="1" applyFill="1" applyBorder="1"/>
    <xf numFmtId="44" fontId="14" fillId="36" borderId="18" xfId="0" applyNumberFormat="1" applyFont="1" applyFill="1" applyBorder="1"/>
    <xf numFmtId="44" fontId="21" fillId="36" borderId="18" xfId="0" applyNumberFormat="1" applyFont="1" applyFill="1" applyBorder="1"/>
    <xf numFmtId="169" fontId="0" fillId="36" borderId="0" xfId="0" applyNumberFormat="1" applyFill="1"/>
    <xf numFmtId="44" fontId="0" fillId="36" borderId="0" xfId="43" applyNumberFormat="1" applyFont="1" applyFill="1"/>
    <xf numFmtId="44" fontId="0" fillId="36" borderId="0" xfId="42" applyFont="1" applyFill="1"/>
    <xf numFmtId="39" fontId="24" fillId="35" borderId="0" xfId="45" applyFont="1" applyFill="1" applyBorder="1"/>
    <xf numFmtId="39" fontId="24" fillId="35" borderId="0" xfId="45" applyFont="1" applyFill="1" applyBorder="1" applyAlignment="1">
      <alignment horizontal="center"/>
    </xf>
    <xf numFmtId="39" fontId="25" fillId="35" borderId="0" xfId="45" applyFont="1" applyFill="1" applyBorder="1" applyAlignment="1">
      <alignment horizontal="center" wrapText="1"/>
    </xf>
    <xf numFmtId="0" fontId="0" fillId="0" borderId="0" xfId="0" applyFill="1" applyBorder="1" applyAlignment="1">
      <alignment horizontal="left" vertical="top" wrapText="1"/>
    </xf>
    <xf numFmtId="0" fontId="0" fillId="35" borderId="0" xfId="0" applyFill="1" applyAlignment="1">
      <alignment horizontal="left" vertical="top" wrapText="1"/>
    </xf>
    <xf numFmtId="0" fontId="22" fillId="35" borderId="0" xfId="52" applyFont="1" applyFill="1" applyAlignment="1">
      <alignment horizontal="center"/>
    </xf>
    <xf numFmtId="0" fontId="22" fillId="35" borderId="0" xfId="52" quotePrefix="1" applyFont="1" applyFill="1" applyAlignment="1">
      <alignment horizontal="center"/>
    </xf>
    <xf numFmtId="0" fontId="22" fillId="35" borderId="0" xfId="53" applyFont="1" applyFill="1" applyAlignment="1">
      <alignment horizontal="center"/>
    </xf>
    <xf numFmtId="0" fontId="16" fillId="34" borderId="0" xfId="0" applyFont="1" applyFill="1" applyAlignment="1">
      <alignment horizontal="center"/>
    </xf>
    <xf numFmtId="0" fontId="16" fillId="35" borderId="0" xfId="0" applyFont="1" applyFill="1" applyAlignment="1">
      <alignment horizontal="center"/>
    </xf>
    <xf numFmtId="0" fontId="20" fillId="0" borderId="0" xfId="0" applyFont="1" applyAlignment="1">
      <alignment horizontal="center"/>
    </xf>
    <xf numFmtId="0" fontId="16" fillId="0" borderId="0" xfId="0" applyFont="1" applyAlignment="1">
      <alignment horizontal="center"/>
    </xf>
    <xf numFmtId="0" fontId="16" fillId="33" borderId="0" xfId="0" applyFont="1" applyFill="1" applyAlignment="1">
      <alignment horizontal="center"/>
    </xf>
    <xf numFmtId="0" fontId="16" fillId="0" borderId="39" xfId="0" applyFont="1" applyFill="1" applyBorder="1" applyAlignment="1">
      <alignment horizontal="center"/>
    </xf>
    <xf numFmtId="0" fontId="16" fillId="0" borderId="38" xfId="0" applyFont="1" applyFill="1" applyBorder="1" applyAlignment="1">
      <alignment horizontal="center"/>
    </xf>
    <xf numFmtId="0" fontId="16" fillId="0" borderId="37" xfId="0" applyFont="1" applyFill="1" applyBorder="1" applyAlignment="1">
      <alignment horizontal="center"/>
    </xf>
    <xf numFmtId="0" fontId="16" fillId="0" borderId="29" xfId="0" applyFont="1" applyFill="1" applyBorder="1" applyAlignment="1">
      <alignment horizontal="center"/>
    </xf>
    <xf numFmtId="0" fontId="16" fillId="0" borderId="30" xfId="0" applyFont="1" applyFill="1" applyBorder="1" applyAlignment="1">
      <alignment horizontal="center"/>
    </xf>
    <xf numFmtId="0" fontId="16" fillId="0" borderId="43" xfId="0" applyFont="1" applyFill="1" applyBorder="1" applyAlignment="1">
      <alignment horizontal="center"/>
    </xf>
    <xf numFmtId="39" fontId="24" fillId="0" borderId="27" xfId="45" applyFont="1" applyBorder="1" applyAlignment="1">
      <alignment horizontal="center" vertical="center" textRotation="90"/>
    </xf>
    <xf numFmtId="39" fontId="24" fillId="0" borderId="19" xfId="45" applyFont="1" applyBorder="1" applyAlignment="1">
      <alignment horizontal="center" vertical="center" textRotation="90"/>
    </xf>
    <xf numFmtId="39" fontId="24" fillId="0" borderId="25" xfId="45" applyFont="1" applyBorder="1" applyAlignment="1">
      <alignment horizontal="center" vertical="center" textRotation="90"/>
    </xf>
    <xf numFmtId="39" fontId="24" fillId="35" borderId="34" xfId="45" applyFont="1" applyFill="1" applyBorder="1" applyAlignment="1">
      <alignment horizontal="left" vertical="top"/>
    </xf>
    <xf numFmtId="39" fontId="24" fillId="35" borderId="33" xfId="45" applyFont="1" applyFill="1" applyBorder="1" applyAlignment="1">
      <alignment horizontal="left" vertical="top"/>
    </xf>
    <xf numFmtId="39" fontId="24" fillId="35" borderId="33" xfId="45" applyFont="1" applyFill="1" applyBorder="1" applyAlignment="1">
      <alignment horizontal="left" vertical="top" wrapText="1"/>
    </xf>
    <xf numFmtId="39" fontId="24" fillId="35" borderId="32" xfId="45" applyFont="1" applyFill="1" applyBorder="1" applyAlignment="1">
      <alignment horizontal="left" vertical="top" wrapText="1"/>
    </xf>
    <xf numFmtId="39" fontId="26" fillId="35" borderId="0" xfId="45" applyFont="1" applyFill="1" applyAlignment="1">
      <alignment horizontal="center"/>
    </xf>
    <xf numFmtId="39" fontId="24" fillId="35" borderId="36" xfId="45" applyFont="1" applyFill="1" applyBorder="1" applyAlignment="1">
      <alignment horizontal="left"/>
    </xf>
    <xf numFmtId="39" fontId="24" fillId="35" borderId="0" xfId="45" applyFont="1" applyFill="1" applyAlignment="1">
      <alignment horizontal="left"/>
    </xf>
    <xf numFmtId="39" fontId="24" fillId="35" borderId="0" xfId="45" applyFont="1" applyFill="1" applyProtection="1">
      <protection locked="0"/>
    </xf>
    <xf numFmtId="39" fontId="24" fillId="35" borderId="35" xfId="45" applyFont="1" applyFill="1" applyBorder="1" applyProtection="1">
      <protection locked="0"/>
    </xf>
    <xf numFmtId="39" fontId="24" fillId="35" borderId="0" xfId="45" applyFont="1" applyFill="1" applyAlignment="1" applyProtection="1">
      <alignment horizontal="left"/>
      <protection locked="0"/>
    </xf>
    <xf numFmtId="39" fontId="24" fillId="35" borderId="35" xfId="45" applyFont="1" applyFill="1" applyBorder="1" applyAlignment="1" applyProtection="1">
      <alignment horizontal="left"/>
      <protection locked="0"/>
    </xf>
    <xf numFmtId="39" fontId="24" fillId="35" borderId="39" xfId="45" applyFont="1" applyFill="1" applyBorder="1" applyAlignment="1">
      <alignment horizontal="left"/>
    </xf>
    <xf numFmtId="39" fontId="24" fillId="35" borderId="38" xfId="45" applyFont="1" applyFill="1" applyBorder="1" applyAlignment="1">
      <alignment horizontal="left"/>
    </xf>
    <xf numFmtId="39" fontId="24" fillId="35" borderId="38" xfId="45" applyFont="1" applyFill="1" applyBorder="1" applyAlignment="1" applyProtection="1">
      <alignment horizontal="left"/>
      <protection locked="0"/>
    </xf>
    <xf numFmtId="39" fontId="24" fillId="35" borderId="37" xfId="45" applyFont="1" applyFill="1" applyBorder="1" applyAlignment="1" applyProtection="1">
      <alignment horizontal="left"/>
      <protection locked="0"/>
    </xf>
    <xf numFmtId="17" fontId="24" fillId="35" borderId="0" xfId="45" applyNumberFormat="1" applyFont="1" applyFill="1" applyAlignment="1">
      <alignment horizontal="right"/>
    </xf>
    <xf numFmtId="39" fontId="24" fillId="35" borderId="34" xfId="45" applyFont="1" applyFill="1" applyBorder="1" applyAlignment="1">
      <alignment horizontal="left" vertical="top" wrapText="1"/>
    </xf>
    <xf numFmtId="39" fontId="24" fillId="35" borderId="36" xfId="45" applyFont="1" applyFill="1" applyBorder="1" applyProtection="1">
      <protection locked="0"/>
    </xf>
    <xf numFmtId="39" fontId="24" fillId="35" borderId="0" xfId="45" applyFont="1" applyFill="1" applyBorder="1" applyProtection="1">
      <protection locked="0"/>
    </xf>
    <xf numFmtId="39" fontId="24" fillId="35" borderId="36" xfId="45" applyFont="1" applyFill="1" applyBorder="1" applyAlignment="1" applyProtection="1">
      <alignment horizontal="left"/>
      <protection locked="0"/>
    </xf>
    <xf numFmtId="39" fontId="24" fillId="35" borderId="0" xfId="45" applyFont="1" applyFill="1" applyBorder="1" applyAlignment="1" applyProtection="1">
      <alignment horizontal="left"/>
      <protection locked="0"/>
    </xf>
    <xf numFmtId="39" fontId="24" fillId="35" borderId="39" xfId="45" applyFont="1" applyFill="1" applyBorder="1" applyAlignment="1" applyProtection="1">
      <alignment horizontal="left"/>
      <protection locked="0"/>
    </xf>
  </cellXfs>
  <cellStyles count="5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Comma 2" xfId="46" xr:uid="{DF76CA76-FA85-4AC9-AD07-F2679C6D03C7}"/>
    <cellStyle name="Comma 3" xfId="51" xr:uid="{61B066F4-5F0A-4B0E-9D4D-075871CC54C0}"/>
    <cellStyle name="Currency" xfId="42" builtinId="4"/>
    <cellStyle name="Currency 2" xfId="56" xr:uid="{7E8A2FD0-B178-4676-95DF-7F636A92D179}"/>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2" xfId="45" xr:uid="{8A107E32-E3E8-42AD-9CB4-F0857FB73ABA}"/>
    <cellStyle name="Normal 2 2" xfId="57" xr:uid="{03F222C3-02D1-434C-8C3B-F4DF75FCCAFE}"/>
    <cellStyle name="Normal 2 3" xfId="58" xr:uid="{354CD082-8906-4E74-B0AE-4F914E93F3CF}"/>
    <cellStyle name="Normal 3" xfId="48" xr:uid="{2EEA51A3-C382-42D4-AB83-4A93DEDE678D}"/>
    <cellStyle name="Normal 4" xfId="55" xr:uid="{AEAF0214-5C53-4744-B465-211847BA879C}"/>
    <cellStyle name="Normal 8" xfId="50" xr:uid="{1E0FD82C-CF99-4A9D-8B1E-33A22841966F}"/>
    <cellStyle name="Normal 81" xfId="54" xr:uid="{689E656B-E1FF-4B2D-94C9-228339887F43}"/>
    <cellStyle name="Normal 92" xfId="52" xr:uid="{BDA991D4-BD35-41F0-A485-18C56A6C3736}"/>
    <cellStyle name="Normal 93" xfId="53" xr:uid="{566684BE-08A6-4FEB-B65F-00B7985FE776}"/>
    <cellStyle name="Note" xfId="15" builtinId="10" customBuiltin="1"/>
    <cellStyle name="Output" xfId="10" builtinId="21" customBuiltin="1"/>
    <cellStyle name="Percent" xfId="44" builtinId="5"/>
    <cellStyle name="Percent 2" xfId="49" xr:uid="{06E6CAD2-9732-4871-9055-B75206866DAF}"/>
    <cellStyle name="Title" xfId="1" builtinId="15" customBuiltin="1"/>
    <cellStyle name="Total" xfId="17" builtinId="25" customBuiltin="1"/>
    <cellStyle name="Warning Text" xfId="14" builtinId="11" customBuiltin="1"/>
  </cellStyles>
  <dxfs count="36">
    <dxf>
      <fill>
        <patternFill patternType="none">
          <fgColor indexed="64"/>
          <bgColor auto="1"/>
        </patternFill>
      </fill>
    </dxf>
    <dxf>
      <numFmt numFmtId="1"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indexed="64"/>
          <bgColor auto="1"/>
        </patternFill>
      </fill>
    </dxf>
    <dxf>
      <numFmt numFmtId="1"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indexed="64"/>
          <bgColor auto="1"/>
        </patternFill>
      </fill>
    </dxf>
    <dxf>
      <numFmt numFmtId="1"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dxf>
    <dxf>
      <numFmt numFmtId="0" formatCode="General"/>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dxf>
  </dxfs>
  <tableStyles count="1" defaultTableStyle="TableStyleMedium2" defaultPivotStyle="PivotStyleLight16">
    <tableStyle name="Invisible" pivot="0" table="0" count="0" xr9:uid="{28BF666E-8B52-4E17-979B-ABE9776C8F2D}"/>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FFFFFF"/>
    </indexedColors>
    <mruColors>
      <color rgb="FF4DF9FD"/>
      <color rgb="FF27ED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9526</xdr:rowOff>
    </xdr:from>
    <xdr:to>
      <xdr:col>9</xdr:col>
      <xdr:colOff>608005</xdr:colOff>
      <xdr:row>6</xdr:row>
      <xdr:rowOff>142876</xdr:rowOff>
    </xdr:to>
    <xdr:pic>
      <xdr:nvPicPr>
        <xdr:cNvPr id="2" name="Picture 1">
          <a:extLst>
            <a:ext uri="{FF2B5EF4-FFF2-40B4-BE49-F238E27FC236}">
              <a16:creationId xmlns:a16="http://schemas.microsoft.com/office/drawing/2014/main" id="{B32EE759-0F66-44ED-B9DF-EE9F8E2A4769}"/>
            </a:ext>
          </a:extLst>
        </xdr:cNvPr>
        <xdr:cNvPicPr>
          <a:picLocks noChangeAspect="1"/>
        </xdr:cNvPicPr>
      </xdr:nvPicPr>
      <xdr:blipFill>
        <a:blip xmlns:r="http://schemas.openxmlformats.org/officeDocument/2006/relationships" r:embed="rId1"/>
        <a:stretch>
          <a:fillRect/>
        </a:stretch>
      </xdr:blipFill>
      <xdr:spPr>
        <a:xfrm>
          <a:off x="4867275" y="409576"/>
          <a:ext cx="4989505" cy="895350"/>
        </a:xfrm>
        <a:prstGeom prst="rect">
          <a:avLst/>
        </a:prstGeom>
      </xdr:spPr>
    </xdr:pic>
    <xdr:clientData/>
  </xdr:twoCellAnchor>
  <xdr:twoCellAnchor editAs="oneCell">
    <xdr:from>
      <xdr:col>5</xdr:col>
      <xdr:colOff>819150</xdr:colOff>
      <xdr:row>8</xdr:row>
      <xdr:rowOff>57151</xdr:rowOff>
    </xdr:from>
    <xdr:to>
      <xdr:col>10</xdr:col>
      <xdr:colOff>314325</xdr:colOff>
      <xdr:row>33</xdr:row>
      <xdr:rowOff>47625</xdr:rowOff>
    </xdr:to>
    <xdr:pic>
      <xdr:nvPicPr>
        <xdr:cNvPr id="3" name="Picture 2">
          <a:extLst>
            <a:ext uri="{FF2B5EF4-FFF2-40B4-BE49-F238E27FC236}">
              <a16:creationId xmlns:a16="http://schemas.microsoft.com/office/drawing/2014/main" id="{48FAF97E-DD00-420D-BC56-4FD1F1E56A81}"/>
            </a:ext>
          </a:extLst>
        </xdr:cNvPr>
        <xdr:cNvPicPr>
          <a:picLocks noChangeAspect="1"/>
        </xdr:cNvPicPr>
      </xdr:nvPicPr>
      <xdr:blipFill>
        <a:blip xmlns:r="http://schemas.openxmlformats.org/officeDocument/2006/relationships" r:embed="rId2"/>
        <a:stretch>
          <a:fillRect/>
        </a:stretch>
      </xdr:blipFill>
      <xdr:spPr>
        <a:xfrm>
          <a:off x="5686425" y="1581151"/>
          <a:ext cx="4972050" cy="4038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xdr:colOff>
      <xdr:row>2</xdr:row>
      <xdr:rowOff>0</xdr:rowOff>
    </xdr:from>
    <xdr:to>
      <xdr:col>13</xdr:col>
      <xdr:colOff>2619376</xdr:colOff>
      <xdr:row>6</xdr:row>
      <xdr:rowOff>357327</xdr:rowOff>
    </xdr:to>
    <xdr:pic>
      <xdr:nvPicPr>
        <xdr:cNvPr id="2" name="Picture 1">
          <a:extLst>
            <a:ext uri="{FF2B5EF4-FFF2-40B4-BE49-F238E27FC236}">
              <a16:creationId xmlns:a16="http://schemas.microsoft.com/office/drawing/2014/main" id="{244D9596-511C-41D4-82F5-7DA036DC4CF3}"/>
            </a:ext>
          </a:extLst>
        </xdr:cNvPr>
        <xdr:cNvPicPr>
          <a:picLocks noChangeAspect="1"/>
        </xdr:cNvPicPr>
      </xdr:nvPicPr>
      <xdr:blipFill>
        <a:blip xmlns:r="http://schemas.openxmlformats.org/officeDocument/2006/relationships" r:embed="rId1"/>
        <a:stretch>
          <a:fillRect/>
        </a:stretch>
      </xdr:blipFill>
      <xdr:spPr>
        <a:xfrm>
          <a:off x="6638926" y="323850"/>
          <a:ext cx="5600700" cy="10050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4</xdr:row>
      <xdr:rowOff>0</xdr:rowOff>
    </xdr:from>
    <xdr:to>
      <xdr:col>21</xdr:col>
      <xdr:colOff>704850</xdr:colOff>
      <xdr:row>9</xdr:row>
      <xdr:rowOff>4902</xdr:rowOff>
    </xdr:to>
    <xdr:pic>
      <xdr:nvPicPr>
        <xdr:cNvPr id="2" name="Picture 1">
          <a:extLst>
            <a:ext uri="{FF2B5EF4-FFF2-40B4-BE49-F238E27FC236}">
              <a16:creationId xmlns:a16="http://schemas.microsoft.com/office/drawing/2014/main" id="{9D5052AC-D52E-48A9-A814-379C5D49B3AA}"/>
            </a:ext>
          </a:extLst>
        </xdr:cNvPr>
        <xdr:cNvPicPr>
          <a:picLocks noChangeAspect="1"/>
        </xdr:cNvPicPr>
      </xdr:nvPicPr>
      <xdr:blipFill>
        <a:blip xmlns:r="http://schemas.openxmlformats.org/officeDocument/2006/relationships" r:embed="rId1"/>
        <a:stretch>
          <a:fillRect/>
        </a:stretch>
      </xdr:blipFill>
      <xdr:spPr>
        <a:xfrm>
          <a:off x="12220575" y="323850"/>
          <a:ext cx="4514850" cy="10050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xdr:colOff>
      <xdr:row>4</xdr:row>
      <xdr:rowOff>0</xdr:rowOff>
    </xdr:from>
    <xdr:to>
      <xdr:col>12</xdr:col>
      <xdr:colOff>1314450</xdr:colOff>
      <xdr:row>8</xdr:row>
      <xdr:rowOff>357327</xdr:rowOff>
    </xdr:to>
    <xdr:pic>
      <xdr:nvPicPr>
        <xdr:cNvPr id="2" name="Picture 1">
          <a:extLst>
            <a:ext uri="{FF2B5EF4-FFF2-40B4-BE49-F238E27FC236}">
              <a16:creationId xmlns:a16="http://schemas.microsoft.com/office/drawing/2014/main" id="{77FD0934-DB05-482E-B3C9-4508B027A3F2}"/>
            </a:ext>
          </a:extLst>
        </xdr:cNvPr>
        <xdr:cNvPicPr>
          <a:picLocks noChangeAspect="1"/>
        </xdr:cNvPicPr>
      </xdr:nvPicPr>
      <xdr:blipFill>
        <a:blip xmlns:r="http://schemas.openxmlformats.org/officeDocument/2006/relationships" r:embed="rId1"/>
        <a:stretch>
          <a:fillRect/>
        </a:stretch>
      </xdr:blipFill>
      <xdr:spPr>
        <a:xfrm>
          <a:off x="6705601" y="323850"/>
          <a:ext cx="3781424" cy="100502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06334B-A96C-4466-AAF0-2A605FCF5D6C}" name="Table2" displayName="Table2" ref="B4:F40" totalsRowShown="0" headerRowDxfId="35" dataDxfId="34">
  <autoFilter ref="B4:F40" xr:uid="{E6C22031-BF17-49AF-825A-C64DDF8AF4B3}"/>
  <tableColumns count="5">
    <tableColumn id="1" xr3:uid="{6F2AFF16-42BD-45BF-9157-4A973BDD4E2A}" name="MONTH" dataDxfId="33"/>
    <tableColumn id="2" xr3:uid="{5D9859E9-8B25-4D8A-ADAF-54E1D4FBBFCA}" name="YEAR" dataDxfId="32"/>
    <tableColumn id="3" xr3:uid="{D5BBC636-977B-4A8F-9569-2270707E3CCC}" name="THERMS" dataDxfId="31"/>
    <tableColumn id="4" xr3:uid="{103243B9-77CE-4F4E-A04D-CCCF2815FB72}" name="REVENUE" dataDxfId="30"/>
    <tableColumn id="5" xr3:uid="{088E6889-188C-4999-A9D4-FF5594019CEE}" name="Column1" dataDxfId="29">
      <calculatedColumnFormula>Table2[[#This Row],[REVENUE]]/Table2[[#This Row],[THERMS]]</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29E078-54DB-4F8B-A955-8A6BD274D3DF}" name="Table3" displayName="Table3" ref="I4:M40" totalsRowShown="0" headerRowDxfId="28" dataDxfId="27">
  <autoFilter ref="I4:M40" xr:uid="{5342816A-A345-4850-B673-506F6C0F06CE}"/>
  <tableColumns count="5">
    <tableColumn id="1" xr3:uid="{1A1B52C3-2343-4075-9471-188CEC0DD406}" name="MONTH" dataDxfId="26"/>
    <tableColumn id="2" xr3:uid="{1646449B-86EE-46DD-ACC9-203B83A2F567}" name="YEAR" dataDxfId="25"/>
    <tableColumn id="3" xr3:uid="{F81A55D5-75CE-4A18-85B5-94BB893DF383}" name="THERMS" dataDxfId="24"/>
    <tableColumn id="4" xr3:uid="{25BE2409-786E-48D3-B78A-BD4DF60B45E0}" name="REVENUE" dataDxfId="23"/>
    <tableColumn id="5" xr3:uid="{F6983DA3-7EA4-4752-89BE-9EEC31BE9D82}" name="Column1" dataDxfId="22">
      <calculatedColumnFormula>Table3[[#This Row],[REVENUE]]/Table3[[#This Row],[THERMS]]</calculatedColumnFormula>
    </tableColumn>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93802B9-CB5D-42C3-A826-8D1FA563634C}" name="Table4" displayName="Table4" ref="P4:T40" totalsRowShown="0" headerRowDxfId="21" dataDxfId="20">
  <autoFilter ref="P4:T40" xr:uid="{F2248EA0-EA02-432C-9FD7-4BEEAEF9EEB6}"/>
  <tableColumns count="5">
    <tableColumn id="1" xr3:uid="{9BC4AB6F-8BBC-4CC9-B7EB-45DFBA6A9427}" name="MONTH" dataDxfId="19"/>
    <tableColumn id="2" xr3:uid="{85BB46B8-58E5-4BFF-8746-7CBD31666B26}" name="YEAR" dataDxfId="18"/>
    <tableColumn id="3" xr3:uid="{07500DF3-E32E-443F-AA9C-6A3AF8A4A288}" name="THERMS" dataDxfId="17"/>
    <tableColumn id="4" xr3:uid="{BA79E2BB-072D-4F5B-9707-D63D84DCA47A}" name="REVENUE" dataDxfId="16"/>
    <tableColumn id="5" xr3:uid="{49286E4D-2E72-4F9A-A4D6-B3B50C920261}" name="Column1" dataDxfId="15">
      <calculatedColumnFormula>Table4[[#This Row],[REVENUE]]/Table4[[#This Row],[THERMS]]</calculatedColumnFormula>
    </tableColumn>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874E205-D909-4AED-9A85-33A2A727FAA1}" name="Table5" displayName="Table5" ref="B43:D46" totalsRowShown="0" headerRowDxfId="14" dataDxfId="13">
  <autoFilter ref="B43:D46" xr:uid="{F8F4176B-CCA1-488F-90C2-ECCD02BFD021}"/>
  <tableColumns count="3">
    <tableColumn id="1" xr3:uid="{DC36288C-294F-40F3-996F-D9239A340FBE}" name="YEAR" dataDxfId="12"/>
    <tableColumn id="2" xr3:uid="{F0ED7AA4-61E4-436C-BB3A-0AD210C111E6}" name="THERMS" dataDxfId="11"/>
    <tableColumn id="3" xr3:uid="{BD61FC4D-E854-43FC-BB51-568481539A10}" name="REVENUE" dataDxfId="10" dataCellStyle="Currency"/>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5053E1E-8453-4113-9EC6-0B5B9FA68D4F}" name="Table6" displayName="Table6" ref="I43:K46" totalsRowShown="0" headerRowDxfId="9" dataDxfId="8">
  <autoFilter ref="I43:K46" xr:uid="{7AA15FF4-0D20-4C2E-BFA5-A8912989D72B}"/>
  <tableColumns count="3">
    <tableColumn id="1" xr3:uid="{8EA883E8-B9C2-4D18-8639-1AE83A27D283}" name="YEAR" dataDxfId="7"/>
    <tableColumn id="2" xr3:uid="{78FAE856-998B-457B-A241-21D2B373EF6B}" name="THERMS" dataDxfId="6"/>
    <tableColumn id="3" xr3:uid="{2BF93DCD-9E37-48F8-AFE6-C2AE8F0F8539}" name="REVENUE" dataDxfId="5"/>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79B55F2-E599-42DE-BD08-EF0D39E6F74D}" name="Table7" displayName="Table7" ref="P43:R46" totalsRowShown="0" headerRowDxfId="4" dataDxfId="3">
  <autoFilter ref="P43:R46" xr:uid="{D221B700-947B-4822-8CCD-5E901B18993B}"/>
  <tableColumns count="3">
    <tableColumn id="1" xr3:uid="{D4A16ED3-FBF1-4AC4-BB8F-4EAE83C88429}" name="YEAR" dataDxfId="2"/>
    <tableColumn id="2" xr3:uid="{DA33C949-BE78-4D24-966E-10FC8195C1A8}" name="THERMS" dataDxfId="1"/>
    <tableColumn id="3" xr3:uid="{02F79BED-15E6-454D-8D29-51400CA8ED04}" name="REVENUE" dataDxfId="0" dataCellStyle="Currency"/>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9.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59B0D-8108-47C5-A808-AA8B58F1B157}">
  <sheetPr codeName="Sheet1"/>
  <dimension ref="A1:E26"/>
  <sheetViews>
    <sheetView tabSelected="1" zoomScaleNormal="100" workbookViewId="0"/>
  </sheetViews>
  <sheetFormatPr defaultRowHeight="15" x14ac:dyDescent="0.25"/>
  <cols>
    <col min="1" max="1" width="34.140625" style="271" bestFit="1" customWidth="1"/>
    <col min="2" max="2" width="18.28515625" style="271" bestFit="1" customWidth="1"/>
    <col min="3" max="3" width="11.28515625" style="271" customWidth="1"/>
    <col min="4" max="5" width="15.28515625" style="271" bestFit="1" customWidth="1"/>
    <col min="6" max="16384" width="9.140625" style="271"/>
  </cols>
  <sheetData>
    <row r="1" spans="1:2" x14ac:dyDescent="0.25">
      <c r="A1" s="271" t="s">
        <v>0</v>
      </c>
    </row>
    <row r="2" spans="1:2" x14ac:dyDescent="0.25">
      <c r="A2" s="325" t="s">
        <v>403</v>
      </c>
    </row>
    <row r="3" spans="1:2" x14ac:dyDescent="0.25">
      <c r="A3" s="271" t="s">
        <v>2</v>
      </c>
    </row>
    <row r="5" spans="1:2" x14ac:dyDescent="0.25">
      <c r="A5" s="272" t="s">
        <v>3</v>
      </c>
    </row>
    <row r="6" spans="1:2" x14ac:dyDescent="0.25">
      <c r="A6" s="273" t="s">
        <v>4</v>
      </c>
      <c r="B6" s="169">
        <v>115520630</v>
      </c>
    </row>
    <row r="7" spans="1:2" x14ac:dyDescent="0.25">
      <c r="A7" s="273" t="s">
        <v>5</v>
      </c>
      <c r="B7" s="169">
        <v>2096410.9400000002</v>
      </c>
    </row>
    <row r="8" spans="1:2" x14ac:dyDescent="0.25">
      <c r="A8" s="273" t="s">
        <v>6</v>
      </c>
      <c r="B8" s="169">
        <v>5341395.51</v>
      </c>
    </row>
    <row r="9" spans="1:2" x14ac:dyDescent="0.25">
      <c r="A9" s="273" t="s">
        <v>7</v>
      </c>
      <c r="B9" s="169">
        <v>122958436.45</v>
      </c>
    </row>
    <row r="10" spans="1:2" x14ac:dyDescent="0.25">
      <c r="A10" s="273" t="s">
        <v>8</v>
      </c>
      <c r="B10" s="274">
        <v>2766015.71</v>
      </c>
    </row>
    <row r="11" spans="1:2" x14ac:dyDescent="0.25">
      <c r="A11" s="273" t="s">
        <v>9</v>
      </c>
      <c r="B11" s="274">
        <v>125724452.16</v>
      </c>
    </row>
    <row r="12" spans="1:2" x14ac:dyDescent="0.25">
      <c r="A12" s="273" t="s">
        <v>10</v>
      </c>
      <c r="B12" s="323">
        <v>1.0462728581456489</v>
      </c>
    </row>
    <row r="13" spans="1:2" x14ac:dyDescent="0.25">
      <c r="A13" s="273" t="s">
        <v>11</v>
      </c>
      <c r="B13" s="274">
        <v>131542081.9002391</v>
      </c>
    </row>
    <row r="14" spans="1:2" x14ac:dyDescent="0.25">
      <c r="B14" s="271" t="s">
        <v>404</v>
      </c>
    </row>
    <row r="15" spans="1:2" x14ac:dyDescent="0.25">
      <c r="A15" s="275" t="s">
        <v>12</v>
      </c>
    </row>
    <row r="16" spans="1:2" x14ac:dyDescent="0.25">
      <c r="A16" s="273" t="s">
        <v>13</v>
      </c>
      <c r="B16" s="274">
        <v>-100094400.57999998</v>
      </c>
    </row>
    <row r="17" spans="1:5" x14ac:dyDescent="0.25">
      <c r="A17" s="273" t="s">
        <v>14</v>
      </c>
      <c r="B17" s="274">
        <v>-3946533.08</v>
      </c>
    </row>
    <row r="18" spans="1:5" ht="17.25" x14ac:dyDescent="0.25">
      <c r="A18" s="273" t="s">
        <v>15</v>
      </c>
      <c r="B18" s="274">
        <v>0</v>
      </c>
      <c r="C18" s="276">
        <v>1</v>
      </c>
    </row>
    <row r="19" spans="1:5" x14ac:dyDescent="0.25">
      <c r="A19" s="273" t="s">
        <v>7</v>
      </c>
      <c r="B19" s="274">
        <v>-104040933.65999998</v>
      </c>
    </row>
    <row r="20" spans="1:5" x14ac:dyDescent="0.25">
      <c r="A20" s="273" t="s">
        <v>8</v>
      </c>
      <c r="B20" s="274">
        <v>-2037269.9700000002</v>
      </c>
    </row>
    <row r="21" spans="1:5" x14ac:dyDescent="0.25">
      <c r="A21" s="273" t="s">
        <v>9</v>
      </c>
      <c r="B21" s="274">
        <v>-106078203.62999998</v>
      </c>
    </row>
    <row r="22" spans="1:5" x14ac:dyDescent="0.25">
      <c r="A22" s="273" t="s">
        <v>10</v>
      </c>
      <c r="B22" s="322">
        <v>1.0462728581456489</v>
      </c>
    </row>
    <row r="23" spans="1:5" x14ac:dyDescent="0.25">
      <c r="A23" s="273" t="s">
        <v>16</v>
      </c>
      <c r="B23" s="274">
        <v>-110986745.29891622</v>
      </c>
      <c r="D23" s="274"/>
      <c r="E23" s="274"/>
    </row>
    <row r="25" spans="1:5" x14ac:dyDescent="0.25">
      <c r="A25" s="271" t="s">
        <v>59</v>
      </c>
    </row>
    <row r="26" spans="1:5" ht="98.25" customHeight="1" x14ac:dyDescent="0.25">
      <c r="A26" s="455" t="s">
        <v>401</v>
      </c>
      <c r="B26" s="455"/>
    </row>
  </sheetData>
  <mergeCells count="1">
    <mergeCell ref="A26:B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C8954-3AC2-4C0A-965F-652DADBC35D7}">
  <sheetPr codeName="Sheet20"/>
  <dimension ref="A1:L42"/>
  <sheetViews>
    <sheetView zoomScaleNormal="100" workbookViewId="0">
      <selection activeCell="D1" sqref="D1:D2"/>
    </sheetView>
  </sheetViews>
  <sheetFormatPr defaultRowHeight="15" x14ac:dyDescent="0.25"/>
  <cols>
    <col min="1" max="1" width="25.140625" style="155" customWidth="1"/>
    <col min="2" max="2" width="13.28515625" style="155" bestFit="1" customWidth="1"/>
    <col min="3" max="3" width="8.28515625" style="155" customWidth="1"/>
    <col min="4" max="4" width="16.85546875" style="155" bestFit="1" customWidth="1"/>
    <col min="5" max="5" width="9.28515625" style="155" customWidth="1"/>
    <col min="6" max="6" width="16" style="155" bestFit="1" customWidth="1"/>
    <col min="7" max="8" width="16.85546875" style="155" bestFit="1" customWidth="1"/>
    <col min="9" max="9" width="9.7109375" style="155" customWidth="1"/>
    <col min="10" max="10" width="17.85546875" style="155" bestFit="1" customWidth="1"/>
    <col min="11" max="11" width="17" style="155" bestFit="1" customWidth="1"/>
    <col min="12" max="12" width="14.85546875" style="155" bestFit="1" customWidth="1"/>
    <col min="13" max="16384" width="9.140625" style="155"/>
  </cols>
  <sheetData>
    <row r="1" spans="1:12" x14ac:dyDescent="0.25">
      <c r="D1" s="155" t="s">
        <v>406</v>
      </c>
    </row>
    <row r="2" spans="1:12" x14ac:dyDescent="0.25">
      <c r="D2" s="156" t="s">
        <v>405</v>
      </c>
    </row>
    <row r="3" spans="1:12" x14ac:dyDescent="0.25">
      <c r="A3" s="155" t="s">
        <v>0</v>
      </c>
    </row>
    <row r="4" spans="1:12" x14ac:dyDescent="0.25">
      <c r="A4" s="271" t="s">
        <v>403</v>
      </c>
      <c r="D4" s="156"/>
    </row>
    <row r="5" spans="1:12" x14ac:dyDescent="0.25">
      <c r="A5" s="155" t="s">
        <v>2</v>
      </c>
    </row>
    <row r="6" spans="1:12" x14ac:dyDescent="0.25">
      <c r="A6" s="299"/>
      <c r="B6" s="333"/>
      <c r="C6" s="333"/>
      <c r="D6" s="333"/>
      <c r="E6" s="333"/>
      <c r="F6" s="333"/>
      <c r="G6" s="333"/>
      <c r="H6" s="333"/>
      <c r="I6" s="333"/>
      <c r="J6" s="334"/>
    </row>
    <row r="7" spans="1:12" x14ac:dyDescent="0.25">
      <c r="A7" s="335" t="s">
        <v>17</v>
      </c>
      <c r="I7" s="271"/>
      <c r="J7" s="310"/>
    </row>
    <row r="8" spans="1:12" x14ac:dyDescent="0.25">
      <c r="A8" s="300"/>
      <c r="B8" s="336">
        <v>2022</v>
      </c>
      <c r="D8" s="336">
        <v>2023</v>
      </c>
      <c r="F8" s="336" t="s">
        <v>395</v>
      </c>
      <c r="G8" s="337"/>
      <c r="H8" s="336" t="s">
        <v>18</v>
      </c>
      <c r="I8" s="337"/>
      <c r="J8" s="338" t="s">
        <v>19</v>
      </c>
    </row>
    <row r="9" spans="1:12" x14ac:dyDescent="0.25">
      <c r="A9" s="339" t="s">
        <v>4</v>
      </c>
      <c r="B9" s="384"/>
      <c r="C9" s="384"/>
      <c r="D9" s="384"/>
      <c r="E9" s="384"/>
      <c r="F9" s="385"/>
      <c r="G9" s="384"/>
      <c r="H9" s="384"/>
      <c r="I9" s="169"/>
      <c r="J9" s="340">
        <v>115520630</v>
      </c>
    </row>
    <row r="10" spans="1:12" x14ac:dyDescent="0.25">
      <c r="A10" s="341"/>
      <c r="B10" s="384"/>
      <c r="C10" s="384"/>
      <c r="D10" s="384"/>
      <c r="E10" s="384"/>
      <c r="F10" s="384"/>
      <c r="G10" s="384"/>
      <c r="H10" s="384"/>
      <c r="I10" s="169"/>
      <c r="J10" s="340"/>
    </row>
    <row r="11" spans="1:12" x14ac:dyDescent="0.25">
      <c r="A11" s="342" t="s">
        <v>5</v>
      </c>
      <c r="B11" s="384"/>
      <c r="C11" s="384"/>
      <c r="D11" s="384"/>
      <c r="E11" s="384"/>
      <c r="F11" s="384"/>
      <c r="G11" s="384"/>
      <c r="H11" s="384"/>
      <c r="I11" s="169"/>
      <c r="J11" s="340"/>
    </row>
    <row r="12" spans="1:12" x14ac:dyDescent="0.25">
      <c r="A12" s="343" t="s">
        <v>20</v>
      </c>
      <c r="B12" s="384"/>
      <c r="C12" s="384"/>
      <c r="D12" s="384"/>
      <c r="E12" s="384"/>
      <c r="F12" s="384"/>
      <c r="G12" s="384"/>
      <c r="H12" s="384"/>
      <c r="I12" s="169"/>
      <c r="J12" s="340">
        <v>156950.53</v>
      </c>
      <c r="K12" s="158"/>
    </row>
    <row r="13" spans="1:12" x14ac:dyDescent="0.25">
      <c r="A13" s="343" t="s">
        <v>21</v>
      </c>
      <c r="B13" s="384"/>
      <c r="C13" s="384"/>
      <c r="D13" s="384"/>
      <c r="E13" s="384"/>
      <c r="F13" s="384"/>
      <c r="G13" s="384"/>
      <c r="H13" s="384"/>
      <c r="I13" s="169"/>
      <c r="J13" s="340">
        <v>7500</v>
      </c>
    </row>
    <row r="14" spans="1:12" x14ac:dyDescent="0.25">
      <c r="A14" s="343" t="s">
        <v>22</v>
      </c>
      <c r="B14" s="384"/>
      <c r="C14" s="384"/>
      <c r="D14" s="384"/>
      <c r="E14" s="384"/>
      <c r="F14" s="384"/>
      <c r="G14" s="384"/>
      <c r="H14" s="386"/>
      <c r="I14" s="169"/>
      <c r="J14" s="340">
        <v>1673795.4800000002</v>
      </c>
      <c r="L14" s="344"/>
    </row>
    <row r="15" spans="1:12" x14ac:dyDescent="0.25">
      <c r="A15" s="343" t="s">
        <v>23</v>
      </c>
      <c r="B15" s="384"/>
      <c r="C15" s="384"/>
      <c r="D15" s="384"/>
      <c r="E15" s="384"/>
      <c r="F15" s="384"/>
      <c r="G15" s="384"/>
      <c r="H15" s="384"/>
      <c r="I15" s="169"/>
      <c r="J15" s="340">
        <v>258164.93000000002</v>
      </c>
      <c r="L15" s="344"/>
    </row>
    <row r="16" spans="1:12" x14ac:dyDescent="0.25">
      <c r="A16" s="300" t="s">
        <v>24</v>
      </c>
      <c r="B16" s="387"/>
      <c r="C16" s="387"/>
      <c r="D16" s="387"/>
      <c r="E16" s="387"/>
      <c r="F16" s="387"/>
      <c r="G16" s="387"/>
      <c r="H16" s="387"/>
      <c r="I16" s="345"/>
      <c r="J16" s="346">
        <v>2096410.9400000002</v>
      </c>
    </row>
    <row r="17" spans="1:10" x14ac:dyDescent="0.25">
      <c r="A17" s="347"/>
      <c r="B17" s="384"/>
      <c r="C17" s="384"/>
      <c r="D17" s="384"/>
      <c r="E17" s="384"/>
      <c r="F17" s="384"/>
      <c r="G17" s="384"/>
      <c r="H17" s="384"/>
      <c r="I17" s="169"/>
      <c r="J17" s="340"/>
    </row>
    <row r="18" spans="1:10" x14ac:dyDescent="0.25">
      <c r="A18" s="339" t="s">
        <v>6</v>
      </c>
      <c r="B18" s="384"/>
      <c r="C18" s="384"/>
      <c r="D18" s="384"/>
      <c r="E18" s="384"/>
      <c r="F18" s="384"/>
      <c r="G18" s="384"/>
      <c r="H18" s="384"/>
      <c r="I18" s="169"/>
      <c r="J18" s="340"/>
    </row>
    <row r="19" spans="1:10" x14ac:dyDescent="0.25">
      <c r="A19" s="341" t="s">
        <v>25</v>
      </c>
      <c r="B19" s="384"/>
      <c r="C19" s="384"/>
      <c r="D19" s="384"/>
      <c r="E19" s="384"/>
      <c r="F19" s="384"/>
      <c r="G19" s="384"/>
      <c r="H19" s="384"/>
      <c r="I19" s="169"/>
      <c r="J19" s="340"/>
    </row>
    <row r="20" spans="1:10" x14ac:dyDescent="0.25">
      <c r="A20" s="341" t="s">
        <v>26</v>
      </c>
      <c r="B20" s="384"/>
      <c r="C20" s="384"/>
      <c r="D20" s="384"/>
      <c r="E20" s="384"/>
      <c r="F20" s="384"/>
      <c r="G20" s="384"/>
      <c r="H20" s="384"/>
      <c r="I20" s="169"/>
      <c r="J20" s="340"/>
    </row>
    <row r="21" spans="1:10" ht="15.75" thickBot="1" x14ac:dyDescent="0.3">
      <c r="A21" s="348" t="s">
        <v>27</v>
      </c>
      <c r="B21" s="387"/>
      <c r="C21" s="387"/>
      <c r="D21" s="387"/>
      <c r="E21" s="387"/>
      <c r="F21" s="387"/>
      <c r="G21" s="387"/>
      <c r="H21" s="387"/>
      <c r="I21" s="345"/>
      <c r="J21" s="349">
        <v>5341395.51</v>
      </c>
    </row>
    <row r="22" spans="1:10" ht="15.75" thickTop="1" x14ac:dyDescent="0.25">
      <c r="A22" s="348"/>
      <c r="B22" s="384"/>
      <c r="C22" s="384"/>
      <c r="D22" s="384"/>
      <c r="E22" s="384"/>
      <c r="F22" s="384"/>
      <c r="G22" s="384"/>
      <c r="H22" s="384"/>
      <c r="I22" s="169"/>
      <c r="J22" s="350"/>
    </row>
    <row r="23" spans="1:10" x14ac:dyDescent="0.25">
      <c r="A23" s="343" t="s">
        <v>19</v>
      </c>
      <c r="B23" s="384"/>
      <c r="C23" s="384"/>
      <c r="D23" s="384"/>
      <c r="E23" s="384"/>
      <c r="F23" s="384"/>
      <c r="G23" s="384"/>
      <c r="H23" s="384"/>
      <c r="I23" s="169"/>
      <c r="J23" s="351">
        <v>122958436.45</v>
      </c>
    </row>
    <row r="24" spans="1:10" x14ac:dyDescent="0.25">
      <c r="A24" s="300"/>
      <c r="B24" s="384"/>
      <c r="C24" s="384"/>
      <c r="D24" s="384"/>
      <c r="E24" s="384"/>
      <c r="F24" s="384"/>
      <c r="G24" s="384"/>
      <c r="H24" s="384"/>
      <c r="I24" s="169"/>
      <c r="J24" s="340"/>
    </row>
    <row r="25" spans="1:10" x14ac:dyDescent="0.25">
      <c r="A25" s="304"/>
      <c r="B25" s="388"/>
      <c r="C25" s="388"/>
      <c r="D25" s="388"/>
      <c r="E25" s="388"/>
      <c r="F25" s="388"/>
      <c r="G25" s="388"/>
      <c r="H25" s="388"/>
      <c r="I25" s="317"/>
      <c r="J25" s="352"/>
    </row>
    <row r="26" spans="1:10" x14ac:dyDescent="0.25">
      <c r="A26" s="335" t="s">
        <v>28</v>
      </c>
      <c r="B26" s="389"/>
      <c r="C26" s="389"/>
      <c r="D26" s="389"/>
      <c r="E26" s="389"/>
      <c r="F26" s="389"/>
      <c r="G26" s="389"/>
      <c r="H26" s="389"/>
      <c r="J26" s="310"/>
    </row>
    <row r="27" spans="1:10" x14ac:dyDescent="0.25">
      <c r="A27" s="300"/>
      <c r="B27" s="389"/>
      <c r="C27" s="389"/>
      <c r="D27" s="389"/>
      <c r="E27" s="389"/>
      <c r="F27" s="389"/>
      <c r="G27" s="390"/>
      <c r="H27" s="389"/>
      <c r="J27" s="310"/>
    </row>
    <row r="28" spans="1:10" ht="17.25" x14ac:dyDescent="0.25">
      <c r="A28" s="342" t="s">
        <v>13</v>
      </c>
      <c r="B28" s="384"/>
      <c r="C28" s="389"/>
      <c r="D28" s="384"/>
      <c r="E28" s="389"/>
      <c r="F28" s="384"/>
      <c r="G28" s="391"/>
      <c r="H28" s="384"/>
      <c r="I28" s="169"/>
      <c r="J28" s="353">
        <v>-100094400.57999998</v>
      </c>
    </row>
    <row r="29" spans="1:10" x14ac:dyDescent="0.25">
      <c r="A29" s="300"/>
      <c r="B29" s="389"/>
      <c r="C29" s="389"/>
      <c r="D29" s="389"/>
      <c r="E29" s="389"/>
      <c r="F29" s="389"/>
      <c r="G29" s="389"/>
      <c r="H29" s="389"/>
      <c r="J29" s="310"/>
    </row>
    <row r="30" spans="1:10" x14ac:dyDescent="0.25">
      <c r="A30" s="342" t="s">
        <v>14</v>
      </c>
      <c r="B30" s="389"/>
      <c r="C30" s="389"/>
      <c r="D30" s="389"/>
      <c r="E30" s="389"/>
      <c r="F30" s="389"/>
      <c r="G30" s="389"/>
      <c r="H30" s="389"/>
      <c r="J30" s="310"/>
    </row>
    <row r="31" spans="1:10" x14ac:dyDescent="0.25">
      <c r="A31" s="300" t="s">
        <v>29</v>
      </c>
      <c r="B31" s="384"/>
      <c r="C31" s="389"/>
      <c r="D31" s="384"/>
      <c r="E31" s="389"/>
      <c r="F31" s="384"/>
      <c r="G31" s="384"/>
      <c r="H31" s="384"/>
      <c r="I31" s="169"/>
      <c r="J31" s="354">
        <v>-3946533.08</v>
      </c>
    </row>
    <row r="32" spans="1:10" x14ac:dyDescent="0.25">
      <c r="A32" s="300"/>
      <c r="B32" s="389"/>
      <c r="C32" s="389"/>
      <c r="D32" s="389"/>
      <c r="E32" s="389"/>
      <c r="F32" s="389"/>
      <c r="G32" s="389"/>
      <c r="H32" s="389"/>
      <c r="J32" s="310"/>
    </row>
    <row r="33" spans="1:10" ht="18" thickBot="1" x14ac:dyDescent="0.3">
      <c r="A33" s="342" t="s">
        <v>400</v>
      </c>
      <c r="B33" s="384"/>
      <c r="C33" s="389"/>
      <c r="D33" s="384"/>
      <c r="E33" s="392"/>
      <c r="F33" s="390"/>
      <c r="G33" s="390"/>
      <c r="H33" s="390"/>
      <c r="I33" s="158"/>
      <c r="J33" s="355">
        <v>0</v>
      </c>
    </row>
    <row r="34" spans="1:10" ht="15.75" thickTop="1" x14ac:dyDescent="0.25">
      <c r="A34" s="300"/>
      <c r="B34" s="389"/>
      <c r="C34" s="389"/>
      <c r="D34" s="389"/>
      <c r="E34" s="389"/>
      <c r="F34" s="389"/>
      <c r="G34" s="389"/>
      <c r="H34" s="389"/>
      <c r="J34" s="310"/>
    </row>
    <row r="35" spans="1:10" x14ac:dyDescent="0.25">
      <c r="A35" s="343" t="s">
        <v>19</v>
      </c>
      <c r="B35" s="390"/>
      <c r="C35" s="389"/>
      <c r="D35" s="390"/>
      <c r="E35" s="389"/>
      <c r="F35" s="390"/>
      <c r="G35" s="390"/>
      <c r="H35" s="390"/>
      <c r="I35" s="158"/>
      <c r="J35" s="356">
        <v>-104040933.65999998</v>
      </c>
    </row>
    <row r="36" spans="1:10" x14ac:dyDescent="0.25">
      <c r="A36" s="304"/>
      <c r="B36" s="393"/>
      <c r="C36" s="393"/>
      <c r="D36" s="393"/>
      <c r="E36" s="393"/>
      <c r="F36" s="393"/>
      <c r="G36" s="393"/>
      <c r="H36" s="393"/>
      <c r="I36" s="162"/>
      <c r="J36" s="357"/>
    </row>
    <row r="37" spans="1:10" x14ac:dyDescent="0.25">
      <c r="J37" s="344"/>
    </row>
    <row r="38" spans="1:10" x14ac:dyDescent="0.25">
      <c r="A38" s="155" t="s">
        <v>59</v>
      </c>
    </row>
    <row r="39" spans="1:10" ht="15" customHeight="1" x14ac:dyDescent="0.25">
      <c r="A39" s="456" t="s">
        <v>401</v>
      </c>
      <c r="B39" s="456"/>
      <c r="C39" s="456"/>
      <c r="D39" s="456"/>
      <c r="E39" s="456"/>
      <c r="F39" s="456"/>
      <c r="G39" s="456"/>
      <c r="H39" s="456"/>
      <c r="I39" s="456"/>
      <c r="J39" s="456"/>
    </row>
    <row r="40" spans="1:10" ht="18" customHeight="1" x14ac:dyDescent="0.25">
      <c r="A40" s="456"/>
      <c r="B40" s="456"/>
      <c r="C40" s="456"/>
      <c r="D40" s="456"/>
      <c r="E40" s="456"/>
      <c r="F40" s="456"/>
      <c r="G40" s="456"/>
      <c r="H40" s="456"/>
      <c r="I40" s="456"/>
      <c r="J40" s="456"/>
    </row>
    <row r="41" spans="1:10" x14ac:dyDescent="0.25">
      <c r="A41" s="358"/>
      <c r="B41" s="358"/>
      <c r="C41" s="358"/>
    </row>
    <row r="42" spans="1:10" x14ac:dyDescent="0.25">
      <c r="A42" s="358"/>
      <c r="B42" s="358"/>
      <c r="C42" s="358"/>
    </row>
  </sheetData>
  <mergeCells count="1">
    <mergeCell ref="A39:J40"/>
  </mergeCells>
  <pageMargins left="0.7" right="0.7" top="0.75" bottom="0.75" header="0.3" footer="0.3"/>
  <pageSetup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6CCA4-5C71-42A8-8C07-EC3F60AD55BB}">
  <sheetPr codeName="Sheet2"/>
  <dimension ref="A1:AE44"/>
  <sheetViews>
    <sheetView workbookViewId="0">
      <selection activeCell="G9" sqref="G9"/>
    </sheetView>
  </sheetViews>
  <sheetFormatPr defaultRowHeight="15" x14ac:dyDescent="0.25"/>
  <cols>
    <col min="1" max="1" width="3.42578125" style="155" customWidth="1"/>
    <col min="2" max="2" width="52.140625" style="155" customWidth="1"/>
    <col min="3" max="3" width="18" style="155" bestFit="1" customWidth="1"/>
    <col min="4" max="4" width="3.28515625" style="155" customWidth="1"/>
    <col min="5" max="5" width="19" style="155" bestFit="1" customWidth="1"/>
    <col min="6" max="6" width="3.28515625" style="155" customWidth="1"/>
    <col min="7" max="7" width="23.5703125" style="155" bestFit="1" customWidth="1"/>
    <col min="8" max="8" width="3.28515625" style="155" customWidth="1"/>
    <col min="9" max="9" width="17" style="155" bestFit="1" customWidth="1"/>
    <col min="10" max="10" width="3.28515625" style="155" customWidth="1"/>
    <col min="11" max="11" width="20.140625" style="155" bestFit="1" customWidth="1"/>
    <col min="12" max="12" width="3.28515625" style="155" customWidth="1"/>
    <col min="13" max="13" width="16.28515625" style="155" customWidth="1"/>
    <col min="14" max="14" width="3.28515625" style="155" customWidth="1"/>
    <col min="15" max="15" width="18" style="155" bestFit="1" customWidth="1"/>
    <col min="16" max="16" width="3.28515625" style="155" customWidth="1"/>
    <col min="17" max="17" width="17.42578125" style="155" customWidth="1"/>
    <col min="18" max="18" width="3.28515625" style="155" customWidth="1"/>
    <col min="19" max="19" width="18" style="155" bestFit="1" customWidth="1"/>
    <col min="20" max="20" width="3.28515625" style="155" customWidth="1"/>
    <col min="21" max="21" width="17" style="155" customWidth="1"/>
    <col min="22" max="22" width="3.28515625" style="155" customWidth="1"/>
    <col min="23" max="23" width="16.28515625" style="155" bestFit="1" customWidth="1"/>
    <col min="24" max="24" width="3.28515625" style="155" customWidth="1"/>
    <col min="25" max="25" width="17" style="155" customWidth="1"/>
    <col min="26" max="26" width="3.28515625" style="155" customWidth="1"/>
    <col min="27" max="27" width="17.7109375" style="155" customWidth="1"/>
    <col min="28" max="28" width="3.28515625" style="155" customWidth="1"/>
    <col min="29" max="29" width="17.7109375" style="155" customWidth="1"/>
    <col min="30" max="30" width="14.28515625" style="155" bestFit="1" customWidth="1"/>
    <col min="31" max="16384" width="9.140625" style="155"/>
  </cols>
  <sheetData>
    <row r="1" spans="1:31" x14ac:dyDescent="0.25">
      <c r="A1" s="155" t="s">
        <v>0</v>
      </c>
    </row>
    <row r="2" spans="1:31" x14ac:dyDescent="0.25">
      <c r="A2" s="325" t="s">
        <v>403</v>
      </c>
      <c r="E2" s="324"/>
      <c r="K2" s="324"/>
      <c r="O2" s="324"/>
      <c r="Q2" s="324"/>
      <c r="S2" s="324"/>
      <c r="W2" s="324"/>
      <c r="AA2" s="324"/>
    </row>
    <row r="3" spans="1:31" x14ac:dyDescent="0.25">
      <c r="A3" s="155" t="s">
        <v>2</v>
      </c>
    </row>
    <row r="4" spans="1:31" x14ac:dyDescent="0.25">
      <c r="C4" s="156" t="s">
        <v>30</v>
      </c>
      <c r="E4" s="159">
        <v>503</v>
      </c>
      <c r="G4" s="159">
        <v>503</v>
      </c>
      <c r="I4" s="160">
        <v>503</v>
      </c>
      <c r="K4" s="159">
        <v>504</v>
      </c>
      <c r="L4" s="159"/>
      <c r="M4" s="159">
        <v>504</v>
      </c>
      <c r="O4" s="159">
        <v>505</v>
      </c>
      <c r="P4" s="159"/>
      <c r="Q4" s="159">
        <v>505</v>
      </c>
      <c r="S4" s="159">
        <v>511</v>
      </c>
      <c r="U4" s="159">
        <v>511</v>
      </c>
      <c r="V4" s="159"/>
      <c r="W4" s="159">
        <v>570</v>
      </c>
      <c r="X4" s="159"/>
      <c r="Y4" s="159">
        <v>570</v>
      </c>
      <c r="AA4" s="159">
        <v>663</v>
      </c>
      <c r="AB4" s="159"/>
      <c r="AC4" s="159">
        <v>663</v>
      </c>
    </row>
    <row r="5" spans="1:31" ht="45" x14ac:dyDescent="0.25">
      <c r="C5" s="156" t="s">
        <v>31</v>
      </c>
      <c r="E5" s="160" t="s">
        <v>32</v>
      </c>
      <c r="F5" s="159"/>
      <c r="G5" s="160" t="s">
        <v>33</v>
      </c>
      <c r="H5" s="159"/>
      <c r="I5" s="160" t="s">
        <v>34</v>
      </c>
      <c r="J5" s="159"/>
      <c r="K5" s="160" t="s">
        <v>35</v>
      </c>
      <c r="L5" s="159"/>
      <c r="M5" s="160" t="s">
        <v>36</v>
      </c>
      <c r="N5" s="159"/>
      <c r="O5" s="160" t="s">
        <v>37</v>
      </c>
      <c r="P5" s="159"/>
      <c r="Q5" s="160" t="s">
        <v>38</v>
      </c>
      <c r="R5" s="159"/>
      <c r="S5" s="160" t="s">
        <v>39</v>
      </c>
      <c r="T5" s="159"/>
      <c r="U5" s="160" t="s">
        <v>40</v>
      </c>
      <c r="V5" s="159"/>
      <c r="W5" s="160" t="s">
        <v>41</v>
      </c>
      <c r="X5" s="159"/>
      <c r="Y5" s="160" t="s">
        <v>42</v>
      </c>
      <c r="Z5" s="159"/>
      <c r="AA5" s="160" t="s">
        <v>43</v>
      </c>
      <c r="AB5" s="159"/>
      <c r="AC5" s="160" t="s">
        <v>380</v>
      </c>
    </row>
    <row r="6" spans="1:31" x14ac:dyDescent="0.25">
      <c r="C6" s="161" t="s">
        <v>44</v>
      </c>
      <c r="D6" s="162"/>
      <c r="E6" s="163" t="s">
        <v>45</v>
      </c>
      <c r="F6" s="163"/>
      <c r="G6" s="163" t="s">
        <v>46</v>
      </c>
      <c r="H6" s="163"/>
      <c r="I6" s="163" t="s">
        <v>45</v>
      </c>
      <c r="J6" s="163"/>
      <c r="K6" s="163" t="s">
        <v>45</v>
      </c>
      <c r="L6" s="163"/>
      <c r="M6" s="163" t="s">
        <v>46</v>
      </c>
      <c r="N6" s="163"/>
      <c r="O6" s="163" t="s">
        <v>45</v>
      </c>
      <c r="P6" s="163"/>
      <c r="Q6" s="163" t="s">
        <v>46</v>
      </c>
      <c r="R6" s="163"/>
      <c r="S6" s="163" t="s">
        <v>45</v>
      </c>
      <c r="T6" s="163"/>
      <c r="U6" s="163" t="s">
        <v>46</v>
      </c>
      <c r="V6" s="163"/>
      <c r="W6" s="163" t="s">
        <v>45</v>
      </c>
      <c r="X6" s="163"/>
      <c r="Y6" s="163" t="s">
        <v>46</v>
      </c>
      <c r="Z6" s="163"/>
      <c r="AA6" s="163" t="s">
        <v>45</v>
      </c>
      <c r="AB6" s="163"/>
      <c r="AC6" s="163" t="s">
        <v>46</v>
      </c>
    </row>
    <row r="8" spans="1:31" x14ac:dyDescent="0.25">
      <c r="A8" s="156" t="s">
        <v>3</v>
      </c>
    </row>
    <row r="10" spans="1:31" x14ac:dyDescent="0.25">
      <c r="B10" s="155" t="s">
        <v>47</v>
      </c>
      <c r="C10" s="164">
        <v>452410252.57193029</v>
      </c>
      <c r="D10" s="165"/>
      <c r="E10" s="164">
        <v>117433881.42388874</v>
      </c>
      <c r="F10" s="164"/>
      <c r="G10" s="164"/>
      <c r="H10" s="164"/>
      <c r="I10" s="164"/>
      <c r="J10" s="164"/>
      <c r="K10" s="164">
        <v>81501780.876165897</v>
      </c>
      <c r="L10" s="164"/>
      <c r="M10" s="164"/>
      <c r="N10" s="164"/>
      <c r="O10" s="164">
        <v>11297442.351658348</v>
      </c>
      <c r="P10" s="164"/>
      <c r="Q10" s="164"/>
      <c r="R10" s="164"/>
      <c r="S10" s="164">
        <v>12803375.890507936</v>
      </c>
      <c r="T10" s="164"/>
      <c r="U10" s="164"/>
      <c r="V10" s="164"/>
      <c r="W10" s="164">
        <v>1703378.2210486673</v>
      </c>
      <c r="X10" s="164"/>
      <c r="Y10" s="164"/>
      <c r="Z10" s="164"/>
      <c r="AA10" s="164">
        <v>227670393.80866066</v>
      </c>
      <c r="AB10" s="164"/>
      <c r="AC10" s="164"/>
    </row>
    <row r="12" spans="1:31" x14ac:dyDescent="0.25">
      <c r="B12" s="155" t="s">
        <v>48</v>
      </c>
      <c r="C12" s="166">
        <v>0.99999999999999989</v>
      </c>
      <c r="E12" s="167">
        <v>0.25957387295332685</v>
      </c>
      <c r="F12" s="167"/>
      <c r="G12" s="167"/>
      <c r="H12" s="167"/>
      <c r="I12" s="167"/>
      <c r="J12" s="167"/>
      <c r="K12" s="167">
        <v>0.18015016329279063</v>
      </c>
      <c r="L12" s="167"/>
      <c r="M12" s="167"/>
      <c r="N12" s="167"/>
      <c r="O12" s="167">
        <v>2.497167623287257E-2</v>
      </c>
      <c r="P12" s="167"/>
      <c r="Q12" s="167"/>
      <c r="R12" s="167"/>
      <c r="S12" s="167">
        <v>2.830036635492093E-2</v>
      </c>
      <c r="T12" s="167"/>
      <c r="U12" s="167"/>
      <c r="V12" s="167"/>
      <c r="W12" s="167">
        <v>3.7651185209995682E-3</v>
      </c>
      <c r="X12" s="167"/>
      <c r="Y12" s="167"/>
      <c r="Z12" s="167"/>
      <c r="AA12" s="167">
        <v>0.50323880264508936</v>
      </c>
      <c r="AB12" s="167"/>
      <c r="AC12" s="167"/>
      <c r="AE12" s="168"/>
    </row>
    <row r="13" spans="1:31" x14ac:dyDescent="0.25">
      <c r="G13" s="168"/>
    </row>
    <row r="14" spans="1:31" x14ac:dyDescent="0.25">
      <c r="B14" s="153" t="s">
        <v>49</v>
      </c>
      <c r="C14" s="169">
        <v>122958436.45</v>
      </c>
    </row>
    <row r="15" spans="1:31" x14ac:dyDescent="0.25">
      <c r="B15" s="155" t="s">
        <v>50</v>
      </c>
      <c r="C15" s="158"/>
      <c r="E15" s="169">
        <v>31916797.561612014</v>
      </c>
      <c r="F15" s="169"/>
      <c r="G15" s="169"/>
      <c r="H15" s="169"/>
      <c r="I15" s="169"/>
      <c r="J15" s="169"/>
      <c r="K15" s="169">
        <v>22150982.404693719</v>
      </c>
      <c r="L15" s="169"/>
      <c r="M15" s="169"/>
      <c r="N15" s="169"/>
      <c r="O15" s="169">
        <v>3070478.2651296374</v>
      </c>
      <c r="P15" s="169"/>
      <c r="Q15" s="169"/>
      <c r="R15" s="169"/>
      <c r="S15" s="169">
        <v>3479768.7979632635</v>
      </c>
      <c r="T15" s="169"/>
      <c r="U15" s="169"/>
      <c r="V15" s="169"/>
      <c r="W15" s="169">
        <v>462953.08639104338</v>
      </c>
      <c r="X15" s="169"/>
      <c r="Y15" s="169"/>
      <c r="Z15" s="169"/>
      <c r="AA15" s="169">
        <v>61877456.334210314</v>
      </c>
      <c r="AB15" s="169"/>
      <c r="AC15" s="169"/>
    </row>
    <row r="17" spans="1:30" x14ac:dyDescent="0.25">
      <c r="B17" s="155" t="s">
        <v>51</v>
      </c>
      <c r="E17" s="297">
        <v>627335.80000000005</v>
      </c>
      <c r="K17" s="158">
        <v>520353.78134789167</v>
      </c>
      <c r="L17" s="158"/>
      <c r="M17" s="158"/>
      <c r="N17" s="158"/>
      <c r="O17" s="158">
        <v>72129.305446433209</v>
      </c>
      <c r="P17" s="158"/>
      <c r="Q17" s="158"/>
      <c r="R17" s="158"/>
      <c r="S17" s="158">
        <v>81744.042731617548</v>
      </c>
      <c r="T17" s="158"/>
      <c r="U17" s="158"/>
      <c r="V17" s="158"/>
      <c r="W17" s="158">
        <v>10875.336573749921</v>
      </c>
      <c r="X17" s="158"/>
      <c r="Y17" s="158"/>
      <c r="Z17" s="158"/>
      <c r="AA17" s="158">
        <v>1453577.4439003076</v>
      </c>
      <c r="AB17" s="158"/>
      <c r="AC17" s="158">
        <v>2766015.71</v>
      </c>
      <c r="AD17" s="158"/>
    </row>
    <row r="18" spans="1:30" x14ac:dyDescent="0.25">
      <c r="B18" s="155" t="s">
        <v>10</v>
      </c>
      <c r="C18" s="170">
        <v>1.0462728581456489</v>
      </c>
    </row>
    <row r="19" spans="1:30" x14ac:dyDescent="0.25">
      <c r="B19" s="155" t="s">
        <v>52</v>
      </c>
      <c r="E19" s="158">
        <v>34050043.428126968</v>
      </c>
      <c r="F19" s="158"/>
      <c r="G19" s="158"/>
      <c r="H19" s="158"/>
      <c r="I19" s="158"/>
      <c r="J19" s="158"/>
      <c r="K19" s="158">
        <v>23720403.709350631</v>
      </c>
      <c r="L19" s="158"/>
      <c r="M19" s="158"/>
      <c r="N19" s="158"/>
      <c r="O19" s="158">
        <v>3288025.0048967795</v>
      </c>
      <c r="P19" s="158"/>
      <c r="Q19" s="158"/>
      <c r="R19" s="158"/>
      <c r="S19" s="158">
        <v>3726314.219156262</v>
      </c>
      <c r="T19" s="158"/>
      <c r="U19" s="158"/>
      <c r="V19" s="158"/>
      <c r="W19" s="158">
        <v>495753.81836601964</v>
      </c>
      <c r="X19" s="158"/>
      <c r="Y19" s="158"/>
      <c r="Z19" s="158"/>
      <c r="AA19" s="158">
        <v>66261541.720342435</v>
      </c>
    </row>
    <row r="20" spans="1:30" x14ac:dyDescent="0.25">
      <c r="B20" s="155" t="s">
        <v>53</v>
      </c>
      <c r="C20" s="169">
        <v>131542081.90023911</v>
      </c>
      <c r="E20" s="158"/>
      <c r="G20" s="158"/>
    </row>
    <row r="21" spans="1:30" x14ac:dyDescent="0.25">
      <c r="C21" s="171"/>
    </row>
    <row r="22" spans="1:30" x14ac:dyDescent="0.25">
      <c r="B22" s="330" t="s">
        <v>397</v>
      </c>
      <c r="C22" s="171"/>
      <c r="E22" s="164">
        <v>181812.60000000003</v>
      </c>
      <c r="F22" s="165"/>
      <c r="G22" s="164">
        <v>8053.15</v>
      </c>
      <c r="H22" s="164"/>
      <c r="I22" s="164">
        <v>10339.250000000002</v>
      </c>
      <c r="J22" s="164"/>
      <c r="K22" s="164">
        <v>27032</v>
      </c>
      <c r="L22" s="164"/>
      <c r="M22" s="164">
        <v>1004.5</v>
      </c>
      <c r="N22" s="164"/>
      <c r="O22" s="164">
        <v>479</v>
      </c>
      <c r="P22" s="164"/>
      <c r="Q22" s="164">
        <v>20.053721000000003</v>
      </c>
      <c r="R22" s="164"/>
      <c r="S22" s="164">
        <v>89</v>
      </c>
      <c r="T22" s="164"/>
      <c r="U22" s="164">
        <v>7.2</v>
      </c>
      <c r="V22" s="164"/>
      <c r="W22" s="164">
        <v>6</v>
      </c>
      <c r="X22" s="164"/>
      <c r="Y22" s="164">
        <v>1</v>
      </c>
      <c r="Z22" s="164"/>
      <c r="AA22" s="164">
        <v>170</v>
      </c>
      <c r="AB22" s="164"/>
      <c r="AC22" s="164">
        <v>1</v>
      </c>
    </row>
    <row r="23" spans="1:30" x14ac:dyDescent="0.25">
      <c r="R23" s="158"/>
    </row>
    <row r="24" spans="1:30" ht="16.5" customHeight="1" x14ac:dyDescent="0.25"/>
    <row r="25" spans="1:30" x14ac:dyDescent="0.25">
      <c r="B25" s="173" t="s">
        <v>385</v>
      </c>
      <c r="C25" s="174"/>
      <c r="D25" s="174"/>
      <c r="E25" s="175">
        <v>0.28994999999999999</v>
      </c>
      <c r="F25" s="174"/>
      <c r="G25" s="176">
        <v>0.28995076220992905</v>
      </c>
      <c r="H25" s="174"/>
      <c r="I25" s="176">
        <v>0.28994999999999999</v>
      </c>
      <c r="J25" s="174"/>
      <c r="K25" s="177">
        <v>0.29104000000000002</v>
      </c>
      <c r="L25" s="177"/>
      <c r="M25" s="177">
        <v>0.29104000000000002</v>
      </c>
      <c r="N25" s="177"/>
      <c r="O25" s="177">
        <v>0.29104000000000002</v>
      </c>
      <c r="P25" s="177"/>
      <c r="Q25" s="177">
        <v>0.29104000000000002</v>
      </c>
      <c r="R25" s="177"/>
      <c r="S25" s="177">
        <v>0.29104000000000002</v>
      </c>
      <c r="T25" s="177"/>
      <c r="U25" s="177">
        <v>0.29104000000000002</v>
      </c>
      <c r="V25" s="177"/>
      <c r="W25" s="177">
        <v>0.29104000000000002</v>
      </c>
      <c r="X25" s="177"/>
      <c r="Y25" s="177">
        <v>0.29104000000000002</v>
      </c>
      <c r="Z25" s="177"/>
      <c r="AA25" s="177">
        <v>0.29104000000000002</v>
      </c>
      <c r="AB25" s="177"/>
      <c r="AC25" s="178">
        <v>0.29104000000000002</v>
      </c>
    </row>
    <row r="27" spans="1:30" x14ac:dyDescent="0.25">
      <c r="A27" s="156" t="s">
        <v>12</v>
      </c>
      <c r="I27" s="179"/>
    </row>
    <row r="28" spans="1:30" x14ac:dyDescent="0.25">
      <c r="I28" s="158"/>
    </row>
    <row r="29" spans="1:30" x14ac:dyDescent="0.25">
      <c r="B29" s="155" t="s">
        <v>54</v>
      </c>
      <c r="C29" s="165">
        <v>435412534.43227786</v>
      </c>
      <c r="E29" s="164">
        <v>106555867.19849584</v>
      </c>
      <c r="F29" s="165"/>
      <c r="G29" s="164"/>
      <c r="H29" s="164"/>
      <c r="I29" s="164"/>
      <c r="J29" s="164"/>
      <c r="K29" s="164">
        <v>78232296.327050611</v>
      </c>
      <c r="L29" s="164"/>
      <c r="M29" s="164"/>
      <c r="N29" s="164"/>
      <c r="O29" s="164">
        <v>10827574.517683994</v>
      </c>
      <c r="P29" s="164"/>
      <c r="Q29" s="164"/>
      <c r="R29" s="164"/>
      <c r="S29" s="164">
        <v>11839922.836174697</v>
      </c>
      <c r="T29" s="165"/>
      <c r="U29" s="165"/>
      <c r="V29" s="165"/>
      <c r="W29" s="164">
        <v>1460038.4751845719</v>
      </c>
      <c r="X29" s="165"/>
      <c r="Y29" s="165"/>
      <c r="Z29" s="165"/>
      <c r="AA29" s="164">
        <v>226496835.07768819</v>
      </c>
    </row>
    <row r="30" spans="1:30" x14ac:dyDescent="0.25">
      <c r="C30" s="171"/>
    </row>
    <row r="31" spans="1:30" x14ac:dyDescent="0.25">
      <c r="B31" s="155" t="s">
        <v>55</v>
      </c>
      <c r="C31" s="166">
        <v>1</v>
      </c>
      <c r="E31" s="167">
        <v>0.2447239313802278</v>
      </c>
      <c r="F31" s="167"/>
      <c r="H31" s="167"/>
      <c r="I31" s="167"/>
      <c r="J31" s="167"/>
      <c r="K31" s="167">
        <v>0.17967396466676253</v>
      </c>
      <c r="L31" s="167"/>
      <c r="M31" s="167"/>
      <c r="N31" s="167"/>
      <c r="O31" s="167">
        <v>2.4867392786020188E-2</v>
      </c>
      <c r="P31" s="167"/>
      <c r="Q31" s="167"/>
      <c r="R31" s="167"/>
      <c r="S31" s="167">
        <v>2.7192425343501969E-2</v>
      </c>
      <c r="T31" s="167"/>
      <c r="U31" s="167"/>
      <c r="V31" s="167"/>
      <c r="W31" s="167">
        <v>3.353230235064948E-3</v>
      </c>
      <c r="X31" s="167"/>
      <c r="Y31" s="167"/>
      <c r="Z31" s="167"/>
      <c r="AA31" s="167">
        <v>0.52018905558842266</v>
      </c>
    </row>
    <row r="32" spans="1:30" x14ac:dyDescent="0.25">
      <c r="E32" s="179"/>
      <c r="G32" s="158"/>
      <c r="I32" s="158"/>
    </row>
    <row r="33" spans="2:29" x14ac:dyDescent="0.25">
      <c r="B33" s="153" t="s">
        <v>402</v>
      </c>
      <c r="C33" s="169">
        <v>-104040933.65999998</v>
      </c>
    </row>
    <row r="34" spans="2:29" x14ac:dyDescent="0.25">
      <c r="B34" s="155" t="s">
        <v>56</v>
      </c>
      <c r="C34" s="171"/>
      <c r="E34" s="157">
        <v>-25023495.091885962</v>
      </c>
      <c r="G34" s="158"/>
      <c r="I34" s="169">
        <v>-1789000.4275000002</v>
      </c>
      <c r="K34" s="169">
        <v>-18372010.238724362</v>
      </c>
      <c r="L34" s="169"/>
      <c r="M34" s="169"/>
      <c r="N34" s="169"/>
      <c r="O34" s="169">
        <v>-2542738.9868224883</v>
      </c>
      <c r="P34" s="169"/>
      <c r="Q34" s="169"/>
      <c r="R34" s="169"/>
      <c r="S34" s="169">
        <v>-2780478.060653504</v>
      </c>
      <c r="T34" s="169"/>
      <c r="U34" s="169"/>
      <c r="V34" s="169"/>
      <c r="W34" s="169">
        <v>-342874.27410906128</v>
      </c>
      <c r="X34" s="169"/>
      <c r="Y34" s="169"/>
      <c r="Z34" s="169"/>
      <c r="AA34" s="169">
        <v>-53190336.580304615</v>
      </c>
    </row>
    <row r="35" spans="2:29" x14ac:dyDescent="0.25">
      <c r="B35" s="155" t="s">
        <v>51</v>
      </c>
      <c r="C35" s="180"/>
      <c r="E35" s="158">
        <v>-489963.37999999995</v>
      </c>
      <c r="G35" s="171"/>
      <c r="I35" s="158">
        <v>-35163.410000000382</v>
      </c>
      <c r="K35" s="158">
        <v>-359726.42</v>
      </c>
      <c r="O35" s="158">
        <v>-49787.170000000013</v>
      </c>
      <c r="S35" s="158">
        <v>-54442.14</v>
      </c>
      <c r="W35" s="158">
        <v>-6713.55</v>
      </c>
      <c r="AA35" s="158">
        <v>-1041473.9</v>
      </c>
    </row>
    <row r="36" spans="2:29" x14ac:dyDescent="0.25">
      <c r="B36" s="155" t="s">
        <v>10</v>
      </c>
      <c r="C36" s="170">
        <v>1.0462728581456489</v>
      </c>
      <c r="G36" s="158"/>
    </row>
    <row r="37" spans="2:29" x14ac:dyDescent="0.25">
      <c r="B37" s="155" t="s">
        <v>57</v>
      </c>
      <c r="C37" s="158">
        <v>-110986745.29891625</v>
      </c>
      <c r="E37" s="158">
        <v>-26694039.116560444</v>
      </c>
      <c r="G37" s="158"/>
      <c r="I37" s="169">
        <v>-1908573.1119870606</v>
      </c>
      <c r="K37" s="158">
        <v>-19598507.651955165</v>
      </c>
      <c r="O37" s="158">
        <v>-2712489.7519160192</v>
      </c>
      <c r="S37" s="158">
        <v>-2966100.0609525782</v>
      </c>
      <c r="W37" s="158">
        <v>-365764.25190350588</v>
      </c>
      <c r="AA37" s="158">
        <v>-56741271.353641465</v>
      </c>
    </row>
    <row r="38" spans="2:29" x14ac:dyDescent="0.25">
      <c r="C38" s="158"/>
      <c r="E38" s="158"/>
      <c r="G38" s="158"/>
      <c r="I38" s="169"/>
      <c r="K38" s="158"/>
      <c r="O38" s="158"/>
      <c r="S38" s="158"/>
      <c r="W38" s="158"/>
      <c r="AA38" s="158"/>
    </row>
    <row r="39" spans="2:29" ht="17.25" x14ac:dyDescent="0.25">
      <c r="B39" s="173" t="s">
        <v>386</v>
      </c>
      <c r="C39" s="181"/>
      <c r="D39" s="174"/>
      <c r="E39" s="181">
        <v>-14.682172256796525</v>
      </c>
      <c r="F39" s="182">
        <v>2</v>
      </c>
      <c r="G39" s="181">
        <v>0</v>
      </c>
      <c r="H39" s="174"/>
      <c r="I39" s="183" t="s">
        <v>58</v>
      </c>
      <c r="J39" s="174"/>
      <c r="K39" s="181">
        <v>-72.501138102823191</v>
      </c>
      <c r="L39" s="182">
        <v>2</v>
      </c>
      <c r="M39" s="181">
        <v>0</v>
      </c>
      <c r="N39" s="174"/>
      <c r="O39" s="181">
        <v>-566.28178536868882</v>
      </c>
      <c r="P39" s="174"/>
      <c r="Q39" s="181">
        <v>0</v>
      </c>
      <c r="R39" s="174"/>
      <c r="S39" s="181">
        <v>-3332.6966976995259</v>
      </c>
      <c r="T39" s="174"/>
      <c r="U39" s="181">
        <v>0</v>
      </c>
      <c r="V39" s="174"/>
      <c r="W39" s="181">
        <v>-6096.0708650584311</v>
      </c>
      <c r="X39" s="174"/>
      <c r="Y39" s="181">
        <v>0</v>
      </c>
      <c r="Z39" s="174"/>
      <c r="AA39" s="181">
        <v>-33377.21844331851</v>
      </c>
      <c r="AB39" s="174"/>
      <c r="AC39" s="331">
        <v>0</v>
      </c>
    </row>
    <row r="40" spans="2:29" x14ac:dyDescent="0.25">
      <c r="C40" s="158"/>
      <c r="D40" s="184"/>
      <c r="E40" s="167"/>
      <c r="G40" s="158"/>
      <c r="I40" s="169"/>
      <c r="K40" s="167"/>
      <c r="M40" s="158"/>
      <c r="O40" s="167"/>
      <c r="Q40" s="158"/>
      <c r="S40" s="167"/>
      <c r="U40" s="158"/>
      <c r="W40" s="167"/>
      <c r="Y40" s="158"/>
      <c r="AA40" s="167"/>
    </row>
    <row r="41" spans="2:29" x14ac:dyDescent="0.25">
      <c r="E41" s="158"/>
      <c r="G41" s="158"/>
      <c r="I41" s="158"/>
      <c r="M41" s="158"/>
    </row>
    <row r="42" spans="2:29" x14ac:dyDescent="0.25">
      <c r="B42" s="155" t="s">
        <v>59</v>
      </c>
      <c r="C42" s="185"/>
      <c r="E42" s="158"/>
      <c r="I42" s="158"/>
    </row>
    <row r="43" spans="2:29" x14ac:dyDescent="0.25">
      <c r="B43" s="155" t="s">
        <v>393</v>
      </c>
    </row>
    <row r="44" spans="2:29" x14ac:dyDescent="0.25">
      <c r="B44" s="155" t="s">
        <v>394</v>
      </c>
      <c r="E44" s="158"/>
    </row>
  </sheetData>
  <pageMargins left="0.7" right="0.7" top="0.75" bottom="0.75" header="0.3" footer="0.3"/>
  <pageSetup scale="74" orientation="landscape" r:id="rId1"/>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8F86F-2BF7-4ABF-923C-E8DB9334E1D4}">
  <sheetPr codeName="Sheet3">
    <pageSetUpPr fitToPage="1"/>
  </sheetPr>
  <dimension ref="A1:N29"/>
  <sheetViews>
    <sheetView zoomScaleNormal="100" workbookViewId="0">
      <selection activeCell="E36" sqref="E36"/>
    </sheetView>
  </sheetViews>
  <sheetFormatPr defaultRowHeight="15" x14ac:dyDescent="0.25"/>
  <cols>
    <col min="1" max="1" width="37.28515625" style="155" bestFit="1" customWidth="1"/>
    <col min="2" max="12" width="14.42578125" style="155" bestFit="1" customWidth="1"/>
    <col min="13" max="13" width="4.7109375" style="155" customWidth="1"/>
    <col min="14" max="14" width="26" style="155" customWidth="1"/>
    <col min="15" max="15" width="22.42578125" style="155" bestFit="1" customWidth="1"/>
    <col min="16" max="16384" width="9.140625" style="155"/>
  </cols>
  <sheetData>
    <row r="1" spans="1:14" x14ac:dyDescent="0.25">
      <c r="A1" s="155" t="s">
        <v>0</v>
      </c>
    </row>
    <row r="2" spans="1:14" x14ac:dyDescent="0.25">
      <c r="A2" s="325" t="s">
        <v>403</v>
      </c>
    </row>
    <row r="3" spans="1:14" x14ac:dyDescent="0.25">
      <c r="A3" s="155" t="s">
        <v>2</v>
      </c>
    </row>
    <row r="5" spans="1:14" ht="15.75" thickBot="1" x14ac:dyDescent="0.3">
      <c r="B5" s="281" t="s">
        <v>63</v>
      </c>
      <c r="C5" s="281" t="s">
        <v>64</v>
      </c>
      <c r="D5" s="281" t="s">
        <v>65</v>
      </c>
      <c r="E5" s="281" t="s">
        <v>66</v>
      </c>
      <c r="F5" s="281" t="s">
        <v>67</v>
      </c>
      <c r="G5" s="281" t="s">
        <v>68</v>
      </c>
      <c r="H5" s="281" t="s">
        <v>69</v>
      </c>
      <c r="I5" s="281" t="s">
        <v>70</v>
      </c>
      <c r="J5" s="281" t="s">
        <v>71</v>
      </c>
      <c r="K5" s="281" t="s">
        <v>72</v>
      </c>
      <c r="L5" s="281" t="s">
        <v>19</v>
      </c>
      <c r="N5" s="155" t="s">
        <v>73</v>
      </c>
    </row>
    <row r="6" spans="1:14" x14ac:dyDescent="0.25">
      <c r="A6" s="299" t="s">
        <v>382</v>
      </c>
      <c r="B6" s="268">
        <f>'Eligible Therms WP'!E16</f>
        <v>3271834.4330246272</v>
      </c>
      <c r="C6" s="268">
        <f>'Eligible Therms WP'!F16</f>
        <v>2816250.7620975655</v>
      </c>
      <c r="D6" s="268">
        <f>'Eligible Therms WP'!G16</f>
        <v>2781180.0328556858</v>
      </c>
      <c r="E6" s="268">
        <f>'Eligible Therms WP'!H16</f>
        <v>3519930.1428294582</v>
      </c>
      <c r="F6" s="268">
        <f>'Eligible Therms WP'!I16</f>
        <v>8714309.2260491941</v>
      </c>
      <c r="G6" s="268">
        <f>'Eligible Therms WP'!J16</f>
        <v>15064272.800427159</v>
      </c>
      <c r="H6" s="268">
        <f>'Eligible Therms WP'!K16</f>
        <v>20311601.005208034</v>
      </c>
      <c r="I6" s="268">
        <f>'Eligible Therms WP'!L16</f>
        <v>19859970.80892149</v>
      </c>
      <c r="J6" s="268">
        <f>'Eligible Therms WP'!M16</f>
        <v>16731931.180572221</v>
      </c>
      <c r="K6" s="307">
        <f>'Eligible Therms WP'!N16</f>
        <v>13484586.806510393</v>
      </c>
      <c r="L6" s="308">
        <f>'Eligible Therms WP'!O16</f>
        <v>106555867.19849584</v>
      </c>
      <c r="N6" s="158">
        <f>'503 Cost,Benefit Amort'!D52*10</f>
        <v>-146.80000000000001</v>
      </c>
    </row>
    <row r="7" spans="1:14" ht="15.75" thickBot="1" x14ac:dyDescent="0.3">
      <c r="A7" s="300" t="s">
        <v>74</v>
      </c>
      <c r="B7" s="166">
        <f t="shared" ref="B7:K7" si="0">B6/$L$6</f>
        <v>3.0705342831378251E-2</v>
      </c>
      <c r="C7" s="166">
        <f t="shared" si="0"/>
        <v>2.6429804722543897E-2</v>
      </c>
      <c r="D7" s="166">
        <f t="shared" si="0"/>
        <v>2.6100674753787238E-2</v>
      </c>
      <c r="E7" s="166">
        <f t="shared" si="0"/>
        <v>3.3033658637233128E-2</v>
      </c>
      <c r="F7" s="166">
        <f t="shared" si="0"/>
        <v>8.1781599222648979E-2</v>
      </c>
      <c r="G7" s="166">
        <f t="shared" si="0"/>
        <v>0.14137440946695998</v>
      </c>
      <c r="H7" s="166">
        <f t="shared" si="0"/>
        <v>0.19061926423414025</v>
      </c>
      <c r="I7" s="166">
        <f t="shared" si="0"/>
        <v>0.18638082848995702</v>
      </c>
      <c r="J7" s="166">
        <f t="shared" si="0"/>
        <v>0.15702496371601407</v>
      </c>
      <c r="K7" s="301">
        <f t="shared" si="0"/>
        <v>0.12654945392533715</v>
      </c>
      <c r="L7" s="309">
        <f>SUM(B7:K7)</f>
        <v>0.99999999999999989</v>
      </c>
    </row>
    <row r="8" spans="1:14" ht="15.75" thickBot="1" x14ac:dyDescent="0.3">
      <c r="A8" s="300"/>
      <c r="K8" s="310"/>
      <c r="L8" s="329"/>
      <c r="N8" s="155" t="s">
        <v>75</v>
      </c>
    </row>
    <row r="9" spans="1:14" ht="15.75" thickBot="1" x14ac:dyDescent="0.3">
      <c r="A9" s="304" t="s">
        <v>384</v>
      </c>
      <c r="B9" s="311">
        <f t="shared" ref="B9:K9" si="1">B7*$N$6</f>
        <v>-4.5075443276463272</v>
      </c>
      <c r="C9" s="311">
        <f t="shared" si="1"/>
        <v>-3.8798953332694444</v>
      </c>
      <c r="D9" s="311">
        <f t="shared" si="1"/>
        <v>-3.8315790538559669</v>
      </c>
      <c r="E9" s="311">
        <f t="shared" si="1"/>
        <v>-4.8493410879458239</v>
      </c>
      <c r="F9" s="311">
        <f t="shared" si="1"/>
        <v>-12.005538765884872</v>
      </c>
      <c r="G9" s="311">
        <f t="shared" si="1"/>
        <v>-20.753763309749726</v>
      </c>
      <c r="H9" s="311">
        <f t="shared" si="1"/>
        <v>-27.982907989571789</v>
      </c>
      <c r="I9" s="311">
        <f t="shared" si="1"/>
        <v>-27.360705622325693</v>
      </c>
      <c r="J9" s="311">
        <f t="shared" si="1"/>
        <v>-23.051264673510868</v>
      </c>
      <c r="K9" s="302">
        <f t="shared" si="1"/>
        <v>-18.577459836239495</v>
      </c>
      <c r="L9" s="312">
        <f>SUM(B9:K9)</f>
        <v>-146.79999999999998</v>
      </c>
      <c r="N9" s="158">
        <f>AVERAGE(B9:K9)</f>
        <v>-14.679999999999998</v>
      </c>
    </row>
    <row r="10" spans="1:14" x14ac:dyDescent="0.25">
      <c r="A10" s="131"/>
      <c r="B10" s="131"/>
      <c r="C10" s="131"/>
      <c r="D10" s="131"/>
      <c r="E10" s="131"/>
      <c r="F10" s="131"/>
      <c r="G10" s="131"/>
      <c r="H10" s="131"/>
      <c r="I10" s="131"/>
      <c r="J10" s="131"/>
      <c r="K10" s="131"/>
      <c r="L10" s="131"/>
    </row>
    <row r="11" spans="1:14" ht="15.75" thickBot="1" x14ac:dyDescent="0.3">
      <c r="B11" s="281" t="s">
        <v>63</v>
      </c>
      <c r="C11" s="281" t="s">
        <v>64</v>
      </c>
      <c r="D11" s="281" t="s">
        <v>65</v>
      </c>
      <c r="E11" s="281" t="s">
        <v>66</v>
      </c>
      <c r="F11" s="281" t="s">
        <v>67</v>
      </c>
      <c r="G11" s="281" t="s">
        <v>68</v>
      </c>
      <c r="H11" s="281" t="s">
        <v>69</v>
      </c>
      <c r="I11" s="281" t="s">
        <v>70</v>
      </c>
      <c r="J11" s="281" t="s">
        <v>71</v>
      </c>
      <c r="K11" s="281" t="s">
        <v>72</v>
      </c>
      <c r="L11" s="281" t="s">
        <v>19</v>
      </c>
      <c r="N11" s="185" t="s">
        <v>73</v>
      </c>
    </row>
    <row r="12" spans="1:14" x14ac:dyDescent="0.25">
      <c r="A12" s="303" t="s">
        <v>383</v>
      </c>
      <c r="B12" s="313">
        <f>'Eligible Therms WP'!E19</f>
        <v>2951347.639040607</v>
      </c>
      <c r="C12" s="313">
        <f>'Eligible Therms WP'!F19</f>
        <v>2791913.7947604503</v>
      </c>
      <c r="D12" s="313">
        <f>'Eligible Therms WP'!G19</f>
        <v>2786629.7820328716</v>
      </c>
      <c r="E12" s="313">
        <f>'Eligible Therms WP'!H19</f>
        <v>3041644.7515247087</v>
      </c>
      <c r="F12" s="313">
        <f>'Eligible Therms WP'!I19</f>
        <v>6105988.9536754787</v>
      </c>
      <c r="G12" s="313">
        <f>'Eligible Therms WP'!J19</f>
        <v>10278984.703122351</v>
      </c>
      <c r="H12" s="313">
        <f>'Eligible Therms WP'!K19</f>
        <v>14284153.208847918</v>
      </c>
      <c r="I12" s="313">
        <f>'Eligible Therms WP'!L19</f>
        <v>14306463.547944378</v>
      </c>
      <c r="J12" s="313">
        <f>'Eligible Therms WP'!M19</f>
        <v>12027860.662029119</v>
      </c>
      <c r="K12" s="314">
        <f>'Eligible Therms WP'!N19</f>
        <v>9657309.284072727</v>
      </c>
      <c r="L12" s="327">
        <f>'Eligible Therms WP'!O19</f>
        <v>78232296.327050611</v>
      </c>
      <c r="M12" s="159"/>
      <c r="N12" s="158">
        <f>'504 Benefit Amort'!D25*10</f>
        <v>-724.96246340911989</v>
      </c>
    </row>
    <row r="13" spans="1:14" ht="15.75" thickBot="1" x14ac:dyDescent="0.3">
      <c r="A13" s="300" t="s">
        <v>74</v>
      </c>
      <c r="B13" s="166">
        <f t="shared" ref="B13:K13" si="2">B12/$L$12</f>
        <v>3.7725437927866513E-2</v>
      </c>
      <c r="C13" s="166">
        <f t="shared" si="2"/>
        <v>3.568748363321507E-2</v>
      </c>
      <c r="D13" s="166">
        <f t="shared" si="2"/>
        <v>3.5619941032835702E-2</v>
      </c>
      <c r="E13" s="166">
        <f t="shared" si="2"/>
        <v>3.8879655772969944E-2</v>
      </c>
      <c r="F13" s="166">
        <f t="shared" si="2"/>
        <v>7.8049466017836841E-2</v>
      </c>
      <c r="G13" s="166">
        <f t="shared" si="2"/>
        <v>0.13139055333555583</v>
      </c>
      <c r="H13" s="166">
        <f t="shared" si="2"/>
        <v>0.18258639819458863</v>
      </c>
      <c r="I13" s="166">
        <f t="shared" si="2"/>
        <v>0.18287157886988409</v>
      </c>
      <c r="J13" s="166">
        <f t="shared" si="2"/>
        <v>0.1537454635326895</v>
      </c>
      <c r="K13" s="301">
        <f t="shared" si="2"/>
        <v>0.12344402168255786</v>
      </c>
      <c r="L13" s="315">
        <f>SUM(B13:K13)</f>
        <v>0.99999999999999989</v>
      </c>
      <c r="M13" s="298"/>
    </row>
    <row r="14" spans="1:14" ht="15.75" thickBot="1" x14ac:dyDescent="0.3">
      <c r="A14" s="300"/>
      <c r="B14" s="179"/>
      <c r="C14" s="179"/>
      <c r="D14" s="179"/>
      <c r="E14" s="179"/>
      <c r="F14" s="179"/>
      <c r="G14" s="179"/>
      <c r="H14" s="179"/>
      <c r="I14" s="179"/>
      <c r="J14" s="179"/>
      <c r="K14" s="316"/>
      <c r="L14" s="328"/>
      <c r="M14" s="298"/>
      <c r="N14" s="155" t="s">
        <v>75</v>
      </c>
    </row>
    <row r="15" spans="1:14" ht="15.75" thickBot="1" x14ac:dyDescent="0.3">
      <c r="A15" s="304" t="s">
        <v>384</v>
      </c>
      <c r="B15" s="317">
        <f>B13*$N$12</f>
        <v>-27.349526413373951</v>
      </c>
      <c r="C15" s="317">
        <f t="shared" ref="C15:K15" si="3">C13*$N$12</f>
        <v>-25.872086047608246</v>
      </c>
      <c r="D15" s="317">
        <f t="shared" si="3"/>
        <v>-25.823120197652159</v>
      </c>
      <c r="E15" s="317">
        <f t="shared" si="3"/>
        <v>-28.186291025670901</v>
      </c>
      <c r="F15" s="317">
        <f t="shared" si="3"/>
        <v>-56.582933152057386</v>
      </c>
      <c r="G15" s="317">
        <f t="shared" si="3"/>
        <v>-95.253219214831901</v>
      </c>
      <c r="H15" s="317">
        <f t="shared" si="3"/>
        <v>-132.36828502014745</v>
      </c>
      <c r="I15" s="317">
        <f t="shared" si="3"/>
        <v>-132.57503030502633</v>
      </c>
      <c r="J15" s="317">
        <f t="shared" si="3"/>
        <v>-111.45968998063559</v>
      </c>
      <c r="K15" s="318">
        <f t="shared" si="3"/>
        <v>-89.492282052115954</v>
      </c>
      <c r="L15" s="319">
        <f>SUM(B15:K15)</f>
        <v>-724.96246340911989</v>
      </c>
      <c r="M15" s="298"/>
      <c r="N15" s="158">
        <f>AVERAGE(B15:K15)</f>
        <v>-72.496246340911995</v>
      </c>
    </row>
    <row r="16" spans="1:14" x14ac:dyDescent="0.25">
      <c r="B16" s="298"/>
      <c r="C16" s="298"/>
      <c r="D16" s="298"/>
      <c r="E16" s="298"/>
      <c r="F16" s="298"/>
      <c r="G16" s="298"/>
      <c r="H16" s="298"/>
      <c r="I16" s="298"/>
      <c r="J16" s="298"/>
      <c r="K16" s="298"/>
      <c r="L16" s="298"/>
      <c r="M16" s="298"/>
      <c r="N16" s="298"/>
    </row>
    <row r="17" spans="1:14" x14ac:dyDescent="0.25">
      <c r="B17" s="298"/>
      <c r="C17" s="298"/>
      <c r="D17" s="298"/>
      <c r="E17" s="298"/>
      <c r="F17" s="298"/>
      <c r="G17" s="298"/>
      <c r="H17" s="298"/>
      <c r="I17" s="298"/>
      <c r="J17" s="298"/>
      <c r="K17" s="298"/>
      <c r="L17" s="298"/>
      <c r="M17" s="298"/>
      <c r="N17" s="298"/>
    </row>
    <row r="18" spans="1:14" x14ac:dyDescent="0.25">
      <c r="A18" s="271"/>
      <c r="B18" s="274"/>
      <c r="C18" s="158"/>
      <c r="D18" s="158"/>
      <c r="E18" s="158"/>
      <c r="F18" s="158"/>
      <c r="G18" s="158"/>
      <c r="H18" s="158"/>
      <c r="I18" s="158"/>
      <c r="J18" s="158"/>
      <c r="K18" s="158"/>
      <c r="L18" s="158"/>
      <c r="M18" s="298"/>
      <c r="N18" s="298"/>
    </row>
    <row r="19" spans="1:14" x14ac:dyDescent="0.25">
      <c r="A19" s="271"/>
      <c r="B19" s="305"/>
      <c r="C19" s="305"/>
    </row>
    <row r="20" spans="1:14" x14ac:dyDescent="0.25">
      <c r="A20" s="271"/>
      <c r="B20" s="169"/>
      <c r="C20" s="169"/>
      <c r="D20" s="157"/>
      <c r="E20" s="157"/>
      <c r="F20" s="157"/>
      <c r="G20" s="157"/>
      <c r="H20" s="157"/>
      <c r="I20" s="157"/>
      <c r="J20" s="157"/>
      <c r="K20" s="157"/>
      <c r="L20" s="157"/>
      <c r="M20" s="157"/>
    </row>
    <row r="21" spans="1:14" x14ac:dyDescent="0.25">
      <c r="A21" s="271"/>
      <c r="B21" s="274"/>
      <c r="C21" s="274"/>
    </row>
    <row r="22" spans="1:14" x14ac:dyDescent="0.25">
      <c r="A22" s="271"/>
      <c r="B22" s="274"/>
      <c r="C22" s="274"/>
      <c r="D22" s="158"/>
      <c r="E22" s="158"/>
    </row>
    <row r="23" spans="1:14" ht="15" customHeight="1" x14ac:dyDescent="0.25">
      <c r="A23" s="271"/>
      <c r="B23" s="274"/>
      <c r="C23" s="274"/>
      <c r="D23" s="158"/>
      <c r="E23" s="158"/>
      <c r="F23" s="158"/>
    </row>
    <row r="24" spans="1:14" ht="13.5" customHeight="1" x14ac:dyDescent="0.25">
      <c r="A24" s="271"/>
      <c r="B24" s="271"/>
      <c r="C24" s="271"/>
      <c r="D24" s="158"/>
      <c r="E24" s="158"/>
      <c r="F24" s="158"/>
    </row>
    <row r="25" spans="1:14" x14ac:dyDescent="0.25">
      <c r="A25" s="306"/>
      <c r="B25" s="305"/>
      <c r="C25" s="305"/>
      <c r="E25" s="171"/>
    </row>
    <row r="26" spans="1:14" x14ac:dyDescent="0.25">
      <c r="A26" s="271"/>
      <c r="B26" s="166"/>
      <c r="C26" s="166"/>
      <c r="D26" s="320"/>
    </row>
    <row r="27" spans="1:14" x14ac:dyDescent="0.25">
      <c r="A27" s="271"/>
      <c r="B27" s="274"/>
      <c r="C27" s="274"/>
    </row>
    <row r="28" spans="1:14" x14ac:dyDescent="0.25">
      <c r="A28" s="271"/>
      <c r="B28" s="274"/>
      <c r="C28" s="274"/>
      <c r="D28" s="158"/>
      <c r="E28" s="158"/>
    </row>
    <row r="29" spans="1:14" x14ac:dyDescent="0.25">
      <c r="A29" s="271"/>
      <c r="B29" s="271"/>
      <c r="C29" s="271"/>
      <c r="E29" s="158"/>
      <c r="F29" s="158"/>
      <c r="G29" s="158"/>
    </row>
  </sheetData>
  <pageMargins left="0.7" right="0.7" top="0.75" bottom="0.75" header="0.3" footer="0.3"/>
  <pageSetup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C1BB4-8680-4156-8705-1E016734FCD6}">
  <sheetPr codeName="Sheet4"/>
  <dimension ref="A1:R201"/>
  <sheetViews>
    <sheetView workbookViewId="0">
      <selection activeCell="C4" sqref="C4"/>
    </sheetView>
  </sheetViews>
  <sheetFormatPr defaultColWidth="11.85546875" defaultRowHeight="15" x14ac:dyDescent="0.25"/>
  <cols>
    <col min="1" max="1" width="63.140625" style="186" bestFit="1" customWidth="1"/>
    <col min="2" max="2" width="12.28515625" style="188" bestFit="1" customWidth="1"/>
    <col min="3" max="3" width="11.85546875" style="189"/>
    <col min="4" max="4" width="11.5703125" style="187" bestFit="1" customWidth="1"/>
    <col min="5" max="5" width="14.28515625" style="187" customWidth="1"/>
    <col min="6" max="6" width="13.7109375" style="187" bestFit="1" customWidth="1"/>
    <col min="7" max="7" width="12.42578125" style="187" bestFit="1" customWidth="1"/>
    <col min="8" max="8" width="10" style="187" bestFit="1" customWidth="1"/>
    <col min="9" max="9" width="11.5703125" style="187" bestFit="1" customWidth="1"/>
    <col min="10" max="10" width="15.42578125" style="187" bestFit="1" customWidth="1"/>
    <col min="11" max="11" width="16.7109375" style="187" bestFit="1" customWidth="1"/>
    <col min="12" max="12" width="15.42578125" style="187" bestFit="1" customWidth="1"/>
    <col min="13" max="13" width="16.28515625" style="187" bestFit="1" customWidth="1"/>
    <col min="14" max="14" width="11.85546875" style="187"/>
    <col min="15" max="15" width="11.5703125" style="187" bestFit="1" customWidth="1"/>
    <col min="16" max="16" width="14.7109375" style="187" bestFit="1" customWidth="1"/>
    <col min="17" max="16384" width="11.85546875" style="187"/>
  </cols>
  <sheetData>
    <row r="1" spans="1:18" x14ac:dyDescent="0.25">
      <c r="A1" s="155" t="s">
        <v>0</v>
      </c>
      <c r="B1" s="186"/>
      <c r="C1" s="186"/>
    </row>
    <row r="2" spans="1:18" x14ac:dyDescent="0.25">
      <c r="A2" s="325" t="s">
        <v>403</v>
      </c>
      <c r="B2" s="186"/>
      <c r="C2" s="186"/>
    </row>
    <row r="3" spans="1:18" ht="18" customHeight="1" x14ac:dyDescent="0.25">
      <c r="A3" s="155" t="s">
        <v>2</v>
      </c>
      <c r="B3" s="186"/>
      <c r="C3" s="186"/>
    </row>
    <row r="4" spans="1:18" ht="21" customHeight="1" x14ac:dyDescent="0.25">
      <c r="A4" s="186" t="s">
        <v>398</v>
      </c>
      <c r="K4" s="190"/>
    </row>
    <row r="5" spans="1:18" s="193" customFormat="1" ht="62.25" customHeight="1" x14ac:dyDescent="0.25">
      <c r="A5" s="191"/>
      <c r="B5" s="192" t="s">
        <v>78</v>
      </c>
      <c r="C5" s="192" t="s">
        <v>79</v>
      </c>
      <c r="D5" s="192" t="s">
        <v>80</v>
      </c>
      <c r="E5" s="192" t="s">
        <v>81</v>
      </c>
      <c r="F5" s="192" t="s">
        <v>82</v>
      </c>
      <c r="G5" s="192" t="s">
        <v>83</v>
      </c>
      <c r="H5" s="192" t="s">
        <v>388</v>
      </c>
      <c r="I5" s="192" t="s">
        <v>389</v>
      </c>
      <c r="J5" s="282" t="s">
        <v>387</v>
      </c>
      <c r="K5" s="192" t="s">
        <v>390</v>
      </c>
      <c r="L5" s="192" t="s">
        <v>84</v>
      </c>
      <c r="M5" s="192" t="s">
        <v>85</v>
      </c>
      <c r="N5" s="192" t="s">
        <v>86</v>
      </c>
      <c r="O5" s="192" t="s">
        <v>391</v>
      </c>
    </row>
    <row r="6" spans="1:18" x14ac:dyDescent="0.25">
      <c r="A6" s="186" t="s">
        <v>87</v>
      </c>
      <c r="B6" s="194">
        <v>5</v>
      </c>
      <c r="C6" s="195">
        <f>'WA Schedule Summaries WP'!M7</f>
        <v>1.3149000000000002</v>
      </c>
      <c r="D6" s="196">
        <f>'Eligible Customers WP'!E45</f>
        <v>181812.60000000003</v>
      </c>
      <c r="E6" s="196">
        <f>'Eligible Customers WP'!F45*'Eligible Therms WP'!Q34/D6</f>
        <v>653.79526961141664</v>
      </c>
      <c r="F6" s="196">
        <f>E6/12</f>
        <v>54.48293913428472</v>
      </c>
      <c r="G6" s="197">
        <f>B6+(C6*F6)</f>
        <v>76.639616667670992</v>
      </c>
      <c r="H6" s="198">
        <f>'CCA Allocation'!E25</f>
        <v>0.28994999999999999</v>
      </c>
      <c r="I6" s="199">
        <f>H6*F6</f>
        <v>15.797328201985854</v>
      </c>
      <c r="J6" s="200">
        <f>'CCA Allocation'!E39</f>
        <v>-14.682172256796525</v>
      </c>
      <c r="K6" s="200">
        <f>J6+I6</f>
        <v>1.1151559451893291</v>
      </c>
      <c r="L6" s="195">
        <f>C6+H6</f>
        <v>1.6048500000000001</v>
      </c>
      <c r="M6" s="197">
        <f>(L6*F6)+J6+B6</f>
        <v>77.754772612860322</v>
      </c>
      <c r="N6" s="197">
        <f>+M6-G6</f>
        <v>1.1151559451893291</v>
      </c>
      <c r="O6" s="201">
        <f>N6/G6</f>
        <v>1.4550646175918794E-2</v>
      </c>
      <c r="P6" s="200"/>
      <c r="Q6" s="201"/>
    </row>
    <row r="7" spans="1:18" x14ac:dyDescent="0.25">
      <c r="D7" s="196"/>
      <c r="E7" s="196"/>
      <c r="F7" s="202"/>
      <c r="G7" s="197"/>
      <c r="H7" s="198"/>
      <c r="I7" s="198"/>
      <c r="K7" s="200"/>
      <c r="L7" s="195"/>
      <c r="M7" s="200"/>
      <c r="N7" s="200"/>
      <c r="P7" s="200"/>
      <c r="Q7" s="203"/>
    </row>
    <row r="8" spans="1:18" x14ac:dyDescent="0.25">
      <c r="A8" s="186" t="s">
        <v>88</v>
      </c>
      <c r="B8" s="194">
        <v>5</v>
      </c>
      <c r="C8" s="195">
        <f>'WA Schedule Summaries WP'!M7</f>
        <v>1.3149000000000002</v>
      </c>
      <c r="D8" s="196">
        <f>'Eligible Customers WP'!E46</f>
        <v>8053.15</v>
      </c>
      <c r="E8" s="196">
        <f>'Eligible Customers WP'!F46*'Eligible Therms WP'!Q34/D8</f>
        <v>653.79526961141676</v>
      </c>
      <c r="F8" s="196">
        <f>E8/12</f>
        <v>54.482939134284727</v>
      </c>
      <c r="G8" s="197">
        <f>B8+(C8*F8)</f>
        <v>76.639616667670992</v>
      </c>
      <c r="H8" s="198">
        <f>'CCA Allocation'!G25</f>
        <v>0.28995076220992905</v>
      </c>
      <c r="I8" s="199">
        <f>H8*F8</f>
        <v>15.797369729423028</v>
      </c>
      <c r="J8" s="199">
        <f>'CCA Allocation'!G39</f>
        <v>0</v>
      </c>
      <c r="K8" s="200">
        <f>I8+J8</f>
        <v>15.797369729423028</v>
      </c>
      <c r="L8" s="195">
        <f>C8+H8</f>
        <v>1.6048507622099293</v>
      </c>
      <c r="M8" s="197">
        <f>(L8*F8)+J8+B8</f>
        <v>92.436986397094032</v>
      </c>
      <c r="N8" s="200">
        <f>+M8-G8</f>
        <v>15.797369729423039</v>
      </c>
      <c r="O8" s="201">
        <f>N8/G8</f>
        <v>0.20612537505144995</v>
      </c>
      <c r="P8" s="200"/>
      <c r="Q8" s="201"/>
    </row>
    <row r="9" spans="1:18" x14ac:dyDescent="0.25">
      <c r="B9" s="194"/>
      <c r="C9" s="195"/>
      <c r="D9" s="196"/>
      <c r="E9" s="196"/>
      <c r="F9" s="196"/>
      <c r="G9" s="197"/>
      <c r="H9" s="199"/>
      <c r="I9" s="199"/>
      <c r="J9" s="199"/>
      <c r="K9" s="200"/>
      <c r="L9" s="195"/>
      <c r="M9" s="200"/>
      <c r="N9" s="200"/>
      <c r="O9" s="201"/>
      <c r="P9" s="200"/>
      <c r="Q9" s="203"/>
    </row>
    <row r="10" spans="1:18" x14ac:dyDescent="0.25">
      <c r="A10" s="186" t="s">
        <v>89</v>
      </c>
      <c r="B10" s="194">
        <v>5</v>
      </c>
      <c r="C10" s="195">
        <f>'WA Schedule Summaries WP'!M7</f>
        <v>1.3149000000000002</v>
      </c>
      <c r="D10" s="196">
        <f>'Eligible Customers WP'!E47</f>
        <v>10339.250000000002</v>
      </c>
      <c r="E10" s="196">
        <f>'Eligible Customers WP'!F47*'Eligible Therms WP'!Q34/D10</f>
        <v>653.79526961141676</v>
      </c>
      <c r="F10" s="196">
        <f>E10/12</f>
        <v>54.482939134284727</v>
      </c>
      <c r="G10" s="197">
        <f>B10+(C10*F10)</f>
        <v>76.639616667670992</v>
      </c>
      <c r="H10" s="198">
        <f>'CCA Allocation'!I25</f>
        <v>0.28994999999999999</v>
      </c>
      <c r="I10" s="199">
        <f>H10*F10</f>
        <v>15.797328201985856</v>
      </c>
      <c r="J10" s="204" t="str">
        <f>'CCA Allocation'!I39</f>
        <v>N/A</v>
      </c>
      <c r="K10" s="204" t="s">
        <v>58</v>
      </c>
      <c r="L10" s="332">
        <f>C10+H10</f>
        <v>1.6048500000000001</v>
      </c>
      <c r="M10" s="197">
        <f>(L10*F10)+B10-(H10*F10)</f>
        <v>76.639616667670992</v>
      </c>
      <c r="N10" s="200">
        <f>I10-I10</f>
        <v>0</v>
      </c>
      <c r="O10" s="201">
        <f>N10/G10</f>
        <v>0</v>
      </c>
      <c r="P10" s="200"/>
      <c r="Q10" s="203"/>
    </row>
    <row r="11" spans="1:18" x14ac:dyDescent="0.25">
      <c r="B11" s="194"/>
      <c r="D11" s="196"/>
      <c r="E11" s="196"/>
      <c r="F11" s="196"/>
      <c r="G11" s="197"/>
      <c r="H11" s="199"/>
      <c r="I11" s="199"/>
      <c r="L11" s="195"/>
      <c r="M11" s="200"/>
      <c r="N11" s="200"/>
      <c r="O11" s="201"/>
      <c r="P11" s="200"/>
      <c r="Q11" s="203"/>
    </row>
    <row r="12" spans="1:18" x14ac:dyDescent="0.25">
      <c r="A12" s="186" t="s">
        <v>90</v>
      </c>
      <c r="B12" s="194">
        <v>13</v>
      </c>
      <c r="C12" s="195">
        <f>'WA Schedule Summaries WP'!M10</f>
        <v>1.2348600000000001</v>
      </c>
      <c r="D12" s="196">
        <f>'Eligible Customers WP'!E48</f>
        <v>27032</v>
      </c>
      <c r="E12" s="196">
        <f>'Eligible Customers WP'!F48*'Eligible Therms WP'!Q35/D12</f>
        <v>3255.4902157528877</v>
      </c>
      <c r="F12" s="196">
        <f>E12/12</f>
        <v>271.29085131274064</v>
      </c>
      <c r="G12" s="197">
        <f>B12+(C12*F12)</f>
        <v>348.00622065205096</v>
      </c>
      <c r="H12" s="198">
        <f>'CCA Allocation'!K25</f>
        <v>0.29104000000000002</v>
      </c>
      <c r="I12" s="199">
        <f>H12*F12</f>
        <v>78.95648936606004</v>
      </c>
      <c r="J12" s="200">
        <f>'CCA Allocation'!K39</f>
        <v>-72.501138102823191</v>
      </c>
      <c r="K12" s="200">
        <f>J12+I12</f>
        <v>6.4553512632368495</v>
      </c>
      <c r="L12" s="195">
        <f>C12+H12</f>
        <v>1.5259</v>
      </c>
      <c r="M12" s="197">
        <f>(L12*F12)+J12+B12</f>
        <v>354.46157191528778</v>
      </c>
      <c r="N12" s="200">
        <f>+M12-G12</f>
        <v>6.4553512632368211</v>
      </c>
      <c r="O12" s="201">
        <f>N12/G12</f>
        <v>1.8549528370905507E-2</v>
      </c>
      <c r="P12" s="200"/>
      <c r="Q12" s="201"/>
    </row>
    <row r="13" spans="1:18" x14ac:dyDescent="0.25">
      <c r="D13" s="196"/>
      <c r="E13" s="196"/>
      <c r="F13" s="196"/>
      <c r="G13" s="197"/>
      <c r="H13" s="198"/>
      <c r="I13" s="198"/>
      <c r="K13" s="200"/>
      <c r="M13" s="200"/>
      <c r="N13" s="200"/>
      <c r="O13" s="201"/>
    </row>
    <row r="14" spans="1:18" x14ac:dyDescent="0.25">
      <c r="A14" s="186" t="s">
        <v>91</v>
      </c>
      <c r="B14" s="194">
        <v>13</v>
      </c>
      <c r="C14" s="195">
        <f>'WA Schedule Summaries WP'!M10</f>
        <v>1.2348600000000001</v>
      </c>
      <c r="D14" s="196">
        <f>'Eligible Customers WP'!E49</f>
        <v>1004.5</v>
      </c>
      <c r="E14" s="196">
        <f>'Eligible Customers WP'!F49*'Eligible Therms WP'!Q35/D14</f>
        <v>3255.4902157528873</v>
      </c>
      <c r="F14" s="196">
        <f>E14/12</f>
        <v>271.29085131274059</v>
      </c>
      <c r="G14" s="197">
        <f>B14+(C14*F14)</f>
        <v>348.00622065205084</v>
      </c>
      <c r="H14" s="198">
        <f>'CCA Allocation'!M25</f>
        <v>0.29104000000000002</v>
      </c>
      <c r="I14" s="199">
        <f>H14*F14</f>
        <v>78.956489366060026</v>
      </c>
      <c r="J14" s="200">
        <f>'CCA Allocation'!M39</f>
        <v>0</v>
      </c>
      <c r="K14" s="200">
        <f>J14+I14</f>
        <v>78.956489366060026</v>
      </c>
      <c r="L14" s="195">
        <f>C14+H14</f>
        <v>1.5259</v>
      </c>
      <c r="M14" s="197">
        <f>(L14*F14)+J14+B14</f>
        <v>426.96271001811084</v>
      </c>
      <c r="N14" s="200">
        <f>+M14-G14</f>
        <v>78.956489366059998</v>
      </c>
      <c r="O14" s="201">
        <f>N14/G14</f>
        <v>0.22688240807339918</v>
      </c>
    </row>
    <row r="15" spans="1:18" x14ac:dyDescent="0.25">
      <c r="B15" s="187"/>
      <c r="C15" s="187"/>
      <c r="K15" s="200"/>
      <c r="O15" s="205"/>
    </row>
    <row r="16" spans="1:18" x14ac:dyDescent="0.25">
      <c r="A16" s="186" t="s">
        <v>92</v>
      </c>
      <c r="B16" s="194">
        <v>125</v>
      </c>
      <c r="C16" s="195"/>
      <c r="D16" s="196">
        <f>'Eligible Customers WP'!E52</f>
        <v>89</v>
      </c>
      <c r="E16" s="196">
        <f>'Eligible Customers WP'!F52*'Eligible Therms WP'!Q37/D16</f>
        <v>150114.7031854892</v>
      </c>
      <c r="F16" s="196">
        <f>E16/12</f>
        <v>12509.558598790767</v>
      </c>
      <c r="G16" s="321">
        <f>G17+B16</f>
        <v>14167.361453676986</v>
      </c>
      <c r="H16" s="198">
        <f>'CCA Allocation'!S25</f>
        <v>0.29104000000000002</v>
      </c>
      <c r="I16" s="199">
        <f>H16*F16</f>
        <v>3640.7819345920652</v>
      </c>
      <c r="J16" s="200">
        <f>'CCA Allocation'!S39</f>
        <v>-3332.6966976995259</v>
      </c>
      <c r="K16" s="200">
        <f>J16+I16</f>
        <v>308.08523689253934</v>
      </c>
      <c r="L16" s="200"/>
      <c r="M16" s="277">
        <f>M17+B16+J16</f>
        <v>14475.446690569524</v>
      </c>
      <c r="N16" s="200">
        <f>+M16-G16</f>
        <v>308.08523689253889</v>
      </c>
      <c r="O16" s="201">
        <f>N16/G16</f>
        <v>2.1746126679966841E-2</v>
      </c>
      <c r="P16" s="200"/>
      <c r="Q16" s="201"/>
      <c r="R16" s="200"/>
    </row>
    <row r="17" spans="1:18" x14ac:dyDescent="0.25">
      <c r="A17" s="207" t="s">
        <v>93</v>
      </c>
      <c r="C17" s="195">
        <f>'WA Schedule Summaries WP'!M13</f>
        <v>1.1225305307762328</v>
      </c>
      <c r="E17" s="196"/>
      <c r="G17" s="199">
        <f>F16*C17</f>
        <v>14042.361453676986</v>
      </c>
      <c r="H17" s="198"/>
      <c r="I17" s="198"/>
      <c r="K17" s="200"/>
      <c r="L17" s="195">
        <f>+C17+$H$16</f>
        <v>1.4135705307762327</v>
      </c>
      <c r="M17" s="199">
        <f>L17*F16</f>
        <v>17683.143388269051</v>
      </c>
      <c r="N17" s="200"/>
      <c r="O17" s="190"/>
    </row>
    <row r="18" spans="1:18" x14ac:dyDescent="0.25">
      <c r="A18" s="207" t="s">
        <v>94</v>
      </c>
      <c r="C18" s="195">
        <f>'WA Schedule Summaries WP'!M14</f>
        <v>1.0838005307762326</v>
      </c>
      <c r="D18" s="196"/>
      <c r="E18" s="196"/>
      <c r="F18" s="196"/>
      <c r="H18" s="198"/>
      <c r="I18" s="198"/>
      <c r="K18" s="200"/>
      <c r="L18" s="195">
        <f>+C18+$H$16</f>
        <v>1.3748405307762326</v>
      </c>
      <c r="M18" s="199"/>
      <c r="N18" s="200"/>
      <c r="O18" s="190"/>
    </row>
    <row r="19" spans="1:18" x14ac:dyDescent="0.25">
      <c r="A19" s="207" t="s">
        <v>95</v>
      </c>
      <c r="C19" s="195">
        <f>'WA Schedule Summaries WP'!M15</f>
        <v>0.98799053077623289</v>
      </c>
      <c r="D19" s="196"/>
      <c r="E19" s="196"/>
      <c r="F19" s="196"/>
      <c r="H19" s="198"/>
      <c r="I19" s="198"/>
      <c r="K19" s="200"/>
      <c r="L19" s="195">
        <f>+C19+$H$16</f>
        <v>1.2790305307762329</v>
      </c>
      <c r="M19" s="208"/>
      <c r="N19" s="200"/>
      <c r="O19" s="190"/>
    </row>
    <row r="20" spans="1:18" x14ac:dyDescent="0.25">
      <c r="A20" s="186" t="s">
        <v>96</v>
      </c>
      <c r="B20" s="194">
        <v>125</v>
      </c>
      <c r="C20" s="195"/>
      <c r="D20" s="196">
        <f>'Eligible Customers WP'!E53</f>
        <v>7.2</v>
      </c>
      <c r="E20" s="196">
        <f>'Eligible Customers WP'!F53*'Eligible Therms WP'!Q37/D20</f>
        <v>150114.7031854892</v>
      </c>
      <c r="F20" s="196">
        <f>E20/12</f>
        <v>12509.558598790767</v>
      </c>
      <c r="G20" s="321">
        <f>G21+B20</f>
        <v>14167.361453676986</v>
      </c>
      <c r="H20" s="198">
        <f>'CCA Allocation'!U25</f>
        <v>0.29104000000000002</v>
      </c>
      <c r="I20" s="199">
        <f>H20*F20</f>
        <v>3640.7819345920652</v>
      </c>
      <c r="J20" s="200">
        <f>'CCA Allocation'!U39</f>
        <v>0</v>
      </c>
      <c r="K20" s="200">
        <f>I20+J20</f>
        <v>3640.7819345920652</v>
      </c>
      <c r="L20" s="200"/>
      <c r="M20" s="278">
        <f>M21+B20+J20</f>
        <v>17808.143388269051</v>
      </c>
      <c r="N20" s="200">
        <f>+M20-G20</f>
        <v>3640.7819345920652</v>
      </c>
      <c r="O20" s="201">
        <f>N20/G20</f>
        <v>0.25698376839585324</v>
      </c>
      <c r="P20" s="200"/>
      <c r="Q20" s="201"/>
    </row>
    <row r="21" spans="1:18" x14ac:dyDescent="0.25">
      <c r="A21" s="207" t="s">
        <v>93</v>
      </c>
      <c r="C21" s="195">
        <f>'WA Schedule Summaries WP'!M13</f>
        <v>1.1225305307762328</v>
      </c>
      <c r="E21" s="196"/>
      <c r="F21" s="196"/>
      <c r="G21" s="199">
        <f>F20*C21</f>
        <v>14042.361453676986</v>
      </c>
      <c r="H21" s="198"/>
      <c r="I21" s="198"/>
      <c r="K21" s="200"/>
      <c r="L21" s="195">
        <f>+C21+$H$20</f>
        <v>1.4135705307762327</v>
      </c>
      <c r="M21" s="199">
        <f>(F20*L21)</f>
        <v>17683.143388269051</v>
      </c>
      <c r="N21" s="200"/>
      <c r="O21" s="190"/>
    </row>
    <row r="22" spans="1:18" x14ac:dyDescent="0.25">
      <c r="A22" s="207" t="s">
        <v>94</v>
      </c>
      <c r="C22" s="195">
        <f>'WA Schedule Summaries WP'!M14</f>
        <v>1.0838005307762326</v>
      </c>
      <c r="D22" s="196"/>
      <c r="E22" s="196"/>
      <c r="F22" s="196"/>
      <c r="H22" s="198"/>
      <c r="I22" s="198"/>
      <c r="K22" s="200"/>
      <c r="L22" s="195">
        <f>+C22+$H$20</f>
        <v>1.3748405307762326</v>
      </c>
      <c r="N22" s="200"/>
      <c r="O22" s="190"/>
    </row>
    <row r="23" spans="1:18" x14ac:dyDescent="0.25">
      <c r="A23" s="207" t="s">
        <v>95</v>
      </c>
      <c r="C23" s="195">
        <f>'WA Schedule Summaries WP'!M15</f>
        <v>0.98799053077623289</v>
      </c>
      <c r="D23" s="196"/>
      <c r="E23" s="196"/>
      <c r="F23" s="196"/>
      <c r="H23" s="198"/>
      <c r="I23" s="198"/>
      <c r="K23" s="200"/>
      <c r="L23" s="195">
        <f>+C23+$H$20</f>
        <v>1.2790305307762329</v>
      </c>
      <c r="N23" s="200"/>
      <c r="O23" s="190"/>
    </row>
    <row r="24" spans="1:18" x14ac:dyDescent="0.25">
      <c r="A24" s="207"/>
      <c r="C24" s="195"/>
      <c r="D24" s="196"/>
      <c r="E24" s="196"/>
      <c r="F24" s="196"/>
      <c r="H24" s="198"/>
      <c r="I24" s="198"/>
      <c r="K24" s="200"/>
      <c r="L24" s="195"/>
      <c r="N24" s="200"/>
      <c r="O24" s="190"/>
    </row>
    <row r="25" spans="1:18" x14ac:dyDescent="0.25">
      <c r="A25" s="186" t="s">
        <v>97</v>
      </c>
      <c r="B25" s="194">
        <v>60</v>
      </c>
      <c r="C25" s="195"/>
      <c r="D25" s="196">
        <f>'Eligible Customers WP'!E50</f>
        <v>479</v>
      </c>
      <c r="E25" s="196">
        <f>'Eligible Customers WP'!F50*'Eligible Therms WP'!Q36/D25</f>
        <v>25660.626196227789</v>
      </c>
      <c r="F25" s="196">
        <f>E25/12</f>
        <v>2138.3855163523158</v>
      </c>
      <c r="G25" s="321">
        <f>G26+G27+B25</f>
        <v>2495.283333551602</v>
      </c>
      <c r="H25" s="198">
        <f>'CCA Allocation'!O25</f>
        <v>0.29104000000000002</v>
      </c>
      <c r="I25" s="199">
        <f>H25*F25</f>
        <v>622.35572067917803</v>
      </c>
      <c r="J25" s="200">
        <f>'CCA Allocation'!O39</f>
        <v>-566.28178536868882</v>
      </c>
      <c r="K25" s="200">
        <f>I25+J25</f>
        <v>56.073935310489219</v>
      </c>
      <c r="L25" s="200"/>
      <c r="M25" s="278">
        <f>SUM(M26:M27)+B25+J25</f>
        <v>2551.3572688620911</v>
      </c>
      <c r="N25" s="200">
        <f>+M25-G25</f>
        <v>56.073935310489105</v>
      </c>
      <c r="O25" s="201">
        <f>N25/G25</f>
        <v>2.2471971241308942E-2</v>
      </c>
      <c r="P25" s="200"/>
      <c r="Q25" s="201"/>
      <c r="R25" s="200"/>
    </row>
    <row r="26" spans="1:18" x14ac:dyDescent="0.25">
      <c r="A26" s="207" t="s">
        <v>98</v>
      </c>
      <c r="C26" s="195">
        <f>'WA Schedule Summaries WP'!M18</f>
        <v>1.1689605307762327</v>
      </c>
      <c r="E26" s="196"/>
      <c r="F26" s="196"/>
      <c r="G26" s="199">
        <f>(C26*500)</f>
        <v>584.48026538811632</v>
      </c>
      <c r="H26" s="198"/>
      <c r="I26" s="198"/>
      <c r="K26" s="200"/>
      <c r="L26" s="195">
        <f>+C26+$H$25</f>
        <v>1.4600005307762327</v>
      </c>
      <c r="M26" s="200">
        <f>(+L26*500)</f>
        <v>730.0002653881163</v>
      </c>
      <c r="N26" s="200"/>
      <c r="O26" s="190"/>
    </row>
    <row r="27" spans="1:18" x14ac:dyDescent="0.25">
      <c r="A27" s="207" t="s">
        <v>99</v>
      </c>
      <c r="C27" s="195">
        <f>'WA Schedule Summaries WP'!M19</f>
        <v>1.1296505307762328</v>
      </c>
      <c r="E27" s="196"/>
      <c r="F27" s="196"/>
      <c r="G27" s="199">
        <f>(F25-500)*C27</f>
        <v>1850.8030681634857</v>
      </c>
      <c r="H27" s="198"/>
      <c r="I27" s="198"/>
      <c r="K27" s="200"/>
      <c r="L27" s="195">
        <f>+C27+$H$25</f>
        <v>1.4206905307762328</v>
      </c>
      <c r="M27" s="206">
        <f>(+F25-500)*L27</f>
        <v>2327.6387888426639</v>
      </c>
      <c r="N27" s="200"/>
      <c r="O27" s="190"/>
    </row>
    <row r="28" spans="1:18" x14ac:dyDescent="0.25">
      <c r="A28" s="207" t="s">
        <v>100</v>
      </c>
      <c r="C28" s="195">
        <f>'WA Schedule Summaries WP'!M20</f>
        <v>1.1237105307762327</v>
      </c>
      <c r="D28" s="196"/>
      <c r="E28" s="196"/>
      <c r="F28" s="196"/>
      <c r="H28" s="198"/>
      <c r="I28" s="198"/>
      <c r="K28" s="200"/>
      <c r="L28" s="195">
        <f>+C28+$H$25</f>
        <v>1.4147505307762327</v>
      </c>
      <c r="N28" s="200"/>
      <c r="O28" s="190"/>
    </row>
    <row r="29" spans="1:18" x14ac:dyDescent="0.25">
      <c r="A29" s="186" t="s">
        <v>101</v>
      </c>
      <c r="B29" s="194">
        <v>60</v>
      </c>
      <c r="C29" s="195"/>
      <c r="D29" s="196">
        <f>'Eligible Customers WP'!E51</f>
        <v>20.053721000000003</v>
      </c>
      <c r="E29" s="196">
        <f>'Eligible Customers WP'!F51*'Eligible Therms WP'!Q36/D29</f>
        <v>25660.626196227789</v>
      </c>
      <c r="F29" s="196">
        <f>E29/12</f>
        <v>2138.3855163523158</v>
      </c>
      <c r="G29" s="321">
        <f>G30+G31+B29</f>
        <v>2495.283333551602</v>
      </c>
      <c r="H29" s="198">
        <f>'CCA Allocation'!Q25</f>
        <v>0.29104000000000002</v>
      </c>
      <c r="I29" s="199">
        <f>H29*F29</f>
        <v>622.35572067917803</v>
      </c>
      <c r="J29" s="200">
        <f>'CCA Allocation'!Q39</f>
        <v>0</v>
      </c>
      <c r="K29" s="200">
        <f>I29+J29</f>
        <v>622.35572067917803</v>
      </c>
      <c r="L29" s="200"/>
      <c r="M29" s="278">
        <f>SUM(M30:M31)+B29+J29</f>
        <v>3117.6390542307799</v>
      </c>
      <c r="N29" s="200">
        <f>+M29-G29</f>
        <v>622.35572067917792</v>
      </c>
      <c r="O29" s="201">
        <f>N29/G29</f>
        <v>0.24941284715486106</v>
      </c>
      <c r="P29" s="200"/>
      <c r="Q29" s="201"/>
    </row>
    <row r="30" spans="1:18" x14ac:dyDescent="0.25">
      <c r="A30" s="207" t="s">
        <v>98</v>
      </c>
      <c r="C30" s="195">
        <f>'WA Schedule Summaries WP'!M18</f>
        <v>1.1689605307762327</v>
      </c>
      <c r="E30" s="196"/>
      <c r="F30" s="196"/>
      <c r="G30" s="199">
        <f>(C30*500)</f>
        <v>584.48026538811632</v>
      </c>
      <c r="H30" s="198"/>
      <c r="I30" s="198"/>
      <c r="K30" s="200"/>
      <c r="L30" s="195">
        <f>+C30+$H$29</f>
        <v>1.4600005307762327</v>
      </c>
      <c r="M30" s="199">
        <f>(L30*500)</f>
        <v>730.0002653881163</v>
      </c>
      <c r="N30" s="200"/>
      <c r="O30" s="190"/>
    </row>
    <row r="31" spans="1:18" x14ac:dyDescent="0.25">
      <c r="A31" s="207" t="s">
        <v>99</v>
      </c>
      <c r="C31" s="195">
        <f>'WA Schedule Summaries WP'!M19</f>
        <v>1.1296505307762328</v>
      </c>
      <c r="E31" s="196"/>
      <c r="F31" s="196"/>
      <c r="G31" s="199">
        <f>(F29-500)*C31</f>
        <v>1850.8030681634857</v>
      </c>
      <c r="H31" s="198"/>
      <c r="I31" s="198"/>
      <c r="K31" s="200"/>
      <c r="L31" s="195">
        <f t="shared" ref="L31:L32" si="0">+C31+$H$29</f>
        <v>1.4206905307762328</v>
      </c>
      <c r="M31" s="199">
        <f>(F29-500)*L31</f>
        <v>2327.6387888426639</v>
      </c>
      <c r="N31" s="200"/>
      <c r="O31" s="190"/>
    </row>
    <row r="32" spans="1:18" x14ac:dyDescent="0.25">
      <c r="A32" s="207" t="s">
        <v>100</v>
      </c>
      <c r="C32" s="195">
        <f>'WA Schedule Summaries WP'!M20</f>
        <v>1.1237105307762327</v>
      </c>
      <c r="D32" s="196"/>
      <c r="E32" s="196"/>
      <c r="F32" s="196"/>
      <c r="H32" s="198"/>
      <c r="I32" s="198"/>
      <c r="K32" s="200"/>
      <c r="L32" s="195">
        <f t="shared" si="0"/>
        <v>1.4147505307762327</v>
      </c>
      <c r="N32" s="200"/>
      <c r="O32" s="190"/>
    </row>
    <row r="33" spans="1:17" x14ac:dyDescent="0.25">
      <c r="A33" s="207"/>
      <c r="C33" s="195"/>
      <c r="D33" s="196"/>
      <c r="E33" s="196"/>
      <c r="F33" s="196"/>
      <c r="H33" s="198"/>
      <c r="I33" s="198"/>
      <c r="K33" s="200"/>
      <c r="L33" s="195"/>
      <c r="N33" s="200"/>
      <c r="O33" s="190"/>
    </row>
    <row r="34" spans="1:17" x14ac:dyDescent="0.25">
      <c r="A34" s="186" t="s">
        <v>102</v>
      </c>
      <c r="B34" s="194">
        <v>163</v>
      </c>
      <c r="C34" s="195"/>
      <c r="D34" s="196">
        <f>'Eligible Customers WP'!E54</f>
        <v>6</v>
      </c>
      <c r="E34" s="196">
        <f>'Eligible Customers WP'!F54*'Eligible Therms WP'!Q38/D34</f>
        <v>287360.24251918786</v>
      </c>
      <c r="F34" s="196">
        <f>E34/12</f>
        <v>23946.686876598989</v>
      </c>
      <c r="G34" s="321">
        <f>G35+B34</f>
        <v>24600.657038199075</v>
      </c>
      <c r="H34" s="198">
        <f>'CCA Allocation'!W25</f>
        <v>0.29104000000000002</v>
      </c>
      <c r="I34" s="199">
        <f>H34*F34</f>
        <v>6969.4437485653707</v>
      </c>
      <c r="J34" s="200">
        <f>'CCA Allocation'!W39</f>
        <v>-6096.0708650584311</v>
      </c>
      <c r="K34" s="200">
        <f>I34+J34</f>
        <v>873.37288350693962</v>
      </c>
      <c r="L34" s="200"/>
      <c r="M34" s="279">
        <f>M35+B34+J34</f>
        <v>25474.029921706013</v>
      </c>
      <c r="N34" s="200">
        <f>+M34-G34</f>
        <v>873.3728835069378</v>
      </c>
      <c r="O34" s="201">
        <f>N34/G34</f>
        <v>3.5502014525497984E-2</v>
      </c>
      <c r="P34" s="200"/>
      <c r="Q34" s="201"/>
    </row>
    <row r="35" spans="1:17" x14ac:dyDescent="0.25">
      <c r="A35" s="207" t="s">
        <v>103</v>
      </c>
      <c r="C35" s="195">
        <f>'WA Schedule Summaries WP'!M23</f>
        <v>1.0205026342111596</v>
      </c>
      <c r="E35" s="196"/>
      <c r="F35" s="196"/>
      <c r="G35" s="196">
        <f>C35*F34</f>
        <v>24437.657038199075</v>
      </c>
      <c r="H35" s="198"/>
      <c r="I35" s="198"/>
      <c r="K35" s="200"/>
      <c r="L35" s="195">
        <f>+C35+$H$34</f>
        <v>1.3115426342111596</v>
      </c>
      <c r="M35" s="199">
        <f>L35*F34</f>
        <v>31407.100786764444</v>
      </c>
      <c r="N35" s="200"/>
      <c r="O35" s="190"/>
      <c r="P35" s="200"/>
    </row>
    <row r="36" spans="1:17" x14ac:dyDescent="0.25">
      <c r="A36" s="207" t="s">
        <v>104</v>
      </c>
      <c r="C36" s="195">
        <f>'WA Schedule Summaries WP'!M24</f>
        <v>0.95513263421115968</v>
      </c>
      <c r="D36" s="196"/>
      <c r="E36" s="196"/>
      <c r="F36" s="196"/>
      <c r="H36" s="198"/>
      <c r="I36" s="198"/>
      <c r="K36" s="200"/>
      <c r="L36" s="195">
        <f>+C36+$H$34</f>
        <v>1.2461726342111596</v>
      </c>
      <c r="N36" s="200"/>
      <c r="O36" s="190"/>
    </row>
    <row r="37" spans="1:17" x14ac:dyDescent="0.25">
      <c r="A37" s="186" t="s">
        <v>105</v>
      </c>
      <c r="B37" s="194">
        <v>163</v>
      </c>
      <c r="C37" s="195"/>
      <c r="D37" s="196">
        <f>'Eligible Customers WP'!E55</f>
        <v>1</v>
      </c>
      <c r="E37" s="196">
        <f>'Eligible Customers WP'!F55*'Eligible Therms WP'!Q38/D37</f>
        <v>287360.24251918786</v>
      </c>
      <c r="F37" s="196">
        <f>E37/12</f>
        <v>23946.686876598989</v>
      </c>
      <c r="G37" s="321">
        <f>G38+B37</f>
        <v>24600.657038199075</v>
      </c>
      <c r="H37" s="198">
        <f>'CCA Allocation'!Y25</f>
        <v>0.29104000000000002</v>
      </c>
      <c r="I37" s="199">
        <f>H37*F37</f>
        <v>6969.4437485653707</v>
      </c>
      <c r="J37" s="200">
        <f>'CCA Allocation'!Y39</f>
        <v>0</v>
      </c>
      <c r="K37" s="200">
        <f>I37+J37</f>
        <v>6969.4437485653707</v>
      </c>
      <c r="L37" s="200"/>
      <c r="M37" s="279">
        <f>M38+B37+J37</f>
        <v>31570.100786764444</v>
      </c>
      <c r="N37" s="200">
        <f>+M37-G37</f>
        <v>6969.4437485653689</v>
      </c>
      <c r="O37" s="201">
        <f>N37/G37</f>
        <v>0.28330315477929918</v>
      </c>
      <c r="P37" s="200"/>
      <c r="Q37" s="201"/>
    </row>
    <row r="38" spans="1:17" x14ac:dyDescent="0.25">
      <c r="A38" s="207" t="s">
        <v>103</v>
      </c>
      <c r="C38" s="195">
        <f>'WA Schedule Summaries WP'!M23</f>
        <v>1.0205026342111596</v>
      </c>
      <c r="E38" s="196"/>
      <c r="F38" s="196"/>
      <c r="G38" s="199">
        <f>C38*F37</f>
        <v>24437.657038199075</v>
      </c>
      <c r="H38" s="198"/>
      <c r="I38" s="198"/>
      <c r="K38" s="200"/>
      <c r="L38" s="195">
        <f>+C38+$H$37</f>
        <v>1.3115426342111596</v>
      </c>
      <c r="M38" s="209">
        <f>F37*L38+J37</f>
        <v>31407.100786764444</v>
      </c>
      <c r="N38" s="200"/>
      <c r="O38" s="190"/>
    </row>
    <row r="39" spans="1:17" x14ac:dyDescent="0.25">
      <c r="A39" s="207" t="s">
        <v>104</v>
      </c>
      <c r="C39" s="195">
        <f>'WA Schedule Summaries WP'!M24</f>
        <v>0.95513263421115968</v>
      </c>
      <c r="D39" s="196"/>
      <c r="E39" s="196"/>
      <c r="F39" s="196"/>
      <c r="H39" s="198"/>
      <c r="I39" s="198"/>
      <c r="K39" s="200"/>
      <c r="L39" s="195">
        <f>+C39+$H$37</f>
        <v>1.2461726342111596</v>
      </c>
      <c r="N39" s="200"/>
      <c r="O39" s="190"/>
    </row>
    <row r="40" spans="1:17" x14ac:dyDescent="0.25">
      <c r="A40" s="207"/>
      <c r="C40" s="195"/>
      <c r="D40" s="196"/>
      <c r="E40" s="196"/>
      <c r="F40" s="196"/>
      <c r="H40" s="198"/>
      <c r="I40" s="198"/>
      <c r="K40" s="200"/>
      <c r="N40" s="200"/>
      <c r="O40" s="190"/>
    </row>
    <row r="41" spans="1:17" x14ac:dyDescent="0.25">
      <c r="A41" s="186" t="s">
        <v>106</v>
      </c>
      <c r="B41" s="194">
        <v>625</v>
      </c>
      <c r="C41" s="195"/>
      <c r="D41" s="196">
        <f>'Eligible Customers WP'!E56</f>
        <v>170</v>
      </c>
      <c r="E41" s="196">
        <f>'Eligible Customers WP'!F56*'Eligible Therms WP'!Q39/D41</f>
        <v>1571394.0315337873</v>
      </c>
      <c r="F41" s="196">
        <f>E41/12</f>
        <v>130949.5026278156</v>
      </c>
      <c r="G41" s="321">
        <f>G42+G43+G44+B41</f>
        <v>8372.3444667847707</v>
      </c>
      <c r="H41" s="198">
        <f>'CCA Allocation'!AA25</f>
        <v>0.29104000000000002</v>
      </c>
      <c r="I41" s="199">
        <f>H41*F41</f>
        <v>38111.543244799454</v>
      </c>
      <c r="J41" s="200">
        <f>'CCA Allocation'!AA39</f>
        <v>-33377.21844331851</v>
      </c>
      <c r="K41" s="200">
        <f>I41+J41</f>
        <v>4734.3248014809433</v>
      </c>
      <c r="L41" s="200"/>
      <c r="M41" s="280">
        <f>SUM(M42:M44)+B41+J41</f>
        <v>13106.669268265709</v>
      </c>
      <c r="N41" s="200">
        <f>M41-G41</f>
        <v>4734.3248014809378</v>
      </c>
      <c r="O41" s="201">
        <f>N41/G41</f>
        <v>0.56547181261631241</v>
      </c>
      <c r="P41" s="200"/>
      <c r="Q41" s="201"/>
    </row>
    <row r="42" spans="1:17" x14ac:dyDescent="0.25">
      <c r="A42" s="207" t="s">
        <v>107</v>
      </c>
      <c r="C42" s="195">
        <f>'WA Schedule Summaries WP'!M28</f>
        <v>4.0000000000000002E-4</v>
      </c>
      <c r="E42" s="196"/>
      <c r="F42" s="196"/>
      <c r="G42" s="199">
        <f>C42*F41</f>
        <v>52.379801051126243</v>
      </c>
      <c r="H42" s="198"/>
      <c r="I42" s="198"/>
      <c r="K42" s="200"/>
      <c r="L42" s="195">
        <f>C42</f>
        <v>4.0000000000000002E-4</v>
      </c>
      <c r="M42" s="199">
        <f>F41*C42</f>
        <v>52.379801051126243</v>
      </c>
      <c r="N42" s="200"/>
      <c r="O42" s="190"/>
    </row>
    <row r="43" spans="1:17" x14ac:dyDescent="0.25">
      <c r="A43" s="207" t="s">
        <v>108</v>
      </c>
      <c r="C43" s="195">
        <f>'WA Schedule Summaries WP'!M29</f>
        <v>6.8029999999999993E-2</v>
      </c>
      <c r="E43" s="196"/>
      <c r="F43" s="196"/>
      <c r="G43" s="206">
        <f>(C43*100000)</f>
        <v>6802.9999999999991</v>
      </c>
      <c r="H43" s="198"/>
      <c r="I43" s="198"/>
      <c r="K43" s="200"/>
      <c r="L43" s="195">
        <f>C43+$H$41</f>
        <v>0.35907</v>
      </c>
      <c r="M43" s="206">
        <f>(L43*100000)</f>
        <v>35907</v>
      </c>
      <c r="N43" s="210"/>
      <c r="O43" s="211"/>
      <c r="P43" s="208"/>
    </row>
    <row r="44" spans="1:17" x14ac:dyDescent="0.25">
      <c r="A44" s="207" t="s">
        <v>109</v>
      </c>
      <c r="C44" s="195">
        <f>'WA Schedule Summaries WP'!M30</f>
        <v>2.8819999999999998E-2</v>
      </c>
      <c r="E44" s="196"/>
      <c r="F44" s="196"/>
      <c r="G44" s="199">
        <f>+(F41-100000)*C44</f>
        <v>891.96466573364557</v>
      </c>
      <c r="H44" s="198"/>
      <c r="I44" s="198"/>
      <c r="K44" s="200"/>
      <c r="L44" s="195">
        <f t="shared" ref="L44:L46" si="1">C44+$H$41</f>
        <v>0.31986000000000003</v>
      </c>
      <c r="M44" s="199">
        <f>+(F41-100000)*L44</f>
        <v>9899.5079105330988</v>
      </c>
      <c r="N44" s="210"/>
      <c r="O44" s="212"/>
    </row>
    <row r="45" spans="1:17" x14ac:dyDescent="0.25">
      <c r="A45" s="207" t="s">
        <v>109</v>
      </c>
      <c r="C45" s="195">
        <f>'WA Schedule Summaries WP'!M31</f>
        <v>1.9989999999999997E-2</v>
      </c>
      <c r="D45" s="196"/>
      <c r="E45" s="196"/>
      <c r="F45" s="196"/>
      <c r="H45" s="198"/>
      <c r="I45" s="198"/>
      <c r="K45" s="200"/>
      <c r="L45" s="195">
        <f t="shared" si="1"/>
        <v>0.31103000000000003</v>
      </c>
      <c r="N45" s="200"/>
      <c r="O45" s="190"/>
    </row>
    <row r="46" spans="1:17" x14ac:dyDescent="0.25">
      <c r="A46" s="207" t="s">
        <v>110</v>
      </c>
      <c r="C46" s="195">
        <f>'WA Schedule Summaries WP'!M32</f>
        <v>1.281E-2</v>
      </c>
      <c r="D46" s="213"/>
      <c r="E46" s="196"/>
      <c r="F46" s="196"/>
      <c r="H46" s="198"/>
      <c r="I46" s="198"/>
      <c r="K46" s="200"/>
      <c r="L46" s="195">
        <f t="shared" si="1"/>
        <v>0.30385000000000001</v>
      </c>
      <c r="N46" s="200"/>
      <c r="O46" s="190"/>
    </row>
    <row r="47" spans="1:17" x14ac:dyDescent="0.25">
      <c r="A47" s="186" t="s">
        <v>111</v>
      </c>
      <c r="B47" s="194">
        <v>625</v>
      </c>
      <c r="C47" s="195"/>
      <c r="D47" s="196">
        <f>'Eligible Customers WP'!E57</f>
        <v>1</v>
      </c>
      <c r="E47" s="196">
        <f>'Eligible Customers WP'!F57*'Eligible Therms WP'!Q39/D47</f>
        <v>1571394.0315337875</v>
      </c>
      <c r="F47" s="196">
        <f>E47/12</f>
        <v>130949.50262781563</v>
      </c>
      <c r="G47" s="321">
        <f>B47+(C48*F47)+(C49*100000)+((F47-100000)*C50)</f>
        <v>8372.3444667847725</v>
      </c>
      <c r="H47" s="198">
        <f>'CCA Allocation'!AC25</f>
        <v>0.29104000000000002</v>
      </c>
      <c r="I47" s="199">
        <f>H47*F47</f>
        <v>38111.543244799461</v>
      </c>
      <c r="J47" s="200">
        <f>'CCA Allocation'!AC39</f>
        <v>0</v>
      </c>
      <c r="K47" s="200">
        <f>I47+J47</f>
        <v>38111.543244799461</v>
      </c>
      <c r="L47" s="200"/>
      <c r="M47" s="280">
        <f>SUM(M48:M50)+B47+J47</f>
        <v>46483.887711584233</v>
      </c>
      <c r="N47" s="200">
        <f>M47-G47</f>
        <v>38111.543244799461</v>
      </c>
      <c r="O47" s="201">
        <f>N47/G47</f>
        <v>4.5520753948906041</v>
      </c>
      <c r="P47" s="200"/>
      <c r="Q47" s="201"/>
    </row>
    <row r="48" spans="1:17" x14ac:dyDescent="0.25">
      <c r="A48" s="207" t="s">
        <v>107</v>
      </c>
      <c r="C48" s="195">
        <f>'WA Schedule Summaries WP'!M28</f>
        <v>4.0000000000000002E-4</v>
      </c>
      <c r="E48" s="196"/>
      <c r="F48" s="202"/>
      <c r="G48" s="199">
        <f>C48*F47</f>
        <v>52.379801051126258</v>
      </c>
      <c r="H48" s="198"/>
      <c r="I48" s="198"/>
      <c r="L48" s="195">
        <f>C48</f>
        <v>4.0000000000000002E-4</v>
      </c>
      <c r="M48" s="199">
        <f>F47*L48</f>
        <v>52.379801051126258</v>
      </c>
      <c r="O48" s="190"/>
    </row>
    <row r="49" spans="1:15" x14ac:dyDescent="0.25">
      <c r="A49" s="207" t="s">
        <v>108</v>
      </c>
      <c r="C49" s="195">
        <f>'WA Schedule Summaries WP'!M29</f>
        <v>6.8029999999999993E-2</v>
      </c>
      <c r="E49" s="196"/>
      <c r="F49" s="202"/>
      <c r="G49" s="206">
        <f>(C49*100000)</f>
        <v>6802.9999999999991</v>
      </c>
      <c r="H49" s="198"/>
      <c r="I49" s="198"/>
      <c r="L49" s="195">
        <f>C49+$H$41</f>
        <v>0.35907</v>
      </c>
      <c r="M49" s="200">
        <f>100000*L49</f>
        <v>35907</v>
      </c>
      <c r="O49" s="190"/>
    </row>
    <row r="50" spans="1:15" x14ac:dyDescent="0.25">
      <c r="A50" s="207" t="s">
        <v>109</v>
      </c>
      <c r="C50" s="195">
        <f>'WA Schedule Summaries WP'!M30</f>
        <v>2.8819999999999998E-2</v>
      </c>
      <c r="E50" s="196"/>
      <c r="G50" s="199">
        <f>+(F47-100000)*C50</f>
        <v>891.96466573364637</v>
      </c>
      <c r="H50" s="198"/>
      <c r="I50" s="198"/>
      <c r="L50" s="195">
        <f t="shared" ref="L50:L52" si="2">C50+$H$41</f>
        <v>0.31986000000000003</v>
      </c>
      <c r="M50" s="199">
        <f>+(F47-100000)*L50</f>
        <v>9899.5079105331079</v>
      </c>
      <c r="O50" s="190"/>
    </row>
    <row r="51" spans="1:15" x14ac:dyDescent="0.25">
      <c r="A51" s="207" t="s">
        <v>109</v>
      </c>
      <c r="C51" s="195">
        <f>'WA Schedule Summaries WP'!M31</f>
        <v>1.9989999999999997E-2</v>
      </c>
      <c r="D51" s="196"/>
      <c r="E51" s="196"/>
      <c r="H51" s="198"/>
      <c r="I51" s="198"/>
      <c r="L51" s="195">
        <f t="shared" si="2"/>
        <v>0.31103000000000003</v>
      </c>
      <c r="O51" s="190"/>
    </row>
    <row r="52" spans="1:15" x14ac:dyDescent="0.25">
      <c r="A52" s="207" t="s">
        <v>110</v>
      </c>
      <c r="C52" s="195">
        <f>'WA Schedule Summaries WP'!M32</f>
        <v>1.281E-2</v>
      </c>
      <c r="D52" s="196"/>
      <c r="E52" s="196"/>
      <c r="H52" s="198"/>
      <c r="I52" s="198"/>
      <c r="L52" s="195">
        <f t="shared" si="2"/>
        <v>0.30385000000000001</v>
      </c>
      <c r="O52" s="190"/>
    </row>
    <row r="53" spans="1:15" x14ac:dyDescent="0.25">
      <c r="C53" s="195"/>
      <c r="D53" s="196"/>
      <c r="E53" s="196"/>
      <c r="H53" s="198"/>
      <c r="I53" s="198"/>
    </row>
    <row r="55" spans="1:15" x14ac:dyDescent="0.25">
      <c r="A55" s="187" t="s">
        <v>59</v>
      </c>
      <c r="C55" s="214"/>
      <c r="D55" s="208"/>
      <c r="E55" s="208"/>
      <c r="F55" s="208"/>
      <c r="G55" s="208"/>
    </row>
    <row r="56" spans="1:15" x14ac:dyDescent="0.25">
      <c r="A56" s="187" t="s">
        <v>392</v>
      </c>
      <c r="C56" s="215"/>
      <c r="D56" s="190"/>
      <c r="E56" s="190"/>
      <c r="F56" s="190"/>
      <c r="G56" s="190"/>
    </row>
    <row r="71" spans="2:2" s="187" customFormat="1" x14ac:dyDescent="0.25">
      <c r="B71" s="216"/>
    </row>
    <row r="75" spans="2:2" s="187" customFormat="1" x14ac:dyDescent="0.25">
      <c r="B75" s="216"/>
    </row>
    <row r="76" spans="2:2" s="187" customFormat="1" x14ac:dyDescent="0.25">
      <c r="B76" s="216"/>
    </row>
    <row r="77" spans="2:2" s="187" customFormat="1" x14ac:dyDescent="0.25">
      <c r="B77" s="216"/>
    </row>
    <row r="78" spans="2:2" s="187" customFormat="1" x14ac:dyDescent="0.25">
      <c r="B78" s="216"/>
    </row>
    <row r="79" spans="2:2" s="187" customFormat="1" x14ac:dyDescent="0.25">
      <c r="B79" s="216"/>
    </row>
    <row r="80" spans="2:2" s="187" customFormat="1" x14ac:dyDescent="0.25">
      <c r="B80" s="216"/>
    </row>
    <row r="81" spans="2:2" s="187" customFormat="1" x14ac:dyDescent="0.25">
      <c r="B81" s="216"/>
    </row>
    <row r="82" spans="2:2" s="187" customFormat="1" x14ac:dyDescent="0.25">
      <c r="B82" s="216"/>
    </row>
    <row r="83" spans="2:2" s="187" customFormat="1" x14ac:dyDescent="0.25">
      <c r="B83" s="216"/>
    </row>
    <row r="84" spans="2:2" s="187" customFormat="1" x14ac:dyDescent="0.25">
      <c r="B84" s="216"/>
    </row>
    <row r="85" spans="2:2" s="187" customFormat="1" x14ac:dyDescent="0.25">
      <c r="B85" s="216"/>
    </row>
    <row r="86" spans="2:2" s="187" customFormat="1" x14ac:dyDescent="0.25">
      <c r="B86" s="216"/>
    </row>
    <row r="87" spans="2:2" s="187" customFormat="1" x14ac:dyDescent="0.25">
      <c r="B87" s="216"/>
    </row>
    <row r="88" spans="2:2" s="187" customFormat="1" x14ac:dyDescent="0.25">
      <c r="B88" s="216"/>
    </row>
    <row r="89" spans="2:2" s="187" customFormat="1" x14ac:dyDescent="0.25">
      <c r="B89" s="216"/>
    </row>
    <row r="90" spans="2:2" s="187" customFormat="1" x14ac:dyDescent="0.25">
      <c r="B90" s="216"/>
    </row>
    <row r="91" spans="2:2" s="187" customFormat="1" x14ac:dyDescent="0.25">
      <c r="B91" s="216"/>
    </row>
    <row r="92" spans="2:2" s="187" customFormat="1" x14ac:dyDescent="0.25">
      <c r="B92" s="216"/>
    </row>
    <row r="93" spans="2:2" s="187" customFormat="1" x14ac:dyDescent="0.25">
      <c r="B93" s="216"/>
    </row>
    <row r="94" spans="2:2" s="187" customFormat="1" x14ac:dyDescent="0.25">
      <c r="B94" s="216"/>
    </row>
    <row r="95" spans="2:2" s="187" customFormat="1" x14ac:dyDescent="0.25">
      <c r="B95" s="216"/>
    </row>
    <row r="96" spans="2:2" s="187" customFormat="1" x14ac:dyDescent="0.25">
      <c r="B96" s="216"/>
    </row>
    <row r="97" spans="2:2" s="187" customFormat="1" x14ac:dyDescent="0.25">
      <c r="B97" s="216"/>
    </row>
    <row r="98" spans="2:2" s="187" customFormat="1" x14ac:dyDescent="0.25">
      <c r="B98" s="216"/>
    </row>
    <row r="99" spans="2:2" s="187" customFormat="1" x14ac:dyDescent="0.25">
      <c r="B99" s="216"/>
    </row>
    <row r="100" spans="2:2" s="187" customFormat="1" x14ac:dyDescent="0.25">
      <c r="B100" s="216"/>
    </row>
    <row r="101" spans="2:2" s="187" customFormat="1" x14ac:dyDescent="0.25">
      <c r="B101" s="216"/>
    </row>
    <row r="102" spans="2:2" s="187" customFormat="1" x14ac:dyDescent="0.25">
      <c r="B102" s="216"/>
    </row>
    <row r="103" spans="2:2" s="187" customFormat="1" x14ac:dyDescent="0.25">
      <c r="B103" s="216"/>
    </row>
    <row r="104" spans="2:2" s="187" customFormat="1" x14ac:dyDescent="0.25">
      <c r="B104" s="216"/>
    </row>
    <row r="105" spans="2:2" s="187" customFormat="1" x14ac:dyDescent="0.25">
      <c r="B105" s="216"/>
    </row>
    <row r="106" spans="2:2" s="187" customFormat="1" x14ac:dyDescent="0.25">
      <c r="B106" s="216"/>
    </row>
    <row r="107" spans="2:2" s="187" customFormat="1" x14ac:dyDescent="0.25">
      <c r="B107" s="216"/>
    </row>
    <row r="108" spans="2:2" s="187" customFormat="1" x14ac:dyDescent="0.25">
      <c r="B108" s="216"/>
    </row>
    <row r="109" spans="2:2" s="187" customFormat="1" x14ac:dyDescent="0.25">
      <c r="B109" s="216"/>
    </row>
    <row r="110" spans="2:2" s="187" customFormat="1" x14ac:dyDescent="0.25">
      <c r="B110" s="216"/>
    </row>
    <row r="111" spans="2:2" s="187" customFormat="1" x14ac:dyDescent="0.25">
      <c r="B111" s="216"/>
    </row>
    <row r="112" spans="2:2" s="187" customFormat="1" x14ac:dyDescent="0.25">
      <c r="B112" s="216"/>
    </row>
    <row r="113" spans="2:2" s="187" customFormat="1" x14ac:dyDescent="0.25">
      <c r="B113" s="216"/>
    </row>
    <row r="114" spans="2:2" s="187" customFormat="1" x14ac:dyDescent="0.25">
      <c r="B114" s="216"/>
    </row>
    <row r="115" spans="2:2" s="187" customFormat="1" x14ac:dyDescent="0.25">
      <c r="B115" s="216"/>
    </row>
    <row r="116" spans="2:2" s="187" customFormat="1" x14ac:dyDescent="0.25">
      <c r="B116" s="216"/>
    </row>
    <row r="117" spans="2:2" s="187" customFormat="1" x14ac:dyDescent="0.25">
      <c r="B117" s="216"/>
    </row>
    <row r="118" spans="2:2" s="187" customFormat="1" x14ac:dyDescent="0.25">
      <c r="B118" s="216"/>
    </row>
    <row r="119" spans="2:2" s="187" customFormat="1" x14ac:dyDescent="0.25">
      <c r="B119" s="216"/>
    </row>
    <row r="120" spans="2:2" s="187" customFormat="1" x14ac:dyDescent="0.25">
      <c r="B120" s="216"/>
    </row>
    <row r="121" spans="2:2" s="187" customFormat="1" x14ac:dyDescent="0.25">
      <c r="B121" s="216"/>
    </row>
    <row r="122" spans="2:2" s="187" customFormat="1" x14ac:dyDescent="0.25">
      <c r="B122" s="216"/>
    </row>
    <row r="123" spans="2:2" s="187" customFormat="1" x14ac:dyDescent="0.25">
      <c r="B123" s="216"/>
    </row>
    <row r="124" spans="2:2" s="187" customFormat="1" x14ac:dyDescent="0.25">
      <c r="B124" s="216"/>
    </row>
    <row r="125" spans="2:2" s="187" customFormat="1" x14ac:dyDescent="0.25">
      <c r="B125" s="216"/>
    </row>
    <row r="126" spans="2:2" s="187" customFormat="1" x14ac:dyDescent="0.25">
      <c r="B126" s="216"/>
    </row>
    <row r="127" spans="2:2" s="187" customFormat="1" x14ac:dyDescent="0.25">
      <c r="B127" s="216"/>
    </row>
    <row r="128" spans="2:2" s="187" customFormat="1" x14ac:dyDescent="0.25">
      <c r="B128" s="216"/>
    </row>
    <row r="129" spans="2:2" s="187" customFormat="1" x14ac:dyDescent="0.25">
      <c r="B129" s="216"/>
    </row>
    <row r="130" spans="2:2" s="187" customFormat="1" x14ac:dyDescent="0.25">
      <c r="B130" s="216"/>
    </row>
    <row r="131" spans="2:2" s="187" customFormat="1" x14ac:dyDescent="0.25">
      <c r="B131" s="216"/>
    </row>
    <row r="132" spans="2:2" s="187" customFormat="1" x14ac:dyDescent="0.25">
      <c r="B132" s="216"/>
    </row>
    <row r="133" spans="2:2" s="187" customFormat="1" x14ac:dyDescent="0.25">
      <c r="B133" s="216"/>
    </row>
    <row r="134" spans="2:2" s="187" customFormat="1" x14ac:dyDescent="0.25">
      <c r="B134" s="216"/>
    </row>
    <row r="135" spans="2:2" s="187" customFormat="1" x14ac:dyDescent="0.25">
      <c r="B135" s="216"/>
    </row>
    <row r="136" spans="2:2" s="187" customFormat="1" x14ac:dyDescent="0.25">
      <c r="B136" s="216"/>
    </row>
    <row r="137" spans="2:2" s="187" customFormat="1" x14ac:dyDescent="0.25">
      <c r="B137" s="216"/>
    </row>
    <row r="138" spans="2:2" s="187" customFormat="1" x14ac:dyDescent="0.25">
      <c r="B138" s="216"/>
    </row>
    <row r="139" spans="2:2" s="187" customFormat="1" x14ac:dyDescent="0.25">
      <c r="B139" s="216"/>
    </row>
    <row r="140" spans="2:2" s="187" customFormat="1" x14ac:dyDescent="0.25">
      <c r="B140" s="216"/>
    </row>
    <row r="141" spans="2:2" s="187" customFormat="1" x14ac:dyDescent="0.25">
      <c r="B141" s="216"/>
    </row>
    <row r="142" spans="2:2" s="187" customFormat="1" x14ac:dyDescent="0.25">
      <c r="B142" s="216"/>
    </row>
    <row r="143" spans="2:2" s="187" customFormat="1" x14ac:dyDescent="0.25">
      <c r="B143" s="216"/>
    </row>
    <row r="144" spans="2:2" s="187" customFormat="1" x14ac:dyDescent="0.25">
      <c r="B144" s="216"/>
    </row>
    <row r="145" spans="2:2" s="187" customFormat="1" x14ac:dyDescent="0.25">
      <c r="B145" s="216"/>
    </row>
    <row r="146" spans="2:2" s="187" customFormat="1" x14ac:dyDescent="0.25">
      <c r="B146" s="216"/>
    </row>
    <row r="147" spans="2:2" s="187" customFormat="1" x14ac:dyDescent="0.25">
      <c r="B147" s="216"/>
    </row>
    <row r="148" spans="2:2" s="187" customFormat="1" x14ac:dyDescent="0.25">
      <c r="B148" s="216"/>
    </row>
    <row r="149" spans="2:2" s="187" customFormat="1" x14ac:dyDescent="0.25">
      <c r="B149" s="216"/>
    </row>
    <row r="150" spans="2:2" s="187" customFormat="1" x14ac:dyDescent="0.25">
      <c r="B150" s="216"/>
    </row>
    <row r="151" spans="2:2" s="187" customFormat="1" x14ac:dyDescent="0.25">
      <c r="B151" s="216"/>
    </row>
    <row r="152" spans="2:2" s="187" customFormat="1" x14ac:dyDescent="0.25">
      <c r="B152" s="216"/>
    </row>
    <row r="153" spans="2:2" s="187" customFormat="1" x14ac:dyDescent="0.25">
      <c r="B153" s="216"/>
    </row>
    <row r="154" spans="2:2" s="187" customFormat="1" x14ac:dyDescent="0.25">
      <c r="B154" s="216"/>
    </row>
    <row r="155" spans="2:2" s="187" customFormat="1" x14ac:dyDescent="0.25">
      <c r="B155" s="216"/>
    </row>
    <row r="156" spans="2:2" s="187" customFormat="1" x14ac:dyDescent="0.25">
      <c r="B156" s="216"/>
    </row>
    <row r="157" spans="2:2" s="187" customFormat="1" x14ac:dyDescent="0.25">
      <c r="B157" s="216"/>
    </row>
    <row r="158" spans="2:2" s="187" customFormat="1" x14ac:dyDescent="0.25">
      <c r="B158" s="216"/>
    </row>
    <row r="159" spans="2:2" s="187" customFormat="1" x14ac:dyDescent="0.25">
      <c r="B159" s="216"/>
    </row>
    <row r="160" spans="2:2" s="187" customFormat="1" x14ac:dyDescent="0.25">
      <c r="B160" s="216"/>
    </row>
    <row r="161" spans="2:2" s="187" customFormat="1" x14ac:dyDescent="0.25">
      <c r="B161" s="216"/>
    </row>
    <row r="162" spans="2:2" s="187" customFormat="1" x14ac:dyDescent="0.25">
      <c r="B162" s="216"/>
    </row>
    <row r="163" spans="2:2" s="187" customFormat="1" x14ac:dyDescent="0.25">
      <c r="B163" s="216"/>
    </row>
    <row r="164" spans="2:2" s="187" customFormat="1" x14ac:dyDescent="0.25">
      <c r="B164" s="216"/>
    </row>
    <row r="165" spans="2:2" s="187" customFormat="1" x14ac:dyDescent="0.25">
      <c r="B165" s="216"/>
    </row>
    <row r="166" spans="2:2" s="187" customFormat="1" x14ac:dyDescent="0.25">
      <c r="B166" s="216"/>
    </row>
    <row r="167" spans="2:2" s="187" customFormat="1" x14ac:dyDescent="0.25">
      <c r="B167" s="216"/>
    </row>
    <row r="168" spans="2:2" s="187" customFormat="1" x14ac:dyDescent="0.25">
      <c r="B168" s="216"/>
    </row>
    <row r="169" spans="2:2" s="187" customFormat="1" x14ac:dyDescent="0.25">
      <c r="B169" s="216"/>
    </row>
    <row r="170" spans="2:2" s="187" customFormat="1" x14ac:dyDescent="0.25">
      <c r="B170" s="216"/>
    </row>
    <row r="171" spans="2:2" s="187" customFormat="1" x14ac:dyDescent="0.25">
      <c r="B171" s="216"/>
    </row>
    <row r="172" spans="2:2" s="187" customFormat="1" x14ac:dyDescent="0.25">
      <c r="B172" s="216"/>
    </row>
    <row r="173" spans="2:2" s="187" customFormat="1" x14ac:dyDescent="0.25">
      <c r="B173" s="216"/>
    </row>
    <row r="174" spans="2:2" s="187" customFormat="1" x14ac:dyDescent="0.25">
      <c r="B174" s="216"/>
    </row>
    <row r="175" spans="2:2" s="187" customFormat="1" x14ac:dyDescent="0.25">
      <c r="B175" s="216"/>
    </row>
    <row r="176" spans="2:2" s="187" customFormat="1" x14ac:dyDescent="0.25">
      <c r="B176" s="216"/>
    </row>
    <row r="177" spans="2:2" s="187" customFormat="1" x14ac:dyDescent="0.25">
      <c r="B177" s="216"/>
    </row>
    <row r="178" spans="2:2" s="187" customFormat="1" x14ac:dyDescent="0.25">
      <c r="B178" s="216"/>
    </row>
    <row r="179" spans="2:2" s="187" customFormat="1" x14ac:dyDescent="0.25">
      <c r="B179" s="216"/>
    </row>
    <row r="180" spans="2:2" s="187" customFormat="1" x14ac:dyDescent="0.25">
      <c r="B180" s="216"/>
    </row>
    <row r="181" spans="2:2" s="187" customFormat="1" x14ac:dyDescent="0.25">
      <c r="B181" s="216"/>
    </row>
    <row r="182" spans="2:2" s="187" customFormat="1" x14ac:dyDescent="0.25">
      <c r="B182" s="216"/>
    </row>
    <row r="183" spans="2:2" s="187" customFormat="1" x14ac:dyDescent="0.25">
      <c r="B183" s="216"/>
    </row>
    <row r="184" spans="2:2" s="187" customFormat="1" x14ac:dyDescent="0.25">
      <c r="B184" s="216"/>
    </row>
    <row r="185" spans="2:2" s="187" customFormat="1" x14ac:dyDescent="0.25">
      <c r="B185" s="216"/>
    </row>
    <row r="186" spans="2:2" s="187" customFormat="1" x14ac:dyDescent="0.25">
      <c r="B186" s="216"/>
    </row>
    <row r="187" spans="2:2" s="187" customFormat="1" x14ac:dyDescent="0.25">
      <c r="B187" s="216"/>
    </row>
    <row r="188" spans="2:2" s="187" customFormat="1" x14ac:dyDescent="0.25">
      <c r="B188" s="216"/>
    </row>
    <row r="189" spans="2:2" s="187" customFormat="1" x14ac:dyDescent="0.25">
      <c r="B189" s="216"/>
    </row>
    <row r="190" spans="2:2" s="187" customFormat="1" x14ac:dyDescent="0.25">
      <c r="B190" s="216"/>
    </row>
    <row r="191" spans="2:2" s="187" customFormat="1" x14ac:dyDescent="0.25">
      <c r="B191" s="216"/>
    </row>
    <row r="192" spans="2:2" s="187" customFormat="1" x14ac:dyDescent="0.25">
      <c r="B192" s="216"/>
    </row>
    <row r="193" spans="2:2" s="187" customFormat="1" x14ac:dyDescent="0.25">
      <c r="B193" s="216"/>
    </row>
    <row r="194" spans="2:2" s="187" customFormat="1" x14ac:dyDescent="0.25">
      <c r="B194" s="216"/>
    </row>
    <row r="195" spans="2:2" s="187" customFormat="1" x14ac:dyDescent="0.25">
      <c r="B195" s="216"/>
    </row>
    <row r="196" spans="2:2" s="187" customFormat="1" x14ac:dyDescent="0.25">
      <c r="B196" s="216"/>
    </row>
    <row r="197" spans="2:2" s="187" customFormat="1" x14ac:dyDescent="0.25">
      <c r="B197" s="216"/>
    </row>
    <row r="198" spans="2:2" s="187" customFormat="1" x14ac:dyDescent="0.25">
      <c r="B198" s="216"/>
    </row>
    <row r="199" spans="2:2" s="187" customFormat="1" x14ac:dyDescent="0.25">
      <c r="B199" s="216"/>
    </row>
    <row r="200" spans="2:2" s="187" customFormat="1" x14ac:dyDescent="0.25">
      <c r="B200" s="216"/>
    </row>
    <row r="201" spans="2:2" s="187" customFormat="1" x14ac:dyDescent="0.25">
      <c r="B201" s="216"/>
    </row>
  </sheetData>
  <pageMargins left="0.7" right="0.7" top="0.75" bottom="0.75" header="0.3" footer="0.3"/>
  <pageSetup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89D73-F01B-4AFD-B522-746DB37E7FD7}">
  <sheetPr codeName="Sheet19"/>
  <dimension ref="A1:G35"/>
  <sheetViews>
    <sheetView zoomScaleNormal="100" workbookViewId="0">
      <selection activeCell="I28" sqref="I28"/>
    </sheetView>
  </sheetViews>
  <sheetFormatPr defaultColWidth="9.140625" defaultRowHeight="15" x14ac:dyDescent="0.25"/>
  <cols>
    <col min="1" max="1" width="5" style="217" customWidth="1"/>
    <col min="2" max="2" width="37.140625" style="217" bestFit="1" customWidth="1"/>
    <col min="3" max="3" width="12.7109375" style="233" customWidth="1"/>
    <col min="4" max="5" width="9.140625" style="217"/>
    <col min="6" max="6" width="10.42578125" style="217" bestFit="1" customWidth="1"/>
    <col min="7" max="16384" width="9.140625" style="217"/>
  </cols>
  <sheetData>
    <row r="1" spans="1:7" x14ac:dyDescent="0.25">
      <c r="A1" s="457" t="s">
        <v>377</v>
      </c>
      <c r="B1" s="457"/>
      <c r="C1" s="457"/>
      <c r="D1" s="156"/>
    </row>
    <row r="2" spans="1:7" x14ac:dyDescent="0.25">
      <c r="A2" s="457" t="s">
        <v>378</v>
      </c>
      <c r="B2" s="457"/>
      <c r="C2" s="457"/>
      <c r="D2" s="156"/>
    </row>
    <row r="3" spans="1:7" x14ac:dyDescent="0.25">
      <c r="A3" s="458" t="s">
        <v>379</v>
      </c>
      <c r="B3" s="458"/>
      <c r="C3" s="458"/>
      <c r="D3" s="156"/>
    </row>
    <row r="4" spans="1:7" x14ac:dyDescent="0.25">
      <c r="A4" s="459" t="s">
        <v>186</v>
      </c>
      <c r="B4" s="459"/>
      <c r="C4" s="459"/>
    </row>
    <row r="5" spans="1:7" x14ac:dyDescent="0.25">
      <c r="A5" s="459" t="s">
        <v>187</v>
      </c>
      <c r="B5" s="459"/>
      <c r="C5" s="459"/>
    </row>
    <row r="6" spans="1:7" ht="30" x14ac:dyDescent="0.25">
      <c r="A6" s="218" t="s">
        <v>188</v>
      </c>
      <c r="B6" s="219" t="s">
        <v>31</v>
      </c>
      <c r="C6" s="220" t="s">
        <v>189</v>
      </c>
      <c r="F6" s="221"/>
      <c r="G6" s="221"/>
    </row>
    <row r="7" spans="1:7" x14ac:dyDescent="0.25">
      <c r="A7" s="222"/>
      <c r="B7" s="222" t="s">
        <v>190</v>
      </c>
      <c r="C7" s="223" t="s">
        <v>191</v>
      </c>
      <c r="F7" s="221"/>
      <c r="G7" s="221"/>
    </row>
    <row r="8" spans="1:7" x14ac:dyDescent="0.25">
      <c r="A8" s="224">
        <v>1</v>
      </c>
      <c r="B8" s="225" t="s">
        <v>192</v>
      </c>
      <c r="C8" s="226">
        <v>1</v>
      </c>
      <c r="F8" s="226"/>
      <c r="G8" s="221"/>
    </row>
    <row r="9" spans="1:7" x14ac:dyDescent="0.25">
      <c r="A9" s="227">
        <v>2</v>
      </c>
      <c r="B9" s="228" t="s">
        <v>193</v>
      </c>
      <c r="C9" s="226"/>
      <c r="F9" s="226"/>
      <c r="G9" s="221"/>
    </row>
    <row r="10" spans="1:7" x14ac:dyDescent="0.25">
      <c r="A10" s="227">
        <v>3</v>
      </c>
      <c r="B10" s="229" t="s">
        <v>194</v>
      </c>
      <c r="C10" s="230">
        <v>3.7063772642062019E-3</v>
      </c>
      <c r="F10" s="230"/>
      <c r="G10" s="221"/>
    </row>
    <row r="11" spans="1:7" x14ac:dyDescent="0.25">
      <c r="A11" s="231">
        <v>4</v>
      </c>
      <c r="B11" s="229" t="s">
        <v>195</v>
      </c>
      <c r="C11" s="232">
        <v>3.8519999999999999E-2</v>
      </c>
      <c r="F11" s="232"/>
      <c r="G11" s="221"/>
    </row>
    <row r="12" spans="1:7" x14ac:dyDescent="0.25">
      <c r="A12" s="227">
        <v>5</v>
      </c>
      <c r="B12" s="229" t="s">
        <v>196</v>
      </c>
      <c r="C12" s="232">
        <v>2E-3</v>
      </c>
      <c r="D12" s="233">
        <f>SUM(C10:C12)</f>
        <v>4.4226377264206203E-2</v>
      </c>
      <c r="F12" s="232"/>
      <c r="G12" s="221"/>
    </row>
    <row r="13" spans="1:7" x14ac:dyDescent="0.25">
      <c r="A13" s="227">
        <v>6</v>
      </c>
      <c r="B13" s="229" t="s">
        <v>197</v>
      </c>
      <c r="C13" s="234"/>
      <c r="F13" s="226"/>
      <c r="G13" s="221"/>
    </row>
    <row r="14" spans="1:7" x14ac:dyDescent="0.25">
      <c r="A14" s="224">
        <v>7</v>
      </c>
      <c r="B14" s="235" t="s">
        <v>198</v>
      </c>
      <c r="C14" s="226">
        <f>+C8-SUM(C10:C13)</f>
        <v>0.9557736227357938</v>
      </c>
      <c r="F14" s="226"/>
      <c r="G14" s="221"/>
    </row>
    <row r="15" spans="1:7" x14ac:dyDescent="0.25">
      <c r="A15" s="227">
        <v>8</v>
      </c>
      <c r="B15" s="236"/>
      <c r="C15" s="226"/>
      <c r="F15" s="226"/>
      <c r="G15" s="221"/>
    </row>
    <row r="16" spans="1:7" x14ac:dyDescent="0.25">
      <c r="A16" s="227">
        <v>9</v>
      </c>
      <c r="B16" s="228" t="s">
        <v>199</v>
      </c>
      <c r="C16" s="226">
        <f>C14*C30</f>
        <v>0</v>
      </c>
      <c r="F16" s="226"/>
      <c r="G16" s="221"/>
    </row>
    <row r="17" spans="1:7" x14ac:dyDescent="0.25">
      <c r="A17" s="224">
        <v>10</v>
      </c>
      <c r="B17" s="237"/>
      <c r="C17" s="226"/>
      <c r="F17" s="226"/>
      <c r="G17" s="221"/>
    </row>
    <row r="18" spans="1:7" x14ac:dyDescent="0.25">
      <c r="A18" s="227">
        <v>11</v>
      </c>
      <c r="B18" s="237" t="s">
        <v>200</v>
      </c>
      <c r="C18" s="226">
        <f>+C14-C16</f>
        <v>0.9557736227357938</v>
      </c>
      <c r="F18" s="226"/>
      <c r="G18" s="221"/>
    </row>
    <row r="19" spans="1:7" x14ac:dyDescent="0.25">
      <c r="A19" s="227">
        <v>12</v>
      </c>
      <c r="B19" s="237"/>
      <c r="C19" s="226"/>
      <c r="F19" s="226"/>
      <c r="G19" s="221"/>
    </row>
    <row r="20" spans="1:7" x14ac:dyDescent="0.25">
      <c r="A20" s="224">
        <v>13</v>
      </c>
      <c r="B20" s="237" t="str">
        <f>"Federal Income Tax @ "&amp;C31*100&amp;"%"</f>
        <v>Federal Income Tax @ 21%</v>
      </c>
      <c r="C20" s="226">
        <f>+C18*C31</f>
        <v>0.20071246077451668</v>
      </c>
      <c r="F20" s="226"/>
      <c r="G20" s="221"/>
    </row>
    <row r="21" spans="1:7" x14ac:dyDescent="0.25">
      <c r="A21" s="227">
        <v>14</v>
      </c>
      <c r="B21" s="237"/>
      <c r="C21" s="226"/>
      <c r="F21" s="226"/>
      <c r="G21" s="221"/>
    </row>
    <row r="22" spans="1:7" x14ac:dyDescent="0.25">
      <c r="A22" s="227">
        <v>15</v>
      </c>
      <c r="B22" s="237" t="s">
        <v>201</v>
      </c>
      <c r="C22" s="226">
        <f>+C16+C20</f>
        <v>0.20071246077451668</v>
      </c>
      <c r="F22" s="226"/>
      <c r="G22" s="221"/>
    </row>
    <row r="23" spans="1:7" x14ac:dyDescent="0.25">
      <c r="A23" s="224">
        <v>16</v>
      </c>
      <c r="B23" s="237"/>
      <c r="C23" s="226"/>
      <c r="F23" s="226"/>
      <c r="G23" s="221"/>
    </row>
    <row r="24" spans="1:7" x14ac:dyDescent="0.25">
      <c r="A24" s="227">
        <v>17</v>
      </c>
      <c r="B24" s="237" t="s">
        <v>202</v>
      </c>
      <c r="C24" s="226">
        <f>SUM(C10:C13)+C22</f>
        <v>0.24493883803872288</v>
      </c>
      <c r="F24" s="226"/>
      <c r="G24" s="221"/>
    </row>
    <row r="25" spans="1:7" x14ac:dyDescent="0.25">
      <c r="A25" s="227">
        <v>18</v>
      </c>
      <c r="B25" s="237"/>
      <c r="C25" s="226"/>
      <c r="F25" s="238"/>
      <c r="G25" s="221"/>
    </row>
    <row r="26" spans="1:7" x14ac:dyDescent="0.25">
      <c r="A26" s="224">
        <v>19</v>
      </c>
      <c r="B26" s="237" t="s">
        <v>203</v>
      </c>
      <c r="C26" s="239">
        <f>+C8-C24</f>
        <v>0.75506116196127715</v>
      </c>
      <c r="F26" s="240"/>
      <c r="G26" s="221"/>
    </row>
    <row r="27" spans="1:7" x14ac:dyDescent="0.25">
      <c r="A27" s="227">
        <v>20</v>
      </c>
      <c r="B27" s="225"/>
      <c r="C27" s="226"/>
    </row>
    <row r="28" spans="1:7" x14ac:dyDescent="0.25">
      <c r="A28" s="227">
        <v>21</v>
      </c>
      <c r="B28" s="225"/>
      <c r="C28" s="226"/>
    </row>
    <row r="29" spans="1:7" x14ac:dyDescent="0.25">
      <c r="A29" s="224">
        <v>22</v>
      </c>
      <c r="B29" s="241" t="s">
        <v>204</v>
      </c>
      <c r="C29" s="242"/>
    </row>
    <row r="30" spans="1:7" x14ac:dyDescent="0.25">
      <c r="A30" s="227">
        <v>23</v>
      </c>
      <c r="B30" s="243" t="s">
        <v>205</v>
      </c>
      <c r="C30" s="244">
        <v>0</v>
      </c>
    </row>
    <row r="31" spans="1:7" x14ac:dyDescent="0.25">
      <c r="A31" s="227">
        <v>24</v>
      </c>
      <c r="B31" s="243" t="s">
        <v>206</v>
      </c>
      <c r="C31" s="244">
        <v>0.21</v>
      </c>
    </row>
    <row r="32" spans="1:7" x14ac:dyDescent="0.25">
      <c r="A32" s="224">
        <v>25</v>
      </c>
      <c r="B32" s="245"/>
      <c r="C32" s="245"/>
    </row>
    <row r="33" spans="1:3" x14ac:dyDescent="0.25">
      <c r="A33" s="227">
        <v>26</v>
      </c>
      <c r="B33" s="243" t="s">
        <v>207</v>
      </c>
      <c r="C33" s="242">
        <f>ROUND(((1-C30)*C31)+C30,5)</f>
        <v>0.21</v>
      </c>
    </row>
    <row r="35" spans="1:3" x14ac:dyDescent="0.25">
      <c r="B35" s="243" t="s">
        <v>208</v>
      </c>
      <c r="C35" s="246">
        <f>1/(1-D12)</f>
        <v>1.0462728581456489</v>
      </c>
    </row>
  </sheetData>
  <mergeCells count="5">
    <mergeCell ref="A1:C1"/>
    <mergeCell ref="A2:C2"/>
    <mergeCell ref="A3:C3"/>
    <mergeCell ref="A4:C4"/>
    <mergeCell ref="A5:C5"/>
  </mergeCells>
  <printOptions horizontalCentered="1"/>
  <pageMargins left="0.7" right="0.7" top="1.25" bottom="0.75" header="0.3" footer="0.3"/>
  <pageSetup orientation="portrait" r:id="rId1"/>
  <headerFooter scaleWithDoc="0" alignWithMargins="0">
    <oddHeader>&amp;RExh. MCG-4
 Page &amp;P of &amp;N
Docket UG-210755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B4BA6-ED5E-425A-8061-11B9D2F4549C}">
  <sheetPr codeName="Sheet12"/>
  <dimension ref="A1:L71"/>
  <sheetViews>
    <sheetView workbookViewId="0">
      <selection activeCell="D55" sqref="D55"/>
    </sheetView>
  </sheetViews>
  <sheetFormatPr defaultRowHeight="15" x14ac:dyDescent="0.25"/>
  <cols>
    <col min="1" max="1" width="9.140625" style="155"/>
    <col min="2" max="2" width="13.85546875" style="155" customWidth="1"/>
    <col min="3" max="3" width="18.7109375" style="155" customWidth="1"/>
    <col min="4" max="4" width="14.140625" style="155" customWidth="1"/>
    <col min="5" max="5" width="32.140625" style="155" bestFit="1" customWidth="1"/>
    <col min="6" max="7" width="19.7109375" style="155" bestFit="1" customWidth="1"/>
    <col min="8" max="9" width="9.140625" style="155"/>
    <col min="10" max="10" width="16" style="155" bestFit="1" customWidth="1"/>
    <col min="11" max="16384" width="9.140625" style="155"/>
  </cols>
  <sheetData>
    <row r="1" spans="1:12" x14ac:dyDescent="0.25">
      <c r="A1" s="155" t="s">
        <v>0</v>
      </c>
    </row>
    <row r="2" spans="1:12" x14ac:dyDescent="0.25">
      <c r="A2" s="325" t="s">
        <v>403</v>
      </c>
    </row>
    <row r="3" spans="1:12" x14ac:dyDescent="0.25">
      <c r="A3" s="155" t="s">
        <v>2</v>
      </c>
    </row>
    <row r="5" spans="1:12" ht="15.75" thickBot="1" x14ac:dyDescent="0.3">
      <c r="A5" s="460" t="s">
        <v>209</v>
      </c>
      <c r="B5" s="460"/>
      <c r="C5" s="460"/>
      <c r="D5" s="460"/>
      <c r="E5" s="460"/>
      <c r="F5" s="257"/>
      <c r="G5" s="257"/>
      <c r="H5" s="257"/>
      <c r="I5" s="258"/>
      <c r="J5" s="258"/>
      <c r="K5" s="258"/>
      <c r="L5" s="258"/>
    </row>
    <row r="6" spans="1:12" ht="30.75" thickBot="1" x14ac:dyDescent="0.3">
      <c r="A6" s="259" t="s">
        <v>210</v>
      </c>
      <c r="B6" s="248" t="s">
        <v>80</v>
      </c>
      <c r="C6" s="248" t="s">
        <v>211</v>
      </c>
      <c r="D6" s="248" t="s">
        <v>6</v>
      </c>
      <c r="E6" s="248" t="s">
        <v>212</v>
      </c>
    </row>
    <row r="7" spans="1:12" x14ac:dyDescent="0.25">
      <c r="B7" s="160"/>
      <c r="C7" s="160"/>
      <c r="D7" s="260">
        <v>4.5900000000000003E-2</v>
      </c>
      <c r="E7" s="261">
        <v>31916797.561612014</v>
      </c>
      <c r="F7" s="172"/>
      <c r="G7" s="172"/>
    </row>
    <row r="8" spans="1:12" x14ac:dyDescent="0.25">
      <c r="A8" s="155" t="s">
        <v>117</v>
      </c>
      <c r="B8" s="262" cm="1">
        <f t="array" ref="B8">INDEX('Eligible Customers WP'!$E$8:$N$8,COLUMN(A1),ROW(C1))</f>
        <v>204806</v>
      </c>
      <c r="C8" s="169">
        <f t="shared" ref="C8:C17" si="0">-(B8/$B$19)*$E$7</f>
        <v>-3161134.3382757502</v>
      </c>
      <c r="D8" s="169">
        <f>ROUND((E7+(C8/2))*$D$7/12,2)</f>
        <v>116036.08</v>
      </c>
      <c r="E8" s="169">
        <f>E7+C8+D8</f>
        <v>28871699.303336263</v>
      </c>
    </row>
    <row r="9" spans="1:12" x14ac:dyDescent="0.25">
      <c r="A9" s="155" t="s">
        <v>118</v>
      </c>
      <c r="B9" s="262" cm="1">
        <f t="array" ref="B9">INDEX('Eligible Customers WP'!$E$8:$N$8,COLUMN(A2),ROW(C2))</f>
        <v>204845</v>
      </c>
      <c r="C9" s="169">
        <f t="shared" si="0"/>
        <v>-3161736.2944644983</v>
      </c>
      <c r="D9" s="169">
        <f>ROUND((E8+(C9/2))*$D$7/12,2)</f>
        <v>104387.43</v>
      </c>
      <c r="E9" s="169">
        <f t="shared" ref="E9:E17" si="1">E8+C9+D9</f>
        <v>25814350.438871764</v>
      </c>
    </row>
    <row r="10" spans="1:12" x14ac:dyDescent="0.25">
      <c r="A10" s="155" t="s">
        <v>119</v>
      </c>
      <c r="B10" s="262" cm="1">
        <f t="array" ref="B10">INDEX('Eligible Customers WP'!$E$8:$N$8,COLUMN(A3),ROW(C3))</f>
        <v>205168</v>
      </c>
      <c r="C10" s="169">
        <f t="shared" si="0"/>
        <v>-3166721.7264892589</v>
      </c>
      <c r="D10" s="169">
        <f>ROUND((E9+(C10/2))*$D$7/12,2)</f>
        <v>92683.54</v>
      </c>
      <c r="E10" s="169">
        <f t="shared" si="1"/>
        <v>22740312.252382502</v>
      </c>
    </row>
    <row r="11" spans="1:12" x14ac:dyDescent="0.25">
      <c r="A11" s="155" t="s">
        <v>120</v>
      </c>
      <c r="B11" s="262" cm="1">
        <f t="array" ref="B11">INDEX('Eligible Customers WP'!$E$8:$N$8,COLUMN(A4),ROW(C4))</f>
        <v>205913</v>
      </c>
      <c r="C11" s="169">
        <f t="shared" si="0"/>
        <v>-3178220.6331717554</v>
      </c>
      <c r="D11" s="169">
        <f t="shared" ref="D11:D17" si="2">ROUND((E10+(C11/2))*$D$7/12,2)</f>
        <v>80903.350000000006</v>
      </c>
      <c r="E11" s="169">
        <f t="shared" si="1"/>
        <v>19642994.969210748</v>
      </c>
    </row>
    <row r="12" spans="1:12" x14ac:dyDescent="0.25">
      <c r="A12" s="155" t="s">
        <v>121</v>
      </c>
      <c r="B12" s="262" cm="1">
        <f t="array" ref="B12">INDEX('Eligible Customers WP'!$E$8:$N$8,COLUMN(A5),ROW(C5))</f>
        <v>206735</v>
      </c>
      <c r="C12" s="169">
        <f t="shared" si="0"/>
        <v>-3190908.017457678</v>
      </c>
      <c r="D12" s="169">
        <f t="shared" si="2"/>
        <v>69031.839999999997</v>
      </c>
      <c r="E12" s="169">
        <f t="shared" si="1"/>
        <v>16521118.791753069</v>
      </c>
    </row>
    <row r="13" spans="1:12" x14ac:dyDescent="0.25">
      <c r="A13" s="155" t="s">
        <v>122</v>
      </c>
      <c r="B13" s="262" cm="1">
        <f t="array" ref="B13">INDEX('Eligible Customers WP'!$E$8:$N$8,COLUMN(A6),ROW(C6))</f>
        <v>207441</v>
      </c>
      <c r="C13" s="169">
        <f t="shared" si="0"/>
        <v>-3201804.9679514267</v>
      </c>
      <c r="D13" s="169">
        <f t="shared" si="2"/>
        <v>57069.83</v>
      </c>
      <c r="E13" s="169">
        <f t="shared" si="1"/>
        <v>13376383.653801642</v>
      </c>
    </row>
    <row r="14" spans="1:12" x14ac:dyDescent="0.25">
      <c r="A14" s="155" t="s">
        <v>123</v>
      </c>
      <c r="B14" s="262" cm="1">
        <f t="array" ref="B14">INDEX('Eligible Customers WP'!$E$8:$N$8,COLUMN(A7),ROW(C7))</f>
        <v>207827</v>
      </c>
      <c r="C14" s="169">
        <f t="shared" si="0"/>
        <v>-3207762.7907426264</v>
      </c>
      <c r="D14" s="169">
        <f t="shared" si="2"/>
        <v>45029.82</v>
      </c>
      <c r="E14" s="169">
        <f t="shared" si="1"/>
        <v>10213650.683059016</v>
      </c>
    </row>
    <row r="15" spans="1:12" x14ac:dyDescent="0.25">
      <c r="A15" s="155" t="s">
        <v>124</v>
      </c>
      <c r="B15" s="262" cm="1">
        <f t="array" ref="B15">INDEX('Eligible Customers WP'!$E$8:$N$8,COLUMN(A8),ROW(C8))</f>
        <v>208174</v>
      </c>
      <c r="C15" s="169">
        <f t="shared" si="0"/>
        <v>-3213118.657345078</v>
      </c>
      <c r="D15" s="169">
        <f t="shared" si="2"/>
        <v>32922.120000000003</v>
      </c>
      <c r="E15" s="169">
        <f t="shared" si="1"/>
        <v>7033454.1457139384</v>
      </c>
    </row>
    <row r="16" spans="1:12" x14ac:dyDescent="0.25">
      <c r="A16" s="263" t="s">
        <v>125</v>
      </c>
      <c r="B16" s="262" cm="1">
        <f t="array" ref="B16">INDEX('Eligible Customers WP'!$E$8:$N$8,COLUMN(A9),ROW(C9))</f>
        <v>208439</v>
      </c>
      <c r="C16" s="169">
        <f t="shared" si="0"/>
        <v>-3217208.8724737512</v>
      </c>
      <c r="D16" s="169">
        <f t="shared" si="2"/>
        <v>20750.05</v>
      </c>
      <c r="E16" s="169">
        <f t="shared" si="1"/>
        <v>3836995.323240187</v>
      </c>
    </row>
    <row r="17" spans="1:5" x14ac:dyDescent="0.25">
      <c r="A17" s="155" t="s">
        <v>126</v>
      </c>
      <c r="B17" s="262" cm="1">
        <f t="array" ref="B17">INDEX('Eligible Customers WP'!$E$8:$N$8,COLUMN(A10),ROW(C10))</f>
        <v>208502</v>
      </c>
      <c r="C17" s="169">
        <f t="shared" si="0"/>
        <v>-3218181.2632401902</v>
      </c>
      <c r="D17" s="169">
        <f t="shared" si="2"/>
        <v>8521.74</v>
      </c>
      <c r="E17" s="169">
        <f t="shared" si="1"/>
        <v>627335.79999999679</v>
      </c>
    </row>
    <row r="18" spans="1:5" x14ac:dyDescent="0.25">
      <c r="B18" s="264"/>
      <c r="E18" s="162"/>
    </row>
    <row r="19" spans="1:5" x14ac:dyDescent="0.25">
      <c r="A19" s="156" t="s">
        <v>19</v>
      </c>
      <c r="B19" s="265">
        <f>SUM(B8:B17)</f>
        <v>2067850</v>
      </c>
      <c r="C19" s="266">
        <f>SUM(C8:C17)</f>
        <v>-31916797.561612017</v>
      </c>
      <c r="D19" s="266">
        <f>SUM(D8:D17)</f>
        <v>627335.80000000005</v>
      </c>
      <c r="E19" s="264">
        <f>C19+E7</f>
        <v>0</v>
      </c>
    </row>
    <row r="20" spans="1:5" x14ac:dyDescent="0.25">
      <c r="A20" s="156"/>
      <c r="B20" s="262"/>
      <c r="C20" s="264"/>
      <c r="D20" s="264"/>
      <c r="E20" s="264"/>
    </row>
    <row r="21" spans="1:5" x14ac:dyDescent="0.25">
      <c r="A21" s="156" t="s">
        <v>10</v>
      </c>
      <c r="B21" s="262"/>
      <c r="C21" s="170">
        <f>'Rev. Sensitivity Factor'!C35</f>
        <v>1.0462728581456489</v>
      </c>
      <c r="D21" s="264"/>
      <c r="E21" s="264"/>
    </row>
    <row r="23" spans="1:5" x14ac:dyDescent="0.25">
      <c r="C23" s="155" t="s">
        <v>211</v>
      </c>
      <c r="D23" s="169">
        <f>ROUND(E7/B19,2)</f>
        <v>15.43</v>
      </c>
      <c r="E23" s="169">
        <f>E7</f>
        <v>31916797.561612014</v>
      </c>
    </row>
    <row r="24" spans="1:5" ht="15.75" thickBot="1" x14ac:dyDescent="0.3">
      <c r="A24" s="156"/>
      <c r="C24" s="251" t="s">
        <v>6</v>
      </c>
      <c r="D24" s="252">
        <f>ROUND(D19/B19,2)</f>
        <v>0.3</v>
      </c>
      <c r="E24" s="252">
        <f>D19</f>
        <v>627335.80000000005</v>
      </c>
    </row>
    <row r="25" spans="1:5" ht="15.75" thickTop="1" x14ac:dyDescent="0.25">
      <c r="B25" s="170"/>
      <c r="D25" s="169">
        <f>SUM(D23:D24)</f>
        <v>15.73</v>
      </c>
      <c r="E25" s="169">
        <f>SUM(E23:E24)</f>
        <v>32544133.361612014</v>
      </c>
    </row>
    <row r="26" spans="1:5" x14ac:dyDescent="0.25">
      <c r="D26" s="169">
        <f>ROUND(D25*C21,2)</f>
        <v>16.46</v>
      </c>
      <c r="E26" s="169"/>
    </row>
    <row r="28" spans="1:5" x14ac:dyDescent="0.25">
      <c r="A28" s="155" t="s">
        <v>0</v>
      </c>
    </row>
    <row r="29" spans="1:5" x14ac:dyDescent="0.25">
      <c r="A29" s="155" t="s">
        <v>1</v>
      </c>
    </row>
    <row r="30" spans="1:5" x14ac:dyDescent="0.25">
      <c r="A30" s="155" t="s">
        <v>2</v>
      </c>
    </row>
    <row r="31" spans="1:5" ht="15.75" thickBot="1" x14ac:dyDescent="0.3"/>
    <row r="32" spans="1:5" ht="30.75" thickBot="1" x14ac:dyDescent="0.3">
      <c r="A32" s="267" t="s">
        <v>214</v>
      </c>
      <c r="B32" s="248" t="s">
        <v>80</v>
      </c>
      <c r="C32" s="248" t="s">
        <v>211</v>
      </c>
      <c r="D32" s="248" t="s">
        <v>6</v>
      </c>
      <c r="E32" s="248" t="s">
        <v>212</v>
      </c>
    </row>
    <row r="33" spans="1:8" x14ac:dyDescent="0.25">
      <c r="D33" s="256">
        <v>4.5900000000000003E-2</v>
      </c>
      <c r="E33" s="169">
        <v>-25023495.091885962</v>
      </c>
      <c r="H33" s="158"/>
    </row>
    <row r="34" spans="1:8" x14ac:dyDescent="0.25">
      <c r="A34" s="155" t="s">
        <v>117</v>
      </c>
      <c r="B34" s="164" cm="1">
        <f t="array" ref="B34">INDEX('Eligible Customers WP'!$E$27:$N$27,COLUMN(A1),ROW(C1))</f>
        <v>181812.6</v>
      </c>
      <c r="C34" s="169">
        <f t="shared" ref="C34:C43" si="3">-(B34/$B$45)*$E$33</f>
        <v>2502349.5091885957</v>
      </c>
      <c r="D34" s="169">
        <f>ROUND(((E33+(C34/2))*D$33/12),2)</f>
        <v>-90929.13</v>
      </c>
      <c r="E34" s="169">
        <f>E33+C34+D34</f>
        <v>-22612074.712697364</v>
      </c>
    </row>
    <row r="35" spans="1:8" x14ac:dyDescent="0.25">
      <c r="A35" s="155" t="s">
        <v>118</v>
      </c>
      <c r="B35" s="164" cm="1">
        <f t="array" ref="B35">INDEX('Eligible Customers WP'!$E$27:$N$27,COLUMN(A2),ROW(C2))</f>
        <v>181812.6</v>
      </c>
      <c r="C35" s="169">
        <f t="shared" si="3"/>
        <v>2502349.5091885957</v>
      </c>
      <c r="D35" s="169">
        <f t="shared" ref="D35:D43" si="4">ROUND(((E34+(C35/2))*D$33/12),2)</f>
        <v>-81705.440000000002</v>
      </c>
      <c r="E35" s="169">
        <f t="shared" ref="E35:E43" si="5">E34+C35+D35</f>
        <v>-20191430.64350877</v>
      </c>
    </row>
    <row r="36" spans="1:8" x14ac:dyDescent="0.25">
      <c r="A36" s="155" t="s">
        <v>119</v>
      </c>
      <c r="B36" s="164" cm="1">
        <f t="array" ref="B36">INDEX('Eligible Customers WP'!$E$27:$N$27,COLUMN(A3),ROW(C3))</f>
        <v>181812.6</v>
      </c>
      <c r="C36" s="169">
        <f t="shared" si="3"/>
        <v>2502349.5091885957</v>
      </c>
      <c r="D36" s="169">
        <f t="shared" si="4"/>
        <v>-72446.48</v>
      </c>
      <c r="E36" s="169">
        <f t="shared" si="5"/>
        <v>-17761527.614320174</v>
      </c>
    </row>
    <row r="37" spans="1:8" x14ac:dyDescent="0.25">
      <c r="A37" s="155" t="s">
        <v>120</v>
      </c>
      <c r="B37" s="164" cm="1">
        <f t="array" ref="B37">INDEX('Eligible Customers WP'!$E$27:$N$27,COLUMN(A4),ROW(C4))</f>
        <v>181812.6</v>
      </c>
      <c r="C37" s="169">
        <f t="shared" si="3"/>
        <v>2502349.5091885957</v>
      </c>
      <c r="D37" s="169">
        <f t="shared" si="4"/>
        <v>-63152.1</v>
      </c>
      <c r="E37" s="169">
        <f t="shared" si="5"/>
        <v>-15322330.205131577</v>
      </c>
    </row>
    <row r="38" spans="1:8" x14ac:dyDescent="0.25">
      <c r="A38" s="155" t="s">
        <v>121</v>
      </c>
      <c r="B38" s="164" cm="1">
        <f t="array" ref="B38">INDEX('Eligible Customers WP'!$E$27:$N$27,COLUMN(A5),ROW(C5))</f>
        <v>181812.6</v>
      </c>
      <c r="C38" s="169">
        <f t="shared" si="3"/>
        <v>2502349.5091885957</v>
      </c>
      <c r="D38" s="169">
        <f t="shared" si="4"/>
        <v>-53822.17</v>
      </c>
      <c r="E38" s="169">
        <f t="shared" si="5"/>
        <v>-12873802.865942981</v>
      </c>
    </row>
    <row r="39" spans="1:8" x14ac:dyDescent="0.25">
      <c r="A39" s="155" t="s">
        <v>122</v>
      </c>
      <c r="B39" s="164" cm="1">
        <f t="array" ref="B39">INDEX('Eligible Customers WP'!$E$27:$N$27,COLUMN(A6),ROW(C6))</f>
        <v>181812.6</v>
      </c>
      <c r="C39" s="169">
        <f t="shared" si="3"/>
        <v>2502349.5091885957</v>
      </c>
      <c r="D39" s="169">
        <f t="shared" si="4"/>
        <v>-44456.55</v>
      </c>
      <c r="E39" s="169">
        <f t="shared" si="5"/>
        <v>-10415909.906754386</v>
      </c>
    </row>
    <row r="40" spans="1:8" x14ac:dyDescent="0.25">
      <c r="A40" s="155" t="s">
        <v>123</v>
      </c>
      <c r="B40" s="164" cm="1">
        <f t="array" ref="B40">INDEX('Eligible Customers WP'!$E$27:$N$27,COLUMN(A7),ROW(C7))</f>
        <v>181812.6</v>
      </c>
      <c r="C40" s="169">
        <f t="shared" si="3"/>
        <v>2502349.5091885957</v>
      </c>
      <c r="D40" s="169">
        <f t="shared" si="4"/>
        <v>-35055.11</v>
      </c>
      <c r="E40" s="169">
        <f t="shared" si="5"/>
        <v>-7948615.5075657899</v>
      </c>
    </row>
    <row r="41" spans="1:8" x14ac:dyDescent="0.25">
      <c r="A41" s="155" t="s">
        <v>124</v>
      </c>
      <c r="B41" s="164" cm="1">
        <f t="array" ref="B41">INDEX('Eligible Customers WP'!$E$27:$N$27,COLUMN(A8),ROW(C8))</f>
        <v>181812.6</v>
      </c>
      <c r="C41" s="169">
        <f t="shared" si="3"/>
        <v>2502349.5091885957</v>
      </c>
      <c r="D41" s="169">
        <f t="shared" si="4"/>
        <v>-25617.71</v>
      </c>
      <c r="E41" s="169">
        <f t="shared" si="5"/>
        <v>-5471883.7083771946</v>
      </c>
    </row>
    <row r="42" spans="1:8" x14ac:dyDescent="0.25">
      <c r="A42" s="263" t="s">
        <v>125</v>
      </c>
      <c r="B42" s="164" cm="1">
        <f t="array" ref="B42">INDEX('Eligible Customers WP'!$E$27:$N$27,COLUMN(A9),ROW(C9))</f>
        <v>181812.6</v>
      </c>
      <c r="C42" s="169">
        <f t="shared" si="3"/>
        <v>2502349.5091885957</v>
      </c>
      <c r="D42" s="169">
        <f t="shared" si="4"/>
        <v>-16144.21</v>
      </c>
      <c r="E42" s="169">
        <f t="shared" si="5"/>
        <v>-2985678.4091885989</v>
      </c>
    </row>
    <row r="43" spans="1:8" x14ac:dyDescent="0.25">
      <c r="A43" s="155" t="s">
        <v>126</v>
      </c>
      <c r="B43" s="164" cm="1">
        <f t="array" ref="B43">INDEX('Eligible Customers WP'!$E$27:$N$27,COLUMN(A10),ROW(C10))</f>
        <v>181812.6</v>
      </c>
      <c r="C43" s="169">
        <f t="shared" si="3"/>
        <v>2502349.5091885957</v>
      </c>
      <c r="D43" s="169">
        <f t="shared" si="4"/>
        <v>-6634.48</v>
      </c>
      <c r="E43" s="169">
        <f t="shared" si="5"/>
        <v>-489963.38000000315</v>
      </c>
    </row>
    <row r="44" spans="1:8" x14ac:dyDescent="0.25">
      <c r="B44" s="164"/>
      <c r="E44" s="162"/>
    </row>
    <row r="45" spans="1:8" x14ac:dyDescent="0.25">
      <c r="A45" s="156" t="s">
        <v>19</v>
      </c>
      <c r="B45" s="268">
        <f>SUM(B34:B43)</f>
        <v>1818126.0000000005</v>
      </c>
      <c r="C45" s="269">
        <f>SUM(C34:C43)</f>
        <v>25023495.091885958</v>
      </c>
      <c r="D45" s="269">
        <f>SUM(D34:D43)</f>
        <v>-489963.37999999995</v>
      </c>
      <c r="E45" s="158">
        <f>C45+E33</f>
        <v>0</v>
      </c>
    </row>
    <row r="47" spans="1:8" x14ac:dyDescent="0.25">
      <c r="A47" s="156" t="s">
        <v>215</v>
      </c>
      <c r="B47" s="270"/>
      <c r="C47" s="170">
        <f>'Rev. Sensitivity Factor'!C35</f>
        <v>1.0462728581456489</v>
      </c>
    </row>
    <row r="49" spans="1:5" x14ac:dyDescent="0.25">
      <c r="C49" s="155" t="s">
        <v>211</v>
      </c>
      <c r="D49" s="169">
        <f>ROUND(E33/B45,2)</f>
        <v>-13.76</v>
      </c>
      <c r="E49" s="169">
        <f>E33</f>
        <v>-25023495.091885962</v>
      </c>
    </row>
    <row r="50" spans="1:5" ht="15.75" thickBot="1" x14ac:dyDescent="0.3">
      <c r="C50" s="251" t="s">
        <v>6</v>
      </c>
      <c r="D50" s="252">
        <f>ROUND(D45/B45,2)</f>
        <v>-0.27</v>
      </c>
      <c r="E50" s="252">
        <f>D45</f>
        <v>-489963.37999999995</v>
      </c>
    </row>
    <row r="51" spans="1:5" ht="15.75" thickTop="1" x14ac:dyDescent="0.25">
      <c r="D51" s="169">
        <f>SUM(D49:D50)</f>
        <v>-14.03</v>
      </c>
      <c r="E51" s="169">
        <f>SUM(E49:E50)</f>
        <v>-25513458.471885961</v>
      </c>
    </row>
    <row r="52" spans="1:5" x14ac:dyDescent="0.25">
      <c r="D52" s="169">
        <f>ROUND(D51*C47,2)</f>
        <v>-14.68</v>
      </c>
    </row>
    <row r="54" spans="1:5" x14ac:dyDescent="0.25">
      <c r="A54" s="155" t="s">
        <v>0</v>
      </c>
    </row>
    <row r="55" spans="1:5" x14ac:dyDescent="0.25">
      <c r="A55" s="155" t="s">
        <v>1</v>
      </c>
    </row>
    <row r="57" spans="1:5" ht="15.75" thickBot="1" x14ac:dyDescent="0.3">
      <c r="A57" s="460" t="s">
        <v>216</v>
      </c>
      <c r="B57" s="460"/>
      <c r="C57" s="460"/>
      <c r="D57" s="460"/>
      <c r="E57" s="460"/>
    </row>
    <row r="58" spans="1:5" ht="30.75" thickBot="1" x14ac:dyDescent="0.3">
      <c r="A58" s="267" t="s">
        <v>214</v>
      </c>
      <c r="B58" s="248" t="s">
        <v>80</v>
      </c>
      <c r="C58" s="248" t="s">
        <v>211</v>
      </c>
      <c r="D58" s="248" t="s">
        <v>6</v>
      </c>
      <c r="E58" s="248" t="s">
        <v>212</v>
      </c>
    </row>
    <row r="59" spans="1:5" x14ac:dyDescent="0.25">
      <c r="D59" s="256">
        <v>4.5900000000000003E-2</v>
      </c>
      <c r="E59" s="169">
        <v>-1789000.4275000002</v>
      </c>
    </row>
    <row r="60" spans="1:5" x14ac:dyDescent="0.25">
      <c r="A60" s="155" t="s">
        <v>117</v>
      </c>
      <c r="B60" s="270" cm="1">
        <f t="array" ref="B60">INDEX('Eligible Customers WP'!$E$29:$N$29,COLUMN(A1),ROW(C1))</f>
        <v>10240.300000000001</v>
      </c>
      <c r="C60" s="169">
        <f t="shared" ref="C60:C69" si="6">-(B60/$B$71)*$E$59</f>
        <v>177187.91090000002</v>
      </c>
      <c r="D60" s="169">
        <f>ROUND(((E59+(C60/2))*D$33/12),2)</f>
        <v>-6504.05</v>
      </c>
      <c r="E60" s="169">
        <f>E59+C60+D60</f>
        <v>-1618316.5666000003</v>
      </c>
    </row>
    <row r="61" spans="1:5" x14ac:dyDescent="0.25">
      <c r="A61" s="155" t="s">
        <v>118</v>
      </c>
      <c r="B61" s="270" cm="1">
        <f t="array" ref="B61">INDEX('Eligible Customers WP'!$E$29:$N$29,COLUMN(A2),ROW(C2))</f>
        <v>10242.25</v>
      </c>
      <c r="C61" s="169">
        <f t="shared" si="6"/>
        <v>177221.65174999999</v>
      </c>
      <c r="D61" s="169">
        <f t="shared" ref="D61:D69" si="7">ROUND(((E60+(C61/2))*D$33/12),2)</f>
        <v>-5851.12</v>
      </c>
      <c r="E61" s="169">
        <f t="shared" ref="E61:E69" si="8">E60+C61+D61</f>
        <v>-1446946.0348500004</v>
      </c>
    </row>
    <row r="62" spans="1:5" x14ac:dyDescent="0.25">
      <c r="A62" s="155" t="s">
        <v>119</v>
      </c>
      <c r="B62" s="270" cm="1">
        <f t="array" ref="B62">INDEX('Eligible Customers WP'!$E$29:$N$29,COLUMN(A3),ROW(C3))</f>
        <v>10258.400000000001</v>
      </c>
      <c r="C62" s="169">
        <f t="shared" si="6"/>
        <v>177501.09520000004</v>
      </c>
      <c r="D62" s="169">
        <f t="shared" si="7"/>
        <v>-5195.1000000000004</v>
      </c>
      <c r="E62" s="169">
        <f t="shared" si="8"/>
        <v>-1274640.0396500004</v>
      </c>
    </row>
    <row r="63" spans="1:5" x14ac:dyDescent="0.25">
      <c r="A63" s="155" t="s">
        <v>120</v>
      </c>
      <c r="B63" s="270" cm="1">
        <f t="array" ref="B63">INDEX('Eligible Customers WP'!$E$29:$N$29,COLUMN(A4),ROW(C4))</f>
        <v>10295.650000000001</v>
      </c>
      <c r="C63" s="169">
        <f t="shared" si="6"/>
        <v>178145.63195000001</v>
      </c>
      <c r="D63" s="169">
        <f t="shared" si="7"/>
        <v>-4534.79</v>
      </c>
      <c r="E63" s="169">
        <f t="shared" si="8"/>
        <v>-1101029.1977000004</v>
      </c>
    </row>
    <row r="64" spans="1:5" x14ac:dyDescent="0.25">
      <c r="A64" s="155" t="s">
        <v>121</v>
      </c>
      <c r="B64" s="270" cm="1">
        <f t="array" ref="B64">INDEX('Eligible Customers WP'!$E$29:$N$29,COLUMN(A5),ROW(C5))</f>
        <v>10336.75</v>
      </c>
      <c r="C64" s="169">
        <f t="shared" si="6"/>
        <v>178856.78525000002</v>
      </c>
      <c r="D64" s="169">
        <f t="shared" si="7"/>
        <v>-3869.37</v>
      </c>
      <c r="E64" s="169">
        <f t="shared" si="8"/>
        <v>-926041.78245000041</v>
      </c>
    </row>
    <row r="65" spans="1:5" x14ac:dyDescent="0.25">
      <c r="A65" s="155" t="s">
        <v>122</v>
      </c>
      <c r="B65" s="270" cm="1">
        <f t="array" ref="B65">INDEX('Eligible Customers WP'!$E$29:$N$29,COLUMN(A6),ROW(C6))</f>
        <v>10372.050000000001</v>
      </c>
      <c r="C65" s="169">
        <f t="shared" si="6"/>
        <v>179467.58115000001</v>
      </c>
      <c r="D65" s="169">
        <f t="shared" si="7"/>
        <v>-3198.88</v>
      </c>
      <c r="E65" s="169">
        <f t="shared" si="8"/>
        <v>-749773.08130000043</v>
      </c>
    </row>
    <row r="66" spans="1:5" x14ac:dyDescent="0.25">
      <c r="A66" s="155" t="s">
        <v>123</v>
      </c>
      <c r="B66" s="270" cm="1">
        <f t="array" ref="B66">INDEX('Eligible Customers WP'!$E$29:$N$29,COLUMN(A7),ROW(C7))</f>
        <v>10391.35</v>
      </c>
      <c r="C66" s="169">
        <f t="shared" si="6"/>
        <v>179801.52905000001</v>
      </c>
      <c r="D66" s="169">
        <f t="shared" si="7"/>
        <v>-2524.0100000000002</v>
      </c>
      <c r="E66" s="169">
        <f t="shared" si="8"/>
        <v>-572495.56225000042</v>
      </c>
    </row>
    <row r="67" spans="1:5" x14ac:dyDescent="0.25">
      <c r="A67" s="155" t="s">
        <v>124</v>
      </c>
      <c r="B67" s="270" cm="1">
        <f t="array" ref="B67">INDEX('Eligible Customers WP'!$E$29:$N$29,COLUMN(A8),ROW(C8))</f>
        <v>10408.700000000001</v>
      </c>
      <c r="C67" s="169">
        <f t="shared" si="6"/>
        <v>180101.73610000001</v>
      </c>
      <c r="D67" s="169">
        <f t="shared" si="7"/>
        <v>-1845.35</v>
      </c>
      <c r="E67" s="169">
        <f t="shared" si="8"/>
        <v>-394239.17615000042</v>
      </c>
    </row>
    <row r="68" spans="1:5" x14ac:dyDescent="0.25">
      <c r="A68" s="263" t="s">
        <v>125</v>
      </c>
      <c r="B68" s="270" cm="1">
        <f t="array" ref="B68">INDEX('Eligible Customers WP'!$E$29:$N$29,COLUMN(A9),ROW(C9))</f>
        <v>10421.950000000001</v>
      </c>
      <c r="C68" s="169">
        <f t="shared" si="6"/>
        <v>180331.00085000001</v>
      </c>
      <c r="D68" s="169">
        <f t="shared" si="7"/>
        <v>-1163.08</v>
      </c>
      <c r="E68" s="169">
        <f t="shared" si="8"/>
        <v>-215071.2553000004</v>
      </c>
    </row>
    <row r="69" spans="1:5" x14ac:dyDescent="0.25">
      <c r="A69" s="155" t="s">
        <v>126</v>
      </c>
      <c r="B69" s="270" cm="1">
        <f t="array" ref="B69">INDEX('Eligible Customers WP'!$E$29:$N$29,COLUMN(A10),ROW(C10))</f>
        <v>10425.1</v>
      </c>
      <c r="C69" s="169">
        <f t="shared" si="6"/>
        <v>180385.50530000002</v>
      </c>
      <c r="D69" s="169">
        <f t="shared" si="7"/>
        <v>-477.66</v>
      </c>
      <c r="E69" s="169">
        <f t="shared" si="8"/>
        <v>-35163.410000000382</v>
      </c>
    </row>
    <row r="70" spans="1:5" x14ac:dyDescent="0.25">
      <c r="B70" s="164"/>
      <c r="E70" s="162"/>
    </row>
    <row r="71" spans="1:5" x14ac:dyDescent="0.25">
      <c r="A71" s="156" t="s">
        <v>19</v>
      </c>
      <c r="B71" s="268">
        <f>SUM(B60:B69)</f>
        <v>103392.50000000001</v>
      </c>
      <c r="C71" s="269">
        <f>SUM(C60:C69)</f>
        <v>1789000.4275000002</v>
      </c>
      <c r="D71" s="269">
        <f>SUM(D60:D69)</f>
        <v>-35163.410000000003</v>
      </c>
      <c r="E71" s="158">
        <f>C71+E59</f>
        <v>0</v>
      </c>
    </row>
  </sheetData>
  <mergeCells count="2">
    <mergeCell ref="A5:E5"/>
    <mergeCell ref="A57:E57"/>
  </mergeCells>
  <pageMargins left="0.7" right="0.7" top="0.75" bottom="0.75" header="0.3" footer="0.3"/>
  <pageSetup orientation="portrait" r:id="rId1"/>
  <rowBreaks count="2" manualBreakCount="2">
    <brk id="27" max="16383" man="1"/>
    <brk id="53"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DFD14-B418-42C2-9F7D-15D45CE04D6D}">
  <sheetPr codeName="Sheet13"/>
  <dimension ref="A1:E26"/>
  <sheetViews>
    <sheetView workbookViewId="0">
      <selection activeCell="F10" sqref="F10:F11"/>
    </sheetView>
  </sheetViews>
  <sheetFormatPr defaultRowHeight="15" x14ac:dyDescent="0.25"/>
  <cols>
    <col min="1" max="1" width="11.85546875" style="155" customWidth="1"/>
    <col min="2" max="2" width="17.85546875" style="155" customWidth="1"/>
    <col min="3" max="3" width="22" style="155" customWidth="1"/>
    <col min="4" max="4" width="13.28515625" style="155" bestFit="1" customWidth="1"/>
    <col min="5" max="5" width="16.28515625" style="155" bestFit="1" customWidth="1"/>
    <col min="6" max="6" width="32.140625" style="155" bestFit="1" customWidth="1"/>
    <col min="7" max="7" width="14.28515625" style="155" bestFit="1" customWidth="1"/>
    <col min="8" max="8" width="17" style="155" bestFit="1" customWidth="1"/>
    <col min="9" max="10" width="9.140625" style="155"/>
    <col min="11" max="11" width="15.28515625" style="155" bestFit="1" customWidth="1"/>
    <col min="12" max="16384" width="9.140625" style="155"/>
  </cols>
  <sheetData>
    <row r="1" spans="1:5" x14ac:dyDescent="0.25">
      <c r="A1" s="155" t="s">
        <v>0</v>
      </c>
    </row>
    <row r="2" spans="1:5" x14ac:dyDescent="0.25">
      <c r="A2" s="271" t="s">
        <v>403</v>
      </c>
    </row>
    <row r="3" spans="1:5" x14ac:dyDescent="0.25">
      <c r="A3" s="155" t="s">
        <v>2</v>
      </c>
    </row>
    <row r="4" spans="1:5" x14ac:dyDescent="0.25">
      <c r="A4" s="461" t="s">
        <v>217</v>
      </c>
      <c r="B4" s="461"/>
      <c r="C4" s="461"/>
      <c r="D4" s="461"/>
      <c r="E4" s="461"/>
    </row>
    <row r="5" spans="1:5" x14ac:dyDescent="0.25">
      <c r="A5" s="359"/>
      <c r="B5" s="248" t="s">
        <v>218</v>
      </c>
      <c r="C5" s="248" t="s">
        <v>211</v>
      </c>
      <c r="D5" s="248" t="s">
        <v>6</v>
      </c>
      <c r="E5" s="248" t="s">
        <v>212</v>
      </c>
    </row>
    <row r="6" spans="1:5" x14ac:dyDescent="0.25">
      <c r="B6" s="160"/>
      <c r="C6" s="160"/>
      <c r="D6" s="360">
        <v>4.5900000000000003E-2</v>
      </c>
      <c r="E6" s="261">
        <v>91041638.888387978</v>
      </c>
    </row>
    <row r="7" spans="1:5" x14ac:dyDescent="0.25">
      <c r="A7" s="155" t="s">
        <v>117</v>
      </c>
      <c r="B7" s="164">
        <f>SUM('Eligible Therms WP'!E7:E11)</f>
        <v>25100778.569202889</v>
      </c>
      <c r="C7" s="169">
        <f t="shared" ref="C7:C16" si="0">-(B7/$B$18)*$E$6</f>
        <v>-6822021.5368707739</v>
      </c>
      <c r="D7" s="169">
        <f>ROUND((E6+(C7/2))*$D$6/11,2)</f>
        <v>365658.71</v>
      </c>
      <c r="E7" s="169">
        <f>E6+C7+D7</f>
        <v>84585276.061517194</v>
      </c>
    </row>
    <row r="8" spans="1:5" x14ac:dyDescent="0.25">
      <c r="A8" s="155" t="s">
        <v>118</v>
      </c>
      <c r="B8" s="164">
        <f>SUM('Eligible Therms WP'!F7:F11)</f>
        <v>25076359.994044662</v>
      </c>
      <c r="C8" s="169">
        <f t="shared" si="0"/>
        <v>-6815384.9281628076</v>
      </c>
      <c r="D8" s="169">
        <f t="shared" ref="D8:D16" si="1">ROUND((E7+(C8/2))*$D$6/11,2)</f>
        <v>338731.92</v>
      </c>
      <c r="E8" s="169">
        <f t="shared" ref="E8:E16" si="2">E7+C8+D8</f>
        <v>78108623.053354383</v>
      </c>
    </row>
    <row r="9" spans="1:5" x14ac:dyDescent="0.25">
      <c r="A9" s="155" t="s">
        <v>119</v>
      </c>
      <c r="B9" s="164">
        <f>SUM('Eligible Therms WP'!G7:G11)</f>
        <v>26121570.325897019</v>
      </c>
      <c r="C9" s="169">
        <f t="shared" si="0"/>
        <v>-7099457.6860973062</v>
      </c>
      <c r="D9" s="169">
        <f t="shared" si="1"/>
        <v>311113.93</v>
      </c>
      <c r="E9" s="169">
        <f t="shared" si="2"/>
        <v>71320279.297257081</v>
      </c>
    </row>
    <row r="10" spans="1:5" x14ac:dyDescent="0.25">
      <c r="A10" s="155" t="s">
        <v>120</v>
      </c>
      <c r="B10" s="164">
        <f>SUM('Eligible Therms WP'!H7:H11)</f>
        <v>28905154.509286296</v>
      </c>
      <c r="C10" s="169">
        <f t="shared" si="0"/>
        <v>-7855994.8268246315</v>
      </c>
      <c r="D10" s="169">
        <f t="shared" si="1"/>
        <v>281209.61</v>
      </c>
      <c r="E10" s="169">
        <f t="shared" si="2"/>
        <v>63745494.080432445</v>
      </c>
    </row>
    <row r="11" spans="1:5" x14ac:dyDescent="0.25">
      <c r="A11" s="155" t="s">
        <v>121</v>
      </c>
      <c r="B11" s="164">
        <f>SUM('Eligible Therms WP'!I7:I11)</f>
        <v>34806571.522694036</v>
      </c>
      <c r="C11" s="169">
        <f t="shared" si="0"/>
        <v>-9459912.9623727966</v>
      </c>
      <c r="D11" s="169">
        <f t="shared" si="1"/>
        <v>246255.74</v>
      </c>
      <c r="E11" s="169">
        <f t="shared" si="2"/>
        <v>54531836.858059652</v>
      </c>
    </row>
    <row r="12" spans="1:5" x14ac:dyDescent="0.25">
      <c r="A12" s="155" t="s">
        <v>122</v>
      </c>
      <c r="B12" s="164">
        <f>SUM('Eligible Therms WP'!J7:J11)</f>
        <v>33743086.247394413</v>
      </c>
      <c r="C12" s="169">
        <f t="shared" si="0"/>
        <v>-9170873.3442495335</v>
      </c>
      <c r="D12" s="169">
        <f t="shared" si="1"/>
        <v>208412.71</v>
      </c>
      <c r="E12" s="169">
        <f t="shared" si="2"/>
        <v>45569376.223810121</v>
      </c>
    </row>
    <row r="13" spans="1:5" x14ac:dyDescent="0.25">
      <c r="A13" s="155" t="s">
        <v>123</v>
      </c>
      <c r="B13" s="164">
        <f>SUM('Eligible Therms WP'!K7:K11)</f>
        <v>40851194.103542805</v>
      </c>
      <c r="C13" s="169">
        <f t="shared" si="0"/>
        <v>-11102752.259772137</v>
      </c>
      <c r="D13" s="169">
        <f t="shared" si="1"/>
        <v>166984.20000000001</v>
      </c>
      <c r="E13" s="169">
        <f t="shared" si="2"/>
        <v>34633608.164037988</v>
      </c>
    </row>
    <row r="14" spans="1:5" x14ac:dyDescent="0.25">
      <c r="A14" s="155" t="s">
        <v>124</v>
      </c>
      <c r="B14" s="164">
        <f>SUM('Eligible Therms WP'!L7:L11)</f>
        <v>45071708.392134696</v>
      </c>
      <c r="C14" s="169">
        <f t="shared" si="0"/>
        <v>-12249825.817433463</v>
      </c>
      <c r="D14" s="169">
        <f t="shared" si="1"/>
        <v>118959.01</v>
      </c>
      <c r="E14" s="169">
        <f t="shared" si="2"/>
        <v>22502741.356604528</v>
      </c>
    </row>
    <row r="15" spans="1:5" x14ac:dyDescent="0.25">
      <c r="A15" s="263" t="s">
        <v>125</v>
      </c>
      <c r="B15" s="164">
        <f>SUM('Eligible Therms WP'!M7:M11)</f>
        <v>38835813.953653798</v>
      </c>
      <c r="C15" s="169">
        <f t="shared" si="0"/>
        <v>-10555001.649183754</v>
      </c>
      <c r="D15" s="169">
        <f t="shared" si="1"/>
        <v>71876.23</v>
      </c>
      <c r="E15" s="169">
        <f t="shared" si="2"/>
        <v>12019615.937420774</v>
      </c>
    </row>
    <row r="16" spans="1:5" x14ac:dyDescent="0.25">
      <c r="A16" s="155" t="s">
        <v>126</v>
      </c>
      <c r="B16" s="164">
        <f>SUM('Eligible Therms WP'!N7:N11)</f>
        <v>36464133.530190922</v>
      </c>
      <c r="C16" s="169">
        <f t="shared" si="0"/>
        <v>-9910413.8774207719</v>
      </c>
      <c r="D16" s="169">
        <f t="shared" si="1"/>
        <v>29477.85</v>
      </c>
      <c r="E16" s="169">
        <f t="shared" si="2"/>
        <v>2138679.9100000025</v>
      </c>
    </row>
    <row r="17" spans="1:5" x14ac:dyDescent="0.25">
      <c r="B17" s="361"/>
      <c r="C17" s="162"/>
      <c r="D17" s="162"/>
      <c r="E17" s="162"/>
    </row>
    <row r="18" spans="1:5" x14ac:dyDescent="0.25">
      <c r="A18" s="156" t="s">
        <v>19</v>
      </c>
      <c r="B18" s="179">
        <f>SUM(B7:B16)</f>
        <v>334976371.14804155</v>
      </c>
      <c r="C18" s="264">
        <f>SUM(C7:C16)</f>
        <v>-91041638.888387963</v>
      </c>
      <c r="D18" s="264">
        <f>SUM(D7:D16)</f>
        <v>2138679.91</v>
      </c>
      <c r="E18" s="264">
        <f>C18+E6</f>
        <v>0</v>
      </c>
    </row>
    <row r="19" spans="1:5" x14ac:dyDescent="0.25">
      <c r="A19" s="156"/>
      <c r="B19" s="179"/>
      <c r="C19" s="264"/>
      <c r="D19" s="264"/>
      <c r="E19" s="264"/>
    </row>
    <row r="20" spans="1:5" x14ac:dyDescent="0.25">
      <c r="A20" s="156"/>
      <c r="B20" s="170"/>
      <c r="C20" s="170"/>
    </row>
    <row r="22" spans="1:5" x14ac:dyDescent="0.25">
      <c r="C22" s="155" t="s">
        <v>211</v>
      </c>
      <c r="D22" s="362"/>
      <c r="E22" s="169">
        <f>E6</f>
        <v>91041638.888387978</v>
      </c>
    </row>
    <row r="23" spans="1:5" ht="15.75" thickBot="1" x14ac:dyDescent="0.3">
      <c r="A23" s="156"/>
      <c r="B23" s="170"/>
      <c r="C23" s="251" t="s">
        <v>6</v>
      </c>
      <c r="D23" s="363"/>
      <c r="E23" s="252">
        <f>D18</f>
        <v>2138679.91</v>
      </c>
    </row>
    <row r="24" spans="1:5" ht="15.75" thickTop="1" x14ac:dyDescent="0.25">
      <c r="D24" s="362"/>
      <c r="E24" s="169">
        <f>SUM(E22:E23)</f>
        <v>93180318.798387975</v>
      </c>
    </row>
    <row r="25" spans="1:5" x14ac:dyDescent="0.25">
      <c r="D25" s="362"/>
      <c r="E25" s="169"/>
    </row>
    <row r="26" spans="1:5" x14ac:dyDescent="0.25">
      <c r="C26" s="364"/>
    </row>
  </sheetData>
  <mergeCells count="1">
    <mergeCell ref="A4:E4"/>
  </mergeCells>
  <pageMargins left="0.7" right="0.7" top="0.75" bottom="0.75" header="0.3" footer="0.3"/>
  <pageSetup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2AF11-330B-4861-90B9-1FBD90E085AD}">
  <sheetPr codeName="Sheet14"/>
  <dimension ref="A1:G27"/>
  <sheetViews>
    <sheetView workbookViewId="0">
      <selection activeCell="C9" sqref="C9"/>
    </sheetView>
  </sheetViews>
  <sheetFormatPr defaultRowHeight="15" x14ac:dyDescent="0.25"/>
  <cols>
    <col min="1" max="1" width="26" style="155" customWidth="1"/>
    <col min="2" max="2" width="13.85546875" style="155" customWidth="1"/>
    <col min="3" max="3" width="19.7109375" style="155" customWidth="1"/>
    <col min="4" max="4" width="13.42578125" style="155" bestFit="1" customWidth="1"/>
    <col min="5" max="5" width="18.7109375" style="155" bestFit="1" customWidth="1"/>
    <col min="6" max="6" width="32.140625" style="155" bestFit="1" customWidth="1"/>
    <col min="7" max="8" width="19" style="155" bestFit="1" customWidth="1"/>
    <col min="9" max="16384" width="9.140625" style="155"/>
  </cols>
  <sheetData>
    <row r="1" spans="1:6" x14ac:dyDescent="0.25">
      <c r="A1" s="155" t="s">
        <v>0</v>
      </c>
    </row>
    <row r="2" spans="1:6" x14ac:dyDescent="0.25">
      <c r="A2" s="325" t="s">
        <v>403</v>
      </c>
    </row>
    <row r="3" spans="1:6" x14ac:dyDescent="0.25">
      <c r="A3" s="155" t="s">
        <v>2</v>
      </c>
    </row>
    <row r="4" spans="1:6" x14ac:dyDescent="0.25">
      <c r="A4" s="460" t="s">
        <v>219</v>
      </c>
      <c r="B4" s="460"/>
      <c r="C4" s="460"/>
      <c r="D4" s="460"/>
      <c r="E4" s="460"/>
    </row>
    <row r="5" spans="1:6" ht="30" x14ac:dyDescent="0.25">
      <c r="A5" s="247"/>
      <c r="B5" s="248" t="s">
        <v>80</v>
      </c>
      <c r="C5" s="248" t="s">
        <v>211</v>
      </c>
      <c r="D5" s="248" t="s">
        <v>6</v>
      </c>
      <c r="E5" s="248" t="s">
        <v>212</v>
      </c>
      <c r="F5" s="248"/>
    </row>
    <row r="6" spans="1:6" x14ac:dyDescent="0.25">
      <c r="A6" s="247"/>
      <c r="B6" s="248"/>
      <c r="C6" s="248"/>
      <c r="D6" s="249">
        <v>4.5900000000000003E-2</v>
      </c>
      <c r="E6" s="250">
        <v>-18372010.238724362</v>
      </c>
      <c r="F6" s="248"/>
    </row>
    <row r="7" spans="1:6" x14ac:dyDescent="0.25">
      <c r="A7" s="155" t="s">
        <v>117</v>
      </c>
      <c r="B7" s="164">
        <f>'Eligible Customers WP'!E30</f>
        <v>27032</v>
      </c>
      <c r="C7" s="169">
        <f t="shared" ref="C7:C16" si="0">-(B7/$B$18)*$E$6</f>
        <v>1837201.0238724363</v>
      </c>
      <c r="D7" s="169">
        <f>ROUND((E6+(C7/2))*$D$6/12,2)</f>
        <v>-66759.289999999994</v>
      </c>
      <c r="E7" s="169">
        <f>E6+C7+D7</f>
        <v>-16601568.504851924</v>
      </c>
    </row>
    <row r="8" spans="1:6" x14ac:dyDescent="0.25">
      <c r="A8" s="155" t="s">
        <v>118</v>
      </c>
      <c r="B8" s="164">
        <f>'Eligible Customers WP'!F30</f>
        <v>27032</v>
      </c>
      <c r="C8" s="169">
        <f t="shared" si="0"/>
        <v>1837201.0238724363</v>
      </c>
      <c r="D8" s="169">
        <f t="shared" ref="D8:D16" si="1">ROUND((E7+(C8/2))*$D$6/12,2)</f>
        <v>-59987.35</v>
      </c>
      <c r="E8" s="169">
        <f t="shared" ref="E8:E16" si="2">E7+C8+D8</f>
        <v>-14824354.830979487</v>
      </c>
    </row>
    <row r="9" spans="1:6" x14ac:dyDescent="0.25">
      <c r="A9" s="155" t="s">
        <v>119</v>
      </c>
      <c r="B9" s="164">
        <f>'Eligible Customers WP'!G30</f>
        <v>27032</v>
      </c>
      <c r="C9" s="169">
        <f t="shared" si="0"/>
        <v>1837201.0238724363</v>
      </c>
      <c r="D9" s="169">
        <f t="shared" si="1"/>
        <v>-53189.51</v>
      </c>
      <c r="E9" s="169">
        <f>E8+C9+D9</f>
        <v>-13040343.31710705</v>
      </c>
    </row>
    <row r="10" spans="1:6" x14ac:dyDescent="0.25">
      <c r="A10" s="155" t="s">
        <v>120</v>
      </c>
      <c r="B10" s="164">
        <f>'Eligible Customers WP'!H30</f>
        <v>27032</v>
      </c>
      <c r="C10" s="169">
        <f t="shared" si="0"/>
        <v>1837201.0238724363</v>
      </c>
      <c r="D10" s="169">
        <f t="shared" si="1"/>
        <v>-46365.67</v>
      </c>
      <c r="E10" s="169">
        <f t="shared" si="2"/>
        <v>-11249507.963234613</v>
      </c>
    </row>
    <row r="11" spans="1:6" x14ac:dyDescent="0.25">
      <c r="A11" s="155" t="s">
        <v>121</v>
      </c>
      <c r="B11" s="164">
        <f>'Eligible Customers WP'!I30</f>
        <v>27032</v>
      </c>
      <c r="C11" s="169">
        <f t="shared" si="0"/>
        <v>1837201.0238724363</v>
      </c>
      <c r="D11" s="169">
        <f t="shared" si="1"/>
        <v>-39515.72</v>
      </c>
      <c r="E11" s="169">
        <f t="shared" si="2"/>
        <v>-9451822.6593621764</v>
      </c>
    </row>
    <row r="12" spans="1:6" x14ac:dyDescent="0.25">
      <c r="A12" s="155" t="s">
        <v>122</v>
      </c>
      <c r="B12" s="164">
        <f>'Eligible Customers WP'!J30</f>
        <v>27032</v>
      </c>
      <c r="C12" s="169">
        <f t="shared" si="0"/>
        <v>1837201.0238724363</v>
      </c>
      <c r="D12" s="169">
        <f t="shared" si="1"/>
        <v>-32639.57</v>
      </c>
      <c r="E12" s="169">
        <f>E11+C12+D12</f>
        <v>-7647261.2054897407</v>
      </c>
    </row>
    <row r="13" spans="1:6" x14ac:dyDescent="0.25">
      <c r="A13" s="155" t="s">
        <v>123</v>
      </c>
      <c r="B13" s="164">
        <f>'Eligible Customers WP'!K30</f>
        <v>27032</v>
      </c>
      <c r="C13" s="169">
        <f t="shared" si="0"/>
        <v>1837201.0238724363</v>
      </c>
      <c r="D13" s="169">
        <f t="shared" si="1"/>
        <v>-25737.13</v>
      </c>
      <c r="E13" s="169">
        <f t="shared" si="2"/>
        <v>-5835797.3116173046</v>
      </c>
    </row>
    <row r="14" spans="1:6" x14ac:dyDescent="0.25">
      <c r="A14" s="155" t="s">
        <v>124</v>
      </c>
      <c r="B14" s="164">
        <f>'Eligible Customers WP'!L30</f>
        <v>27032</v>
      </c>
      <c r="C14" s="169">
        <f t="shared" si="0"/>
        <v>1837201.0238724363</v>
      </c>
      <c r="D14" s="169">
        <f t="shared" si="1"/>
        <v>-18808.28</v>
      </c>
      <c r="E14" s="169">
        <f t="shared" si="2"/>
        <v>-4017404.5677448683</v>
      </c>
    </row>
    <row r="15" spans="1:6" x14ac:dyDescent="0.25">
      <c r="A15" s="155" t="s">
        <v>125</v>
      </c>
      <c r="B15" s="164">
        <f>'Eligible Customers WP'!M30</f>
        <v>27032</v>
      </c>
      <c r="C15" s="169">
        <f t="shared" si="0"/>
        <v>1837201.0238724363</v>
      </c>
      <c r="D15" s="169">
        <f t="shared" si="1"/>
        <v>-11852.93</v>
      </c>
      <c r="E15" s="169">
        <f t="shared" si="2"/>
        <v>-2192056.473872432</v>
      </c>
    </row>
    <row r="16" spans="1:6" x14ac:dyDescent="0.25">
      <c r="A16" s="155" t="s">
        <v>126</v>
      </c>
      <c r="B16" s="164">
        <f>'Eligible Customers WP'!N30</f>
        <v>27032</v>
      </c>
      <c r="C16" s="169">
        <f t="shared" si="0"/>
        <v>1837201.0238724363</v>
      </c>
      <c r="D16" s="169">
        <f t="shared" si="1"/>
        <v>-4870.97</v>
      </c>
      <c r="E16" s="169">
        <f t="shared" si="2"/>
        <v>-359726.41999999573</v>
      </c>
    </row>
    <row r="17" spans="1:7" x14ac:dyDescent="0.25">
      <c r="B17" s="162"/>
      <c r="C17" s="162"/>
      <c r="D17" s="162"/>
      <c r="E17" s="162"/>
    </row>
    <row r="18" spans="1:7" x14ac:dyDescent="0.25">
      <c r="A18" s="156" t="s">
        <v>19</v>
      </c>
      <c r="B18" s="165">
        <f>SUM(B7:B16)</f>
        <v>270320</v>
      </c>
      <c r="C18" s="169">
        <f>SUM(C7:C16)</f>
        <v>18372010.238724366</v>
      </c>
      <c r="D18" s="169">
        <f>SUM(D7:D16)</f>
        <v>-359726.42</v>
      </c>
      <c r="E18" s="169">
        <f>C18+E6</f>
        <v>0</v>
      </c>
    </row>
    <row r="19" spans="1:7" x14ac:dyDescent="0.25">
      <c r="A19" s="156"/>
      <c r="B19" s="165"/>
      <c r="C19" s="169"/>
      <c r="D19" s="169"/>
      <c r="E19" s="169"/>
    </row>
    <row r="20" spans="1:7" x14ac:dyDescent="0.25">
      <c r="A20" s="156" t="s">
        <v>10</v>
      </c>
      <c r="B20" s="170">
        <f>'Rev. Sensitivity Factor'!C35</f>
        <v>1.0462728581456489</v>
      </c>
    </row>
    <row r="22" spans="1:7" x14ac:dyDescent="0.25">
      <c r="C22" s="155" t="s">
        <v>211</v>
      </c>
      <c r="D22" s="169">
        <f>ROUND(E6/B18,2)</f>
        <v>-67.959999999999994</v>
      </c>
      <c r="E22" s="169">
        <f>E6</f>
        <v>-18372010.238724362</v>
      </c>
    </row>
    <row r="23" spans="1:7" ht="15.75" thickBot="1" x14ac:dyDescent="0.3">
      <c r="A23" s="156"/>
      <c r="B23" s="170"/>
      <c r="C23" s="251" t="s">
        <v>6</v>
      </c>
      <c r="D23" s="252">
        <f>ROUND(D18/B18,2)</f>
        <v>-1.33</v>
      </c>
      <c r="E23" s="252">
        <f>D18</f>
        <v>-359726.42</v>
      </c>
    </row>
    <row r="24" spans="1:7" ht="15.75" thickTop="1" x14ac:dyDescent="0.25">
      <c r="D24" s="169">
        <f>SUM(D22:D23)</f>
        <v>-69.289999999999992</v>
      </c>
      <c r="E24" s="169">
        <f>SUM(E22:E23)</f>
        <v>-18731736.658724364</v>
      </c>
    </row>
    <row r="25" spans="1:7" x14ac:dyDescent="0.25">
      <c r="D25" s="169">
        <f>D24*B20</f>
        <v>-72.496246340911995</v>
      </c>
      <c r="E25" s="169"/>
    </row>
    <row r="27" spans="1:7" x14ac:dyDescent="0.25">
      <c r="G27" s="157"/>
    </row>
  </sheetData>
  <mergeCells count="1">
    <mergeCell ref="A4:E4"/>
  </mergeCells>
  <pageMargins left="0.7" right="0.7" top="0.75" bottom="0.75" header="0.3" footer="0.3"/>
  <pageSetup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E9DED-9FF9-4F31-8EA8-552041B01791}">
  <sheetPr codeName="Sheet15"/>
  <dimension ref="A1:E25"/>
  <sheetViews>
    <sheetView workbookViewId="0">
      <selection activeCell="F5" sqref="F5"/>
    </sheetView>
  </sheetViews>
  <sheetFormatPr defaultRowHeight="15" x14ac:dyDescent="0.25"/>
  <cols>
    <col min="1" max="1" width="9.140625" style="155"/>
    <col min="2" max="2" width="13.7109375" style="155" customWidth="1"/>
    <col min="3" max="3" width="20.5703125" style="155" customWidth="1"/>
    <col min="4" max="4" width="12.28515625" style="155" bestFit="1" customWidth="1"/>
    <col min="5" max="5" width="15" style="155" bestFit="1" customWidth="1"/>
    <col min="6" max="6" width="32.140625" style="155" bestFit="1" customWidth="1"/>
    <col min="7" max="8" width="18.7109375" style="155" bestFit="1" customWidth="1"/>
    <col min="9" max="16384" width="9.140625" style="155"/>
  </cols>
  <sheetData>
    <row r="1" spans="1:5" x14ac:dyDescent="0.25">
      <c r="A1" s="155" t="s">
        <v>0</v>
      </c>
    </row>
    <row r="2" spans="1:5" x14ac:dyDescent="0.25">
      <c r="A2" s="325" t="s">
        <v>403</v>
      </c>
    </row>
    <row r="3" spans="1:5" x14ac:dyDescent="0.25">
      <c r="A3" s="155" t="s">
        <v>2</v>
      </c>
    </row>
    <row r="4" spans="1:5" x14ac:dyDescent="0.25">
      <c r="A4" s="460" t="s">
        <v>220</v>
      </c>
      <c r="B4" s="460"/>
      <c r="C4" s="460"/>
      <c r="D4" s="460"/>
      <c r="E4" s="460"/>
    </row>
    <row r="5" spans="1:5" ht="30" x14ac:dyDescent="0.25">
      <c r="A5" s="247"/>
      <c r="B5" s="248" t="s">
        <v>80</v>
      </c>
      <c r="C5" s="248" t="s">
        <v>211</v>
      </c>
      <c r="D5" s="248" t="s">
        <v>6</v>
      </c>
      <c r="E5" s="248" t="s">
        <v>212</v>
      </c>
    </row>
    <row r="6" spans="1:5" x14ac:dyDescent="0.25">
      <c r="A6" s="247"/>
      <c r="B6" s="248"/>
      <c r="C6" s="248"/>
      <c r="D6" s="249">
        <v>4.5900000000000003E-2</v>
      </c>
      <c r="E6" s="253">
        <v>-2542738.9868224883</v>
      </c>
    </row>
    <row r="7" spans="1:5" x14ac:dyDescent="0.25">
      <c r="A7" s="155" t="s">
        <v>117</v>
      </c>
      <c r="B7" s="164">
        <f>'Eligible Customers WP'!E32</f>
        <v>479</v>
      </c>
      <c r="C7" s="169">
        <f t="shared" ref="C7:C16" si="0">-(B7/$B$18)*$E$6</f>
        <v>254273.89868224884</v>
      </c>
      <c r="D7" s="169">
        <f>ROUND((E6+(C7/2))*$D$6/12,2)</f>
        <v>-9239.68</v>
      </c>
      <c r="E7" s="169">
        <f>E6+C7+D7</f>
        <v>-2297704.7681402396</v>
      </c>
    </row>
    <row r="8" spans="1:5" x14ac:dyDescent="0.25">
      <c r="A8" s="155" t="s">
        <v>118</v>
      </c>
      <c r="B8" s="164">
        <f>'Eligible Customers WP'!F32</f>
        <v>479</v>
      </c>
      <c r="C8" s="169">
        <f t="shared" si="0"/>
        <v>254273.89868224884</v>
      </c>
      <c r="D8" s="169">
        <f t="shared" ref="D8:D16" si="1">ROUND((E7+(C8/2))*$D$6/12,2)</f>
        <v>-8302.42</v>
      </c>
      <c r="E8" s="169">
        <f t="shared" ref="E8:E16" si="2">E7+C8+D8</f>
        <v>-2051733.2894579908</v>
      </c>
    </row>
    <row r="9" spans="1:5" x14ac:dyDescent="0.25">
      <c r="A9" s="155" t="s">
        <v>119</v>
      </c>
      <c r="B9" s="164">
        <f>'Eligible Customers WP'!G32</f>
        <v>479</v>
      </c>
      <c r="C9" s="169">
        <f t="shared" si="0"/>
        <v>254273.89868224884</v>
      </c>
      <c r="D9" s="169">
        <f t="shared" si="1"/>
        <v>-7361.58</v>
      </c>
      <c r="E9" s="169">
        <f>E8+C9+D9</f>
        <v>-1804820.9707757421</v>
      </c>
    </row>
    <row r="10" spans="1:5" x14ac:dyDescent="0.25">
      <c r="A10" s="155" t="s">
        <v>120</v>
      </c>
      <c r="B10" s="164">
        <f>'Eligible Customers WP'!H32</f>
        <v>479</v>
      </c>
      <c r="C10" s="169">
        <f t="shared" si="0"/>
        <v>254273.89868224884</v>
      </c>
      <c r="D10" s="169">
        <f t="shared" si="1"/>
        <v>-6417.14</v>
      </c>
      <c r="E10" s="169">
        <f t="shared" si="2"/>
        <v>-1556964.2120934932</v>
      </c>
    </row>
    <row r="11" spans="1:5" x14ac:dyDescent="0.25">
      <c r="A11" s="155" t="s">
        <v>121</v>
      </c>
      <c r="B11" s="164">
        <f>'Eligible Customers WP'!I32</f>
        <v>479</v>
      </c>
      <c r="C11" s="169">
        <f t="shared" si="0"/>
        <v>254273.89868224884</v>
      </c>
      <c r="D11" s="169">
        <f t="shared" si="1"/>
        <v>-5469.09</v>
      </c>
      <c r="E11" s="169">
        <f t="shared" si="2"/>
        <v>-1308159.4034112445</v>
      </c>
    </row>
    <row r="12" spans="1:5" x14ac:dyDescent="0.25">
      <c r="A12" s="155" t="s">
        <v>122</v>
      </c>
      <c r="B12" s="164">
        <f>'Eligible Customers WP'!J32</f>
        <v>479</v>
      </c>
      <c r="C12" s="169">
        <f t="shared" si="0"/>
        <v>254273.89868224884</v>
      </c>
      <c r="D12" s="169">
        <f t="shared" si="1"/>
        <v>-4517.41</v>
      </c>
      <c r="E12" s="169">
        <f>E11+C12+D12</f>
        <v>-1058402.9147289956</v>
      </c>
    </row>
    <row r="13" spans="1:5" x14ac:dyDescent="0.25">
      <c r="A13" s="155" t="s">
        <v>123</v>
      </c>
      <c r="B13" s="164">
        <f>'Eligible Customers WP'!K32</f>
        <v>479</v>
      </c>
      <c r="C13" s="169">
        <f t="shared" si="0"/>
        <v>254273.89868224884</v>
      </c>
      <c r="D13" s="169">
        <f t="shared" si="1"/>
        <v>-3562.09</v>
      </c>
      <c r="E13" s="169">
        <f t="shared" si="2"/>
        <v>-807691.10604674683</v>
      </c>
    </row>
    <row r="14" spans="1:5" x14ac:dyDescent="0.25">
      <c r="A14" s="155" t="s">
        <v>124</v>
      </c>
      <c r="B14" s="164">
        <f>'Eligible Customers WP'!L32</f>
        <v>479</v>
      </c>
      <c r="C14" s="169">
        <f t="shared" si="0"/>
        <v>254273.89868224884</v>
      </c>
      <c r="D14" s="169">
        <f t="shared" si="1"/>
        <v>-2603.12</v>
      </c>
      <c r="E14" s="169">
        <f t="shared" si="2"/>
        <v>-556020.32736449793</v>
      </c>
    </row>
    <row r="15" spans="1:5" x14ac:dyDescent="0.25">
      <c r="A15" s="155" t="s">
        <v>125</v>
      </c>
      <c r="B15" s="164">
        <f>'Eligible Customers WP'!M32</f>
        <v>479</v>
      </c>
      <c r="C15" s="169">
        <f t="shared" si="0"/>
        <v>254273.89868224884</v>
      </c>
      <c r="D15" s="169">
        <f t="shared" si="1"/>
        <v>-1640.48</v>
      </c>
      <c r="E15" s="169">
        <f t="shared" si="2"/>
        <v>-303386.90868224908</v>
      </c>
    </row>
    <row r="16" spans="1:5" x14ac:dyDescent="0.25">
      <c r="A16" s="155" t="s">
        <v>126</v>
      </c>
      <c r="B16" s="164">
        <f>'Eligible Customers WP'!N32</f>
        <v>479</v>
      </c>
      <c r="C16" s="169">
        <f t="shared" si="0"/>
        <v>254273.89868224884</v>
      </c>
      <c r="D16" s="169">
        <f t="shared" si="1"/>
        <v>-674.16</v>
      </c>
      <c r="E16" s="169">
        <f t="shared" si="2"/>
        <v>-49787.170000000246</v>
      </c>
    </row>
    <row r="17" spans="1:5" x14ac:dyDescent="0.25">
      <c r="B17" s="254"/>
      <c r="C17" s="162"/>
      <c r="D17" s="162"/>
      <c r="E17" s="162"/>
    </row>
    <row r="18" spans="1:5" x14ac:dyDescent="0.25">
      <c r="A18" s="156" t="s">
        <v>19</v>
      </c>
      <c r="B18" s="164">
        <f>SUM(B7:B16)</f>
        <v>4790</v>
      </c>
      <c r="C18" s="169">
        <f>SUM(C7:C16)</f>
        <v>2542738.9868224883</v>
      </c>
      <c r="D18" s="169">
        <f>SUM(D7:D16)</f>
        <v>-49787.170000000013</v>
      </c>
      <c r="E18" s="169">
        <f>C18+E6</f>
        <v>0</v>
      </c>
    </row>
    <row r="20" spans="1:5" x14ac:dyDescent="0.25">
      <c r="A20" s="156"/>
      <c r="C20" s="170"/>
    </row>
    <row r="22" spans="1:5" x14ac:dyDescent="0.25">
      <c r="C22" s="155" t="s">
        <v>211</v>
      </c>
      <c r="D22" s="169"/>
      <c r="E22" s="169">
        <f>E6</f>
        <v>-2542738.9868224883</v>
      </c>
    </row>
    <row r="23" spans="1:5" ht="15.75" thickBot="1" x14ac:dyDescent="0.3">
      <c r="A23" s="156"/>
      <c r="B23" s="170"/>
      <c r="C23" s="251" t="s">
        <v>6</v>
      </c>
      <c r="D23" s="252"/>
      <c r="E23" s="252">
        <f>D18</f>
        <v>-49787.170000000013</v>
      </c>
    </row>
    <row r="24" spans="1:5" ht="15.75" thickTop="1" x14ac:dyDescent="0.25">
      <c r="D24" s="169"/>
      <c r="E24" s="169">
        <f>SUM(E22:E23)</f>
        <v>-2592526.1568224882</v>
      </c>
    </row>
    <row r="25" spans="1:5" x14ac:dyDescent="0.25">
      <c r="D25" s="169"/>
      <c r="E25" s="169"/>
    </row>
  </sheetData>
  <mergeCells count="1">
    <mergeCell ref="A4:E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F5AA6-0BFA-4F49-B341-CBB16D4D9D00}">
  <sheetPr codeName="Sheet16"/>
  <dimension ref="A1:E25"/>
  <sheetViews>
    <sheetView workbookViewId="0">
      <selection activeCell="F6" sqref="F6"/>
    </sheetView>
  </sheetViews>
  <sheetFormatPr defaultRowHeight="15" x14ac:dyDescent="0.25"/>
  <cols>
    <col min="1" max="1" width="14.85546875" style="155" customWidth="1"/>
    <col min="2" max="2" width="11.28515625" style="155" customWidth="1"/>
    <col min="3" max="3" width="14.28515625" style="155" bestFit="1" customWidth="1"/>
    <col min="4" max="4" width="13.42578125" style="155" bestFit="1" customWidth="1"/>
    <col min="5" max="5" width="15" style="155" bestFit="1" customWidth="1"/>
    <col min="6" max="6" width="32.140625" style="155" bestFit="1" customWidth="1"/>
    <col min="7" max="8" width="18" style="155" bestFit="1" customWidth="1"/>
    <col min="9" max="16384" width="9.140625" style="155"/>
  </cols>
  <sheetData>
    <row r="1" spans="1:5" x14ac:dyDescent="0.25">
      <c r="A1" s="155" t="s">
        <v>0</v>
      </c>
    </row>
    <row r="2" spans="1:5" x14ac:dyDescent="0.25">
      <c r="A2" s="325" t="s">
        <v>403</v>
      </c>
    </row>
    <row r="3" spans="1:5" x14ac:dyDescent="0.25">
      <c r="A3" s="155" t="s">
        <v>2</v>
      </c>
    </row>
    <row r="4" spans="1:5" x14ac:dyDescent="0.25">
      <c r="A4" s="460" t="s">
        <v>221</v>
      </c>
      <c r="B4" s="460"/>
      <c r="C4" s="460"/>
      <c r="D4" s="460"/>
      <c r="E4" s="460"/>
    </row>
    <row r="5" spans="1:5" ht="30" x14ac:dyDescent="0.25">
      <c r="A5" s="255"/>
      <c r="B5" s="248" t="s">
        <v>80</v>
      </c>
      <c r="C5" s="248" t="s">
        <v>211</v>
      </c>
      <c r="D5" s="248" t="s">
        <v>6</v>
      </c>
      <c r="E5" s="248" t="s">
        <v>212</v>
      </c>
    </row>
    <row r="6" spans="1:5" x14ac:dyDescent="0.25">
      <c r="D6" s="256">
        <v>4.5900000000000003E-2</v>
      </c>
      <c r="E6" s="169">
        <v>-2780478.060653504</v>
      </c>
    </row>
    <row r="7" spans="1:5" x14ac:dyDescent="0.25">
      <c r="A7" s="155" t="s">
        <v>117</v>
      </c>
      <c r="B7" s="155">
        <f>'Eligible Customers WP'!E34</f>
        <v>89</v>
      </c>
      <c r="C7" s="169">
        <f t="shared" ref="C7:C16" si="0">-(B7/$B$18)*$E$6</f>
        <v>278047.80606535042</v>
      </c>
      <c r="D7" s="169">
        <f>ROUND((E6+(C7/2))*$D$6/12,2)</f>
        <v>-10103.56</v>
      </c>
      <c r="E7" s="169">
        <f>E6+C7+D7</f>
        <v>-2512533.8145881537</v>
      </c>
    </row>
    <row r="8" spans="1:5" x14ac:dyDescent="0.25">
      <c r="A8" s="155" t="s">
        <v>118</v>
      </c>
      <c r="B8" s="155">
        <f>'Eligible Customers WP'!F34</f>
        <v>89</v>
      </c>
      <c r="C8" s="169">
        <f t="shared" si="0"/>
        <v>278047.80606535042</v>
      </c>
      <c r="D8" s="169">
        <f t="shared" ref="D8:D16" si="1">ROUND((E7+(C8/2))*$D$6/12,2)</f>
        <v>-9078.68</v>
      </c>
      <c r="E8" s="169">
        <f t="shared" ref="E8:E16" si="2">E7+C8+D8</f>
        <v>-2243564.6885228036</v>
      </c>
    </row>
    <row r="9" spans="1:5" x14ac:dyDescent="0.25">
      <c r="A9" s="155" t="s">
        <v>119</v>
      </c>
      <c r="B9" s="155">
        <f>'Eligible Customers WP'!G34</f>
        <v>89</v>
      </c>
      <c r="C9" s="169">
        <f t="shared" si="0"/>
        <v>278047.80606535042</v>
      </c>
      <c r="D9" s="169">
        <f t="shared" si="1"/>
        <v>-8049.87</v>
      </c>
      <c r="E9" s="169">
        <f>E8+C9+D9</f>
        <v>-1973566.7524574534</v>
      </c>
    </row>
    <row r="10" spans="1:5" x14ac:dyDescent="0.25">
      <c r="A10" s="155" t="s">
        <v>120</v>
      </c>
      <c r="B10" s="155">
        <f>'Eligible Customers WP'!H34</f>
        <v>89</v>
      </c>
      <c r="C10" s="169">
        <f t="shared" si="0"/>
        <v>278047.80606535042</v>
      </c>
      <c r="D10" s="169">
        <f t="shared" si="1"/>
        <v>-7017.13</v>
      </c>
      <c r="E10" s="169">
        <f t="shared" si="2"/>
        <v>-1702536.076392103</v>
      </c>
    </row>
    <row r="11" spans="1:5" x14ac:dyDescent="0.25">
      <c r="A11" s="155" t="s">
        <v>121</v>
      </c>
      <c r="B11" s="155">
        <f>'Eligible Customers WP'!I34</f>
        <v>89</v>
      </c>
      <c r="C11" s="169">
        <f t="shared" si="0"/>
        <v>278047.80606535042</v>
      </c>
      <c r="D11" s="169">
        <f t="shared" si="1"/>
        <v>-5980.43</v>
      </c>
      <c r="E11" s="169">
        <f t="shared" si="2"/>
        <v>-1430468.7003267526</v>
      </c>
    </row>
    <row r="12" spans="1:5" x14ac:dyDescent="0.25">
      <c r="A12" s="155" t="s">
        <v>122</v>
      </c>
      <c r="B12" s="155">
        <f>'Eligible Customers WP'!J34</f>
        <v>89</v>
      </c>
      <c r="C12" s="169">
        <f t="shared" si="0"/>
        <v>278047.80606535042</v>
      </c>
      <c r="D12" s="169">
        <f t="shared" si="1"/>
        <v>-4939.78</v>
      </c>
      <c r="E12" s="169">
        <f>E11+C12+D12</f>
        <v>-1157360.6742614021</v>
      </c>
    </row>
    <row r="13" spans="1:5" x14ac:dyDescent="0.25">
      <c r="A13" s="155" t="s">
        <v>123</v>
      </c>
      <c r="B13" s="155">
        <f>'Eligible Customers WP'!K34</f>
        <v>89</v>
      </c>
      <c r="C13" s="169">
        <f t="shared" si="0"/>
        <v>278047.80606535042</v>
      </c>
      <c r="D13" s="169">
        <f t="shared" si="1"/>
        <v>-3895.14</v>
      </c>
      <c r="E13" s="169">
        <f t="shared" si="2"/>
        <v>-883208.0081960517</v>
      </c>
    </row>
    <row r="14" spans="1:5" x14ac:dyDescent="0.25">
      <c r="A14" s="155" t="s">
        <v>124</v>
      </c>
      <c r="B14" s="155">
        <f>'Eligible Customers WP'!L34</f>
        <v>89</v>
      </c>
      <c r="C14" s="169">
        <f t="shared" si="0"/>
        <v>278047.80606535042</v>
      </c>
      <c r="D14" s="169">
        <f t="shared" si="1"/>
        <v>-2846.5</v>
      </c>
      <c r="E14" s="169">
        <f t="shared" si="2"/>
        <v>-608006.70213070128</v>
      </c>
    </row>
    <row r="15" spans="1:5" ht="15.75" customHeight="1" x14ac:dyDescent="0.25">
      <c r="A15" s="155" t="s">
        <v>125</v>
      </c>
      <c r="B15" s="155">
        <f>'Eligible Customers WP'!M34</f>
        <v>89</v>
      </c>
      <c r="C15" s="169">
        <f t="shared" si="0"/>
        <v>278047.80606535042</v>
      </c>
      <c r="D15" s="169">
        <f t="shared" si="1"/>
        <v>-1793.86</v>
      </c>
      <c r="E15" s="169">
        <f t="shared" si="2"/>
        <v>-331752.75606535084</v>
      </c>
    </row>
    <row r="16" spans="1:5" x14ac:dyDescent="0.25">
      <c r="A16" s="155" t="s">
        <v>126</v>
      </c>
      <c r="B16" s="155">
        <f>'Eligible Customers WP'!N34</f>
        <v>89</v>
      </c>
      <c r="C16" s="169">
        <f t="shared" si="0"/>
        <v>278047.80606535042</v>
      </c>
      <c r="D16" s="169">
        <f t="shared" si="1"/>
        <v>-737.19</v>
      </c>
      <c r="E16" s="169">
        <f t="shared" si="2"/>
        <v>-54442.140000000421</v>
      </c>
    </row>
    <row r="17" spans="1:5" x14ac:dyDescent="0.25">
      <c r="B17" s="162"/>
      <c r="C17" s="162"/>
      <c r="D17" s="162"/>
      <c r="E17" s="162"/>
    </row>
    <row r="18" spans="1:5" x14ac:dyDescent="0.25">
      <c r="A18" s="156" t="s">
        <v>19</v>
      </c>
      <c r="B18" s="164">
        <f>SUM(B7:B16)</f>
        <v>890</v>
      </c>
      <c r="C18" s="169">
        <f>SUM(C7:C16)</f>
        <v>2780478.0606535035</v>
      </c>
      <c r="D18" s="169">
        <f>SUM(D7:D16)</f>
        <v>-54442.14</v>
      </c>
      <c r="E18" s="169">
        <f>C18+E6</f>
        <v>0</v>
      </c>
    </row>
    <row r="19" spans="1:5" x14ac:dyDescent="0.25">
      <c r="A19" s="156"/>
    </row>
    <row r="20" spans="1:5" x14ac:dyDescent="0.25">
      <c r="A20" s="156"/>
      <c r="C20" s="170"/>
    </row>
    <row r="21" spans="1:5" x14ac:dyDescent="0.25">
      <c r="A21" s="156"/>
    </row>
    <row r="22" spans="1:5" x14ac:dyDescent="0.25">
      <c r="A22" s="156"/>
      <c r="C22" s="155" t="s">
        <v>211</v>
      </c>
      <c r="D22" s="169"/>
      <c r="E22" s="169">
        <f>E6</f>
        <v>-2780478.060653504</v>
      </c>
    </row>
    <row r="23" spans="1:5" ht="15.75" thickBot="1" x14ac:dyDescent="0.3">
      <c r="A23" s="156"/>
      <c r="B23" s="170"/>
      <c r="C23" s="251" t="s">
        <v>6</v>
      </c>
      <c r="D23" s="252"/>
      <c r="E23" s="252">
        <f>D18</f>
        <v>-54442.14</v>
      </c>
    </row>
    <row r="24" spans="1:5" ht="15.75" thickTop="1" x14ac:dyDescent="0.25">
      <c r="D24" s="169"/>
      <c r="E24" s="169">
        <f>SUM(E22:E23)</f>
        <v>-2834920.2006535041</v>
      </c>
    </row>
    <row r="25" spans="1:5" x14ac:dyDescent="0.25">
      <c r="D25" s="169"/>
      <c r="E25" s="169"/>
    </row>
  </sheetData>
  <mergeCells count="1">
    <mergeCell ref="A4:E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E0BA0-5BB1-40AC-A020-D5B2AB37FB69}">
  <sheetPr codeName="Sheet17"/>
  <dimension ref="A1:E25"/>
  <sheetViews>
    <sheetView workbookViewId="0">
      <selection activeCell="F8" sqref="F8"/>
    </sheetView>
  </sheetViews>
  <sheetFormatPr defaultRowHeight="15" x14ac:dyDescent="0.25"/>
  <cols>
    <col min="1" max="1" width="9.140625" style="155"/>
    <col min="2" max="2" width="15.42578125" style="155" bestFit="1" customWidth="1"/>
    <col min="3" max="3" width="16.28515625" style="155" customWidth="1"/>
    <col min="4" max="4" width="11.28515625" style="155" bestFit="1" customWidth="1"/>
    <col min="5" max="5" width="13.42578125" style="155" bestFit="1" customWidth="1"/>
    <col min="6" max="6" width="32.140625" style="155" bestFit="1" customWidth="1"/>
    <col min="7" max="8" width="16.28515625" style="155" bestFit="1" customWidth="1"/>
    <col min="9" max="16384" width="9.140625" style="155"/>
  </cols>
  <sheetData>
    <row r="1" spans="1:5" x14ac:dyDescent="0.25">
      <c r="A1" s="155" t="s">
        <v>0</v>
      </c>
    </row>
    <row r="2" spans="1:5" x14ac:dyDescent="0.25">
      <c r="A2" s="325" t="s">
        <v>403</v>
      </c>
    </row>
    <row r="3" spans="1:5" x14ac:dyDescent="0.25">
      <c r="A3" s="155" t="s">
        <v>2</v>
      </c>
    </row>
    <row r="4" spans="1:5" x14ac:dyDescent="0.25">
      <c r="A4" s="460" t="s">
        <v>222</v>
      </c>
      <c r="B4" s="460"/>
      <c r="C4" s="460"/>
      <c r="D4" s="460"/>
      <c r="E4" s="460"/>
    </row>
    <row r="5" spans="1:5" x14ac:dyDescent="0.25">
      <c r="A5" s="247"/>
      <c r="B5" s="248" t="s">
        <v>80</v>
      </c>
      <c r="C5" s="248" t="s">
        <v>211</v>
      </c>
      <c r="D5" s="248" t="s">
        <v>6</v>
      </c>
      <c r="E5" s="248" t="s">
        <v>212</v>
      </c>
    </row>
    <row r="6" spans="1:5" x14ac:dyDescent="0.25">
      <c r="A6" s="247"/>
      <c r="B6" s="248"/>
      <c r="C6" s="248"/>
      <c r="D6" s="249">
        <v>4.5900000000000003E-2</v>
      </c>
      <c r="E6" s="253">
        <v>-342874.27410906128</v>
      </c>
    </row>
    <row r="7" spans="1:5" x14ac:dyDescent="0.25">
      <c r="A7" s="155" t="s">
        <v>117</v>
      </c>
      <c r="B7" s="164">
        <f>'Eligible Customers WP'!E36</f>
        <v>6</v>
      </c>
      <c r="C7" s="169">
        <f t="shared" ref="C7:C16" si="0">-(B7/$B$18)*$E$6</f>
        <v>34287.42741090613</v>
      </c>
      <c r="D7" s="169">
        <f>ROUND((E6+(C7/2))*$D$6/12,2)</f>
        <v>-1245.92</v>
      </c>
      <c r="E7" s="169">
        <f>E6+C7+D7</f>
        <v>-309832.76669815514</v>
      </c>
    </row>
    <row r="8" spans="1:5" x14ac:dyDescent="0.25">
      <c r="A8" s="155" t="s">
        <v>118</v>
      </c>
      <c r="B8" s="164">
        <f>'Eligible Customers WP'!F36</f>
        <v>6</v>
      </c>
      <c r="C8" s="169">
        <f t="shared" si="0"/>
        <v>34287.42741090613</v>
      </c>
      <c r="D8" s="169">
        <f t="shared" ref="D8:D16" si="1">ROUND((E7+(C8/2))*$D$6/12,2)</f>
        <v>-1119.54</v>
      </c>
      <c r="E8" s="169">
        <f t="shared" ref="E8:E16" si="2">E7+C8+D8</f>
        <v>-276664.879287249</v>
      </c>
    </row>
    <row r="9" spans="1:5" x14ac:dyDescent="0.25">
      <c r="A9" s="155" t="s">
        <v>119</v>
      </c>
      <c r="B9" s="164">
        <f>'Eligible Customers WP'!G36</f>
        <v>6</v>
      </c>
      <c r="C9" s="169">
        <f t="shared" si="0"/>
        <v>34287.42741090613</v>
      </c>
      <c r="D9" s="169">
        <f t="shared" si="1"/>
        <v>-992.67</v>
      </c>
      <c r="E9" s="169">
        <f>E8+C9+D9</f>
        <v>-243370.12187634289</v>
      </c>
    </row>
    <row r="10" spans="1:5" x14ac:dyDescent="0.25">
      <c r="A10" s="155" t="s">
        <v>120</v>
      </c>
      <c r="B10" s="164">
        <f>'Eligible Customers WP'!H36</f>
        <v>6</v>
      </c>
      <c r="C10" s="169">
        <f t="shared" si="0"/>
        <v>34287.42741090613</v>
      </c>
      <c r="D10" s="169">
        <f t="shared" si="1"/>
        <v>-865.32</v>
      </c>
      <c r="E10" s="169">
        <f t="shared" si="2"/>
        <v>-209948.01446543678</v>
      </c>
    </row>
    <row r="11" spans="1:5" x14ac:dyDescent="0.25">
      <c r="A11" s="155" t="s">
        <v>121</v>
      </c>
      <c r="B11" s="164">
        <f>'Eligible Customers WP'!I36</f>
        <v>6</v>
      </c>
      <c r="C11" s="169">
        <f t="shared" si="0"/>
        <v>34287.42741090613</v>
      </c>
      <c r="D11" s="169">
        <f t="shared" si="1"/>
        <v>-737.48</v>
      </c>
      <c r="E11" s="169">
        <f t="shared" si="2"/>
        <v>-176398.06705453066</v>
      </c>
    </row>
    <row r="12" spans="1:5" x14ac:dyDescent="0.25">
      <c r="A12" s="155" t="s">
        <v>122</v>
      </c>
      <c r="B12" s="164">
        <f>'Eligible Customers WP'!J36</f>
        <v>6</v>
      </c>
      <c r="C12" s="169">
        <f t="shared" si="0"/>
        <v>34287.42741090613</v>
      </c>
      <c r="D12" s="169">
        <f t="shared" si="1"/>
        <v>-609.15</v>
      </c>
      <c r="E12" s="169">
        <f>E11+C12+D12</f>
        <v>-142719.78964362454</v>
      </c>
    </row>
    <row r="13" spans="1:5" x14ac:dyDescent="0.25">
      <c r="A13" s="155" t="s">
        <v>123</v>
      </c>
      <c r="B13" s="164">
        <f>'Eligible Customers WP'!K36</f>
        <v>6</v>
      </c>
      <c r="C13" s="169">
        <f t="shared" si="0"/>
        <v>34287.42741090613</v>
      </c>
      <c r="D13" s="169">
        <f t="shared" si="1"/>
        <v>-480.33</v>
      </c>
      <c r="E13" s="169">
        <f t="shared" si="2"/>
        <v>-108912.69223271841</v>
      </c>
    </row>
    <row r="14" spans="1:5" x14ac:dyDescent="0.25">
      <c r="A14" s="155" t="s">
        <v>124</v>
      </c>
      <c r="B14" s="164">
        <f>'Eligible Customers WP'!L36</f>
        <v>6</v>
      </c>
      <c r="C14" s="169">
        <f t="shared" si="0"/>
        <v>34287.42741090613</v>
      </c>
      <c r="D14" s="169">
        <f t="shared" si="1"/>
        <v>-351.02</v>
      </c>
      <c r="E14" s="169">
        <f t="shared" si="2"/>
        <v>-74976.284821812282</v>
      </c>
    </row>
    <row r="15" spans="1:5" x14ac:dyDescent="0.25">
      <c r="A15" s="155" t="s">
        <v>125</v>
      </c>
      <c r="B15" s="164">
        <f>'Eligible Customers WP'!M36</f>
        <v>6</v>
      </c>
      <c r="C15" s="169">
        <f t="shared" si="0"/>
        <v>34287.42741090613</v>
      </c>
      <c r="D15" s="169">
        <f t="shared" si="1"/>
        <v>-221.21</v>
      </c>
      <c r="E15" s="169">
        <f t="shared" si="2"/>
        <v>-40910.067410906151</v>
      </c>
    </row>
    <row r="16" spans="1:5" x14ac:dyDescent="0.25">
      <c r="A16" s="155" t="s">
        <v>126</v>
      </c>
      <c r="B16" s="164">
        <f>'Eligible Customers WP'!N36</f>
        <v>6</v>
      </c>
      <c r="C16" s="169">
        <f t="shared" si="0"/>
        <v>34287.42741090613</v>
      </c>
      <c r="D16" s="169">
        <f t="shared" si="1"/>
        <v>-90.91</v>
      </c>
      <c r="E16" s="169">
        <f t="shared" si="2"/>
        <v>-6713.5500000000211</v>
      </c>
    </row>
    <row r="17" spans="1:5" x14ac:dyDescent="0.25">
      <c r="B17" s="162"/>
      <c r="C17" s="162"/>
      <c r="D17" s="162"/>
      <c r="E17" s="162"/>
    </row>
    <row r="18" spans="1:5" x14ac:dyDescent="0.25">
      <c r="A18" s="156" t="s">
        <v>19</v>
      </c>
      <c r="B18" s="155">
        <f>SUM(B7:B16)</f>
        <v>60</v>
      </c>
      <c r="C18" s="169">
        <f>SUM(C7:C16)</f>
        <v>342874.27410906128</v>
      </c>
      <c r="D18" s="169">
        <f>SUM(D7:D16)</f>
        <v>-6713.55</v>
      </c>
      <c r="E18" s="169">
        <f>C18+E6</f>
        <v>0</v>
      </c>
    </row>
    <row r="20" spans="1:5" x14ac:dyDescent="0.25">
      <c r="A20" s="156"/>
      <c r="C20" s="170"/>
    </row>
    <row r="22" spans="1:5" x14ac:dyDescent="0.25">
      <c r="C22" s="155" t="s">
        <v>211</v>
      </c>
      <c r="D22" s="169"/>
      <c r="E22" s="169">
        <f>E6</f>
        <v>-342874.27410906128</v>
      </c>
    </row>
    <row r="23" spans="1:5" ht="15.75" thickBot="1" x14ac:dyDescent="0.3">
      <c r="A23" s="156"/>
      <c r="B23" s="170"/>
      <c r="C23" s="251" t="s">
        <v>6</v>
      </c>
      <c r="D23" s="252"/>
      <c r="E23" s="252">
        <f>D18</f>
        <v>-6713.55</v>
      </c>
    </row>
    <row r="24" spans="1:5" ht="15.75" thickTop="1" x14ac:dyDescent="0.25">
      <c r="D24" s="169"/>
      <c r="E24" s="169">
        <f>SUM(E22:E23)</f>
        <v>-349587.82410906127</v>
      </c>
    </row>
    <row r="25" spans="1:5" x14ac:dyDescent="0.25">
      <c r="D25" s="169"/>
      <c r="E25" s="169"/>
    </row>
  </sheetData>
  <mergeCells count="1">
    <mergeCell ref="A4:E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5759E-1578-4095-B6FE-5CC56172DFAE}">
  <sheetPr codeName="Sheet18"/>
  <dimension ref="A1:E25"/>
  <sheetViews>
    <sheetView workbookViewId="0">
      <selection activeCell="F17" sqref="F17"/>
    </sheetView>
  </sheetViews>
  <sheetFormatPr defaultRowHeight="15" x14ac:dyDescent="0.25"/>
  <cols>
    <col min="1" max="1" width="9.140625" style="155"/>
    <col min="2" max="2" width="13.85546875" style="155" customWidth="1"/>
    <col min="3" max="3" width="17.5703125" style="155" customWidth="1"/>
    <col min="4" max="4" width="15" style="155" bestFit="1" customWidth="1"/>
    <col min="5" max="5" width="16" style="155" bestFit="1" customWidth="1"/>
    <col min="6" max="6" width="32.140625" style="155" bestFit="1" customWidth="1"/>
    <col min="7" max="8" width="20" style="155" bestFit="1" customWidth="1"/>
    <col min="9" max="16384" width="9.140625" style="155"/>
  </cols>
  <sheetData>
    <row r="1" spans="1:5" x14ac:dyDescent="0.25">
      <c r="A1" s="155" t="s">
        <v>0</v>
      </c>
    </row>
    <row r="2" spans="1:5" x14ac:dyDescent="0.25">
      <c r="A2" s="325" t="s">
        <v>403</v>
      </c>
    </row>
    <row r="3" spans="1:5" x14ac:dyDescent="0.25">
      <c r="A3" s="155" t="s">
        <v>2</v>
      </c>
    </row>
    <row r="4" spans="1:5" x14ac:dyDescent="0.25">
      <c r="A4" s="460" t="s">
        <v>223</v>
      </c>
      <c r="B4" s="460"/>
      <c r="C4" s="460"/>
      <c r="D4" s="460"/>
      <c r="E4" s="460"/>
    </row>
    <row r="5" spans="1:5" ht="30" x14ac:dyDescent="0.25">
      <c r="A5" s="247"/>
      <c r="B5" s="248" t="s">
        <v>80</v>
      </c>
      <c r="C5" s="248" t="s">
        <v>211</v>
      </c>
      <c r="D5" s="248" t="s">
        <v>6</v>
      </c>
      <c r="E5" s="248" t="s">
        <v>212</v>
      </c>
    </row>
    <row r="6" spans="1:5" x14ac:dyDescent="0.25">
      <c r="A6" s="247"/>
      <c r="B6" s="248"/>
      <c r="C6" s="248"/>
      <c r="D6" s="249">
        <v>4.5900000000000003E-2</v>
      </c>
      <c r="E6" s="253">
        <v>-53190336.580304615</v>
      </c>
    </row>
    <row r="7" spans="1:5" x14ac:dyDescent="0.25">
      <c r="A7" s="155" t="s">
        <v>117</v>
      </c>
      <c r="B7" s="164">
        <f>'Eligible Customers WP'!E38</f>
        <v>170</v>
      </c>
      <c r="C7" s="169">
        <f t="shared" ref="C7:C16" si="0">-(B7/$B$18)*$E$6</f>
        <v>5319033.6580304615</v>
      </c>
      <c r="D7" s="169">
        <f>ROUND((E6+(C7/2))*$D$6/12,2)</f>
        <v>-193280.39</v>
      </c>
      <c r="E7" s="169">
        <f>E6+C7+D7</f>
        <v>-48064583.312274158</v>
      </c>
    </row>
    <row r="8" spans="1:5" x14ac:dyDescent="0.25">
      <c r="A8" s="155" t="s">
        <v>118</v>
      </c>
      <c r="B8" s="164">
        <f>'Eligible Customers WP'!F38</f>
        <v>170</v>
      </c>
      <c r="C8" s="169">
        <f t="shared" si="0"/>
        <v>5319033.6580304615</v>
      </c>
      <c r="D8" s="169">
        <f t="shared" ref="D8:D16" si="1">ROUND((E7+(C8/2))*$D$6/12,2)</f>
        <v>-173674.38</v>
      </c>
      <c r="E8" s="169">
        <f t="shared" ref="E8:E16" si="2">E7+C8+D8</f>
        <v>-42919224.034243695</v>
      </c>
    </row>
    <row r="9" spans="1:5" x14ac:dyDescent="0.25">
      <c r="A9" s="155" t="s">
        <v>119</v>
      </c>
      <c r="B9" s="164">
        <f>'Eligible Customers WP'!G38</f>
        <v>170</v>
      </c>
      <c r="C9" s="169">
        <f t="shared" si="0"/>
        <v>5319033.6580304615</v>
      </c>
      <c r="D9" s="169">
        <f t="shared" si="1"/>
        <v>-153993.38</v>
      </c>
      <c r="E9" s="169">
        <f>E8+C9+D9</f>
        <v>-37754183.75621324</v>
      </c>
    </row>
    <row r="10" spans="1:5" x14ac:dyDescent="0.25">
      <c r="A10" s="155" t="s">
        <v>120</v>
      </c>
      <c r="B10" s="164">
        <f>'Eligible Customers WP'!H38</f>
        <v>170</v>
      </c>
      <c r="C10" s="169">
        <f t="shared" si="0"/>
        <v>5319033.6580304615</v>
      </c>
      <c r="D10" s="169">
        <f t="shared" si="1"/>
        <v>-134237.1</v>
      </c>
      <c r="E10" s="169">
        <f t="shared" si="2"/>
        <v>-32569387.19818278</v>
      </c>
    </row>
    <row r="11" spans="1:5" x14ac:dyDescent="0.25">
      <c r="A11" s="155" t="s">
        <v>121</v>
      </c>
      <c r="B11" s="164">
        <f>'Eligible Customers WP'!I38</f>
        <v>170</v>
      </c>
      <c r="C11" s="169">
        <f t="shared" si="0"/>
        <v>5319033.6580304615</v>
      </c>
      <c r="D11" s="169">
        <f t="shared" si="1"/>
        <v>-114405.25</v>
      </c>
      <c r="E11" s="169">
        <f t="shared" si="2"/>
        <v>-27364758.790152319</v>
      </c>
    </row>
    <row r="12" spans="1:5" x14ac:dyDescent="0.25">
      <c r="A12" s="155" t="s">
        <v>122</v>
      </c>
      <c r="B12" s="164">
        <f>'Eligible Customers WP'!J38</f>
        <v>170</v>
      </c>
      <c r="C12" s="169">
        <f t="shared" si="0"/>
        <v>5319033.6580304615</v>
      </c>
      <c r="D12" s="169">
        <f t="shared" si="1"/>
        <v>-94497.55</v>
      </c>
      <c r="E12" s="169">
        <f>E11+C12+D12</f>
        <v>-22140222.682121858</v>
      </c>
    </row>
    <row r="13" spans="1:5" x14ac:dyDescent="0.25">
      <c r="A13" s="155" t="s">
        <v>123</v>
      </c>
      <c r="B13" s="164">
        <f>'Eligible Customers WP'!K38</f>
        <v>170</v>
      </c>
      <c r="C13" s="169">
        <f t="shared" si="0"/>
        <v>5319033.6580304615</v>
      </c>
      <c r="D13" s="169">
        <f t="shared" si="1"/>
        <v>-74513.7</v>
      </c>
      <c r="E13" s="169">
        <f t="shared" si="2"/>
        <v>-16895702.724091396</v>
      </c>
    </row>
    <row r="14" spans="1:5" x14ac:dyDescent="0.25">
      <c r="A14" s="155" t="s">
        <v>124</v>
      </c>
      <c r="B14" s="164">
        <f>'Eligible Customers WP'!L38</f>
        <v>170</v>
      </c>
      <c r="C14" s="169">
        <f t="shared" si="0"/>
        <v>5319033.6580304615</v>
      </c>
      <c r="D14" s="169">
        <f t="shared" si="1"/>
        <v>-54453.41</v>
      </c>
      <c r="E14" s="169">
        <f t="shared" si="2"/>
        <v>-11631122.476060934</v>
      </c>
    </row>
    <row r="15" spans="1:5" x14ac:dyDescent="0.25">
      <c r="A15" s="155" t="s">
        <v>125</v>
      </c>
      <c r="B15" s="164">
        <f>'Eligible Customers WP'!M38</f>
        <v>170</v>
      </c>
      <c r="C15" s="169">
        <f t="shared" si="0"/>
        <v>5319033.6580304615</v>
      </c>
      <c r="D15" s="169">
        <f t="shared" si="1"/>
        <v>-34316.39</v>
      </c>
      <c r="E15" s="169">
        <f t="shared" si="2"/>
        <v>-6346405.2080304725</v>
      </c>
    </row>
    <row r="16" spans="1:5" x14ac:dyDescent="0.25">
      <c r="A16" s="155" t="s">
        <v>126</v>
      </c>
      <c r="B16" s="164">
        <f>'Eligible Customers WP'!N38</f>
        <v>170</v>
      </c>
      <c r="C16" s="169">
        <f t="shared" si="0"/>
        <v>5319033.6580304615</v>
      </c>
      <c r="D16" s="169">
        <f t="shared" si="1"/>
        <v>-14102.35</v>
      </c>
      <c r="E16" s="169">
        <f t="shared" si="2"/>
        <v>-1041473.900000011</v>
      </c>
    </row>
    <row r="17" spans="1:5" x14ac:dyDescent="0.25">
      <c r="B17" s="162"/>
      <c r="C17" s="162"/>
      <c r="D17" s="162"/>
      <c r="E17" s="162"/>
    </row>
    <row r="18" spans="1:5" x14ac:dyDescent="0.25">
      <c r="A18" s="156" t="s">
        <v>19</v>
      </c>
      <c r="B18" s="164">
        <f>SUM(B7:B16)</f>
        <v>1700</v>
      </c>
      <c r="C18" s="169">
        <f>SUM(C7:C16)</f>
        <v>53190336.580304623</v>
      </c>
      <c r="D18" s="169">
        <f>SUM(D7:D16)</f>
        <v>-1041473.9</v>
      </c>
      <c r="E18" s="169">
        <f>C18+E6</f>
        <v>0</v>
      </c>
    </row>
    <row r="20" spans="1:5" x14ac:dyDescent="0.25">
      <c r="A20" s="156"/>
      <c r="C20" s="170"/>
    </row>
    <row r="22" spans="1:5" x14ac:dyDescent="0.25">
      <c r="C22" s="155" t="s">
        <v>211</v>
      </c>
      <c r="D22" s="169"/>
      <c r="E22" s="169">
        <f>E6</f>
        <v>-53190336.580304615</v>
      </c>
    </row>
    <row r="23" spans="1:5" ht="15.75" thickBot="1" x14ac:dyDescent="0.3">
      <c r="A23" s="156"/>
      <c r="B23" s="170"/>
      <c r="C23" s="251" t="s">
        <v>6</v>
      </c>
      <c r="D23" s="252"/>
      <c r="E23" s="252">
        <f>D18</f>
        <v>-1041473.9</v>
      </c>
    </row>
    <row r="24" spans="1:5" ht="15.75" thickTop="1" x14ac:dyDescent="0.25">
      <c r="D24" s="169"/>
      <c r="E24" s="169">
        <f>SUM(E22:E23)</f>
        <v>-54231810.480304614</v>
      </c>
    </row>
    <row r="25" spans="1:5" x14ac:dyDescent="0.25">
      <c r="D25" s="169"/>
      <c r="E25" s="169"/>
    </row>
  </sheetData>
  <mergeCells count="1">
    <mergeCell ref="A4:E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AC054-C442-482B-9AA1-D742FA25C8B4}">
  <sheetPr codeName="Sheet5"/>
  <dimension ref="A1:V62"/>
  <sheetViews>
    <sheetView workbookViewId="0">
      <selection activeCell="A2" sqref="A2"/>
    </sheetView>
  </sheetViews>
  <sheetFormatPr defaultRowHeight="15" x14ac:dyDescent="0.25"/>
  <cols>
    <col min="1" max="1" width="28.7109375" bestFit="1" customWidth="1"/>
    <col min="2" max="2" width="12.7109375" customWidth="1"/>
    <col min="3" max="3" width="4" customWidth="1"/>
    <col min="4" max="4" width="31.85546875" bestFit="1" customWidth="1"/>
    <col min="5" max="5" width="14.28515625" bestFit="1" customWidth="1"/>
    <col min="6" max="6" width="15.7109375" customWidth="1"/>
    <col min="7" max="7" width="15.28515625" bestFit="1" customWidth="1"/>
    <col min="8" max="8" width="19" bestFit="1" customWidth="1"/>
    <col min="9" max="14" width="13.7109375" bestFit="1" customWidth="1"/>
    <col min="15" max="16" width="14.28515625" bestFit="1" customWidth="1"/>
    <col min="17" max="17" width="15.28515625" bestFit="1" customWidth="1"/>
    <col min="18" max="18" width="12.5703125" bestFit="1" customWidth="1"/>
    <col min="19" max="19" width="14.28515625" bestFit="1" customWidth="1"/>
    <col min="20" max="20" width="12.42578125" bestFit="1" customWidth="1"/>
    <col min="21" max="21" width="21.5703125" bestFit="1" customWidth="1"/>
    <col min="23" max="23" width="18" bestFit="1" customWidth="1"/>
    <col min="24" max="24" width="16.28515625" bestFit="1" customWidth="1"/>
  </cols>
  <sheetData>
    <row r="1" spans="1:22" x14ac:dyDescent="0.25">
      <c r="A1" t="s">
        <v>0</v>
      </c>
    </row>
    <row r="2" spans="1:22" x14ac:dyDescent="0.25">
      <c r="A2" s="325" t="s">
        <v>403</v>
      </c>
    </row>
    <row r="3" spans="1:22" x14ac:dyDescent="0.25">
      <c r="A3" t="s">
        <v>2</v>
      </c>
    </row>
    <row r="4" spans="1:22" ht="15.75" thickBot="1" x14ac:dyDescent="0.3"/>
    <row r="5" spans="1:22" ht="15.75" thickBot="1" x14ac:dyDescent="0.3">
      <c r="A5" s="23" t="s">
        <v>112</v>
      </c>
      <c r="B5" s="24">
        <v>0.05</v>
      </c>
      <c r="C5" s="5"/>
      <c r="D5" s="16"/>
      <c r="E5" s="16"/>
      <c r="F5" s="8"/>
      <c r="G5" s="8"/>
      <c r="H5" s="8"/>
      <c r="I5" s="8"/>
      <c r="J5" s="8"/>
      <c r="K5" s="8"/>
      <c r="L5" s="8"/>
      <c r="M5" s="8"/>
      <c r="N5" s="8"/>
      <c r="O5" s="8"/>
      <c r="P5" s="52"/>
    </row>
    <row r="6" spans="1:22" x14ac:dyDescent="0.25">
      <c r="D6" s="463" t="s">
        <v>113</v>
      </c>
      <c r="E6" s="463"/>
      <c r="F6" s="463"/>
      <c r="G6" s="463"/>
      <c r="H6" s="463"/>
      <c r="I6" s="463"/>
      <c r="J6" s="463"/>
      <c r="K6" s="463"/>
      <c r="L6" s="463"/>
      <c r="M6" s="463"/>
      <c r="N6" s="463"/>
      <c r="O6" s="463"/>
      <c r="P6" s="463"/>
      <c r="U6" s="5"/>
      <c r="V6" s="48"/>
    </row>
    <row r="7" spans="1:22" x14ac:dyDescent="0.25">
      <c r="A7" s="462" t="s">
        <v>114</v>
      </c>
      <c r="B7" s="462"/>
      <c r="D7" s="112" t="s">
        <v>115</v>
      </c>
      <c r="E7" s="113" t="s">
        <v>117</v>
      </c>
      <c r="F7" s="113" t="s">
        <v>118</v>
      </c>
      <c r="G7" s="113" t="s">
        <v>119</v>
      </c>
      <c r="H7" s="113" t="s">
        <v>120</v>
      </c>
      <c r="I7" s="113" t="s">
        <v>121</v>
      </c>
      <c r="J7" s="113" t="s">
        <v>122</v>
      </c>
      <c r="K7" s="113" t="s">
        <v>123</v>
      </c>
      <c r="L7" s="113" t="s">
        <v>124</v>
      </c>
      <c r="M7" s="114" t="s">
        <v>125</v>
      </c>
      <c r="N7" s="115" t="s">
        <v>126</v>
      </c>
      <c r="O7" s="115" t="s">
        <v>127</v>
      </c>
      <c r="P7" t="s">
        <v>128</v>
      </c>
      <c r="T7" s="15"/>
      <c r="U7" s="48"/>
    </row>
    <row r="8" spans="1:22" x14ac:dyDescent="0.25">
      <c r="A8" s="124" t="s">
        <v>129</v>
      </c>
      <c r="B8" s="45">
        <v>198308</v>
      </c>
      <c r="D8" s="124" t="s">
        <v>129</v>
      </c>
      <c r="E8" s="94">
        <f>'Forecasted Customer Count WP'!G6</f>
        <v>204806</v>
      </c>
      <c r="F8" s="94">
        <f>'Forecasted Customer Count WP'!H6</f>
        <v>204845</v>
      </c>
      <c r="G8" s="94">
        <f>'Forecasted Customer Count WP'!I6</f>
        <v>205168</v>
      </c>
      <c r="H8" s="94">
        <f>'Forecasted Customer Count WP'!J6</f>
        <v>205913</v>
      </c>
      <c r="I8" s="94">
        <f>'Forecasted Customer Count WP'!K6</f>
        <v>206735</v>
      </c>
      <c r="J8" s="94">
        <f>'Forecasted Customer Count WP'!L6</f>
        <v>207441</v>
      </c>
      <c r="K8" s="94">
        <f>'Forecasted Customer Count WP'!M6</f>
        <v>207827</v>
      </c>
      <c r="L8" s="44">
        <f>'Forecasted Customer Count WP'!O6</f>
        <v>208174</v>
      </c>
      <c r="M8" s="44">
        <f>'Forecasted Customer Count WP'!P6</f>
        <v>208439</v>
      </c>
      <c r="N8" s="44">
        <f>'Forecasted Customer Count WP'!Q6</f>
        <v>208502</v>
      </c>
      <c r="O8" s="125">
        <f t="shared" ref="O8:O13" si="0">SUM(E8:N8)</f>
        <v>2067850</v>
      </c>
      <c r="P8" s="93">
        <f t="shared" ref="P8:P13" si="1">AVERAGE(E8:N8)</f>
        <v>206785</v>
      </c>
      <c r="T8" s="15"/>
      <c r="U8" s="48"/>
    </row>
    <row r="9" spans="1:22" x14ac:dyDescent="0.25">
      <c r="A9" s="124" t="s">
        <v>130</v>
      </c>
      <c r="B9" s="87">
        <v>27032</v>
      </c>
      <c r="D9" s="124" t="s">
        <v>130</v>
      </c>
      <c r="E9" s="44">
        <f>'Forecasted Customer Count WP'!G8</f>
        <v>27758</v>
      </c>
      <c r="F9" s="44">
        <f>'Forecasted Customer Count WP'!H8</f>
        <v>27744</v>
      </c>
      <c r="G9" s="44">
        <f>'Forecasted Customer Count WP'!I8</f>
        <v>27763</v>
      </c>
      <c r="H9" s="44">
        <f>'Forecasted Customer Count WP'!J8</f>
        <v>27856</v>
      </c>
      <c r="I9" s="44">
        <f>'Forecasted Customer Count WP'!K8</f>
        <v>28000</v>
      </c>
      <c r="J9" s="44">
        <f>'Forecasted Customer Count WP'!L8</f>
        <v>28138</v>
      </c>
      <c r="K9" s="44">
        <f>'Forecasted Customer Count WP'!M8</f>
        <v>28222</v>
      </c>
      <c r="L9" s="54">
        <f>'Forecasted Customer Count WP'!O8</f>
        <v>28287</v>
      </c>
      <c r="M9" s="54">
        <f>'Forecasted Customer Count WP'!P8</f>
        <v>28303</v>
      </c>
      <c r="N9" s="54">
        <f>'Forecasted Customer Count WP'!Q8</f>
        <v>28294</v>
      </c>
      <c r="O9" s="126">
        <f t="shared" si="0"/>
        <v>280365</v>
      </c>
      <c r="P9" s="95">
        <f t="shared" si="1"/>
        <v>28036.5</v>
      </c>
      <c r="T9" s="15"/>
      <c r="U9" s="48"/>
    </row>
    <row r="10" spans="1:22" x14ac:dyDescent="0.25">
      <c r="A10" s="124" t="s">
        <v>131</v>
      </c>
      <c r="B10" s="86">
        <v>480</v>
      </c>
      <c r="D10" s="124" t="s">
        <v>131</v>
      </c>
      <c r="E10" s="44">
        <f>'Forecasted Customer Count WP'!G12</f>
        <v>496.36599000000001</v>
      </c>
      <c r="F10" s="44">
        <f>'Forecasted Customer Count WP'!H12</f>
        <v>497.40123999999997</v>
      </c>
      <c r="G10" s="44">
        <f>'Forecasted Customer Count WP'!I12</f>
        <v>497.46931000000001</v>
      </c>
      <c r="H10" s="44">
        <f>'Forecasted Customer Count WP'!J12</f>
        <v>498.56065999999998</v>
      </c>
      <c r="I10" s="44">
        <f>'Forecasted Customer Count WP'!K12</f>
        <v>500.65678000000003</v>
      </c>
      <c r="J10" s="44">
        <f>'Forecasted Customer Count WP'!L12</f>
        <v>500.74696</v>
      </c>
      <c r="K10" s="44">
        <f>'Forecasted Customer Count WP'!M12</f>
        <v>500.81135</v>
      </c>
      <c r="L10" s="54">
        <f>'Forecasted Customer Count WP'!O12</f>
        <v>502.84598</v>
      </c>
      <c r="M10" s="54">
        <f>'Forecasted Customer Count WP'!P12</f>
        <v>502.84865000000002</v>
      </c>
      <c r="N10" s="54">
        <f>'Forecasted Customer Count WP'!Q12</f>
        <v>502.83028999999999</v>
      </c>
      <c r="O10" s="126">
        <f t="shared" si="0"/>
        <v>5000.5372100000004</v>
      </c>
      <c r="P10" s="95">
        <f t="shared" si="1"/>
        <v>500.05372100000005</v>
      </c>
      <c r="T10" s="15"/>
      <c r="U10" s="48"/>
    </row>
    <row r="11" spans="1:22" x14ac:dyDescent="0.25">
      <c r="A11" s="124" t="s">
        <v>132</v>
      </c>
      <c r="B11" s="45">
        <v>93</v>
      </c>
      <c r="D11" s="124" t="s">
        <v>132</v>
      </c>
      <c r="E11">
        <f>'Forecasted Customer Count WP'!G21</f>
        <v>97</v>
      </c>
      <c r="F11">
        <f>'Forecasted Customer Count WP'!H21</f>
        <v>98</v>
      </c>
      <c r="G11">
        <f>'Forecasted Customer Count WP'!I21</f>
        <v>100</v>
      </c>
      <c r="H11">
        <f>'Forecasted Customer Count WP'!J21</f>
        <v>101</v>
      </c>
      <c r="I11">
        <f>'Forecasted Customer Count WP'!K21</f>
        <v>101</v>
      </c>
      <c r="J11">
        <f>'Forecasted Customer Count WP'!L21</f>
        <v>101</v>
      </c>
      <c r="K11">
        <f>'Forecasted Customer Count WP'!M21</f>
        <v>101</v>
      </c>
      <c r="L11">
        <f>'Forecasted Customer Count WP'!O21</f>
        <v>101</v>
      </c>
      <c r="M11">
        <f>'Forecasted Customer Count WP'!P21</f>
        <v>101</v>
      </c>
      <c r="N11">
        <f>'Forecasted Customer Count WP'!Q21</f>
        <v>101</v>
      </c>
      <c r="O11" s="126">
        <f t="shared" si="0"/>
        <v>1002</v>
      </c>
      <c r="P11" s="95">
        <f t="shared" si="1"/>
        <v>100.2</v>
      </c>
      <c r="T11" s="15"/>
      <c r="U11" s="48"/>
    </row>
    <row r="12" spans="1:22" x14ac:dyDescent="0.25">
      <c r="A12" s="124" t="s">
        <v>133</v>
      </c>
      <c r="B12" s="46">
        <v>7</v>
      </c>
      <c r="D12" s="124" t="s">
        <v>133</v>
      </c>
      <c r="E12">
        <f>'Forecasted Customer Count WP'!G16</f>
        <v>7</v>
      </c>
      <c r="F12">
        <f>'Forecasted Customer Count WP'!H16</f>
        <v>7</v>
      </c>
      <c r="G12">
        <f>'Forecasted Customer Count WP'!I16</f>
        <v>7</v>
      </c>
      <c r="H12">
        <f>'Forecasted Customer Count WP'!J16</f>
        <v>7</v>
      </c>
      <c r="I12">
        <f>'Forecasted Customer Count WP'!K16</f>
        <v>7</v>
      </c>
      <c r="J12">
        <f>'Forecasted Customer Count WP'!L16</f>
        <v>7</v>
      </c>
      <c r="K12">
        <f>'Forecasted Customer Count WP'!M16</f>
        <v>7</v>
      </c>
      <c r="L12">
        <f>'Forecasted Customer Count WP'!O16</f>
        <v>7</v>
      </c>
      <c r="M12">
        <f>'Forecasted Customer Count WP'!P16</f>
        <v>7</v>
      </c>
      <c r="N12">
        <f>'Forecasted Customer Count WP'!Q16</f>
        <v>7</v>
      </c>
      <c r="O12" s="126">
        <f t="shared" si="0"/>
        <v>70</v>
      </c>
      <c r="P12" s="95">
        <f t="shared" si="1"/>
        <v>7</v>
      </c>
      <c r="T12" s="15"/>
      <c r="U12" s="48"/>
    </row>
    <row r="13" spans="1:22" x14ac:dyDescent="0.25">
      <c r="A13" s="124" t="s">
        <v>134</v>
      </c>
      <c r="B13" s="45">
        <v>199</v>
      </c>
      <c r="D13" s="124" t="s">
        <v>135</v>
      </c>
      <c r="E13" s="106">
        <v>194</v>
      </c>
      <c r="F13" s="106">
        <v>194</v>
      </c>
      <c r="G13" s="106">
        <v>194</v>
      </c>
      <c r="H13" s="106">
        <v>194</v>
      </c>
      <c r="I13" s="106">
        <v>194</v>
      </c>
      <c r="J13" s="106">
        <v>194</v>
      </c>
      <c r="K13" s="106">
        <v>194</v>
      </c>
      <c r="L13" s="106">
        <v>194</v>
      </c>
      <c r="M13" s="106">
        <v>194</v>
      </c>
      <c r="N13" s="106">
        <v>194</v>
      </c>
      <c r="O13" s="127">
        <f t="shared" si="0"/>
        <v>1940</v>
      </c>
      <c r="P13" s="97">
        <f t="shared" si="1"/>
        <v>194</v>
      </c>
    </row>
    <row r="14" spans="1:22" x14ac:dyDescent="0.25">
      <c r="A14" s="103"/>
      <c r="B14" s="45"/>
      <c r="D14" s="102" t="s">
        <v>136</v>
      </c>
      <c r="E14" s="44"/>
      <c r="F14" s="44"/>
      <c r="G14" s="44"/>
      <c r="H14" s="44"/>
      <c r="I14" s="44"/>
      <c r="J14" s="44"/>
      <c r="K14" s="44"/>
      <c r="L14" s="44"/>
      <c r="M14" s="44"/>
      <c r="N14" s="44"/>
      <c r="O14" s="9"/>
      <c r="P14" s="9"/>
    </row>
    <row r="15" spans="1:22" x14ac:dyDescent="0.25">
      <c r="A15" s="103"/>
      <c r="B15" s="45"/>
      <c r="D15" s="102"/>
      <c r="E15" s="44"/>
      <c r="F15" s="44"/>
      <c r="G15" s="44"/>
      <c r="H15" s="44"/>
      <c r="I15" s="44"/>
      <c r="J15" s="44"/>
      <c r="K15" s="44"/>
      <c r="L15" s="44"/>
      <c r="M15" s="44"/>
      <c r="N15" s="44"/>
      <c r="O15" s="9"/>
      <c r="P15" s="9"/>
    </row>
    <row r="16" spans="1:22" x14ac:dyDescent="0.25">
      <c r="A16" s="462" t="s">
        <v>137</v>
      </c>
      <c r="B16" s="462"/>
      <c r="D16" s="102"/>
      <c r="E16" s="44"/>
      <c r="F16" s="44"/>
      <c r="G16" s="44"/>
      <c r="H16" s="44"/>
      <c r="I16" s="44"/>
      <c r="J16" s="44"/>
      <c r="K16" s="44"/>
      <c r="L16" s="44"/>
      <c r="M16" s="44"/>
      <c r="N16" s="44"/>
      <c r="O16" s="9"/>
      <c r="P16" s="9"/>
    </row>
    <row r="17" spans="1:17" x14ac:dyDescent="0.25">
      <c r="A17" s="124" t="s">
        <v>129</v>
      </c>
      <c r="B17" s="88">
        <v>82</v>
      </c>
      <c r="O17" s="9"/>
    </row>
    <row r="18" spans="1:17" x14ac:dyDescent="0.25">
      <c r="A18" s="124" t="s">
        <v>130</v>
      </c>
      <c r="B18" s="88">
        <v>0</v>
      </c>
      <c r="D18" s="108" t="s">
        <v>138</v>
      </c>
      <c r="O18" s="9"/>
    </row>
    <row r="19" spans="1:17" x14ac:dyDescent="0.25">
      <c r="A19" s="124" t="s">
        <v>131</v>
      </c>
      <c r="B19" s="88">
        <v>1</v>
      </c>
      <c r="D19" s="124" t="s">
        <v>129</v>
      </c>
      <c r="E19" s="92">
        <f>E8-B8</f>
        <v>6498</v>
      </c>
      <c r="F19" s="92">
        <f>F8-E8+E19</f>
        <v>6537</v>
      </c>
      <c r="G19" s="92">
        <f t="shared" ref="G19:N19" si="2">G8-F8+F19</f>
        <v>6860</v>
      </c>
      <c r="H19" s="92">
        <f t="shared" si="2"/>
        <v>7605</v>
      </c>
      <c r="I19" s="92">
        <f t="shared" si="2"/>
        <v>8427</v>
      </c>
      <c r="J19" s="92">
        <f t="shared" si="2"/>
        <v>9133</v>
      </c>
      <c r="K19" s="92">
        <f t="shared" si="2"/>
        <v>9519</v>
      </c>
      <c r="L19" s="92">
        <f t="shared" si="2"/>
        <v>9866</v>
      </c>
      <c r="M19" s="92">
        <f t="shared" si="2"/>
        <v>10131</v>
      </c>
      <c r="N19" s="93">
        <f t="shared" si="2"/>
        <v>10194</v>
      </c>
      <c r="O19" s="9"/>
    </row>
    <row r="20" spans="1:17" x14ac:dyDescent="0.25">
      <c r="A20" s="124" t="s">
        <v>132</v>
      </c>
      <c r="B20" s="88">
        <v>4</v>
      </c>
      <c r="D20" s="124" t="s">
        <v>130</v>
      </c>
      <c r="E20" s="9">
        <f>E9-B9</f>
        <v>726</v>
      </c>
      <c r="F20" s="9">
        <f>F9-E9+E20</f>
        <v>712</v>
      </c>
      <c r="G20" s="9">
        <f t="shared" ref="G20:N20" si="3">G9-F9+F20</f>
        <v>731</v>
      </c>
      <c r="H20" s="9">
        <f t="shared" si="3"/>
        <v>824</v>
      </c>
      <c r="I20" s="9">
        <f t="shared" si="3"/>
        <v>968</v>
      </c>
      <c r="J20" s="9">
        <f t="shared" si="3"/>
        <v>1106</v>
      </c>
      <c r="K20" s="9">
        <f t="shared" si="3"/>
        <v>1190</v>
      </c>
      <c r="L20" s="9">
        <f t="shared" si="3"/>
        <v>1255</v>
      </c>
      <c r="M20" s="9">
        <f t="shared" si="3"/>
        <v>1271</v>
      </c>
      <c r="N20" s="95">
        <f t="shared" si="3"/>
        <v>1262</v>
      </c>
      <c r="O20" s="9"/>
    </row>
    <row r="21" spans="1:17" x14ac:dyDescent="0.25">
      <c r="A21" s="124" t="s">
        <v>133</v>
      </c>
      <c r="B21" s="88">
        <v>1</v>
      </c>
      <c r="D21" s="124" t="s">
        <v>131</v>
      </c>
      <c r="E21" s="9">
        <f>E10-B10</f>
        <v>16.365990000000011</v>
      </c>
      <c r="F21" s="9">
        <f t="shared" ref="F21:N21" si="4">F10-E10+E21</f>
        <v>17.401239999999973</v>
      </c>
      <c r="G21" s="9">
        <f t="shared" si="4"/>
        <v>17.469310000000007</v>
      </c>
      <c r="H21" s="9">
        <f t="shared" si="4"/>
        <v>18.560659999999984</v>
      </c>
      <c r="I21" s="9">
        <f t="shared" si="4"/>
        <v>20.656780000000026</v>
      </c>
      <c r="J21" s="9">
        <f t="shared" si="4"/>
        <v>20.746960000000001</v>
      </c>
      <c r="K21" s="9">
        <f t="shared" si="4"/>
        <v>20.811350000000004</v>
      </c>
      <c r="L21" s="9">
        <f t="shared" si="4"/>
        <v>22.845979999999997</v>
      </c>
      <c r="M21" s="9">
        <f t="shared" si="4"/>
        <v>22.848650000000021</v>
      </c>
      <c r="N21" s="95">
        <f t="shared" si="4"/>
        <v>22.830289999999991</v>
      </c>
      <c r="O21" s="9"/>
    </row>
    <row r="22" spans="1:17" x14ac:dyDescent="0.25">
      <c r="A22" s="124" t="s">
        <v>134</v>
      </c>
      <c r="B22" s="88">
        <v>24</v>
      </c>
      <c r="D22" s="124" t="s">
        <v>132</v>
      </c>
      <c r="E22" s="9">
        <f>E11-B11</f>
        <v>4</v>
      </c>
      <c r="F22" s="9">
        <f t="shared" ref="F22:N22" si="5">F11-E11+E22</f>
        <v>5</v>
      </c>
      <c r="G22" s="9">
        <f t="shared" si="5"/>
        <v>7</v>
      </c>
      <c r="H22" s="9">
        <f t="shared" si="5"/>
        <v>8</v>
      </c>
      <c r="I22" s="9">
        <f t="shared" si="5"/>
        <v>8</v>
      </c>
      <c r="J22" s="9">
        <f t="shared" si="5"/>
        <v>8</v>
      </c>
      <c r="K22" s="9">
        <f t="shared" si="5"/>
        <v>8</v>
      </c>
      <c r="L22" s="9">
        <f t="shared" si="5"/>
        <v>8</v>
      </c>
      <c r="M22" s="9">
        <f t="shared" si="5"/>
        <v>8</v>
      </c>
      <c r="N22" s="95">
        <f t="shared" si="5"/>
        <v>8</v>
      </c>
      <c r="O22" s="9"/>
    </row>
    <row r="23" spans="1:17" x14ac:dyDescent="0.25">
      <c r="B23" s="15"/>
      <c r="D23" s="124" t="s">
        <v>133</v>
      </c>
      <c r="E23" s="9">
        <v>1</v>
      </c>
      <c r="F23" s="9">
        <f t="shared" ref="F23:N23" si="6">F12-E12+E23</f>
        <v>1</v>
      </c>
      <c r="G23" s="9">
        <f t="shared" si="6"/>
        <v>1</v>
      </c>
      <c r="H23" s="9">
        <f t="shared" si="6"/>
        <v>1</v>
      </c>
      <c r="I23" s="9">
        <f t="shared" si="6"/>
        <v>1</v>
      </c>
      <c r="J23" s="9">
        <f t="shared" si="6"/>
        <v>1</v>
      </c>
      <c r="K23" s="9">
        <f t="shared" si="6"/>
        <v>1</v>
      </c>
      <c r="L23" s="9">
        <f t="shared" si="6"/>
        <v>1</v>
      </c>
      <c r="M23" s="9">
        <f t="shared" si="6"/>
        <v>1</v>
      </c>
      <c r="N23" s="95">
        <f t="shared" si="6"/>
        <v>1</v>
      </c>
      <c r="O23" s="9" t="s">
        <v>139</v>
      </c>
    </row>
    <row r="24" spans="1:17" x14ac:dyDescent="0.25">
      <c r="D24" s="124" t="s">
        <v>134</v>
      </c>
      <c r="E24" s="96">
        <v>1</v>
      </c>
      <c r="F24" s="96">
        <f t="shared" ref="F24:N24" si="7">F13-E13+E24</f>
        <v>1</v>
      </c>
      <c r="G24" s="96">
        <f t="shared" si="7"/>
        <v>1</v>
      </c>
      <c r="H24" s="96">
        <f t="shared" si="7"/>
        <v>1</v>
      </c>
      <c r="I24" s="96">
        <f t="shared" si="7"/>
        <v>1</v>
      </c>
      <c r="J24" s="96">
        <f t="shared" si="7"/>
        <v>1</v>
      </c>
      <c r="K24" s="96">
        <f t="shared" si="7"/>
        <v>1</v>
      </c>
      <c r="L24" s="96">
        <f t="shared" si="7"/>
        <v>1</v>
      </c>
      <c r="M24" s="96">
        <f t="shared" si="7"/>
        <v>1</v>
      </c>
      <c r="N24" s="97">
        <f t="shared" si="7"/>
        <v>1</v>
      </c>
      <c r="O24" s="9" t="s">
        <v>139</v>
      </c>
    </row>
    <row r="25" spans="1:17" x14ac:dyDescent="0.25">
      <c r="B25" s="5"/>
      <c r="E25" s="9"/>
      <c r="F25" s="9"/>
      <c r="G25" s="9"/>
      <c r="H25" s="9"/>
    </row>
    <row r="26" spans="1:17" x14ac:dyDescent="0.25">
      <c r="B26" s="15"/>
      <c r="D26" s="7" t="s">
        <v>140</v>
      </c>
      <c r="E26" s="9"/>
      <c r="F26" s="9"/>
      <c r="G26" s="9"/>
      <c r="H26" s="9"/>
      <c r="I26" s="9"/>
      <c r="J26" s="9"/>
      <c r="K26" s="9"/>
      <c r="L26" s="9"/>
      <c r="M26" s="9"/>
      <c r="N26" s="9"/>
      <c r="O26" s="15" t="s">
        <v>128</v>
      </c>
      <c r="P26" s="15" t="s">
        <v>19</v>
      </c>
    </row>
    <row r="27" spans="1:17" x14ac:dyDescent="0.25">
      <c r="B27" s="100"/>
      <c r="D27" s="138" t="s">
        <v>76</v>
      </c>
      <c r="E27" s="92">
        <f>$B$8-SUM(E28:E29)-$B$17</f>
        <v>181812.6</v>
      </c>
      <c r="F27" s="92">
        <f t="shared" ref="F27:N27" si="8">E27</f>
        <v>181812.6</v>
      </c>
      <c r="G27" s="92">
        <f t="shared" si="8"/>
        <v>181812.6</v>
      </c>
      <c r="H27" s="92">
        <f t="shared" si="8"/>
        <v>181812.6</v>
      </c>
      <c r="I27" s="92">
        <f t="shared" si="8"/>
        <v>181812.6</v>
      </c>
      <c r="J27" s="92">
        <f t="shared" si="8"/>
        <v>181812.6</v>
      </c>
      <c r="K27" s="92">
        <f t="shared" si="8"/>
        <v>181812.6</v>
      </c>
      <c r="L27" s="92">
        <f t="shared" si="8"/>
        <v>181812.6</v>
      </c>
      <c r="M27" s="92">
        <f t="shared" si="8"/>
        <v>181812.6</v>
      </c>
      <c r="N27" s="93">
        <f t="shared" si="8"/>
        <v>181812.6</v>
      </c>
      <c r="O27" s="9">
        <f t="shared" ref="O27:O39" si="9">AVERAGE(E27:N27)</f>
        <v>181812.60000000003</v>
      </c>
      <c r="P27" s="9">
        <f>SUM(O27:O29)</f>
        <v>200205.00000000003</v>
      </c>
      <c r="Q27" s="21"/>
    </row>
    <row r="28" spans="1:17" x14ac:dyDescent="0.25">
      <c r="A28" s="9"/>
      <c r="B28" s="15"/>
      <c r="D28" s="138" t="s">
        <v>141</v>
      </c>
      <c r="E28" s="9">
        <f>E19*(1-$B5)</f>
        <v>6173.0999999999995</v>
      </c>
      <c r="F28" s="9">
        <f t="shared" ref="F28:N28" si="10">F19*(1-$B5)</f>
        <v>6210.15</v>
      </c>
      <c r="G28" s="9">
        <f t="shared" si="10"/>
        <v>6517</v>
      </c>
      <c r="H28" s="9">
        <f t="shared" si="10"/>
        <v>7224.75</v>
      </c>
      <c r="I28" s="9">
        <f t="shared" si="10"/>
        <v>8005.65</v>
      </c>
      <c r="J28" s="9">
        <f t="shared" si="10"/>
        <v>8676.35</v>
      </c>
      <c r="K28" s="9">
        <f t="shared" si="10"/>
        <v>9043.0499999999993</v>
      </c>
      <c r="L28" s="9">
        <f t="shared" si="10"/>
        <v>9372.6999999999989</v>
      </c>
      <c r="M28" s="9">
        <f t="shared" si="10"/>
        <v>9624.4499999999989</v>
      </c>
      <c r="N28" s="95">
        <f t="shared" si="10"/>
        <v>9684.2999999999993</v>
      </c>
      <c r="O28" s="9">
        <f t="shared" si="9"/>
        <v>8053.15</v>
      </c>
      <c r="Q28" s="21"/>
    </row>
    <row r="29" spans="1:17" x14ac:dyDescent="0.25">
      <c r="A29" s="9"/>
      <c r="B29" s="100"/>
      <c r="D29" s="138" t="s">
        <v>142</v>
      </c>
      <c r="E29" s="9">
        <f>E8*$B5</f>
        <v>10240.300000000001</v>
      </c>
      <c r="F29" s="9">
        <f t="shared" ref="F29:N29" si="11">F8*$B5</f>
        <v>10242.25</v>
      </c>
      <c r="G29" s="9">
        <f t="shared" si="11"/>
        <v>10258.400000000001</v>
      </c>
      <c r="H29" s="9">
        <f t="shared" si="11"/>
        <v>10295.650000000001</v>
      </c>
      <c r="I29" s="9">
        <f t="shared" si="11"/>
        <v>10336.75</v>
      </c>
      <c r="J29" s="9">
        <f t="shared" si="11"/>
        <v>10372.050000000001</v>
      </c>
      <c r="K29" s="9">
        <f t="shared" si="11"/>
        <v>10391.35</v>
      </c>
      <c r="L29" s="9">
        <f t="shared" si="11"/>
        <v>10408.700000000001</v>
      </c>
      <c r="M29" s="9">
        <f t="shared" si="11"/>
        <v>10421.950000000001</v>
      </c>
      <c r="N29" s="95">
        <f t="shared" si="11"/>
        <v>10425.1</v>
      </c>
      <c r="O29" s="9">
        <f t="shared" si="9"/>
        <v>10339.250000000002</v>
      </c>
      <c r="Q29" s="21"/>
    </row>
    <row r="30" spans="1:17" x14ac:dyDescent="0.25">
      <c r="A30" s="9"/>
      <c r="B30" s="15"/>
      <c r="D30" s="138" t="s">
        <v>77</v>
      </c>
      <c r="E30" s="44">
        <f>$B$9-$B$18</f>
        <v>27032</v>
      </c>
      <c r="F30" s="44">
        <f t="shared" ref="F30:N30" si="12">$B$9-$B$18</f>
        <v>27032</v>
      </c>
      <c r="G30" s="44">
        <f t="shared" si="12"/>
        <v>27032</v>
      </c>
      <c r="H30" s="44">
        <f t="shared" si="12"/>
        <v>27032</v>
      </c>
      <c r="I30" s="44">
        <f t="shared" si="12"/>
        <v>27032</v>
      </c>
      <c r="J30" s="44">
        <f t="shared" si="12"/>
        <v>27032</v>
      </c>
      <c r="K30" s="44">
        <f t="shared" si="12"/>
        <v>27032</v>
      </c>
      <c r="L30" s="44">
        <f t="shared" si="12"/>
        <v>27032</v>
      </c>
      <c r="M30" s="44">
        <f t="shared" si="12"/>
        <v>27032</v>
      </c>
      <c r="N30" s="139">
        <f t="shared" si="12"/>
        <v>27032</v>
      </c>
      <c r="O30" s="9">
        <f t="shared" si="9"/>
        <v>27032</v>
      </c>
      <c r="P30" s="9">
        <f>SUM(O30:O31)</f>
        <v>28036.5</v>
      </c>
      <c r="Q30" s="21"/>
    </row>
    <row r="31" spans="1:17" x14ac:dyDescent="0.25">
      <c r="A31" s="9"/>
      <c r="B31" s="15"/>
      <c r="D31" s="138" t="s">
        <v>143</v>
      </c>
      <c r="E31" s="54">
        <f>E20</f>
        <v>726</v>
      </c>
      <c r="F31" s="54">
        <f t="shared" ref="F31:N31" si="13">F20</f>
        <v>712</v>
      </c>
      <c r="G31" s="54">
        <f t="shared" si="13"/>
        <v>731</v>
      </c>
      <c r="H31" s="54">
        <f t="shared" si="13"/>
        <v>824</v>
      </c>
      <c r="I31" s="54">
        <f t="shared" si="13"/>
        <v>968</v>
      </c>
      <c r="J31" s="54">
        <f t="shared" si="13"/>
        <v>1106</v>
      </c>
      <c r="K31" s="54">
        <f t="shared" si="13"/>
        <v>1190</v>
      </c>
      <c r="L31" s="54">
        <f t="shared" si="13"/>
        <v>1255</v>
      </c>
      <c r="M31" s="54">
        <f t="shared" si="13"/>
        <v>1271</v>
      </c>
      <c r="N31" s="49">
        <f t="shared" si="13"/>
        <v>1262</v>
      </c>
      <c r="O31" s="9">
        <f t="shared" si="9"/>
        <v>1004.5</v>
      </c>
      <c r="Q31" s="21"/>
    </row>
    <row r="32" spans="1:17" x14ac:dyDescent="0.25">
      <c r="B32" s="15"/>
      <c r="D32" s="138" t="s">
        <v>144</v>
      </c>
      <c r="E32" s="44">
        <f t="shared" ref="E32:N32" si="14">$B$10-$B$19</f>
        <v>479</v>
      </c>
      <c r="F32" s="44">
        <f t="shared" si="14"/>
        <v>479</v>
      </c>
      <c r="G32" s="44">
        <f t="shared" si="14"/>
        <v>479</v>
      </c>
      <c r="H32" s="44">
        <f t="shared" si="14"/>
        <v>479</v>
      </c>
      <c r="I32" s="44">
        <f t="shared" si="14"/>
        <v>479</v>
      </c>
      <c r="J32" s="44">
        <f t="shared" si="14"/>
        <v>479</v>
      </c>
      <c r="K32" s="44">
        <f t="shared" si="14"/>
        <v>479</v>
      </c>
      <c r="L32" s="44">
        <f t="shared" si="14"/>
        <v>479</v>
      </c>
      <c r="M32" s="44">
        <f t="shared" si="14"/>
        <v>479</v>
      </c>
      <c r="N32" s="139">
        <f t="shared" si="14"/>
        <v>479</v>
      </c>
      <c r="O32" s="9">
        <f t="shared" si="9"/>
        <v>479</v>
      </c>
      <c r="P32" s="9">
        <f>SUM(O32:O33)</f>
        <v>499.053721</v>
      </c>
    </row>
    <row r="33" spans="2:17" x14ac:dyDescent="0.25">
      <c r="B33" s="15"/>
      <c r="D33" s="138" t="s">
        <v>145</v>
      </c>
      <c r="E33" s="44">
        <f>E21</f>
        <v>16.365990000000011</v>
      </c>
      <c r="F33" s="44">
        <f t="shared" ref="F33:N33" si="15">F21</f>
        <v>17.401239999999973</v>
      </c>
      <c r="G33" s="44">
        <f t="shared" si="15"/>
        <v>17.469310000000007</v>
      </c>
      <c r="H33" s="44">
        <f t="shared" si="15"/>
        <v>18.560659999999984</v>
      </c>
      <c r="I33" s="44">
        <f t="shared" si="15"/>
        <v>20.656780000000026</v>
      </c>
      <c r="J33" s="44">
        <f t="shared" si="15"/>
        <v>20.746960000000001</v>
      </c>
      <c r="K33" s="44">
        <f t="shared" si="15"/>
        <v>20.811350000000004</v>
      </c>
      <c r="L33" s="44">
        <f t="shared" si="15"/>
        <v>22.845979999999997</v>
      </c>
      <c r="M33" s="44">
        <f t="shared" si="15"/>
        <v>22.848650000000021</v>
      </c>
      <c r="N33" s="139">
        <f t="shared" si="15"/>
        <v>22.830289999999991</v>
      </c>
      <c r="O33" s="9">
        <f t="shared" si="9"/>
        <v>20.053721000000003</v>
      </c>
    </row>
    <row r="34" spans="2:17" x14ac:dyDescent="0.25">
      <c r="B34" s="15"/>
      <c r="D34" s="138" t="s">
        <v>146</v>
      </c>
      <c r="E34" s="54">
        <f t="shared" ref="E34:N34" si="16">$B$11-$B$20</f>
        <v>89</v>
      </c>
      <c r="F34" s="54">
        <f t="shared" si="16"/>
        <v>89</v>
      </c>
      <c r="G34" s="54">
        <f t="shared" si="16"/>
        <v>89</v>
      </c>
      <c r="H34" s="54">
        <f t="shared" si="16"/>
        <v>89</v>
      </c>
      <c r="I34" s="54">
        <f t="shared" si="16"/>
        <v>89</v>
      </c>
      <c r="J34" s="54">
        <f t="shared" si="16"/>
        <v>89</v>
      </c>
      <c r="K34" s="54">
        <f t="shared" si="16"/>
        <v>89</v>
      </c>
      <c r="L34" s="54">
        <f t="shared" si="16"/>
        <v>89</v>
      </c>
      <c r="M34" s="54">
        <f t="shared" si="16"/>
        <v>89</v>
      </c>
      <c r="N34" s="49">
        <f t="shared" si="16"/>
        <v>89</v>
      </c>
      <c r="O34" s="9">
        <f t="shared" si="9"/>
        <v>89</v>
      </c>
      <c r="P34" s="9">
        <f>SUM(O34:O35)</f>
        <v>96.2</v>
      </c>
    </row>
    <row r="35" spans="2:17" x14ac:dyDescent="0.25">
      <c r="B35" s="15"/>
      <c r="D35" s="138" t="s">
        <v>147</v>
      </c>
      <c r="E35" s="54">
        <f>E22</f>
        <v>4</v>
      </c>
      <c r="F35" s="54">
        <f t="shared" ref="F35:N35" si="17">F22</f>
        <v>5</v>
      </c>
      <c r="G35" s="54">
        <f t="shared" si="17"/>
        <v>7</v>
      </c>
      <c r="H35" s="54">
        <f t="shared" si="17"/>
        <v>8</v>
      </c>
      <c r="I35" s="54">
        <f t="shared" si="17"/>
        <v>8</v>
      </c>
      <c r="J35" s="54">
        <f t="shared" si="17"/>
        <v>8</v>
      </c>
      <c r="K35" s="54">
        <f t="shared" si="17"/>
        <v>8</v>
      </c>
      <c r="L35" s="54">
        <f t="shared" si="17"/>
        <v>8</v>
      </c>
      <c r="M35" s="54">
        <f t="shared" si="17"/>
        <v>8</v>
      </c>
      <c r="N35" s="49">
        <f t="shared" si="17"/>
        <v>8</v>
      </c>
      <c r="O35" s="9">
        <f t="shared" si="9"/>
        <v>7.2</v>
      </c>
    </row>
    <row r="36" spans="2:17" x14ac:dyDescent="0.25">
      <c r="B36" s="15"/>
      <c r="D36" s="138" t="s">
        <v>148</v>
      </c>
      <c r="E36" s="54">
        <f t="shared" ref="E36:N36" si="18">$B$12-$B$21</f>
        <v>6</v>
      </c>
      <c r="F36" s="54">
        <f t="shared" si="18"/>
        <v>6</v>
      </c>
      <c r="G36" s="54">
        <f t="shared" si="18"/>
        <v>6</v>
      </c>
      <c r="H36" s="54">
        <f t="shared" si="18"/>
        <v>6</v>
      </c>
      <c r="I36" s="54">
        <f t="shared" si="18"/>
        <v>6</v>
      </c>
      <c r="J36" s="54">
        <f t="shared" si="18"/>
        <v>6</v>
      </c>
      <c r="K36" s="54">
        <f t="shared" si="18"/>
        <v>6</v>
      </c>
      <c r="L36" s="54">
        <f t="shared" si="18"/>
        <v>6</v>
      </c>
      <c r="M36" s="54">
        <f t="shared" si="18"/>
        <v>6</v>
      </c>
      <c r="N36" s="49">
        <f t="shared" si="18"/>
        <v>6</v>
      </c>
      <c r="O36" s="9">
        <f t="shared" si="9"/>
        <v>6</v>
      </c>
      <c r="P36" s="9">
        <f>SUM(O36:O37)</f>
        <v>7</v>
      </c>
    </row>
    <row r="37" spans="2:17" x14ac:dyDescent="0.25">
      <c r="B37" s="15"/>
      <c r="D37" s="138" t="s">
        <v>149</v>
      </c>
      <c r="E37" s="44">
        <f t="shared" ref="E37:N37" si="19">E23</f>
        <v>1</v>
      </c>
      <c r="F37" s="44">
        <f t="shared" si="19"/>
        <v>1</v>
      </c>
      <c r="G37" s="44">
        <f t="shared" si="19"/>
        <v>1</v>
      </c>
      <c r="H37" s="44">
        <f t="shared" si="19"/>
        <v>1</v>
      </c>
      <c r="I37" s="44">
        <f t="shared" si="19"/>
        <v>1</v>
      </c>
      <c r="J37" s="44">
        <f t="shared" si="19"/>
        <v>1</v>
      </c>
      <c r="K37" s="44">
        <f t="shared" si="19"/>
        <v>1</v>
      </c>
      <c r="L37" s="44">
        <f t="shared" si="19"/>
        <v>1</v>
      </c>
      <c r="M37" s="44">
        <f t="shared" si="19"/>
        <v>1</v>
      </c>
      <c r="N37" s="139">
        <f t="shared" si="19"/>
        <v>1</v>
      </c>
      <c r="O37" s="9">
        <f t="shared" si="9"/>
        <v>1</v>
      </c>
    </row>
    <row r="38" spans="2:17" x14ac:dyDescent="0.25">
      <c r="B38" s="15"/>
      <c r="D38" s="138" t="s">
        <v>150</v>
      </c>
      <c r="E38" s="44">
        <f t="shared" ref="E38:N38" si="20">$E$13-$B$22</f>
        <v>170</v>
      </c>
      <c r="F38" s="44">
        <f t="shared" si="20"/>
        <v>170</v>
      </c>
      <c r="G38" s="44">
        <f t="shared" si="20"/>
        <v>170</v>
      </c>
      <c r="H38" s="44">
        <f t="shared" si="20"/>
        <v>170</v>
      </c>
      <c r="I38" s="44">
        <f t="shared" si="20"/>
        <v>170</v>
      </c>
      <c r="J38" s="44">
        <f t="shared" si="20"/>
        <v>170</v>
      </c>
      <c r="K38" s="44">
        <f t="shared" si="20"/>
        <v>170</v>
      </c>
      <c r="L38" s="44">
        <f t="shared" si="20"/>
        <v>170</v>
      </c>
      <c r="M38" s="44">
        <f t="shared" si="20"/>
        <v>170</v>
      </c>
      <c r="N38" s="44">
        <f t="shared" si="20"/>
        <v>170</v>
      </c>
      <c r="O38" s="9">
        <f t="shared" si="9"/>
        <v>170</v>
      </c>
      <c r="P38" s="9">
        <f>SUM(O38:O39)</f>
        <v>171</v>
      </c>
    </row>
    <row r="39" spans="2:17" ht="15.75" thickBot="1" x14ac:dyDescent="0.3">
      <c r="B39" s="15"/>
      <c r="D39" s="138" t="s">
        <v>151</v>
      </c>
      <c r="E39" s="140">
        <f t="shared" ref="E39:N39" si="21">E24</f>
        <v>1</v>
      </c>
      <c r="F39" s="140">
        <f t="shared" si="21"/>
        <v>1</v>
      </c>
      <c r="G39" s="140">
        <f t="shared" si="21"/>
        <v>1</v>
      </c>
      <c r="H39" s="140">
        <f t="shared" si="21"/>
        <v>1</v>
      </c>
      <c r="I39" s="140">
        <f t="shared" si="21"/>
        <v>1</v>
      </c>
      <c r="J39" s="140">
        <f t="shared" si="21"/>
        <v>1</v>
      </c>
      <c r="K39" s="140">
        <f t="shared" si="21"/>
        <v>1</v>
      </c>
      <c r="L39" s="140">
        <f t="shared" si="21"/>
        <v>1</v>
      </c>
      <c r="M39" s="140">
        <f t="shared" si="21"/>
        <v>1</v>
      </c>
      <c r="N39" s="55">
        <f t="shared" si="21"/>
        <v>1</v>
      </c>
      <c r="O39" s="9">
        <f t="shared" si="9"/>
        <v>1</v>
      </c>
    </row>
    <row r="40" spans="2:17" ht="15.75" thickBot="1" x14ac:dyDescent="0.3">
      <c r="B40" s="15"/>
      <c r="C40" s="15"/>
      <c r="D40" s="15"/>
      <c r="O40" s="47">
        <f>SUM(O27:O39)</f>
        <v>229014.75372100004</v>
      </c>
    </row>
    <row r="41" spans="2:17" x14ac:dyDescent="0.25">
      <c r="D41" s="15"/>
    </row>
    <row r="42" spans="2:17" x14ac:dyDescent="0.25">
      <c r="O42" s="9"/>
      <c r="Q42" s="13"/>
    </row>
    <row r="43" spans="2:17" x14ac:dyDescent="0.25">
      <c r="D43" s="101"/>
      <c r="E43" s="90"/>
      <c r="F43" s="90"/>
      <c r="G43" s="90"/>
      <c r="H43" s="1"/>
      <c r="I43" s="1"/>
      <c r="J43" s="1"/>
      <c r="K43" s="1"/>
      <c r="L43" s="1"/>
      <c r="M43" s="1"/>
      <c r="N43" s="1"/>
      <c r="O43" s="1"/>
      <c r="P43" s="1"/>
      <c r="Q43" s="84"/>
    </row>
    <row r="44" spans="2:17" x14ac:dyDescent="0.25">
      <c r="D44" s="22" t="s">
        <v>152</v>
      </c>
      <c r="E44" s="463" t="s">
        <v>153</v>
      </c>
      <c r="F44" s="463"/>
      <c r="G44" s="463"/>
    </row>
    <row r="45" spans="2:17" x14ac:dyDescent="0.25">
      <c r="D45" s="124" t="s">
        <v>76</v>
      </c>
      <c r="E45" s="9">
        <f t="shared" ref="E45:E57" si="22">O27</f>
        <v>181812.60000000003</v>
      </c>
      <c r="F45" s="43">
        <f>E45/$I$45</f>
        <v>0.90813216453135537</v>
      </c>
      <c r="G45" s="9"/>
      <c r="H45" s="88" t="s">
        <v>154</v>
      </c>
      <c r="I45" s="9">
        <f>SUM(E45:E47)</f>
        <v>200205.00000000003</v>
      </c>
      <c r="K45" s="9"/>
      <c r="L45" s="9"/>
      <c r="M45" s="9"/>
      <c r="N45" s="9"/>
      <c r="O45" s="9"/>
      <c r="P45" s="9"/>
    </row>
    <row r="46" spans="2:17" x14ac:dyDescent="0.25">
      <c r="D46" s="124" t="s">
        <v>141</v>
      </c>
      <c r="E46" s="9">
        <f t="shared" si="22"/>
        <v>8053.15</v>
      </c>
      <c r="F46" s="43">
        <f>E46/$I$45</f>
        <v>4.0224519867136176E-2</v>
      </c>
      <c r="G46" s="9"/>
      <c r="H46" s="88" t="s">
        <v>155</v>
      </c>
      <c r="I46" s="9">
        <f>SUM(E48:E49)</f>
        <v>28036.5</v>
      </c>
      <c r="K46" s="9"/>
      <c r="L46" s="9"/>
      <c r="M46" s="9"/>
      <c r="N46" s="9"/>
      <c r="O46" s="9"/>
      <c r="P46" s="9"/>
    </row>
    <row r="47" spans="2:17" x14ac:dyDescent="0.25">
      <c r="D47" s="124" t="s">
        <v>142</v>
      </c>
      <c r="E47" s="9">
        <f t="shared" si="22"/>
        <v>10339.250000000002</v>
      </c>
      <c r="F47" s="43">
        <f>E47/$I$45</f>
        <v>5.1643315601508456E-2</v>
      </c>
      <c r="G47" s="9"/>
      <c r="H47" s="88" t="s">
        <v>156</v>
      </c>
      <c r="I47" s="9">
        <f>SUM(E50:E51)</f>
        <v>499.053721</v>
      </c>
      <c r="K47" s="9"/>
      <c r="L47" s="9"/>
      <c r="M47" s="9"/>
      <c r="N47" s="9"/>
      <c r="O47" s="9"/>
      <c r="P47" s="9"/>
    </row>
    <row r="48" spans="2:17" x14ac:dyDescent="0.25">
      <c r="D48" s="124" t="s">
        <v>77</v>
      </c>
      <c r="E48" s="9">
        <f t="shared" si="22"/>
        <v>27032</v>
      </c>
      <c r="F48" s="43">
        <f>E48/$I$46</f>
        <v>0.96417170474203273</v>
      </c>
      <c r="G48" s="9"/>
      <c r="H48" s="88" t="s">
        <v>157</v>
      </c>
      <c r="I48" s="9">
        <f>SUM(E52:E53)</f>
        <v>96.2</v>
      </c>
      <c r="K48" s="9"/>
      <c r="L48" s="9"/>
      <c r="M48" s="9"/>
      <c r="N48" s="9"/>
      <c r="O48" s="9"/>
      <c r="P48" s="9"/>
    </row>
    <row r="49" spans="4:17" x14ac:dyDescent="0.25">
      <c r="D49" s="124" t="s">
        <v>143</v>
      </c>
      <c r="E49" s="9">
        <f t="shared" si="22"/>
        <v>1004.5</v>
      </c>
      <c r="F49" s="43">
        <f>E49/$I$46</f>
        <v>3.5828295257967289E-2</v>
      </c>
      <c r="G49" s="9"/>
      <c r="H49" s="88" t="s">
        <v>158</v>
      </c>
      <c r="I49" s="9">
        <f>SUM(E54:E55)</f>
        <v>7</v>
      </c>
      <c r="K49" s="9"/>
      <c r="L49" s="9"/>
      <c r="M49" s="9"/>
      <c r="N49" s="9"/>
      <c r="O49" s="9"/>
      <c r="P49" s="9"/>
    </row>
    <row r="50" spans="4:17" x14ac:dyDescent="0.25">
      <c r="D50" s="124" t="s">
        <v>144</v>
      </c>
      <c r="E50" s="9">
        <f t="shared" si="22"/>
        <v>479</v>
      </c>
      <c r="F50" s="43">
        <f>E50/I47</f>
        <v>0.95981650841152633</v>
      </c>
      <c r="G50" s="9"/>
      <c r="H50" s="88" t="s">
        <v>159</v>
      </c>
      <c r="I50" s="9">
        <f>SUM(E56:E57)</f>
        <v>171</v>
      </c>
      <c r="K50" s="9"/>
      <c r="L50" s="9"/>
      <c r="M50" s="9"/>
      <c r="N50" s="9"/>
      <c r="O50" s="9"/>
      <c r="P50" s="9"/>
    </row>
    <row r="51" spans="4:17" x14ac:dyDescent="0.25">
      <c r="D51" s="124" t="s">
        <v>145</v>
      </c>
      <c r="E51" s="9">
        <f t="shared" si="22"/>
        <v>20.053721000000003</v>
      </c>
      <c r="F51" s="43">
        <f>E51/I47</f>
        <v>4.0183491588473702E-2</v>
      </c>
      <c r="G51" s="9"/>
      <c r="I51" s="9"/>
      <c r="J51" s="9"/>
      <c r="K51" s="9"/>
      <c r="L51" s="9"/>
      <c r="M51" s="9"/>
      <c r="N51" s="9"/>
      <c r="O51" s="9"/>
      <c r="P51" s="9"/>
    </row>
    <row r="52" spans="4:17" x14ac:dyDescent="0.25">
      <c r="D52" s="124" t="s">
        <v>146</v>
      </c>
      <c r="E52" s="9">
        <f t="shared" si="22"/>
        <v>89</v>
      </c>
      <c r="F52" s="43">
        <f>E52/I48</f>
        <v>0.92515592515592515</v>
      </c>
      <c r="G52" s="9"/>
      <c r="I52" s="9"/>
      <c r="J52" s="9"/>
      <c r="K52" s="9"/>
      <c r="L52" s="9"/>
      <c r="M52" s="9"/>
      <c r="N52" s="9"/>
      <c r="O52" s="9"/>
      <c r="P52" s="9"/>
    </row>
    <row r="53" spans="4:17" x14ac:dyDescent="0.25">
      <c r="D53" s="124" t="s">
        <v>147</v>
      </c>
      <c r="E53" s="9">
        <f t="shared" si="22"/>
        <v>7.2</v>
      </c>
      <c r="F53" s="43">
        <f>E53/I48</f>
        <v>7.4844074844074848E-2</v>
      </c>
      <c r="G53" s="9"/>
      <c r="I53" s="14"/>
      <c r="J53" s="9"/>
      <c r="K53" s="9"/>
      <c r="L53" s="9"/>
      <c r="M53" s="9"/>
      <c r="N53" s="9"/>
      <c r="O53" s="9"/>
      <c r="P53" s="9"/>
    </row>
    <row r="54" spans="4:17" x14ac:dyDescent="0.25">
      <c r="D54" s="124" t="s">
        <v>148</v>
      </c>
      <c r="E54" s="9">
        <f t="shared" si="22"/>
        <v>6</v>
      </c>
      <c r="F54" s="43">
        <f>E54/I49</f>
        <v>0.8571428571428571</v>
      </c>
      <c r="G54" s="9"/>
      <c r="I54" s="9"/>
      <c r="J54" s="9"/>
      <c r="K54" s="9"/>
      <c r="L54" s="9"/>
      <c r="M54" s="9"/>
      <c r="N54" s="9"/>
      <c r="O54" s="9"/>
      <c r="P54" s="9"/>
    </row>
    <row r="55" spans="4:17" x14ac:dyDescent="0.25">
      <c r="D55" s="124" t="s">
        <v>149</v>
      </c>
      <c r="E55" s="9">
        <f t="shared" si="22"/>
        <v>1</v>
      </c>
      <c r="F55" s="43">
        <f>E55/I49</f>
        <v>0.14285714285714285</v>
      </c>
      <c r="G55" s="9"/>
      <c r="I55" s="9"/>
      <c r="J55" s="9"/>
      <c r="K55" s="9"/>
      <c r="L55" s="9"/>
      <c r="M55" s="9"/>
      <c r="N55" s="9"/>
      <c r="O55" s="9"/>
      <c r="P55" s="9"/>
    </row>
    <row r="56" spans="4:17" x14ac:dyDescent="0.25">
      <c r="D56" s="124" t="s">
        <v>150</v>
      </c>
      <c r="E56" s="9">
        <f t="shared" si="22"/>
        <v>170</v>
      </c>
      <c r="F56" s="17">
        <f>E56/I50</f>
        <v>0.99415204678362568</v>
      </c>
      <c r="G56" s="9"/>
      <c r="I56" s="9"/>
      <c r="J56" s="9"/>
      <c r="K56" s="9"/>
      <c r="L56" s="9"/>
      <c r="M56" s="9"/>
      <c r="N56" s="9"/>
      <c r="O56" s="9"/>
      <c r="P56" s="9"/>
    </row>
    <row r="57" spans="4:17" x14ac:dyDescent="0.25">
      <c r="D57" s="124" t="s">
        <v>151</v>
      </c>
      <c r="E57" s="9">
        <f t="shared" si="22"/>
        <v>1</v>
      </c>
      <c r="F57" s="17">
        <f>E57/I50</f>
        <v>5.8479532163742687E-3</v>
      </c>
      <c r="G57" s="9"/>
      <c r="L57" s="9"/>
      <c r="M57" s="9"/>
      <c r="N57" s="9"/>
      <c r="O57" s="9"/>
      <c r="P57" s="9"/>
    </row>
    <row r="59" spans="4:17" x14ac:dyDescent="0.25">
      <c r="D59" s="5"/>
    </row>
    <row r="60" spans="4:17" x14ac:dyDescent="0.25">
      <c r="E60" s="26"/>
      <c r="F60" s="26"/>
      <c r="G60" s="26"/>
      <c r="H60" s="26"/>
      <c r="I60" s="26"/>
      <c r="J60" s="26"/>
      <c r="K60" s="26"/>
      <c r="L60" s="26"/>
      <c r="M60" s="26"/>
      <c r="N60" s="26"/>
      <c r="O60" s="26"/>
      <c r="P60" s="26"/>
      <c r="Q60" s="26"/>
    </row>
    <row r="61" spans="4:17" x14ac:dyDescent="0.25">
      <c r="E61" s="26"/>
      <c r="F61" s="14"/>
      <c r="G61" s="26"/>
      <c r="H61" s="14"/>
      <c r="I61" s="14"/>
      <c r="J61" s="14"/>
      <c r="K61" s="14"/>
      <c r="L61" s="14"/>
      <c r="M61" s="14"/>
      <c r="N61" s="14"/>
      <c r="O61" s="14"/>
      <c r="P61" s="14"/>
      <c r="Q61" s="14"/>
    </row>
    <row r="62" spans="4:17" x14ac:dyDescent="0.25">
      <c r="E62" s="26"/>
      <c r="F62" s="14"/>
      <c r="G62" s="14"/>
      <c r="H62" s="14"/>
      <c r="I62" s="14"/>
      <c r="J62" s="14"/>
      <c r="K62" s="14"/>
      <c r="L62" s="14"/>
      <c r="M62" s="14"/>
      <c r="N62" s="14"/>
      <c r="O62" s="14"/>
      <c r="P62" s="14"/>
      <c r="Q62" s="14"/>
    </row>
  </sheetData>
  <mergeCells count="4">
    <mergeCell ref="A7:B7"/>
    <mergeCell ref="A16:B16"/>
    <mergeCell ref="D6:P6"/>
    <mergeCell ref="E44:G44"/>
  </mergeCells>
  <phoneticPr fontId="28"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3B404-409F-4A91-9F8B-C50AB2C16BCB}">
  <sheetPr codeName="Sheet9"/>
  <dimension ref="A1:X49"/>
  <sheetViews>
    <sheetView workbookViewId="0">
      <selection activeCell="A2" sqref="A2"/>
    </sheetView>
  </sheetViews>
  <sheetFormatPr defaultRowHeight="15" x14ac:dyDescent="0.25"/>
  <cols>
    <col min="1" max="1" width="24.28515625" bestFit="1" customWidth="1"/>
    <col min="2" max="2" width="27.5703125" bestFit="1" customWidth="1"/>
    <col min="3" max="3" width="4" customWidth="1"/>
    <col min="4" max="4" width="31.85546875" bestFit="1" customWidth="1"/>
    <col min="5" max="6" width="14.28515625" bestFit="1" customWidth="1"/>
    <col min="7" max="7" width="15.28515625" bestFit="1" customWidth="1"/>
    <col min="8" max="8" width="17" customWidth="1"/>
    <col min="9" max="14" width="13.7109375" bestFit="1" customWidth="1"/>
    <col min="15" max="16" width="14.28515625" bestFit="1" customWidth="1"/>
    <col min="17" max="17" width="14.85546875" customWidth="1"/>
    <col min="18" max="18" width="12.5703125" style="153" bestFit="1" customWidth="1"/>
    <col min="19" max="19" width="14.28515625" style="153" bestFit="1" customWidth="1"/>
    <col min="20" max="20" width="12.42578125" style="153" bestFit="1" customWidth="1"/>
    <col min="21" max="21" width="14.140625" style="153" customWidth="1"/>
    <col min="22" max="22" width="13.7109375" style="153" bestFit="1" customWidth="1"/>
    <col min="23" max="23" width="8.85546875" style="153" customWidth="1"/>
    <col min="24" max="24" width="16.28515625" style="153" bestFit="1" customWidth="1"/>
  </cols>
  <sheetData>
    <row r="1" spans="1:24" x14ac:dyDescent="0.25">
      <c r="A1" t="s">
        <v>0</v>
      </c>
      <c r="B1" s="5"/>
      <c r="E1" s="99"/>
      <c r="F1" s="99"/>
      <c r="G1" s="99"/>
      <c r="H1" s="99"/>
      <c r="I1" s="99"/>
      <c r="J1" s="99"/>
      <c r="K1" s="99"/>
      <c r="L1" s="99"/>
      <c r="M1" s="99"/>
      <c r="N1" s="99"/>
      <c r="O1" s="99"/>
      <c r="P1" s="99"/>
      <c r="Q1" s="5"/>
    </row>
    <row r="2" spans="1:24" x14ac:dyDescent="0.25">
      <c r="A2" s="325" t="s">
        <v>403</v>
      </c>
      <c r="D2" s="16"/>
      <c r="E2" s="16"/>
      <c r="F2" s="8"/>
      <c r="G2" s="8"/>
      <c r="H2" s="8"/>
      <c r="I2" s="8"/>
      <c r="J2" s="8"/>
      <c r="K2" s="8"/>
      <c r="L2" s="8"/>
      <c r="M2" s="8"/>
      <c r="N2" s="8"/>
      <c r="O2" s="8"/>
      <c r="P2" s="52"/>
    </row>
    <row r="3" spans="1:24" x14ac:dyDescent="0.25">
      <c r="A3" t="s">
        <v>2</v>
      </c>
      <c r="H3" s="9"/>
      <c r="O3" s="9"/>
    </row>
    <row r="4" spans="1:24" ht="15.75" thickBot="1" x14ac:dyDescent="0.3">
      <c r="A4" s="7"/>
      <c r="D4" s="464" t="s">
        <v>396</v>
      </c>
      <c r="E4" s="464"/>
      <c r="F4" s="464"/>
      <c r="G4" s="464"/>
      <c r="H4" s="464"/>
      <c r="I4" s="464"/>
      <c r="J4" s="464"/>
      <c r="K4" s="464"/>
      <c r="L4" s="464"/>
      <c r="M4" s="464"/>
      <c r="N4" s="464"/>
      <c r="O4" s="464"/>
      <c r="P4" s="464"/>
    </row>
    <row r="5" spans="1:24" ht="15.75" thickBot="1" x14ac:dyDescent="0.3">
      <c r="A5" s="23" t="s">
        <v>160</v>
      </c>
      <c r="B5" s="24">
        <v>0.05</v>
      </c>
      <c r="D5" s="104"/>
      <c r="E5" s="116" t="s">
        <v>117</v>
      </c>
      <c r="F5" s="116" t="s">
        <v>118</v>
      </c>
      <c r="G5" s="116" t="s">
        <v>119</v>
      </c>
      <c r="H5" s="116" t="s">
        <v>120</v>
      </c>
      <c r="I5" s="116" t="s">
        <v>121</v>
      </c>
      <c r="J5" s="116" t="s">
        <v>122</v>
      </c>
      <c r="K5" s="116" t="s">
        <v>123</v>
      </c>
      <c r="L5" s="116" t="s">
        <v>124</v>
      </c>
      <c r="M5" s="117" t="s">
        <v>125</v>
      </c>
      <c r="N5" s="107" t="s">
        <v>126</v>
      </c>
      <c r="O5" s="115" t="s">
        <v>127</v>
      </c>
      <c r="Q5" s="153"/>
      <c r="X5"/>
    </row>
    <row r="6" spans="1:24" x14ac:dyDescent="0.25">
      <c r="D6" s="124" t="s">
        <v>129</v>
      </c>
      <c r="E6" s="51" cm="1">
        <f t="array" ref="E6">(('Forecasted Therms WP'!G9*10)-INDEX('NAICS Historical WP'!$C$52:$D$63,COLUMN(F1),ROW($A$1)))</f>
        <v>3556887.7062583235</v>
      </c>
      <c r="F6" s="51" cm="1">
        <f t="array" ref="F6">(('Forecasted Therms WP'!H9*10)-INDEX('NAICS Historical WP'!$C$52:$D$63,COLUMN(G1),ROW($A$1)))</f>
        <v>3062195.0509832967</v>
      </c>
      <c r="G6" s="51" cm="1">
        <f t="array" ref="G6">(('Forecasted Therms WP'!I9*10)-INDEX('NAICS Historical WP'!$C$52:$D$63,COLUMN(H1),ROW($A$1)))</f>
        <v>3028829.9274012637</v>
      </c>
      <c r="H6" s="51" cm="1">
        <f t="array" ref="H6">(('Forecasted Therms WP'!J9*10)-INDEX('NAICS Historical WP'!$C$52:$D$63,COLUMN(I1),ROW($A$1)))</f>
        <v>3847281.5572397336</v>
      </c>
      <c r="I6" s="51" cm="1">
        <f t="array" ref="I6">(('Forecasted Therms WP'!K9*10)-INDEX('NAICS Historical WP'!$C$52:$D$63,COLUMN(J1),ROW($A$1)))</f>
        <v>9562757.3367917854</v>
      </c>
      <c r="J6" s="51" cm="1">
        <f t="array" ref="J6">(('Forecasted Therms WP'!L9*10)-INDEX('NAICS Historical WP'!$C$52:$D$63,COLUMN(K1),ROW($A$1)))</f>
        <v>16587423.359481266</v>
      </c>
      <c r="K6" s="51" cm="1">
        <f t="array" ref="K6">(('Forecasted Therms WP'!M9*10)-INDEX('NAICS Historical WP'!$C$52:$D$63,COLUMN(L1),ROW($A$1)))</f>
        <v>22406926.2917406</v>
      </c>
      <c r="L6" s="51" cm="1">
        <f t="array" ref="L6">(('Forecasted Therms WP'!O9*10)-INDEX('NAICS Historical WP'!$C$52:$D$63,COLUMN(A1),ROW($A$1)))</f>
        <v>21945286.402843967</v>
      </c>
      <c r="M6" s="51" cm="1">
        <f t="array" ref="M6">(('Forecasted Therms WP'!P9*10)-INDEX('NAICS Historical WP'!$C$52:$D$63,COLUMN(B1),ROW($A$1)))</f>
        <v>18512335.427969534</v>
      </c>
      <c r="N6" s="118" cm="1">
        <f t="array" ref="N6">(('Forecasted Therms WP'!Q9*10)-INDEX('NAICS Historical WP'!$C$52:$D$63,COLUMN(C1),ROW($A$1)))</f>
        <v>14923958.363178967</v>
      </c>
      <c r="O6" s="95">
        <f t="shared" ref="O6:O12" si="0">SUM(E6:N6)</f>
        <v>117433881.42388873</v>
      </c>
      <c r="Q6" s="283"/>
      <c r="R6" s="151"/>
      <c r="S6" s="284"/>
      <c r="T6" s="149"/>
      <c r="U6" s="150"/>
      <c r="V6" s="285"/>
      <c r="X6"/>
    </row>
    <row r="7" spans="1:24" x14ac:dyDescent="0.25">
      <c r="A7" s="10" t="s">
        <v>161</v>
      </c>
      <c r="B7" s="10" t="s">
        <v>31</v>
      </c>
      <c r="D7" s="124" t="s">
        <v>130</v>
      </c>
      <c r="E7" s="51" cm="1">
        <f t="array" ref="E7">(('Forecasted Therms WP'!G10*10)-INDEX('NAICS Historical WP'!$J$52:$K$63,COLUMN(F1),ROW($A$1)))</f>
        <v>3030612.1546496437</v>
      </c>
      <c r="F7" s="51" cm="1">
        <f t="array" ref="F7">(('Forecasted Therms WP'!H10*10)-INDEX('NAICS Historical WP'!$J$52:$K$63,COLUMN(G1),ROW($A$1)))</f>
        <v>2865450.4410267067</v>
      </c>
      <c r="G7" s="51" cm="1">
        <f t="array" ref="G7">(('Forecasted Therms WP'!I10*10)-INDEX('NAICS Historical WP'!$J$52:$K$63,COLUMN(H1),ROW($A$1)))</f>
        <v>2861985.8922232399</v>
      </c>
      <c r="H7" s="51" cm="1">
        <f t="array" ref="H7">(('Forecasted Therms WP'!J10*10)-INDEX('NAICS Historical WP'!$J$52:$K$63,COLUMN(I1),ROW($A$1)))</f>
        <v>3134361.3568538134</v>
      </c>
      <c r="I7" s="51" cm="1">
        <f t="array" ref="I7">(('Forecasted Therms WP'!K10*10)-INDEX('NAICS Historical WP'!$J$52:$K$63,COLUMN(J1),ROW($A$1)))</f>
        <v>6324640.8220965303</v>
      </c>
      <c r="J7" s="51" cm="1">
        <f t="array" ref="J7">(('Forecasted Therms WP'!L10*10)-INDEX('NAICS Historical WP'!$J$52:$K$63,COLUMN(K1),ROW($A$1)))</f>
        <v>10699543.932245366</v>
      </c>
      <c r="K7" s="51" cm="1">
        <f t="array" ref="K7">(('Forecasted Therms WP'!M10*10)-INDEX('NAICS Historical WP'!$J$52:$K$63,COLUMN(L1),ROW($A$1)))</f>
        <v>14912968.772569766</v>
      </c>
      <c r="L7" s="51" cm="1">
        <f t="array" ref="L7">(('Forecasted Therms WP'!O10*10)-INDEX('NAICS Historical WP'!$J$52:$K$63,COLUMN(A1),ROW($A$1)))</f>
        <v>14970661.970283465</v>
      </c>
      <c r="M7" s="51" cm="1">
        <f t="array" ref="M7">(('Forecasted Therms WP'!P10*10)-INDEX('NAICS Historical WP'!$J$52:$K$63,COLUMN(B1),ROW($A$1)))</f>
        <v>12593390.807835534</v>
      </c>
      <c r="N7" s="105" cm="1">
        <f t="array" ref="N7">(('Forecasted Therms WP'!Q10*10)-INDEX('NAICS Historical WP'!$J$52:$K$63,COLUMN(C1),ROW($A$1)))</f>
        <v>10108164.726381835</v>
      </c>
      <c r="O7" s="95">
        <f t="shared" si="0"/>
        <v>81501780.876165897</v>
      </c>
      <c r="Q7" s="283"/>
      <c r="R7" s="151"/>
      <c r="S7" s="284"/>
      <c r="T7" s="149"/>
      <c r="U7" s="150"/>
      <c r="V7" s="285"/>
      <c r="X7"/>
    </row>
    <row r="8" spans="1:24" x14ac:dyDescent="0.25">
      <c r="A8" s="11">
        <v>503</v>
      </c>
      <c r="B8" s="12" t="s">
        <v>162</v>
      </c>
      <c r="C8" s="5"/>
      <c r="D8" s="124" t="s">
        <v>131</v>
      </c>
      <c r="E8" s="51">
        <f>'Forecasted Therms WP'!G12*10</f>
        <v>487737.80386750301</v>
      </c>
      <c r="F8" s="51">
        <f>'Forecasted Therms WP'!H12*10</f>
        <v>514531.37036775204</v>
      </c>
      <c r="G8" s="51">
        <f>'Forecasted Therms WP'!I12*10</f>
        <v>746713.50508355792</v>
      </c>
      <c r="H8" s="51">
        <f>'Forecasted Therms WP'!J12*10</f>
        <v>904699.04342853592</v>
      </c>
      <c r="I8" s="51">
        <f>'Forecasted Therms WP'!K12*10</f>
        <v>1201796.3037670099</v>
      </c>
      <c r="J8" s="51">
        <f>'Forecasted Therms WP'!L12*10</f>
        <v>1376201.2148969201</v>
      </c>
      <c r="K8" s="51">
        <f>'Forecasted Therms WP'!M12*10</f>
        <v>1618684.2502953401</v>
      </c>
      <c r="L8" s="51">
        <f>'Forecasted Therms WP'!O12*10</f>
        <v>1702148.2043633</v>
      </c>
      <c r="M8" s="51">
        <f>'Forecasted Therms WP'!P12*10</f>
        <v>1446112.7044063699</v>
      </c>
      <c r="N8" s="105">
        <f>'Forecasted Therms WP'!Q12*10</f>
        <v>1298817.9511820599</v>
      </c>
      <c r="O8" s="95">
        <f t="shared" si="0"/>
        <v>11297442.351658348</v>
      </c>
      <c r="Q8" s="283"/>
      <c r="R8" s="151"/>
      <c r="S8" s="284"/>
      <c r="T8" s="149"/>
      <c r="U8" s="150"/>
      <c r="V8" s="285"/>
      <c r="X8"/>
    </row>
    <row r="9" spans="1:24" x14ac:dyDescent="0.25">
      <c r="A9" s="11">
        <v>504</v>
      </c>
      <c r="B9" s="12" t="s">
        <v>163</v>
      </c>
      <c r="D9" s="124" t="s">
        <v>132</v>
      </c>
      <c r="E9" s="51" cm="1">
        <f t="array" ref="E9">((SUM('Forecasted Therms WP'!G11,'Forecasted Therms WP'!G13)*10)-INDEX('NAICS Historical WP'!$Q$52:$R$63,COLUMN(F1),ROW($A$1)))</f>
        <v>697302.11361428292</v>
      </c>
      <c r="F9" s="51" cm="1">
        <f t="array" ref="F9">((SUM('Forecasted Therms WP'!H11,'Forecasted Therms WP'!H13)*10)-INDEX('NAICS Historical WP'!$Q$52:$R$63,COLUMN(G1),ROW($A$1)))</f>
        <v>652268.42626989132</v>
      </c>
      <c r="G9" s="51" cm="1">
        <f t="array" ref="G9">((SUM('Forecasted Therms WP'!I11,'Forecasted Therms WP'!I13)*10)-INDEX('NAICS Historical WP'!$Q$52:$R$63,COLUMN(H1),ROW($A$1)))</f>
        <v>631280.44354712195</v>
      </c>
      <c r="H9" s="51" cm="1">
        <f t="array" ref="H9">((SUM('Forecasted Therms WP'!J11,'Forecasted Therms WP'!J13)*10)-INDEX('NAICS Historical WP'!$Q$52:$R$63,COLUMN(I1),ROW($A$1)))</f>
        <v>713134.91145428142</v>
      </c>
      <c r="I9" s="51" cm="1">
        <f t="array" ref="I9">((SUM('Forecasted Therms WP'!K11,'Forecasted Therms WP'!K13)*10)-INDEX('NAICS Historical WP'!$Q$52:$R$63,COLUMN(J1),ROW($A$1)))</f>
        <v>1250298.9639058337</v>
      </c>
      <c r="J9" s="51" cm="1">
        <f t="array" ref="J9">((SUM('Forecasted Therms WP'!L11,'Forecasted Therms WP'!L13)*10)-INDEX('NAICS Historical WP'!$Q$52:$R$63,COLUMN(K1),ROW($A$1)))</f>
        <v>1613334.818293649</v>
      </c>
      <c r="K9" s="51" cm="1">
        <f t="array" ref="K9">((SUM('Forecasted Therms WP'!M11,'Forecasted Therms WP'!M13)*10)-INDEX('NAICS Historical WP'!$Q$52:$R$63,COLUMN(L1),ROW($A$1)))</f>
        <v>1975850.8324769745</v>
      </c>
      <c r="L9" s="51" cm="1">
        <f t="array" ref="L9">((SUM('Forecasted Therms WP'!O11,'Forecasted Therms WP'!O13)*10)-INDEX('NAICS Historical WP'!$Q$52:$R$63,COLUMN(A1),ROW($A$1)))</f>
        <v>2010061.864328624</v>
      </c>
      <c r="M9" s="51" cm="1">
        <f t="array" ref="M9">((SUM('Forecasted Therms WP'!P11,'Forecasted Therms WP'!P13)*10)-INDEX('NAICS Historical WP'!$Q$52:$R$63,COLUMN(B1),ROW($A$1)))</f>
        <v>1664471.703895919</v>
      </c>
      <c r="N9" s="105" cm="1">
        <f t="array" ref="N9">((SUM('Forecasted Therms WP'!Q11,'Forecasted Therms WP'!Q13)*10)-INDEX('NAICS Historical WP'!$Q$52:$R$63,COLUMN(C1),ROW($A$1)))</f>
        <v>1595371.8127213588</v>
      </c>
      <c r="O9" s="95">
        <f t="shared" si="0"/>
        <v>12803375.890507936</v>
      </c>
      <c r="Q9" s="283"/>
      <c r="R9" s="151"/>
      <c r="S9" s="284"/>
      <c r="T9" s="149"/>
      <c r="U9" s="150"/>
      <c r="V9" s="285"/>
      <c r="X9"/>
    </row>
    <row r="10" spans="1:24" x14ac:dyDescent="0.25">
      <c r="A10" s="11">
        <v>505</v>
      </c>
      <c r="B10" s="12" t="s">
        <v>164</v>
      </c>
      <c r="D10" s="124" t="s">
        <v>133</v>
      </c>
      <c r="E10" s="51" cm="1">
        <f t="array" ref="E10">'Forecasted Therms WP'!G14*10-INDEX('NAICS Historical WP'!$AB$7:$AB$18,COLUMN(F1),1)</f>
        <v>94870.776142863673</v>
      </c>
      <c r="F10" s="51" cm="1">
        <f t="array" ref="F10">'Forecasted Therms WP'!H14*10-INDEX('NAICS Historical WP'!$AB$7:$AB$18,COLUMN(G1),1)</f>
        <v>96835.782927908993</v>
      </c>
      <c r="G10" s="51" cm="1">
        <f t="array" ref="G10">'Forecasted Therms WP'!I14*10-INDEX('NAICS Historical WP'!$AB$7:$AB$18,COLUMN(H1),1)</f>
        <v>90232.137626399504</v>
      </c>
      <c r="H10" s="51" cm="1">
        <f t="array" ref="H10">'Forecasted Therms WP'!J14*10-INDEX('NAICS Historical WP'!$AB$7:$AB$18,COLUMN(I1),1)</f>
        <v>93426.048823495672</v>
      </c>
      <c r="I10" s="51" cm="1">
        <f t="array" ref="I10">'Forecasted Therms WP'!K14*10-INDEX('NAICS Historical WP'!$AB$7:$AB$18,COLUMN(J1),1)</f>
        <v>190086.00165683235</v>
      </c>
      <c r="J10" s="51" cm="1">
        <f t="array" ref="J10">'Forecasted Therms WP'!L14*10-INDEX('NAICS Historical WP'!$AB$7:$AB$18,COLUMN(K1),1)</f>
        <v>213307.79972037533</v>
      </c>
      <c r="K10" s="51" cm="1">
        <f t="array" ref="K10">'Forecasted Therms WP'!M14*10-INDEX('NAICS Historical WP'!$AB$7:$AB$18,COLUMN(L1),1)</f>
        <v>242916.61868289302</v>
      </c>
      <c r="L10" s="51" cm="1">
        <f t="array" ref="L10">'Forecasted Therms WP'!O14*10-INDEX('NAICS Historical WP'!$AB$7:$AB$18,COLUMN(A1),1)</f>
        <v>248773.76145299568</v>
      </c>
      <c r="M10" s="51" cm="1">
        <f t="array" ref="M10">'Forecasted Therms WP'!P14*10-INDEX('NAICS Historical WP'!$AB$7:$AB$18,COLUMN(B1),1)</f>
        <v>212657.16912907266</v>
      </c>
      <c r="N10" s="105" cm="1">
        <f t="array" ref="N10">'Forecasted Therms WP'!Q14*10-INDEX('NAICS Historical WP'!$AB$7:$AB$18,COLUMN(C1),1)</f>
        <v>220272.12488583036</v>
      </c>
      <c r="O10" s="95">
        <f t="shared" si="0"/>
        <v>1703378.2210486673</v>
      </c>
      <c r="Q10" s="283"/>
      <c r="R10" s="151"/>
      <c r="S10" s="284"/>
      <c r="T10" s="149"/>
      <c r="U10" s="150"/>
      <c r="V10" s="285"/>
      <c r="X10"/>
    </row>
    <row r="11" spans="1:24" ht="15.75" thickBot="1" x14ac:dyDescent="0.3">
      <c r="A11" s="11">
        <v>511</v>
      </c>
      <c r="B11" s="12" t="s">
        <v>165</v>
      </c>
      <c r="D11" s="124" t="s">
        <v>134</v>
      </c>
      <c r="E11" s="119" cm="1">
        <f t="array" ref="E11">'Forecasted Therms WP'!G6*10-INDEX('NAICS Historical WP'!$X$7:$X$18,COLUMN(F1),1)</f>
        <v>20790255.720928594</v>
      </c>
      <c r="F11" s="119" cm="1">
        <f t="array" ref="F11">'Forecasted Therms WP'!H6*10-INDEX('NAICS Historical WP'!$X$7:$X$18,COLUMN(G1),1)</f>
        <v>20947273.973452404</v>
      </c>
      <c r="G11" s="119" cm="1">
        <f t="array" ref="G11">'Forecasted Therms WP'!I6*10-INDEX('NAICS Historical WP'!$X$7:$X$18,COLUMN(H1),1)</f>
        <v>21791358.347416699</v>
      </c>
      <c r="H11" s="119" cm="1">
        <f t="array" ref="H11">'Forecasted Therms WP'!J6*10-INDEX('NAICS Historical WP'!$X$7:$X$18,COLUMN(I1),1)</f>
        <v>24059533.148726169</v>
      </c>
      <c r="I11" s="119" cm="1">
        <f t="array" ref="I11">'Forecasted Therms WP'!K6*10-INDEX('NAICS Historical WP'!$X$7:$X$18,COLUMN(J1),1)</f>
        <v>25839749.431267831</v>
      </c>
      <c r="J11" s="119" cm="1">
        <f t="array" ref="J11">'Forecasted Therms WP'!L6*10-INDEX('NAICS Historical WP'!$X$7:$X$18,COLUMN(K1),1)</f>
        <v>19840698.482238099</v>
      </c>
      <c r="K11" s="119" cm="1">
        <f t="array" ref="K11">'Forecasted Therms WP'!M6*10-INDEX('NAICS Historical WP'!$X$7:$X$18,COLUMN(L1),1)</f>
        <v>22100773.629517835</v>
      </c>
      <c r="L11" s="119" cm="1">
        <f t="array" ref="L11">'Forecasted Therms WP'!O6*10-INDEX('NAICS Historical WP'!$X$7:$X$18,COLUMN(A1),1)</f>
        <v>26140062.591706309</v>
      </c>
      <c r="M11" s="119" cm="1">
        <f t="array" ref="M11">'Forecasted Therms WP'!P6*10-INDEX('NAICS Historical WP'!$X$7:$X$18,COLUMN(B1),1)</f>
        <v>22919181.568386905</v>
      </c>
      <c r="N11" s="120" cm="1">
        <f t="array" ref="N11">'Forecasted Therms WP'!Q6*10-INDEX('NAICS Historical WP'!$X$7:$X$18,COLUMN(C1),1)</f>
        <v>23241506.91501984</v>
      </c>
      <c r="O11" s="121">
        <f t="shared" si="0"/>
        <v>227670393.80866069</v>
      </c>
      <c r="Q11" s="283"/>
      <c r="R11" s="151"/>
      <c r="S11" s="284"/>
      <c r="T11" s="149"/>
      <c r="U11" s="150"/>
      <c r="V11" s="285"/>
      <c r="X11"/>
    </row>
    <row r="12" spans="1:24" ht="16.5" thickTop="1" thickBot="1" x14ac:dyDescent="0.3">
      <c r="A12" s="11">
        <v>570</v>
      </c>
      <c r="B12" s="12" t="s">
        <v>166</v>
      </c>
      <c r="D12" s="107" t="s">
        <v>127</v>
      </c>
      <c r="E12" s="96">
        <f t="shared" ref="E12:N12" si="1">SUM(E6:E11)</f>
        <v>28657666.275461212</v>
      </c>
      <c r="F12" s="96">
        <f t="shared" si="1"/>
        <v>28138555.04502796</v>
      </c>
      <c r="G12" s="96">
        <f t="shared" si="1"/>
        <v>29150400.253298283</v>
      </c>
      <c r="H12" s="96">
        <f t="shared" si="1"/>
        <v>32752436.066526029</v>
      </c>
      <c r="I12" s="96">
        <f t="shared" si="1"/>
        <v>44369328.85948582</v>
      </c>
      <c r="J12" s="96">
        <f t="shared" si="1"/>
        <v>50330509.60687568</v>
      </c>
      <c r="K12" s="96">
        <f t="shared" si="1"/>
        <v>63258120.395283401</v>
      </c>
      <c r="L12" s="96">
        <f t="shared" si="1"/>
        <v>67016994.794978663</v>
      </c>
      <c r="M12" s="96">
        <f t="shared" si="1"/>
        <v>57348149.381623335</v>
      </c>
      <c r="N12" s="96">
        <f t="shared" si="1"/>
        <v>51388091.893369891</v>
      </c>
      <c r="O12" s="91">
        <f t="shared" si="0"/>
        <v>452410252.57193029</v>
      </c>
      <c r="Q12" s="283"/>
      <c r="R12" s="151"/>
      <c r="S12" s="284"/>
      <c r="T12" s="149"/>
      <c r="U12" s="150"/>
      <c r="V12" s="285"/>
      <c r="X12"/>
    </row>
    <row r="13" spans="1:24" x14ac:dyDescent="0.25">
      <c r="A13" s="11">
        <v>663</v>
      </c>
      <c r="B13" s="12" t="s">
        <v>167</v>
      </c>
      <c r="Q13" s="153"/>
      <c r="T13" s="154"/>
      <c r="U13" s="286"/>
      <c r="X13"/>
    </row>
    <row r="14" spans="1:24" x14ac:dyDescent="0.25">
      <c r="A14" s="462"/>
      <c r="B14" s="462"/>
      <c r="D14" s="15"/>
      <c r="Q14" s="153"/>
      <c r="X14"/>
    </row>
    <row r="15" spans="1:24" x14ac:dyDescent="0.25">
      <c r="A15" s="22"/>
      <c r="B15" s="88"/>
      <c r="D15" s="7" t="s">
        <v>168</v>
      </c>
      <c r="O15" t="s">
        <v>127</v>
      </c>
      <c r="R15" s="153" t="s">
        <v>61</v>
      </c>
      <c r="S15" s="153" t="s">
        <v>60</v>
      </c>
      <c r="T15" s="153" t="s">
        <v>19</v>
      </c>
      <c r="U15" s="153" t="s">
        <v>169</v>
      </c>
      <c r="V15" s="153" t="s">
        <v>170</v>
      </c>
      <c r="W15" s="153" t="s">
        <v>19</v>
      </c>
    </row>
    <row r="16" spans="1:24" x14ac:dyDescent="0.25">
      <c r="B16" s="15"/>
      <c r="D16" s="124" t="s">
        <v>76</v>
      </c>
      <c r="E16" s="92">
        <f>E6-SUM(E17:E18)</f>
        <v>3271834.4330246272</v>
      </c>
      <c r="F16" s="92">
        <f t="shared" ref="F16:N16" si="2">F6-SUM(F17:F18)</f>
        <v>2816250.7620975655</v>
      </c>
      <c r="G16" s="92">
        <f t="shared" si="2"/>
        <v>2781180.0328556858</v>
      </c>
      <c r="H16" s="92">
        <f t="shared" si="2"/>
        <v>3519930.1428294582</v>
      </c>
      <c r="I16" s="92">
        <f t="shared" si="2"/>
        <v>8714309.2260491941</v>
      </c>
      <c r="J16" s="92">
        <f t="shared" si="2"/>
        <v>15064272.800427159</v>
      </c>
      <c r="K16" s="92">
        <f t="shared" si="2"/>
        <v>20311601.005208034</v>
      </c>
      <c r="L16" s="92">
        <f t="shared" si="2"/>
        <v>19859970.80892149</v>
      </c>
      <c r="M16" s="92">
        <f t="shared" si="2"/>
        <v>16731931.180572221</v>
      </c>
      <c r="N16" s="93">
        <f t="shared" si="2"/>
        <v>13484586.806510393</v>
      </c>
      <c r="O16" s="125">
        <f t="shared" ref="O16:O28" si="3">SUM(E16:N16)</f>
        <v>106555867.19849584</v>
      </c>
      <c r="P16" s="326"/>
      <c r="R16" s="283">
        <f>J16+K16+L16+M16+N16</f>
        <v>85452362.601639301</v>
      </c>
      <c r="S16" s="151">
        <f>E16+F16+G16+H16+I16</f>
        <v>21103504.596856534</v>
      </c>
      <c r="T16" s="284">
        <f>R16+S16</f>
        <v>106555867.19849584</v>
      </c>
      <c r="U16" s="149">
        <f>R16/T16</f>
        <v>0.80194891983240846</v>
      </c>
      <c r="V16" s="150">
        <f>S16/T16</f>
        <v>0.19805108016759151</v>
      </c>
      <c r="W16" s="285">
        <f>U16+V16</f>
        <v>1</v>
      </c>
    </row>
    <row r="17" spans="2:24" x14ac:dyDescent="0.25">
      <c r="B17" s="15"/>
      <c r="D17" s="124" t="s">
        <v>141</v>
      </c>
      <c r="E17" s="94">
        <f>E6/'Eligible Customers WP'!E8*'Eligible Customers WP'!E28</f>
        <v>107208.88792077993</v>
      </c>
      <c r="F17" s="94">
        <f>F6/'Eligible Customers WP'!F8*'Eligible Customers WP'!F28</f>
        <v>92834.536336566278</v>
      </c>
      <c r="G17" s="94">
        <f>G6/'Eligible Customers WP'!G8*'Eligible Customers WP'!G28</f>
        <v>96208.398175514871</v>
      </c>
      <c r="H17" s="94">
        <f>H6/'Eligible Customers WP'!H8*'Eligible Customers WP'!H28</f>
        <v>134987.33654828867</v>
      </c>
      <c r="I17" s="94">
        <f>I6/'Eligible Customers WP'!I8*'Eligible Customers WP'!I28</f>
        <v>370310.24390300218</v>
      </c>
      <c r="J17" s="94">
        <f>J6/'Eligible Customers WP'!J8*'Eligible Customers WP'!J28</f>
        <v>693779.3910800434</v>
      </c>
      <c r="K17" s="94">
        <f>K6/'Eligible Customers WP'!K8*'Eligible Customers WP'!K28</f>
        <v>974978.97194553551</v>
      </c>
      <c r="L17" s="94">
        <f>L6/'Eligible Customers WP'!L8*'Eligible Customers WP'!L28</f>
        <v>988051.27378027816</v>
      </c>
      <c r="M17" s="94">
        <f>M6/'Eligible Customers WP'!M8*'Eligible Customers WP'!M28</f>
        <v>854787.47599883587</v>
      </c>
      <c r="N17" s="129">
        <f>N6/'Eligible Customers WP'!N8*'Eligible Customers WP'!N28</f>
        <v>693173.63850962615</v>
      </c>
      <c r="O17" s="126">
        <f t="shared" si="3"/>
        <v>5006320.1541984715</v>
      </c>
      <c r="P17" s="326"/>
      <c r="Q17" s="9"/>
    </row>
    <row r="18" spans="2:24" x14ac:dyDescent="0.25">
      <c r="B18" s="15"/>
      <c r="D18" s="124" t="s">
        <v>142</v>
      </c>
      <c r="E18" s="9">
        <f t="shared" ref="E18:N18" si="4">E6*$B5</f>
        <v>177844.38531291619</v>
      </c>
      <c r="F18" s="9">
        <f t="shared" si="4"/>
        <v>153109.75254916484</v>
      </c>
      <c r="G18" s="9">
        <f t="shared" si="4"/>
        <v>151441.49637006319</v>
      </c>
      <c r="H18" s="9">
        <f t="shared" si="4"/>
        <v>192364.07786198671</v>
      </c>
      <c r="I18" s="9">
        <f t="shared" si="4"/>
        <v>478137.86683958932</v>
      </c>
      <c r="J18" s="9">
        <f t="shared" si="4"/>
        <v>829371.16797406331</v>
      </c>
      <c r="K18" s="9">
        <f t="shared" si="4"/>
        <v>1120346.3145870301</v>
      </c>
      <c r="L18" s="9">
        <f t="shared" si="4"/>
        <v>1097264.3201421984</v>
      </c>
      <c r="M18" s="9">
        <f t="shared" si="4"/>
        <v>925616.77139847679</v>
      </c>
      <c r="N18" s="95">
        <f t="shared" si="4"/>
        <v>746197.91815894842</v>
      </c>
      <c r="O18" s="126">
        <f t="shared" si="3"/>
        <v>5871694.0711944383</v>
      </c>
      <c r="P18" s="326"/>
      <c r="Q18" s="9"/>
    </row>
    <row r="19" spans="2:24" x14ac:dyDescent="0.25">
      <c r="B19" s="15"/>
      <c r="D19" s="124" t="s">
        <v>77</v>
      </c>
      <c r="E19" s="9">
        <f t="shared" ref="E19:N19" si="5">E7-E20</f>
        <v>2951347.639040607</v>
      </c>
      <c r="F19" s="9">
        <f t="shared" si="5"/>
        <v>2791913.7947604503</v>
      </c>
      <c r="G19" s="9">
        <f t="shared" si="5"/>
        <v>2786629.7820328716</v>
      </c>
      <c r="H19" s="9">
        <f t="shared" si="5"/>
        <v>3041644.7515247087</v>
      </c>
      <c r="I19" s="9">
        <f t="shared" si="5"/>
        <v>6105988.9536754787</v>
      </c>
      <c r="J19" s="9">
        <f t="shared" si="5"/>
        <v>10278984.703122351</v>
      </c>
      <c r="K19" s="9">
        <f t="shared" si="5"/>
        <v>14284153.208847918</v>
      </c>
      <c r="L19" s="9">
        <f t="shared" si="5"/>
        <v>14306463.547944378</v>
      </c>
      <c r="M19" s="9">
        <f t="shared" si="5"/>
        <v>12027860.662029119</v>
      </c>
      <c r="N19" s="95">
        <f t="shared" si="5"/>
        <v>9657309.284072727</v>
      </c>
      <c r="O19" s="126">
        <f t="shared" si="3"/>
        <v>78232296.327050611</v>
      </c>
      <c r="P19" s="326"/>
      <c r="Q19" s="9"/>
      <c r="R19" s="283">
        <f>J19+K19+L19+M19+N19</f>
        <v>60554771.406016491</v>
      </c>
      <c r="S19" s="151">
        <f>E19+F19+G19+H19+I19</f>
        <v>17677524.921034116</v>
      </c>
      <c r="T19" s="284">
        <f>R19+S19</f>
        <v>78232296.327050611</v>
      </c>
      <c r="U19" s="149">
        <f>R19/T19</f>
        <v>0.77403801561527585</v>
      </c>
      <c r="V19" s="150">
        <f>S19/T19</f>
        <v>0.22596198438472406</v>
      </c>
      <c r="W19" s="285">
        <f>U19+V19</f>
        <v>0.99999999999999989</v>
      </c>
    </row>
    <row r="20" spans="2:24" x14ac:dyDescent="0.25">
      <c r="B20" s="15"/>
      <c r="D20" s="124" t="s">
        <v>143</v>
      </c>
      <c r="E20" s="9">
        <f>E7/'Eligible Customers WP'!E9*'Eligible Customers WP'!E20</f>
        <v>79264.515609036724</v>
      </c>
      <c r="F20" s="9">
        <f>F7/'Eligible Customers WP'!F9*'Eligible Customers WP'!F20</f>
        <v>73536.646266256314</v>
      </c>
      <c r="G20" s="9">
        <f>G7/'Eligible Customers WP'!G9*'Eligible Customers WP'!G20</f>
        <v>75356.110190368054</v>
      </c>
      <c r="H20" s="9">
        <f>H7/'Eligible Customers WP'!H9*'Eligible Customers WP'!H20</f>
        <v>92716.605329104772</v>
      </c>
      <c r="I20" s="9">
        <f>I7/'Eligible Customers WP'!I9*'Eligible Customers WP'!I20</f>
        <v>218651.86842105148</v>
      </c>
      <c r="J20" s="9">
        <f>J7/'Eligible Customers WP'!J9*'Eligible Customers WP'!J20</f>
        <v>420559.22912301426</v>
      </c>
      <c r="K20" s="9">
        <f>K7/'Eligible Customers WP'!K9*'Eligible Customers WP'!K20</f>
        <v>628815.56372184888</v>
      </c>
      <c r="L20" s="9">
        <f>L7/'Eligible Customers WP'!L9*'Eligible Customers WP'!L20</f>
        <v>664198.42233908689</v>
      </c>
      <c r="M20" s="9">
        <f>M7/'Eligible Customers WP'!M9*'Eligible Customers WP'!M20</f>
        <v>565530.14580641501</v>
      </c>
      <c r="N20" s="95">
        <f>N7/'Eligible Customers WP'!N9*'Eligible Customers WP'!N20</f>
        <v>450855.44230910705</v>
      </c>
      <c r="O20" s="126">
        <f t="shared" si="3"/>
        <v>3269484.5491152895</v>
      </c>
      <c r="P20" s="326"/>
      <c r="Q20" s="9"/>
      <c r="R20" s="284"/>
    </row>
    <row r="21" spans="2:24" x14ac:dyDescent="0.25">
      <c r="B21" s="15"/>
      <c r="D21" s="124" t="s">
        <v>144</v>
      </c>
      <c r="E21" s="9">
        <f t="shared" ref="E21:N21" si="6">E8-E22</f>
        <v>471656.29912799108</v>
      </c>
      <c r="F21" s="9">
        <f t="shared" si="6"/>
        <v>496530.84454819816</v>
      </c>
      <c r="G21" s="9">
        <f t="shared" si="6"/>
        <v>720491.64689196157</v>
      </c>
      <c r="H21" s="9">
        <f t="shared" si="6"/>
        <v>871018.4651265851</v>
      </c>
      <c r="I21" s="9">
        <f t="shared" si="6"/>
        <v>1152210.953396386</v>
      </c>
      <c r="J21" s="9">
        <f t="shared" si="6"/>
        <v>1319182.4133101511</v>
      </c>
      <c r="K21" s="9">
        <f t="shared" si="6"/>
        <v>1551419.3920360697</v>
      </c>
      <c r="L21" s="9">
        <f t="shared" si="6"/>
        <v>1624813.9004599063</v>
      </c>
      <c r="M21" s="9">
        <f t="shared" si="6"/>
        <v>1380403.6226706735</v>
      </c>
      <c r="N21" s="95">
        <f t="shared" si="6"/>
        <v>1239846.9801160721</v>
      </c>
      <c r="O21" s="126">
        <f t="shared" si="3"/>
        <v>10827574.517683994</v>
      </c>
      <c r="P21" s="326"/>
      <c r="Q21" s="9"/>
      <c r="R21" s="283">
        <f>J21+K21+L21+M21+N21</f>
        <v>7115666.3085928727</v>
      </c>
      <c r="S21" s="151">
        <f>E21+F21+G21+H21+I21</f>
        <v>3711908.2090911218</v>
      </c>
      <c r="T21" s="284">
        <f>R21+S21</f>
        <v>10827574.517683994</v>
      </c>
      <c r="U21" s="149">
        <f>R21/T21</f>
        <v>0.65718008192613253</v>
      </c>
      <c r="V21" s="150">
        <f>S21/T21</f>
        <v>0.34281991807386747</v>
      </c>
      <c r="W21" s="285">
        <f>U21+V21</f>
        <v>1</v>
      </c>
    </row>
    <row r="22" spans="2:24" x14ac:dyDescent="0.25">
      <c r="B22" s="15"/>
      <c r="D22" s="124" t="s">
        <v>145</v>
      </c>
      <c r="E22" s="9">
        <f>E8/'Eligible Customers WP'!E10*'Eligible Customers WP'!E21</f>
        <v>16081.504739511909</v>
      </c>
      <c r="F22" s="9">
        <f>F8/'Eligible Customers WP'!F10*'Eligible Customers WP'!F21</f>
        <v>18000.525819553906</v>
      </c>
      <c r="G22" s="9">
        <f>G8/'Eligible Customers WP'!G10*'Eligible Customers WP'!G21</f>
        <v>26221.85819159629</v>
      </c>
      <c r="H22" s="9">
        <f>H8/'Eligible Customers WP'!H10*'Eligible Customers WP'!H21</f>
        <v>33680.578301950816</v>
      </c>
      <c r="I22" s="9">
        <f>I8/'Eligible Customers WP'!I10*'Eligible Customers WP'!I21</f>
        <v>49585.350370623812</v>
      </c>
      <c r="J22" s="9">
        <f>J8/'Eligible Customers WP'!J10*'Eligible Customers WP'!J21</f>
        <v>57018.801586769107</v>
      </c>
      <c r="K22" s="9">
        <f>K8/'Eligible Customers WP'!K10*'Eligible Customers WP'!K21</f>
        <v>67264.85825927055</v>
      </c>
      <c r="L22" s="9">
        <f>L8/'Eligible Customers WP'!L10*'Eligible Customers WP'!L21</f>
        <v>77334.303903393768</v>
      </c>
      <c r="M22" s="9">
        <f>M8/'Eligible Customers WP'!M10*'Eligible Customers WP'!M21</f>
        <v>65709.081735696484</v>
      </c>
      <c r="N22" s="95">
        <f>N8/'Eligible Customers WP'!N10*'Eligible Customers WP'!N21</f>
        <v>58970.971065987818</v>
      </c>
      <c r="O22" s="126">
        <f t="shared" si="3"/>
        <v>469867.83397435449</v>
      </c>
      <c r="P22" s="326"/>
      <c r="Q22" s="9"/>
      <c r="R22" s="283"/>
      <c r="S22" s="151"/>
      <c r="T22" s="284"/>
      <c r="U22" s="149"/>
      <c r="V22" s="150"/>
      <c r="W22" s="285"/>
    </row>
    <row r="23" spans="2:24" x14ac:dyDescent="0.25">
      <c r="B23" s="15"/>
      <c r="D23" s="124" t="s">
        <v>146</v>
      </c>
      <c r="E23" s="9">
        <f t="shared" ref="E23:N23" si="7">E9-E24</f>
        <v>668547.38727967336</v>
      </c>
      <c r="F23" s="9">
        <f t="shared" si="7"/>
        <v>618989.42492959078</v>
      </c>
      <c r="G23" s="9">
        <f t="shared" si="7"/>
        <v>587090.81249882339</v>
      </c>
      <c r="H23" s="9">
        <f t="shared" si="7"/>
        <v>656648.97787374433</v>
      </c>
      <c r="I23" s="9">
        <f t="shared" si="7"/>
        <v>1151265.3826063618</v>
      </c>
      <c r="J23" s="9">
        <f t="shared" si="7"/>
        <v>1485545.9217951421</v>
      </c>
      <c r="K23" s="9">
        <f t="shared" si="7"/>
        <v>1819347.7962411745</v>
      </c>
      <c r="L23" s="9">
        <f t="shared" si="7"/>
        <v>1850849.0433917032</v>
      </c>
      <c r="M23" s="9">
        <f t="shared" si="7"/>
        <v>1532632.3610130739</v>
      </c>
      <c r="N23" s="95">
        <f t="shared" si="7"/>
        <v>1469005.7285454096</v>
      </c>
      <c r="O23" s="126">
        <f t="shared" si="3"/>
        <v>11839922.836174697</v>
      </c>
      <c r="P23" s="326"/>
      <c r="Q23" s="9"/>
      <c r="R23" s="283">
        <f>J23+K23+L23+M23+N23</f>
        <v>8157380.8509865021</v>
      </c>
      <c r="S23" s="151">
        <f>E23+F23+G23+H23+I23</f>
        <v>3682541.9851881936</v>
      </c>
      <c r="T23" s="284">
        <f>R23+S23</f>
        <v>11839922.836174697</v>
      </c>
      <c r="U23" s="149">
        <f>R23/T23</f>
        <v>0.68897246746094765</v>
      </c>
      <c r="V23" s="150">
        <f>S23/T23</f>
        <v>0.3110275325390523</v>
      </c>
      <c r="W23" s="285">
        <f>U23+V23</f>
        <v>1</v>
      </c>
    </row>
    <row r="24" spans="2:24" x14ac:dyDescent="0.25">
      <c r="D24" s="124" t="s">
        <v>147</v>
      </c>
      <c r="E24" s="9">
        <f>E9/'Eligible Customers WP'!E11*'Eligible Customers WP'!E22</f>
        <v>28754.726334609604</v>
      </c>
      <c r="F24" s="9">
        <f>F9/'Eligible Customers WP'!F11*'Eligible Customers WP'!F22</f>
        <v>33279.00134030058</v>
      </c>
      <c r="G24" s="9">
        <f>G9/'Eligible Customers WP'!G11*'Eligible Customers WP'!G22</f>
        <v>44189.631048298535</v>
      </c>
      <c r="H24" s="9">
        <f>H9/'Eligible Customers WP'!H11*'Eligible Customers WP'!H22</f>
        <v>56485.933580537145</v>
      </c>
      <c r="I24" s="9">
        <f>I9/'Eligible Customers WP'!I11*'Eligible Customers WP'!I22</f>
        <v>99033.581299471974</v>
      </c>
      <c r="J24" s="9">
        <f>J9/'Eligible Customers WP'!J11*'Eligible Customers WP'!J22</f>
        <v>127788.89649850685</v>
      </c>
      <c r="K24" s="9">
        <f>K9/'Eligible Customers WP'!K11*'Eligible Customers WP'!K22</f>
        <v>156503.03623579995</v>
      </c>
      <c r="L24" s="9">
        <f>L9/'Eligible Customers WP'!L11*'Eligible Customers WP'!L22</f>
        <v>159212.8209369207</v>
      </c>
      <c r="M24" s="9">
        <f>M9/'Eligible Customers WP'!M11*'Eligible Customers WP'!M22</f>
        <v>131839.34288284509</v>
      </c>
      <c r="N24" s="95">
        <f>N9/'Eligible Customers WP'!N11*'Eligible Customers WP'!N22</f>
        <v>126366.08417594922</v>
      </c>
      <c r="O24" s="126">
        <f t="shared" si="3"/>
        <v>963453.05433323968</v>
      </c>
      <c r="P24" s="326"/>
      <c r="Q24" s="9"/>
    </row>
    <row r="25" spans="2:24" x14ac:dyDescent="0.25">
      <c r="D25" s="124" t="s">
        <v>148</v>
      </c>
      <c r="E25" s="9">
        <f t="shared" ref="E25:N25" si="8">E10-E26</f>
        <v>81317.808122454575</v>
      </c>
      <c r="F25" s="9">
        <f t="shared" si="8"/>
        <v>83002.099652493416</v>
      </c>
      <c r="G25" s="9">
        <f t="shared" si="8"/>
        <v>77341.832251199579</v>
      </c>
      <c r="H25" s="9">
        <f t="shared" si="8"/>
        <v>80079.470420139143</v>
      </c>
      <c r="I25" s="9">
        <f t="shared" si="8"/>
        <v>162930.85856299914</v>
      </c>
      <c r="J25" s="9">
        <f t="shared" si="8"/>
        <v>182835.25690317884</v>
      </c>
      <c r="K25" s="9">
        <f t="shared" si="8"/>
        <v>208214.24458533688</v>
      </c>
      <c r="L25" s="9">
        <f t="shared" si="8"/>
        <v>213234.65267399629</v>
      </c>
      <c r="M25" s="9">
        <f t="shared" si="8"/>
        <v>182277.57353920513</v>
      </c>
      <c r="N25" s="95">
        <f t="shared" si="8"/>
        <v>188804.67847356887</v>
      </c>
      <c r="O25" s="126">
        <f t="shared" si="3"/>
        <v>1460038.4751845719</v>
      </c>
      <c r="P25" s="326"/>
      <c r="Q25" s="9"/>
      <c r="R25" s="283">
        <f>J25+K25+L25+M25+N25</f>
        <v>975366.40617528604</v>
      </c>
      <c r="S25" s="151">
        <f>E25+F25+G25+H25+I25</f>
        <v>484672.06900928589</v>
      </c>
      <c r="T25" s="284">
        <f>R25+S25</f>
        <v>1460038.4751845719</v>
      </c>
      <c r="U25" s="149">
        <f>R25/T25</f>
        <v>0.66804157750156845</v>
      </c>
      <c r="V25" s="150">
        <f>S25/T25</f>
        <v>0.33195842249843155</v>
      </c>
      <c r="W25" s="285">
        <f>U25+V25</f>
        <v>1</v>
      </c>
    </row>
    <row r="26" spans="2:24" x14ac:dyDescent="0.25">
      <c r="D26" s="124" t="s">
        <v>149</v>
      </c>
      <c r="E26" s="9">
        <f>E10/'Eligible Customers WP'!E12*'Eligible Customers WP'!E23</f>
        <v>13552.968020409096</v>
      </c>
      <c r="F26" s="9">
        <f>F10/'Eligible Customers WP'!F12*'Eligible Customers WP'!F23</f>
        <v>13833.683275415571</v>
      </c>
      <c r="G26" s="9">
        <f>G10/'Eligible Customers WP'!G12*'Eligible Customers WP'!G23</f>
        <v>12890.305375199929</v>
      </c>
      <c r="H26" s="9">
        <f>H10/'Eligible Customers WP'!H12*'Eligible Customers WP'!H23</f>
        <v>13346.578403356525</v>
      </c>
      <c r="I26" s="9">
        <f>I10/'Eligible Customers WP'!I12*'Eligible Customers WP'!I23</f>
        <v>27155.143093833194</v>
      </c>
      <c r="J26" s="9">
        <f>J10/'Eligible Customers WP'!J12*'Eligible Customers WP'!J23</f>
        <v>30472.542817196478</v>
      </c>
      <c r="K26" s="9">
        <f>K10/'Eligible Customers WP'!K12*'Eligible Customers WP'!K23</f>
        <v>34702.374097556145</v>
      </c>
      <c r="L26" s="9">
        <f>L10/'Eligible Customers WP'!L12*'Eligible Customers WP'!L23</f>
        <v>35539.108778999384</v>
      </c>
      <c r="M26" s="9">
        <f>M10/'Eligible Customers WP'!M12*'Eligible Customers WP'!M23</f>
        <v>30379.595589867524</v>
      </c>
      <c r="N26" s="95">
        <f>N10/'Eligible Customers WP'!N12*'Eligible Customers WP'!N23</f>
        <v>31467.446412261481</v>
      </c>
      <c r="O26" s="126">
        <f t="shared" si="3"/>
        <v>243339.74586409534</v>
      </c>
      <c r="P26" s="326"/>
      <c r="Q26" s="9"/>
    </row>
    <row r="27" spans="2:24" x14ac:dyDescent="0.25">
      <c r="D27" s="124" t="s">
        <v>150</v>
      </c>
      <c r="E27" s="9">
        <f t="shared" ref="E27:N27" si="9">E11-E28</f>
        <v>20683089.45432587</v>
      </c>
      <c r="F27" s="9">
        <f t="shared" si="9"/>
        <v>20839298.33441399</v>
      </c>
      <c r="G27" s="9">
        <f t="shared" si="9"/>
        <v>21679031.757997025</v>
      </c>
      <c r="H27" s="9">
        <f t="shared" si="9"/>
        <v>23935514.936619334</v>
      </c>
      <c r="I27" s="9">
        <f t="shared" si="9"/>
        <v>25706554.846570574</v>
      </c>
      <c r="J27" s="9">
        <f t="shared" si="9"/>
        <v>19738426.840577077</v>
      </c>
      <c r="K27" s="9">
        <f t="shared" si="9"/>
        <v>21986852.115963619</v>
      </c>
      <c r="L27" s="9">
        <f t="shared" si="9"/>
        <v>26005320.001027413</v>
      </c>
      <c r="M27" s="9">
        <f t="shared" si="9"/>
        <v>22801041.457209654</v>
      </c>
      <c r="N27" s="95">
        <f t="shared" si="9"/>
        <v>23121705.332983654</v>
      </c>
      <c r="O27" s="126">
        <f t="shared" si="3"/>
        <v>226496835.07768819</v>
      </c>
      <c r="P27" s="326"/>
      <c r="Q27" s="9"/>
      <c r="R27" s="283">
        <f>J27+K27+L27+M27+N27</f>
        <v>113653345.74776141</v>
      </c>
      <c r="S27" s="151">
        <f>E27+F27+G27+H27+I27</f>
        <v>112843489.32992679</v>
      </c>
      <c r="T27" s="284">
        <f>R27+S27</f>
        <v>226496835.07768822</v>
      </c>
      <c r="U27" s="149">
        <f>R27/T27</f>
        <v>0.50178778749282926</v>
      </c>
      <c r="V27" s="150">
        <f>S27/T27</f>
        <v>0.49821221250717068</v>
      </c>
      <c r="W27" s="285">
        <f>U27+V27</f>
        <v>1</v>
      </c>
    </row>
    <row r="28" spans="2:24" x14ac:dyDescent="0.25">
      <c r="D28" s="124" t="s">
        <v>151</v>
      </c>
      <c r="E28" s="96">
        <f>E11/'Eligible Customers WP'!E13*'Eligible Customers WP'!E24</f>
        <v>107166.26660272472</v>
      </c>
      <c r="F28" s="96">
        <f>F11/'Eligible Customers WP'!F13*'Eligible Customers WP'!F24</f>
        <v>107975.63903841446</v>
      </c>
      <c r="G28" s="96">
        <f>G11/'Eligible Customers WP'!G13*'Eligible Customers WP'!G24</f>
        <v>112326.58941967371</v>
      </c>
      <c r="H28" s="96">
        <f>H11/'Eligible Customers WP'!H13*'Eligible Customers WP'!H24</f>
        <v>124018.21210683593</v>
      </c>
      <c r="I28" s="96">
        <f>I11/'Eligible Customers WP'!I13*'Eligible Customers WP'!I24</f>
        <v>133194.58469725685</v>
      </c>
      <c r="J28" s="96">
        <f>J11/'Eligible Customers WP'!J13*'Eligible Customers WP'!J24</f>
        <v>102271.64166102113</v>
      </c>
      <c r="K28" s="96">
        <f>K11/'Eligible Customers WP'!K13*'Eligible Customers WP'!K24</f>
        <v>113921.51355421565</v>
      </c>
      <c r="L28" s="96">
        <f>L11/'Eligible Customers WP'!L13*'Eligible Customers WP'!L24</f>
        <v>134742.5906788985</v>
      </c>
      <c r="M28" s="96">
        <f>M11/'Eligible Customers WP'!M13*'Eligible Customers WP'!M24</f>
        <v>118140.11117725208</v>
      </c>
      <c r="N28" s="97">
        <f>N11/'Eligible Customers WP'!N13*'Eligible Customers WP'!N24</f>
        <v>119801.58203618474</v>
      </c>
      <c r="O28" s="127">
        <f t="shared" si="3"/>
        <v>1173558.7309724779</v>
      </c>
      <c r="P28" s="326"/>
      <c r="Q28" s="9"/>
    </row>
    <row r="29" spans="2:24" ht="15.75" thickBot="1" x14ac:dyDescent="0.3">
      <c r="O29" s="91">
        <f>SUM(O16:O28)</f>
        <v>452410252.57193023</v>
      </c>
      <c r="Q29" s="153"/>
      <c r="X29"/>
    </row>
    <row r="30" spans="2:24" x14ac:dyDescent="0.25">
      <c r="D30" s="131"/>
      <c r="E30" s="131"/>
      <c r="F30" s="131"/>
      <c r="G30" s="131"/>
      <c r="H30" s="131"/>
      <c r="I30" s="131"/>
      <c r="J30" s="131"/>
      <c r="K30" s="131"/>
      <c r="L30" s="131"/>
      <c r="M30" s="131"/>
      <c r="N30" s="131"/>
      <c r="O30" s="131"/>
      <c r="P30" s="132"/>
    </row>
    <row r="31" spans="2:24" x14ac:dyDescent="0.25">
      <c r="G31" s="9"/>
      <c r="H31" s="9"/>
      <c r="I31" s="9"/>
      <c r="J31" s="9"/>
      <c r="K31" s="9"/>
      <c r="L31" s="9"/>
      <c r="M31" s="9"/>
      <c r="N31" s="9"/>
      <c r="O31" s="9"/>
      <c r="P31" s="9"/>
      <c r="Q31" s="9"/>
    </row>
    <row r="32" spans="2:24" x14ac:dyDescent="0.25">
      <c r="D32" s="5" t="s">
        <v>171</v>
      </c>
    </row>
    <row r="33" spans="4:24" x14ac:dyDescent="0.25">
      <c r="D33" s="122" t="s">
        <v>172</v>
      </c>
      <c r="E33" s="130" t="s">
        <v>173</v>
      </c>
      <c r="F33" s="130" t="s">
        <v>174</v>
      </c>
      <c r="G33" s="130" t="s">
        <v>175</v>
      </c>
      <c r="H33" s="130" t="s">
        <v>176</v>
      </c>
      <c r="I33" s="130" t="s">
        <v>62</v>
      </c>
      <c r="J33" s="130" t="s">
        <v>177</v>
      </c>
      <c r="K33" s="130" t="s">
        <v>178</v>
      </c>
      <c r="L33" s="130" t="s">
        <v>179</v>
      </c>
      <c r="M33" s="130" t="s">
        <v>180</v>
      </c>
      <c r="N33" s="130" t="s">
        <v>181</v>
      </c>
      <c r="O33" s="130" t="s">
        <v>182</v>
      </c>
      <c r="P33" s="130" t="s">
        <v>183</v>
      </c>
      <c r="Q33" s="123" t="s">
        <v>184</v>
      </c>
      <c r="S33" s="153" t="s">
        <v>61</v>
      </c>
      <c r="T33" s="153" t="s">
        <v>60</v>
      </c>
      <c r="U33" s="153" t="s">
        <v>19</v>
      </c>
      <c r="V33" s="153" t="s">
        <v>169</v>
      </c>
      <c r="W33" s="153" t="s">
        <v>170</v>
      </c>
      <c r="X33" s="153" t="s">
        <v>19</v>
      </c>
    </row>
    <row r="34" spans="4:24" x14ac:dyDescent="0.25">
      <c r="D34" s="138" t="s">
        <v>129</v>
      </c>
      <c r="E34" s="133">
        <f>'Forecasted Therms WP'!B20</f>
        <v>21693945.372512367</v>
      </c>
      <c r="F34" s="142">
        <f>'Forecasted Therms WP'!C20</f>
        <v>17763157.361436132</v>
      </c>
      <c r="G34" s="142">
        <f>'Forecasted Therms WP'!D20</f>
        <v>14829548.218805965</v>
      </c>
      <c r="H34" s="142">
        <f>'Forecasted Therms WP'!E20</f>
        <v>9324858.0722354837</v>
      </c>
      <c r="I34" s="142">
        <f>'Forecasted Therms WP'!F20</f>
        <v>5229271.6976675065</v>
      </c>
      <c r="J34" s="142">
        <f>'Forecasted Therms WP'!G20</f>
        <v>3556887.7062583235</v>
      </c>
      <c r="K34" s="142">
        <f>'Forecasted Therms WP'!H20</f>
        <v>3062195.0509832967</v>
      </c>
      <c r="L34" s="142">
        <f>'Forecasted Therms WP'!I20</f>
        <v>3028829.9274012637</v>
      </c>
      <c r="M34" s="142">
        <f>'Forecasted Therms WP'!J20</f>
        <v>3847281.5572397336</v>
      </c>
      <c r="N34" s="142">
        <f>'Forecasted Therms WP'!K20</f>
        <v>9562757.3367917854</v>
      </c>
      <c r="O34" s="142">
        <f>'Forecasted Therms WP'!L20</f>
        <v>16587423.359481266</v>
      </c>
      <c r="P34" s="143">
        <f>'Forecasted Therms WP'!M20</f>
        <v>22406926.2917406</v>
      </c>
      <c r="Q34" s="109">
        <f>SUM(E34:P34)</f>
        <v>130893081.9525537</v>
      </c>
      <c r="R34" s="287"/>
      <c r="S34" s="284">
        <f>O34+P34+E34+F34+G34</f>
        <v>93281000.603976324</v>
      </c>
      <c r="T34" s="284">
        <f>H34+I34+J34+K34+L34+M34+N34</f>
        <v>37612081.348577395</v>
      </c>
      <c r="U34" s="284">
        <f>S34+T34</f>
        <v>130893081.95255372</v>
      </c>
      <c r="V34" s="43">
        <f>S34/U34</f>
        <v>0.71265034952564521</v>
      </c>
      <c r="W34" s="43">
        <f>T34/U34</f>
        <v>0.28734965047435485</v>
      </c>
    </row>
    <row r="35" spans="4:24" x14ac:dyDescent="0.25">
      <c r="D35" s="138" t="s">
        <v>130</v>
      </c>
      <c r="E35" s="144">
        <f>'Forecasted Therms WP'!B21</f>
        <v>14836496.015593266</v>
      </c>
      <c r="F35" s="141">
        <f>'Forecasted Therms WP'!C21</f>
        <v>12114225.460145334</v>
      </c>
      <c r="G35" s="141">
        <f>'Forecasted Therms WP'!D21</f>
        <v>10065743.274380334</v>
      </c>
      <c r="H35" s="141">
        <f>'Forecasted Therms WP'!E21</f>
        <v>6408350.8325093305</v>
      </c>
      <c r="I35" s="141">
        <f>'Forecasted Therms WP'!F21</f>
        <v>4018172.4796625101</v>
      </c>
      <c r="J35" s="141">
        <f>'Forecasted Therms WP'!G21</f>
        <v>3030612.1546496437</v>
      </c>
      <c r="K35" s="141">
        <f>'Forecasted Therms WP'!H21</f>
        <v>2865450.4410267067</v>
      </c>
      <c r="L35" s="141">
        <f>'Forecasted Therms WP'!I21</f>
        <v>2861985.8922232399</v>
      </c>
      <c r="M35" s="141">
        <f>'Forecasted Therms WP'!J21</f>
        <v>3134361.3568538134</v>
      </c>
      <c r="N35" s="141">
        <f>'Forecasted Therms WP'!K21</f>
        <v>6324640.8220965303</v>
      </c>
      <c r="O35" s="141">
        <f>'Forecasted Therms WP'!L21</f>
        <v>10699543.932245366</v>
      </c>
      <c r="P35" s="145">
        <f>'Forecasted Therms WP'!M21</f>
        <v>14912968.772569766</v>
      </c>
      <c r="Q35" s="110">
        <f t="shared" ref="Q35:Q39" si="10">SUM(E35:P35)</f>
        <v>91272551.433955833</v>
      </c>
      <c r="S35" s="284">
        <f t="shared" ref="S35:S39" si="11">O35+P35+E35+F35+G35</f>
        <v>62628977.454934068</v>
      </c>
      <c r="T35" s="284">
        <f t="shared" ref="T35:T39" si="12">H35+I35+J35+K35+L35+M35+N35</f>
        <v>28643573.979021773</v>
      </c>
      <c r="U35" s="284">
        <f t="shared" ref="U35:U39" si="13">S35+T35</f>
        <v>91272551.433955848</v>
      </c>
      <c r="V35" s="43">
        <f t="shared" ref="V35:V39" si="14">S35/U35</f>
        <v>0.68617537771201609</v>
      </c>
      <c r="W35" s="43">
        <f t="shared" ref="W35:W39" si="15">T35/U35</f>
        <v>0.31382462228798386</v>
      </c>
    </row>
    <row r="36" spans="4:24" x14ac:dyDescent="0.25">
      <c r="D36" s="138" t="s">
        <v>131</v>
      </c>
      <c r="E36" s="144">
        <f>'Forecasted Therms WP'!B22</f>
        <v>1658013.7064230898</v>
      </c>
      <c r="F36" s="141">
        <f>'Forecasted Therms WP'!C22</f>
        <v>1366745.6404560301</v>
      </c>
      <c r="G36" s="141">
        <f>'Forecasted Therms WP'!D22</f>
        <v>1282881.3791547699</v>
      </c>
      <c r="H36" s="141">
        <f>'Forecasted Therms WP'!E22</f>
        <v>958407.52793310396</v>
      </c>
      <c r="I36" s="141">
        <f>'Forecasted Therms WP'!F22</f>
        <v>689619.24074394</v>
      </c>
      <c r="J36" s="141">
        <f>'Forecasted Therms WP'!G22</f>
        <v>487737.80386750301</v>
      </c>
      <c r="K36" s="141">
        <f>'Forecasted Therms WP'!H22</f>
        <v>514531.37036775204</v>
      </c>
      <c r="L36" s="141">
        <f>'Forecasted Therms WP'!I22</f>
        <v>746713.50508355792</v>
      </c>
      <c r="M36" s="141">
        <f>'Forecasted Therms WP'!J22</f>
        <v>904699.04342853592</v>
      </c>
      <c r="N36" s="141">
        <f>'Forecasted Therms WP'!K22</f>
        <v>1201796.3037670099</v>
      </c>
      <c r="O36" s="141">
        <f>'Forecasted Therms WP'!L22</f>
        <v>1376201.2148969201</v>
      </c>
      <c r="P36" s="145">
        <f>'Forecasted Therms WP'!M22</f>
        <v>1618684.2502953401</v>
      </c>
      <c r="Q36" s="110">
        <f t="shared" si="10"/>
        <v>12806030.986417554</v>
      </c>
      <c r="S36" s="284">
        <f t="shared" si="11"/>
        <v>7302526.1912261499</v>
      </c>
      <c r="T36" s="284">
        <f t="shared" si="12"/>
        <v>5503504.7951914016</v>
      </c>
      <c r="U36" s="284">
        <f t="shared" si="13"/>
        <v>12806030.986417551</v>
      </c>
      <c r="V36" s="43">
        <f t="shared" si="14"/>
        <v>0.57024117768974802</v>
      </c>
      <c r="W36" s="43">
        <f t="shared" si="15"/>
        <v>0.42975882231025203</v>
      </c>
    </row>
    <row r="37" spans="4:24" x14ac:dyDescent="0.25">
      <c r="D37" s="138" t="s">
        <v>132</v>
      </c>
      <c r="E37" s="144">
        <f>'Forecasted Therms WP'!B23</f>
        <v>1906664.7634588392</v>
      </c>
      <c r="F37" s="141">
        <f>'Forecasted Therms WP'!C23</f>
        <v>1533403.576115462</v>
      </c>
      <c r="G37" s="141">
        <f>'Forecasted Therms WP'!D23</f>
        <v>1525596.9790237679</v>
      </c>
      <c r="H37" s="141">
        <f>'Forecasted Therms WP'!E23</f>
        <v>1085345.6403581633</v>
      </c>
      <c r="I37" s="141">
        <f>'Forecasted Therms WP'!F23</f>
        <v>856552.97792579432</v>
      </c>
      <c r="J37" s="141">
        <f>'Forecasted Therms WP'!G23</f>
        <v>697302.11361428292</v>
      </c>
      <c r="K37" s="141">
        <f>'Forecasted Therms WP'!H23</f>
        <v>652268.42626989132</v>
      </c>
      <c r="L37" s="141">
        <f>'Forecasted Therms WP'!I23</f>
        <v>631280.44354712195</v>
      </c>
      <c r="M37" s="141">
        <f>'Forecasted Therms WP'!J23</f>
        <v>713134.91145428142</v>
      </c>
      <c r="N37" s="141">
        <f>'Forecasted Therms WP'!K23</f>
        <v>1250298.9639058337</v>
      </c>
      <c r="O37" s="141">
        <f>'Forecasted Therms WP'!L23</f>
        <v>1613334.818293649</v>
      </c>
      <c r="P37" s="145">
        <f>'Forecasted Therms WP'!M23</f>
        <v>1975850.8324769745</v>
      </c>
      <c r="Q37" s="110">
        <f t="shared" si="10"/>
        <v>14441034.446444061</v>
      </c>
      <c r="S37" s="284">
        <f t="shared" si="11"/>
        <v>8554850.9693686925</v>
      </c>
      <c r="T37" s="284">
        <f t="shared" si="12"/>
        <v>5886183.4770753691</v>
      </c>
      <c r="U37" s="284">
        <f t="shared" si="13"/>
        <v>14441034.446444061</v>
      </c>
      <c r="V37" s="43">
        <f t="shared" si="14"/>
        <v>0.59239876485962029</v>
      </c>
      <c r="W37" s="43">
        <f t="shared" si="15"/>
        <v>0.40760123514037971</v>
      </c>
    </row>
    <row r="38" spans="4:24" x14ac:dyDescent="0.25">
      <c r="D38" s="138" t="s">
        <v>133</v>
      </c>
      <c r="E38" s="144">
        <f>'Forecasted Therms WP'!B24</f>
        <v>247831.00967966765</v>
      </c>
      <c r="F38" s="141">
        <f>'Forecasted Therms WP'!C24</f>
        <v>204887.13487919667</v>
      </c>
      <c r="G38" s="141">
        <f>'Forecasted Therms WP'!D24</f>
        <v>220827.79294427135</v>
      </c>
      <c r="H38" s="141">
        <f>'Forecasted Therms WP'!E24</f>
        <v>184918.96830249066</v>
      </c>
      <c r="I38" s="141">
        <f>'Forecasted Therms WP'!F24</f>
        <v>131381.62624792036</v>
      </c>
      <c r="J38" s="141">
        <f>'Forecasted Therms WP'!G24</f>
        <v>94870.776142863673</v>
      </c>
      <c r="K38" s="141">
        <f>'Forecasted Therms WP'!H24</f>
        <v>96835.782927908993</v>
      </c>
      <c r="L38" s="141">
        <f>'Forecasted Therms WP'!I24</f>
        <v>90232.137626399504</v>
      </c>
      <c r="M38" s="141">
        <f>'Forecasted Therms WP'!J24</f>
        <v>93426.048823495672</v>
      </c>
      <c r="N38" s="141">
        <f>'Forecasted Therms WP'!K24</f>
        <v>190086.00165683235</v>
      </c>
      <c r="O38" s="141">
        <f>'Forecasted Therms WP'!L24</f>
        <v>213307.79972037533</v>
      </c>
      <c r="P38" s="145">
        <f>'Forecasted Therms WP'!M24</f>
        <v>242916.61868289302</v>
      </c>
      <c r="Q38" s="110">
        <f t="shared" si="10"/>
        <v>2011521.6976343151</v>
      </c>
      <c r="S38" s="284">
        <f t="shared" si="11"/>
        <v>1129770.3559064041</v>
      </c>
      <c r="T38" s="284">
        <f t="shared" si="12"/>
        <v>881751.34172791103</v>
      </c>
      <c r="U38" s="284">
        <f t="shared" si="13"/>
        <v>2011521.6976343151</v>
      </c>
      <c r="V38" s="43">
        <f t="shared" si="14"/>
        <v>0.56164959952213789</v>
      </c>
      <c r="W38" s="43">
        <f t="shared" si="15"/>
        <v>0.43835040047786206</v>
      </c>
    </row>
    <row r="39" spans="4:24" x14ac:dyDescent="0.25">
      <c r="D39" s="138" t="s">
        <v>134</v>
      </c>
      <c r="E39" s="146">
        <f>'Forecasted Therms WP'!B25</f>
        <v>25933806.658730108</v>
      </c>
      <c r="F39" s="147">
        <f>'Forecasted Therms WP'!C25</f>
        <v>22731286.994841196</v>
      </c>
      <c r="G39" s="147">
        <f>'Forecasted Therms WP'!D25</f>
        <v>23046741.575396843</v>
      </c>
      <c r="H39" s="147">
        <f>'Forecasted Therms WP'!E25</f>
        <v>20317552.3297619</v>
      </c>
      <c r="I39" s="147">
        <f>'Forecasted Therms WP'!F25</f>
        <v>21309349.099999994</v>
      </c>
      <c r="J39" s="147">
        <f>'Forecasted Therms WP'!G25</f>
        <v>20790255.720928594</v>
      </c>
      <c r="K39" s="147">
        <f>'Forecasted Therms WP'!H25</f>
        <v>20947273.973452404</v>
      </c>
      <c r="L39" s="147">
        <f>'Forecasted Therms WP'!I25</f>
        <v>21791358.347416699</v>
      </c>
      <c r="M39" s="147">
        <f>'Forecasted Therms WP'!J25</f>
        <v>24059533.148726169</v>
      </c>
      <c r="N39" s="147">
        <f>'Forecasted Therms WP'!K25</f>
        <v>25839749.431267831</v>
      </c>
      <c r="O39" s="147">
        <f>'Forecasted Therms WP'!L25</f>
        <v>19840698.482238099</v>
      </c>
      <c r="P39" s="148">
        <f>'Forecasted Therms WP'!M25</f>
        <v>22100773.629517835</v>
      </c>
      <c r="Q39" s="111">
        <f t="shared" si="10"/>
        <v>268708379.39227766</v>
      </c>
      <c r="S39" s="284">
        <f t="shared" si="11"/>
        <v>113653307.34072408</v>
      </c>
      <c r="T39" s="284">
        <f t="shared" si="12"/>
        <v>155055072.05155358</v>
      </c>
      <c r="U39" s="284">
        <f t="shared" si="13"/>
        <v>268708379.39227766</v>
      </c>
      <c r="V39" s="43">
        <f t="shared" si="14"/>
        <v>0.42296153025732675</v>
      </c>
      <c r="W39" s="43">
        <f t="shared" si="15"/>
        <v>0.57703846974267325</v>
      </c>
    </row>
    <row r="40" spans="4:24" x14ac:dyDescent="0.25">
      <c r="D40" s="103"/>
      <c r="E40" s="90"/>
      <c r="F40" s="90"/>
      <c r="G40" s="90"/>
      <c r="H40" s="90"/>
      <c r="I40" s="90"/>
      <c r="J40" s="90"/>
      <c r="K40" s="90"/>
      <c r="L40" s="90"/>
      <c r="M40" s="90"/>
      <c r="N40" s="90"/>
      <c r="O40" s="90"/>
      <c r="P40" s="90"/>
      <c r="Q40" s="128"/>
    </row>
    <row r="41" spans="4:24" x14ac:dyDescent="0.25">
      <c r="D41" s="103"/>
      <c r="E41" s="90"/>
      <c r="F41" s="90"/>
      <c r="G41" s="90"/>
      <c r="H41" s="90"/>
      <c r="I41" s="90"/>
      <c r="J41" s="90"/>
      <c r="K41" s="90"/>
      <c r="L41" s="90"/>
      <c r="M41" s="90"/>
      <c r="N41" s="90"/>
      <c r="O41" s="90"/>
      <c r="P41" s="90"/>
      <c r="Q41" s="128"/>
    </row>
    <row r="42" spans="4:24" x14ac:dyDescent="0.25">
      <c r="D42" s="463" t="s">
        <v>185</v>
      </c>
      <c r="E42" s="463"/>
      <c r="F42" s="1"/>
      <c r="G42" s="1"/>
      <c r="H42" s="1"/>
      <c r="I42" s="1"/>
      <c r="J42" s="1"/>
      <c r="K42" s="1"/>
      <c r="L42" s="1"/>
      <c r="M42" s="1"/>
      <c r="N42" s="1"/>
      <c r="O42" s="1"/>
      <c r="P42" s="1"/>
      <c r="Q42" s="84"/>
    </row>
    <row r="43" spans="4:24" x14ac:dyDescent="0.25">
      <c r="D43" s="124" t="s">
        <v>129</v>
      </c>
      <c r="E43" s="135">
        <f>Q34/'Eligible Customers WP'!I45/12</f>
        <v>54.482939134284727</v>
      </c>
      <c r="F43" s="101"/>
      <c r="G43" s="90"/>
      <c r="H43" s="1"/>
      <c r="I43" s="1"/>
      <c r="J43" s="1"/>
      <c r="K43" s="1"/>
      <c r="L43" s="1"/>
      <c r="M43" s="1"/>
      <c r="N43" s="1"/>
      <c r="O43" s="1"/>
      <c r="P43" s="1"/>
      <c r="Q43" s="84"/>
    </row>
    <row r="44" spans="4:24" x14ac:dyDescent="0.25">
      <c r="D44" s="124" t="s">
        <v>130</v>
      </c>
      <c r="E44" s="136">
        <f>Q35/'Eligible Customers WP'!I46/12</f>
        <v>271.29085131274064</v>
      </c>
      <c r="F44" s="90"/>
      <c r="G44" s="90"/>
      <c r="H44" s="90"/>
      <c r="I44" s="90"/>
      <c r="J44" s="90"/>
      <c r="K44" s="90"/>
      <c r="L44" s="90"/>
      <c r="M44" s="90"/>
      <c r="N44" s="1"/>
      <c r="O44" s="1"/>
      <c r="P44" s="1"/>
      <c r="Q44" s="84"/>
    </row>
    <row r="45" spans="4:24" x14ac:dyDescent="0.25">
      <c r="D45" s="124" t="s">
        <v>131</v>
      </c>
      <c r="E45" s="136">
        <f>Q36/'Eligible Customers WP'!I47/12</f>
        <v>2138.3855163523158</v>
      </c>
      <c r="F45" s="90"/>
      <c r="G45" s="152"/>
      <c r="H45" s="152"/>
      <c r="I45" s="152"/>
      <c r="J45" s="152"/>
      <c r="K45" s="152"/>
      <c r="L45" s="152"/>
      <c r="M45" s="152"/>
      <c r="N45" s="1"/>
      <c r="O45" s="1"/>
      <c r="P45" s="1"/>
      <c r="Q45" s="84"/>
    </row>
    <row r="46" spans="4:24" x14ac:dyDescent="0.25">
      <c r="D46" s="124" t="s">
        <v>132</v>
      </c>
      <c r="E46" s="136">
        <f>Q37/'Eligible Customers WP'!I48/12</f>
        <v>12509.558598790767</v>
      </c>
      <c r="F46" s="90"/>
      <c r="G46" s="90"/>
      <c r="H46" s="90"/>
      <c r="I46" s="90"/>
      <c r="J46" s="90"/>
      <c r="K46" s="90"/>
      <c r="L46" s="90"/>
      <c r="M46" s="90"/>
      <c r="N46" s="1"/>
      <c r="O46" s="1"/>
      <c r="P46" s="1"/>
      <c r="Q46" s="84"/>
    </row>
    <row r="47" spans="4:24" x14ac:dyDescent="0.25">
      <c r="D47" s="124" t="s">
        <v>133</v>
      </c>
      <c r="E47" s="136">
        <f>Q38/'Eligible Customers WP'!I49/12</f>
        <v>23946.686876598989</v>
      </c>
      <c r="F47" s="90"/>
      <c r="G47" s="90"/>
      <c r="H47" s="1"/>
      <c r="I47" s="1"/>
      <c r="J47" s="1"/>
      <c r="K47" s="1"/>
      <c r="L47" s="1"/>
      <c r="M47" s="1"/>
      <c r="N47" s="1"/>
      <c r="O47" s="1"/>
      <c r="P47" s="1"/>
      <c r="Q47" s="84"/>
    </row>
    <row r="48" spans="4:24" x14ac:dyDescent="0.25">
      <c r="D48" s="124" t="s">
        <v>134</v>
      </c>
      <c r="E48" s="137">
        <f>Q39/'Eligible Customers WP'!I50/12</f>
        <v>130949.50262781563</v>
      </c>
      <c r="F48" s="90"/>
      <c r="H48" s="1"/>
      <c r="I48" s="1"/>
      <c r="J48" s="1"/>
      <c r="K48" s="1"/>
      <c r="L48" s="1"/>
      <c r="M48" s="1"/>
      <c r="N48" s="1"/>
      <c r="O48" s="1"/>
      <c r="P48" s="1"/>
      <c r="Q48" s="84"/>
    </row>
    <row r="49" spans="4:17" x14ac:dyDescent="0.25">
      <c r="D49" s="101"/>
      <c r="E49" s="90">
        <f>SUM(E43:E48)</f>
        <v>169869.90741000473</v>
      </c>
      <c r="F49" s="90"/>
      <c r="G49" s="90"/>
      <c r="H49" s="1"/>
      <c r="I49" s="1"/>
      <c r="J49" s="1"/>
      <c r="K49" s="1"/>
      <c r="L49" s="1"/>
      <c r="M49" s="1"/>
      <c r="N49" s="1"/>
      <c r="O49" s="1"/>
      <c r="P49" s="1"/>
      <c r="Q49" s="84"/>
    </row>
  </sheetData>
  <mergeCells count="3">
    <mergeCell ref="D4:P4"/>
    <mergeCell ref="A14:B14"/>
    <mergeCell ref="D42:E4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AFE04-CF7A-4F5B-A793-AFE110287B37}">
  <sheetPr codeName="Sheet8"/>
  <dimension ref="A1:Q21"/>
  <sheetViews>
    <sheetView workbookViewId="0"/>
  </sheetViews>
  <sheetFormatPr defaultRowHeight="12.75" x14ac:dyDescent="0.2"/>
  <cols>
    <col min="1" max="1" width="30.7109375" style="2" customWidth="1"/>
    <col min="2" max="17" width="12.7109375" style="1" customWidth="1"/>
    <col min="18" max="16384" width="9.140625" style="1"/>
  </cols>
  <sheetData>
    <row r="1" spans="1:17" s="3" customFormat="1" x14ac:dyDescent="0.2">
      <c r="A1" s="4"/>
    </row>
    <row r="2" spans="1:17" s="3" customFormat="1" x14ac:dyDescent="0.2">
      <c r="A2" s="4"/>
      <c r="B2" s="3" t="s">
        <v>224</v>
      </c>
      <c r="C2" s="3" t="s">
        <v>225</v>
      </c>
      <c r="D2" s="3" t="s">
        <v>226</v>
      </c>
      <c r="E2" s="3" t="s">
        <v>227</v>
      </c>
      <c r="F2" s="3" t="s">
        <v>116</v>
      </c>
      <c r="G2" s="3" t="s">
        <v>117</v>
      </c>
      <c r="H2" s="3" t="s">
        <v>118</v>
      </c>
      <c r="I2" s="3" t="s">
        <v>119</v>
      </c>
      <c r="J2" s="3" t="s">
        <v>120</v>
      </c>
      <c r="K2" s="3" t="s">
        <v>121</v>
      </c>
      <c r="L2" s="3" t="s">
        <v>122</v>
      </c>
      <c r="M2" s="3" t="s">
        <v>123</v>
      </c>
      <c r="N2" s="3" t="s">
        <v>228</v>
      </c>
      <c r="O2" s="3" t="s">
        <v>124</v>
      </c>
      <c r="P2" s="3" t="s">
        <v>125</v>
      </c>
      <c r="Q2" s="3" t="s">
        <v>126</v>
      </c>
    </row>
    <row r="3" spans="1:17" s="3" customFormat="1" x14ac:dyDescent="0.2">
      <c r="A3" s="4"/>
    </row>
    <row r="5" spans="1:17" x14ac:dyDescent="0.2">
      <c r="A5" s="2" t="s">
        <v>80</v>
      </c>
    </row>
    <row r="6" spans="1:17" x14ac:dyDescent="0.2">
      <c r="A6" s="2" t="s">
        <v>229</v>
      </c>
      <c r="B6" s="1">
        <v>204606</v>
      </c>
      <c r="C6" s="1">
        <v>204871</v>
      </c>
      <c r="D6" s="1">
        <v>204933</v>
      </c>
      <c r="E6" s="1">
        <v>204924</v>
      </c>
      <c r="F6" s="1">
        <v>204864</v>
      </c>
      <c r="G6" s="1">
        <v>204806</v>
      </c>
      <c r="H6" s="1">
        <v>204845</v>
      </c>
      <c r="I6" s="1">
        <v>205168</v>
      </c>
      <c r="J6" s="1">
        <v>205913</v>
      </c>
      <c r="K6" s="1">
        <v>206735</v>
      </c>
      <c r="L6" s="1">
        <v>207441</v>
      </c>
      <c r="M6" s="1">
        <v>207827</v>
      </c>
      <c r="N6" s="1">
        <v>205577.75</v>
      </c>
      <c r="O6" s="1">
        <v>208174</v>
      </c>
      <c r="P6" s="1">
        <v>208439</v>
      </c>
      <c r="Q6" s="1">
        <v>208502</v>
      </c>
    </row>
    <row r="8" spans="1:17" x14ac:dyDescent="0.2">
      <c r="A8" s="2" t="s">
        <v>230</v>
      </c>
      <c r="B8" s="1">
        <v>27841</v>
      </c>
      <c r="C8" s="1">
        <v>27860</v>
      </c>
      <c r="D8" s="1">
        <v>27850</v>
      </c>
      <c r="E8" s="1">
        <v>27817</v>
      </c>
      <c r="F8" s="1">
        <v>27782</v>
      </c>
      <c r="G8" s="1">
        <v>27758</v>
      </c>
      <c r="H8" s="1">
        <v>27744</v>
      </c>
      <c r="I8" s="1">
        <v>27763</v>
      </c>
      <c r="J8" s="1">
        <v>27856</v>
      </c>
      <c r="K8" s="1">
        <v>28000</v>
      </c>
      <c r="L8" s="1">
        <v>28138</v>
      </c>
      <c r="M8" s="1">
        <v>28222</v>
      </c>
      <c r="N8" s="1">
        <v>27885.916666666599</v>
      </c>
      <c r="O8" s="1">
        <v>28287</v>
      </c>
      <c r="P8" s="1">
        <v>28303</v>
      </c>
      <c r="Q8" s="1">
        <v>28294</v>
      </c>
    </row>
    <row r="9" spans="1:17" x14ac:dyDescent="0.2">
      <c r="A9" s="2" t="s">
        <v>231</v>
      </c>
      <c r="B9" s="1">
        <v>73</v>
      </c>
      <c r="C9" s="1">
        <v>73</v>
      </c>
      <c r="D9" s="1">
        <v>74</v>
      </c>
      <c r="E9" s="1">
        <v>74</v>
      </c>
      <c r="F9" s="1">
        <v>74</v>
      </c>
      <c r="G9" s="1">
        <v>74</v>
      </c>
      <c r="H9" s="1">
        <v>75</v>
      </c>
      <c r="I9" s="1">
        <v>77</v>
      </c>
      <c r="J9" s="1">
        <v>77</v>
      </c>
      <c r="K9" s="1">
        <v>77</v>
      </c>
      <c r="L9" s="1">
        <v>77</v>
      </c>
      <c r="M9" s="1">
        <v>77</v>
      </c>
      <c r="N9" s="1">
        <v>75.1666666666666</v>
      </c>
      <c r="O9" s="1">
        <v>77</v>
      </c>
      <c r="P9" s="1">
        <v>77</v>
      </c>
      <c r="Q9" s="1">
        <v>77</v>
      </c>
    </row>
    <row r="12" spans="1:17" x14ac:dyDescent="0.2">
      <c r="A12" s="2" t="s">
        <v>232</v>
      </c>
      <c r="B12" s="1">
        <v>494.42189000000002</v>
      </c>
      <c r="C12" s="1">
        <v>494.42432000000002</v>
      </c>
      <c r="D12" s="1">
        <v>494.40669000000003</v>
      </c>
      <c r="E12" s="1">
        <v>494.37941000000001</v>
      </c>
      <c r="F12" s="1">
        <v>494.36131999999998</v>
      </c>
      <c r="G12" s="1">
        <v>496.36599000000001</v>
      </c>
      <c r="H12" s="1">
        <v>497.40123999999997</v>
      </c>
      <c r="I12" s="1">
        <v>497.46931000000001</v>
      </c>
      <c r="J12" s="1">
        <v>498.56065999999998</v>
      </c>
      <c r="K12" s="1">
        <v>500.65678000000003</v>
      </c>
      <c r="L12" s="1">
        <v>500.74696</v>
      </c>
      <c r="M12" s="1">
        <v>500.81135</v>
      </c>
      <c r="N12" s="1">
        <v>497.000493333333</v>
      </c>
      <c r="O12" s="1">
        <v>502.84598</v>
      </c>
      <c r="P12" s="1">
        <v>502.84865000000002</v>
      </c>
      <c r="Q12" s="1">
        <v>502.83028999999999</v>
      </c>
    </row>
    <row r="13" spans="1:17" x14ac:dyDescent="0.2">
      <c r="A13" s="2" t="s">
        <v>233</v>
      </c>
      <c r="B13" s="1">
        <v>23</v>
      </c>
      <c r="C13" s="1">
        <v>23</v>
      </c>
      <c r="D13" s="1">
        <v>23</v>
      </c>
      <c r="E13" s="1">
        <v>23</v>
      </c>
      <c r="F13" s="1">
        <v>23</v>
      </c>
      <c r="G13" s="1">
        <v>23</v>
      </c>
      <c r="H13" s="1">
        <v>23</v>
      </c>
      <c r="I13" s="1">
        <v>23</v>
      </c>
      <c r="J13" s="1">
        <v>24</v>
      </c>
      <c r="K13" s="1">
        <v>24</v>
      </c>
      <c r="L13" s="1">
        <v>24</v>
      </c>
      <c r="M13" s="1">
        <v>24</v>
      </c>
      <c r="N13" s="1">
        <v>23.3333333333333</v>
      </c>
      <c r="O13" s="1">
        <v>24</v>
      </c>
      <c r="P13" s="1">
        <v>24</v>
      </c>
      <c r="Q13" s="1">
        <v>24</v>
      </c>
    </row>
    <row r="16" spans="1:17" x14ac:dyDescent="0.2">
      <c r="A16" s="2" t="s">
        <v>234</v>
      </c>
      <c r="B16" s="1">
        <v>7</v>
      </c>
      <c r="C16" s="1">
        <v>7</v>
      </c>
      <c r="D16" s="1">
        <v>7</v>
      </c>
      <c r="E16" s="1">
        <v>7</v>
      </c>
      <c r="F16" s="1">
        <v>7</v>
      </c>
      <c r="G16" s="1">
        <v>7</v>
      </c>
      <c r="H16" s="1">
        <v>7</v>
      </c>
      <c r="I16" s="1">
        <v>7</v>
      </c>
      <c r="J16" s="1">
        <v>7</v>
      </c>
      <c r="K16" s="1">
        <v>7</v>
      </c>
      <c r="L16" s="1">
        <v>7</v>
      </c>
      <c r="M16" s="1">
        <v>7</v>
      </c>
      <c r="N16" s="1">
        <v>7</v>
      </c>
      <c r="O16" s="1">
        <v>7</v>
      </c>
      <c r="P16" s="1">
        <v>7</v>
      </c>
      <c r="Q16" s="1">
        <v>7</v>
      </c>
    </row>
    <row r="18" spans="1:17" x14ac:dyDescent="0.2">
      <c r="A18" s="2" t="s">
        <v>235</v>
      </c>
      <c r="B18" s="1">
        <v>316539.14225999999</v>
      </c>
      <c r="C18" s="1">
        <v>316948.22956999898</v>
      </c>
      <c r="D18" s="1">
        <v>317098.16710999998</v>
      </c>
      <c r="E18" s="1">
        <v>317129.98191999999</v>
      </c>
      <c r="F18" s="1">
        <v>317055.75657000003</v>
      </c>
      <c r="G18" s="1">
        <v>316958.56302</v>
      </c>
      <c r="H18" s="1">
        <v>316998.48695999902</v>
      </c>
      <c r="I18" s="1">
        <v>317495.56862999999</v>
      </c>
      <c r="J18" s="1">
        <v>318666.81482000003</v>
      </c>
      <c r="K18" s="1">
        <v>320049.16888000001</v>
      </c>
      <c r="L18" s="1">
        <v>321260.57957</v>
      </c>
      <c r="M18" s="1">
        <v>321961.93704999902</v>
      </c>
      <c r="N18" s="1">
        <v>318180.19969666598</v>
      </c>
      <c r="O18" s="1">
        <v>322569.44196999999</v>
      </c>
      <c r="P18" s="1">
        <v>322973.53067000001</v>
      </c>
      <c r="Q18" s="1">
        <v>323126.46493999998</v>
      </c>
    </row>
    <row r="19" spans="1:17" s="42" customFormat="1" x14ac:dyDescent="0.2">
      <c r="A19" s="134" t="s">
        <v>236</v>
      </c>
    </row>
    <row r="21" spans="1:17" x14ac:dyDescent="0.2">
      <c r="A21" s="2" t="s">
        <v>381</v>
      </c>
      <c r="B21" s="1">
        <f>SUM(B9,B13)</f>
        <v>96</v>
      </c>
      <c r="C21" s="1">
        <f t="shared" ref="C21:Q21" si="0">SUM(C9,C13)</f>
        <v>96</v>
      </c>
      <c r="D21" s="1">
        <f t="shared" si="0"/>
        <v>97</v>
      </c>
      <c r="E21" s="1">
        <f t="shared" si="0"/>
        <v>97</v>
      </c>
      <c r="F21" s="1">
        <f t="shared" si="0"/>
        <v>97</v>
      </c>
      <c r="G21" s="1">
        <f t="shared" si="0"/>
        <v>97</v>
      </c>
      <c r="H21" s="1">
        <f t="shared" si="0"/>
        <v>98</v>
      </c>
      <c r="I21" s="1">
        <f t="shared" si="0"/>
        <v>100</v>
      </c>
      <c r="J21" s="1">
        <f t="shared" si="0"/>
        <v>101</v>
      </c>
      <c r="K21" s="1">
        <f t="shared" si="0"/>
        <v>101</v>
      </c>
      <c r="L21" s="1">
        <f t="shared" si="0"/>
        <v>101</v>
      </c>
      <c r="M21" s="1">
        <f t="shared" si="0"/>
        <v>101</v>
      </c>
      <c r="N21" s="1">
        <f t="shared" si="0"/>
        <v>98.499999999999901</v>
      </c>
      <c r="O21" s="1">
        <f t="shared" si="0"/>
        <v>101</v>
      </c>
      <c r="P21" s="1">
        <f t="shared" si="0"/>
        <v>101</v>
      </c>
      <c r="Q21" s="1">
        <f t="shared" si="0"/>
        <v>101</v>
      </c>
    </row>
  </sheetData>
  <pageMargins left="0.75" right="0.75" top="1" bottom="1" header="0.5" footer="0.5"/>
  <pageSetup orientation="portrait" r:id="rId1"/>
  <colBreaks count="3" manualBreakCount="3">
    <brk id="1" max="1048575" man="1"/>
    <brk id="14" max="1048575" man="1"/>
    <brk id="1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7760-9703-4AC8-804E-53AAA5107FA6}">
  <sheetPr codeName="Sheet7"/>
  <dimension ref="A1:Q25"/>
  <sheetViews>
    <sheetView workbookViewId="0">
      <selection activeCell="E18" sqref="E18"/>
    </sheetView>
  </sheetViews>
  <sheetFormatPr defaultRowHeight="12.75" x14ac:dyDescent="0.2"/>
  <cols>
    <col min="1" max="1" width="50.5703125" style="2" customWidth="1"/>
    <col min="2" max="17" width="12.7109375" style="1" customWidth="1"/>
    <col min="18" max="16384" width="9.140625" style="1"/>
  </cols>
  <sheetData>
    <row r="1" spans="1:17" s="3" customFormat="1" x14ac:dyDescent="0.2">
      <c r="A1" s="4"/>
    </row>
    <row r="2" spans="1:17" s="3" customFormat="1" x14ac:dyDescent="0.2">
      <c r="A2" s="4" t="s">
        <v>237</v>
      </c>
      <c r="B2" s="3" t="s">
        <v>224</v>
      </c>
      <c r="C2" s="3" t="s">
        <v>225</v>
      </c>
      <c r="D2" s="3" t="s">
        <v>226</v>
      </c>
      <c r="E2" s="3" t="s">
        <v>227</v>
      </c>
      <c r="F2" s="3" t="s">
        <v>116</v>
      </c>
      <c r="G2" s="3" t="s">
        <v>117</v>
      </c>
      <c r="H2" s="3" t="s">
        <v>118</v>
      </c>
      <c r="I2" s="3" t="s">
        <v>119</v>
      </c>
      <c r="J2" s="3" t="s">
        <v>120</v>
      </c>
      <c r="K2" s="3" t="s">
        <v>121</v>
      </c>
      <c r="L2" s="3" t="s">
        <v>122</v>
      </c>
      <c r="M2" s="3" t="s">
        <v>123</v>
      </c>
      <c r="N2" s="3" t="s">
        <v>228</v>
      </c>
      <c r="O2" s="3" t="s">
        <v>124</v>
      </c>
      <c r="P2" s="3" t="s">
        <v>125</v>
      </c>
      <c r="Q2" s="3" t="s">
        <v>126</v>
      </c>
    </row>
    <row r="3" spans="1:17" s="3" customFormat="1" x14ac:dyDescent="0.2">
      <c r="A3" s="4"/>
    </row>
    <row r="5" spans="1:17" x14ac:dyDescent="0.2">
      <c r="A5" s="2" t="s">
        <v>238</v>
      </c>
    </row>
    <row r="6" spans="1:17" x14ac:dyDescent="0.2">
      <c r="A6" s="2" t="s">
        <v>239</v>
      </c>
      <c r="B6" s="1">
        <v>5212065.5658730101</v>
      </c>
      <c r="C6" s="1">
        <v>4734713.0994841196</v>
      </c>
      <c r="D6" s="1">
        <v>4955969.3242063504</v>
      </c>
      <c r="E6" s="1">
        <v>4556001.93297619</v>
      </c>
      <c r="F6" s="1">
        <v>4498377.3099999996</v>
      </c>
      <c r="G6" s="1">
        <v>4422461.6720928596</v>
      </c>
      <c r="H6" s="1">
        <v>4387340.0973452404</v>
      </c>
      <c r="I6" s="1">
        <v>4529303.9347416703</v>
      </c>
      <c r="J6" s="1">
        <v>4668564.5482059503</v>
      </c>
      <c r="K6" s="1">
        <v>5020415.7097934503</v>
      </c>
      <c r="L6" s="1">
        <v>4924020.1482238099</v>
      </c>
      <c r="M6" s="1">
        <v>5101040.0296184504</v>
      </c>
      <c r="N6" s="1">
        <v>57010273.372561097</v>
      </c>
      <c r="O6" s="1">
        <v>5232691.1591706304</v>
      </c>
      <c r="P6" s="1">
        <v>4753502.5568386903</v>
      </c>
      <c r="Q6" s="1">
        <v>4975445.8581686504</v>
      </c>
    </row>
    <row r="8" spans="1:17" x14ac:dyDescent="0.2">
      <c r="A8" s="2" t="s">
        <v>240</v>
      </c>
    </row>
    <row r="9" spans="1:17" x14ac:dyDescent="0.2">
      <c r="A9" s="2" t="s">
        <v>229</v>
      </c>
      <c r="B9" s="1">
        <v>2186137.5705845701</v>
      </c>
      <c r="C9" s="1">
        <v>1789536.3028102799</v>
      </c>
      <c r="D9" s="1">
        <v>1498295.6552139299</v>
      </c>
      <c r="E9" s="1">
        <v>944079.07389021502</v>
      </c>
      <c r="F9" s="1">
        <v>531057.80310008395</v>
      </c>
      <c r="G9" s="1">
        <v>359307.937292499</v>
      </c>
      <c r="H9" s="1">
        <v>307563.03843166301</v>
      </c>
      <c r="I9" s="1">
        <v>303779.459406793</v>
      </c>
      <c r="J9" s="1">
        <v>385668.42239064001</v>
      </c>
      <c r="K9" s="1">
        <v>958164.56701251201</v>
      </c>
      <c r="L9" s="1">
        <v>1666235.26928146</v>
      </c>
      <c r="M9" s="1">
        <v>2254821.0291740601</v>
      </c>
      <c r="N9" s="1">
        <v>13184646.128588701</v>
      </c>
      <c r="O9" s="1">
        <v>2211271.6736177299</v>
      </c>
      <c r="P9" s="1">
        <v>1864454.10946362</v>
      </c>
      <c r="Q9" s="1">
        <v>1507736.6696512301</v>
      </c>
    </row>
    <row r="10" spans="1:17" x14ac:dyDescent="0.2">
      <c r="A10" s="2" t="s">
        <v>230</v>
      </c>
      <c r="B10" s="1">
        <v>1487388.8348926599</v>
      </c>
      <c r="C10" s="1">
        <v>1214890.1126812</v>
      </c>
      <c r="D10" s="1">
        <v>1009899.9941047</v>
      </c>
      <c r="E10" s="1">
        <v>643471.88325093302</v>
      </c>
      <c r="F10" s="1">
        <v>403333.14796625101</v>
      </c>
      <c r="G10" s="1">
        <v>303939.38213163102</v>
      </c>
      <c r="H10" s="1">
        <v>286819.77743600402</v>
      </c>
      <c r="I10" s="1">
        <v>286533.88922232401</v>
      </c>
      <c r="J10" s="1">
        <v>313849.70235204801</v>
      </c>
      <c r="K10" s="1">
        <v>633362.78220965306</v>
      </c>
      <c r="L10" s="1">
        <v>1072430.1265578701</v>
      </c>
      <c r="M10" s="1">
        <v>1494578.9105903101</v>
      </c>
      <c r="N10" s="1">
        <v>9150498.5433955807</v>
      </c>
      <c r="O10" s="1">
        <v>1500805.43036168</v>
      </c>
      <c r="P10" s="1">
        <v>1262806.6474502201</v>
      </c>
      <c r="Q10" s="1">
        <v>1014142.13930485</v>
      </c>
    </row>
    <row r="11" spans="1:17" x14ac:dyDescent="0.2">
      <c r="A11" s="2" t="s">
        <v>231</v>
      </c>
      <c r="B11" s="1">
        <v>151585.87187398001</v>
      </c>
      <c r="C11" s="1">
        <v>124363.27010329301</v>
      </c>
      <c r="D11" s="1">
        <v>109180.238255542</v>
      </c>
      <c r="E11" s="1">
        <v>76192.060269467504</v>
      </c>
      <c r="F11" s="1">
        <v>47661.415621689499</v>
      </c>
      <c r="G11" s="1">
        <v>35006.493490146997</v>
      </c>
      <c r="H11" s="1">
        <v>30540.7522446271</v>
      </c>
      <c r="I11" s="1">
        <v>30664.617994160799</v>
      </c>
      <c r="J11" s="1">
        <v>36766.991394579403</v>
      </c>
      <c r="K11" s="1">
        <v>77874.107199141596</v>
      </c>
      <c r="L11" s="1">
        <v>117107.02616107999</v>
      </c>
      <c r="M11" s="1">
        <v>151004.096664804</v>
      </c>
      <c r="N11" s="1">
        <v>987946.94127251196</v>
      </c>
      <c r="O11" s="1">
        <v>155554.38207600699</v>
      </c>
      <c r="P11" s="1">
        <v>131565.51454264999</v>
      </c>
      <c r="Q11" s="1">
        <v>110724.81299294101</v>
      </c>
    </row>
    <row r="12" spans="1:17" x14ac:dyDescent="0.2">
      <c r="A12" s="2" t="s">
        <v>232</v>
      </c>
      <c r="B12" s="1">
        <v>165801.37064230899</v>
      </c>
      <c r="C12" s="1">
        <v>136674.56404560301</v>
      </c>
      <c r="D12" s="1">
        <v>128288.137915477</v>
      </c>
      <c r="E12" s="1">
        <v>95840.752793310399</v>
      </c>
      <c r="F12" s="1">
        <v>68961.924074394003</v>
      </c>
      <c r="G12" s="1">
        <v>48773.780386750303</v>
      </c>
      <c r="H12" s="1">
        <v>51453.137036775202</v>
      </c>
      <c r="I12" s="1">
        <v>74671.350508355798</v>
      </c>
      <c r="J12" s="1">
        <v>90469.904342853595</v>
      </c>
      <c r="K12" s="1">
        <v>120179.630376701</v>
      </c>
      <c r="L12" s="1">
        <v>137620.12148969201</v>
      </c>
      <c r="M12" s="1">
        <v>161868.425029534</v>
      </c>
      <c r="N12" s="1">
        <v>1280603.0986417499</v>
      </c>
      <c r="O12" s="1">
        <v>170214.82043632999</v>
      </c>
      <c r="P12" s="1">
        <v>144611.27044063699</v>
      </c>
      <c r="Q12" s="1">
        <v>129881.79511820601</v>
      </c>
    </row>
    <row r="13" spans="1:17" x14ac:dyDescent="0.2">
      <c r="A13" s="2" t="s">
        <v>233</v>
      </c>
      <c r="B13" s="1">
        <v>45095.604471903898</v>
      </c>
      <c r="C13" s="1">
        <v>33980.687508253199</v>
      </c>
      <c r="D13" s="1">
        <v>48626.892980168101</v>
      </c>
      <c r="E13" s="1">
        <v>36380.370433015501</v>
      </c>
      <c r="F13" s="1">
        <v>40547.148837556597</v>
      </c>
      <c r="G13" s="1">
        <v>36322.817871281302</v>
      </c>
      <c r="H13" s="1">
        <v>35658.557049028699</v>
      </c>
      <c r="I13" s="1">
        <v>33288.926360551399</v>
      </c>
      <c r="J13" s="1">
        <v>35425.566417515402</v>
      </c>
      <c r="K13" s="1">
        <v>48843.422524775102</v>
      </c>
      <c r="L13" s="1">
        <v>47761.1223349516</v>
      </c>
      <c r="M13" s="1">
        <v>51502.353249560103</v>
      </c>
      <c r="N13" s="1">
        <v>493433.47003855999</v>
      </c>
      <c r="O13" s="1">
        <v>51466.804356855399</v>
      </c>
      <c r="P13" s="1">
        <v>39885.255846941902</v>
      </c>
      <c r="Q13" s="1">
        <v>54059.801612528201</v>
      </c>
    </row>
    <row r="14" spans="1:17" x14ac:dyDescent="0.2">
      <c r="A14" s="2" t="s">
        <v>234</v>
      </c>
      <c r="B14" s="1">
        <v>26070.634301300099</v>
      </c>
      <c r="C14" s="1">
        <v>21642.146821253002</v>
      </c>
      <c r="D14" s="1">
        <v>23265.545961093801</v>
      </c>
      <c r="E14" s="1">
        <v>19534.0301635824</v>
      </c>
      <c r="F14" s="1">
        <v>14163.9292914587</v>
      </c>
      <c r="G14" s="1">
        <v>10369.810947619701</v>
      </c>
      <c r="H14" s="1">
        <v>10538.9782927909</v>
      </c>
      <c r="I14" s="1">
        <v>9869.2137626399508</v>
      </c>
      <c r="J14" s="1">
        <v>10275.238215682901</v>
      </c>
      <c r="K14" s="1">
        <v>20133.566832349901</v>
      </c>
      <c r="L14" s="1">
        <v>22576.646638704198</v>
      </c>
      <c r="M14" s="1">
        <v>25688.961868289301</v>
      </c>
      <c r="N14" s="1">
        <v>214128.70309676399</v>
      </c>
      <c r="O14" s="1">
        <v>26164.909478632901</v>
      </c>
      <c r="P14" s="1">
        <v>22419.150246240599</v>
      </c>
      <c r="Q14" s="1">
        <v>23209.979155249701</v>
      </c>
    </row>
    <row r="15" spans="1:17" x14ac:dyDescent="0.2">
      <c r="A15" s="2" t="s">
        <v>239</v>
      </c>
      <c r="B15" s="1">
        <v>0</v>
      </c>
      <c r="C15" s="1">
        <v>0</v>
      </c>
      <c r="D15" s="1">
        <v>0</v>
      </c>
      <c r="E15" s="1">
        <v>0</v>
      </c>
      <c r="F15" s="1">
        <v>0</v>
      </c>
      <c r="G15" s="1">
        <v>0</v>
      </c>
      <c r="H15" s="1">
        <v>0</v>
      </c>
      <c r="I15" s="1">
        <v>0</v>
      </c>
      <c r="J15" s="1">
        <v>0</v>
      </c>
      <c r="K15" s="1">
        <v>0</v>
      </c>
      <c r="L15" s="1">
        <v>0</v>
      </c>
      <c r="M15" s="1">
        <v>0</v>
      </c>
      <c r="N15" s="1">
        <v>0</v>
      </c>
      <c r="O15" s="1">
        <v>0</v>
      </c>
      <c r="P15" s="1">
        <v>0</v>
      </c>
      <c r="Q15" s="1">
        <v>0</v>
      </c>
    </row>
    <row r="16" spans="1:17" x14ac:dyDescent="0.2">
      <c r="A16" s="2" t="s">
        <v>241</v>
      </c>
      <c r="B16" s="1">
        <v>0</v>
      </c>
      <c r="C16" s="1">
        <v>0</v>
      </c>
      <c r="D16" s="1">
        <v>0</v>
      </c>
      <c r="E16" s="1">
        <v>0</v>
      </c>
      <c r="F16" s="1">
        <v>0</v>
      </c>
      <c r="G16" s="1">
        <v>0</v>
      </c>
      <c r="H16" s="1">
        <v>0</v>
      </c>
      <c r="I16" s="1">
        <v>0</v>
      </c>
      <c r="J16" s="1">
        <v>0</v>
      </c>
      <c r="K16" s="1">
        <v>0</v>
      </c>
      <c r="L16" s="1">
        <v>0</v>
      </c>
      <c r="M16" s="1">
        <v>0</v>
      </c>
      <c r="N16" s="1">
        <v>0</v>
      </c>
      <c r="O16" s="1">
        <v>0</v>
      </c>
      <c r="P16" s="1">
        <v>0</v>
      </c>
      <c r="Q16" s="1">
        <v>0</v>
      </c>
    </row>
    <row r="17" spans="1:17" x14ac:dyDescent="0.2">
      <c r="A17" s="2" t="s">
        <v>235</v>
      </c>
      <c r="B17" s="1">
        <v>4062079.8867667201</v>
      </c>
      <c r="C17" s="1">
        <v>3321087.0839698799</v>
      </c>
      <c r="D17" s="1">
        <v>2817556.4644309101</v>
      </c>
      <c r="E17" s="1">
        <v>1815498.1708005201</v>
      </c>
      <c r="F17" s="1">
        <v>1105725.3688914301</v>
      </c>
      <c r="G17" s="1">
        <v>793720.22211992799</v>
      </c>
      <c r="H17" s="1">
        <v>722574.24049088894</v>
      </c>
      <c r="I17" s="1">
        <v>738807.457254824</v>
      </c>
      <c r="J17" s="1">
        <v>872455.82511331898</v>
      </c>
      <c r="K17" s="1">
        <v>1858558.0761551301</v>
      </c>
      <c r="L17" s="1">
        <v>3063730.3124637501</v>
      </c>
      <c r="M17" s="1">
        <v>4139463.7765765502</v>
      </c>
      <c r="N17" s="1">
        <v>25311256.885033801</v>
      </c>
      <c r="O17" s="1">
        <v>4115478.02032723</v>
      </c>
      <c r="P17" s="1">
        <v>3465741.9479903001</v>
      </c>
      <c r="Q17" s="1">
        <v>2839755.1978350002</v>
      </c>
    </row>
    <row r="18" spans="1:17" s="6" customFormat="1" x14ac:dyDescent="0.2">
      <c r="A18" s="98" t="s">
        <v>236</v>
      </c>
    </row>
    <row r="19" spans="1:17" x14ac:dyDescent="0.2">
      <c r="A19" s="89" t="s">
        <v>172</v>
      </c>
      <c r="N19" s="85" t="s">
        <v>242</v>
      </c>
    </row>
    <row r="20" spans="1:17" x14ac:dyDescent="0.2">
      <c r="A20" s="2">
        <v>503</v>
      </c>
      <c r="B20" s="1" cm="1">
        <f t="array" ref="B20">(B9*10)-INDEX('NAICS Historical WP'!$C$52:$C$63,COLUMN(A1),1)</f>
        <v>21693945.372512367</v>
      </c>
      <c r="C20" s="1" cm="1">
        <f t="array" ref="C20">(C9*10)-INDEX('NAICS Historical WP'!$C$52:$C$63,COLUMN(B1),1)</f>
        <v>17763157.361436132</v>
      </c>
      <c r="D20" s="1" cm="1">
        <f t="array" ref="D20">(D9*10)-INDEX('NAICS Historical WP'!$C$52:$C$63,COLUMN(C1),1)</f>
        <v>14829548.218805965</v>
      </c>
      <c r="E20" s="1" cm="1">
        <f t="array" ref="E20">(E9*10)-INDEX('NAICS Historical WP'!$C$52:$C$63,COLUMN(D1),1)</f>
        <v>9324858.0722354837</v>
      </c>
      <c r="F20" s="1" cm="1">
        <f t="array" ref="F20">(F9*10)-INDEX('NAICS Historical WP'!$C$52:$C$63,COLUMN(E1),1)</f>
        <v>5229271.6976675065</v>
      </c>
      <c r="G20" s="1" cm="1">
        <f t="array" ref="G20">(G9*10)-INDEX('NAICS Historical WP'!$C$52:$C$63,COLUMN(F1),1)</f>
        <v>3556887.7062583235</v>
      </c>
      <c r="H20" s="1" cm="1">
        <f t="array" ref="H20">(H9*10)-INDEX('NAICS Historical WP'!$C$52:$C$63,COLUMN(G1),1)</f>
        <v>3062195.0509832967</v>
      </c>
      <c r="I20" s="1" cm="1">
        <f t="array" ref="I20">(I9*10)-INDEX('NAICS Historical WP'!$C$52:$C$63,COLUMN(H1),1)</f>
        <v>3028829.9274012637</v>
      </c>
      <c r="J20" s="1" cm="1">
        <f t="array" ref="J20">(J9*10)-INDEX('NAICS Historical WP'!$C$52:$C$63,COLUMN(I1),1)</f>
        <v>3847281.5572397336</v>
      </c>
      <c r="K20" s="1" cm="1">
        <f t="array" ref="K20">(K9*10)-INDEX('NAICS Historical WP'!$C$52:$C$63,COLUMN(J1),1)</f>
        <v>9562757.3367917854</v>
      </c>
      <c r="L20" s="1" cm="1">
        <f t="array" ref="L20">(L9*10)-INDEX('NAICS Historical WP'!$C$52:$C$63,COLUMN(K1),1)</f>
        <v>16587423.359481266</v>
      </c>
      <c r="M20" s="1" cm="1">
        <f t="array" ref="M20">(M9*10)-INDEX('NAICS Historical WP'!$C$52:$C$63,COLUMN(L1),1)</f>
        <v>22406926.2917406</v>
      </c>
      <c r="N20" s="84">
        <f>SUM(B20:M20)</f>
        <v>130893081.9525537</v>
      </c>
    </row>
    <row r="21" spans="1:17" x14ac:dyDescent="0.2">
      <c r="A21" s="2">
        <v>504</v>
      </c>
      <c r="B21" s="1" cm="1">
        <f t="array" ref="B21">(B10*10)-INDEX('NAICS Historical WP'!$J$52:$J$63,COLUMN(A1),1)</f>
        <v>14836496.015593266</v>
      </c>
      <c r="C21" s="1" cm="1">
        <f t="array" ref="C21">(C10*10)-INDEX('NAICS Historical WP'!$J$52:$J$63,COLUMN(B1),1)</f>
        <v>12114225.460145334</v>
      </c>
      <c r="D21" s="1" cm="1">
        <f t="array" ref="D21">(D10*10)-INDEX('NAICS Historical WP'!$J$52:$J$63,COLUMN(C1),1)</f>
        <v>10065743.274380334</v>
      </c>
      <c r="E21" s="1" cm="1">
        <f t="array" ref="E21">(E10*10)-INDEX('NAICS Historical WP'!$J$52:$J$63,COLUMN(D1),1)</f>
        <v>6408350.8325093305</v>
      </c>
      <c r="F21" s="1" cm="1">
        <f t="array" ref="F21">(F10*10)-INDEX('NAICS Historical WP'!$J$52:$J$63,COLUMN(E1),1)</f>
        <v>4018172.4796625101</v>
      </c>
      <c r="G21" s="1" cm="1">
        <f t="array" ref="G21">(G10*10)-INDEX('NAICS Historical WP'!$J$52:$J$63,COLUMN(F1),1)</f>
        <v>3030612.1546496437</v>
      </c>
      <c r="H21" s="1" cm="1">
        <f t="array" ref="H21">(H10*10)-INDEX('NAICS Historical WP'!$J$52:$J$63,COLUMN(G1),1)</f>
        <v>2865450.4410267067</v>
      </c>
      <c r="I21" s="1" cm="1">
        <f t="array" ref="I21">(I10*10)-INDEX('NAICS Historical WP'!$J$52:$J$63,COLUMN(H1),1)</f>
        <v>2861985.8922232399</v>
      </c>
      <c r="J21" s="1" cm="1">
        <f t="array" ref="J21">(J10*10)-INDEX('NAICS Historical WP'!$J$52:$J$63,COLUMN(I1),1)</f>
        <v>3134361.3568538134</v>
      </c>
      <c r="K21" s="1" cm="1">
        <f t="array" ref="K21">(K10*10)-INDEX('NAICS Historical WP'!$J$52:$J$63,COLUMN(J1),1)</f>
        <v>6324640.8220965303</v>
      </c>
      <c r="L21" s="1" cm="1">
        <f t="array" ref="L21">(L10*10)-INDEX('NAICS Historical WP'!$J$52:$J$63,COLUMN(K1),1)</f>
        <v>10699543.932245366</v>
      </c>
      <c r="M21" s="1" cm="1">
        <f t="array" ref="M21">(M10*10)-INDEX('NAICS Historical WP'!$J$52:$J$63,COLUMN(L1),1)</f>
        <v>14912968.772569766</v>
      </c>
      <c r="N21" s="84">
        <f>SUM(B21:M21)</f>
        <v>91272551.433955833</v>
      </c>
    </row>
    <row r="22" spans="1:17" x14ac:dyDescent="0.2">
      <c r="A22" s="2">
        <v>505</v>
      </c>
      <c r="B22" s="1">
        <f>B12*10</f>
        <v>1658013.7064230898</v>
      </c>
      <c r="C22" s="1">
        <f t="shared" ref="C22:M22" si="0">C12*10</f>
        <v>1366745.6404560301</v>
      </c>
      <c r="D22" s="1">
        <f t="shared" si="0"/>
        <v>1282881.3791547699</v>
      </c>
      <c r="E22" s="1">
        <f t="shared" si="0"/>
        <v>958407.52793310396</v>
      </c>
      <c r="F22" s="1">
        <f t="shared" si="0"/>
        <v>689619.24074394</v>
      </c>
      <c r="G22" s="1">
        <f t="shared" si="0"/>
        <v>487737.80386750301</v>
      </c>
      <c r="H22" s="1">
        <f t="shared" si="0"/>
        <v>514531.37036775204</v>
      </c>
      <c r="I22" s="1">
        <f t="shared" si="0"/>
        <v>746713.50508355792</v>
      </c>
      <c r="J22" s="1">
        <f t="shared" si="0"/>
        <v>904699.04342853592</v>
      </c>
      <c r="K22" s="1">
        <f t="shared" si="0"/>
        <v>1201796.3037670099</v>
      </c>
      <c r="L22" s="1">
        <f t="shared" si="0"/>
        <v>1376201.2148969201</v>
      </c>
      <c r="M22" s="1">
        <f t="shared" si="0"/>
        <v>1618684.2502953401</v>
      </c>
      <c r="N22" s="84">
        <f t="shared" ref="N22:N25" si="1">SUM(B22:M22)</f>
        <v>12806030.986417554</v>
      </c>
    </row>
    <row r="23" spans="1:17" x14ac:dyDescent="0.2">
      <c r="A23" s="2">
        <v>511</v>
      </c>
      <c r="B23" s="1" cm="1">
        <f t="array" ref="B23">(SUM(B11,B13)*10)-INDEX('NAICS Historical WP'!$Q$52:$Q$63,COLUMN(A1),1)</f>
        <v>1906664.7634588392</v>
      </c>
      <c r="C23" s="1" cm="1">
        <f t="array" ref="C23">(SUM(C11,C13)*10)-INDEX('NAICS Historical WP'!$Q$52:$Q$63,COLUMN(B1),1)</f>
        <v>1533403.576115462</v>
      </c>
      <c r="D23" s="1" cm="1">
        <f t="array" ref="D23">(SUM(D11,D13)*10)-INDEX('NAICS Historical WP'!$Q$52:$Q$63,COLUMN(C1),1)</f>
        <v>1525596.9790237679</v>
      </c>
      <c r="E23" s="1" cm="1">
        <f t="array" ref="E23">(SUM(E11,E13)*10)-INDEX('NAICS Historical WP'!$Q$52:$Q$63,COLUMN(D1),1)</f>
        <v>1085345.6403581633</v>
      </c>
      <c r="F23" s="1" cm="1">
        <f t="array" ref="F23">(SUM(F11,F13)*10)-INDEX('NAICS Historical WP'!$Q$52:$Q$63,COLUMN(E1),1)</f>
        <v>856552.97792579432</v>
      </c>
      <c r="G23" s="1" cm="1">
        <f t="array" ref="G23">(SUM(G11,G13)*10)-INDEX('NAICS Historical WP'!$Q$52:$Q$63,COLUMN(F1),1)</f>
        <v>697302.11361428292</v>
      </c>
      <c r="H23" s="1" cm="1">
        <f t="array" ref="H23">(SUM(H11,H13)*10)-INDEX('NAICS Historical WP'!$Q$52:$Q$63,COLUMN(G1),1)</f>
        <v>652268.42626989132</v>
      </c>
      <c r="I23" s="1" cm="1">
        <f t="array" ref="I23">(SUM(I11,I13)*10)-INDEX('NAICS Historical WP'!$Q$52:$Q$63,COLUMN(H1),1)</f>
        <v>631280.44354712195</v>
      </c>
      <c r="J23" s="1" cm="1">
        <f t="array" ref="J23">(SUM(J11,J13)*10)-INDEX('NAICS Historical WP'!$Q$52:$Q$63,COLUMN(I1),1)</f>
        <v>713134.91145428142</v>
      </c>
      <c r="K23" s="1" cm="1">
        <f t="array" ref="K23">(SUM(K11,K13)*10)-INDEX('NAICS Historical WP'!$Q$52:$Q$63,COLUMN(J1),1)</f>
        <v>1250298.9639058337</v>
      </c>
      <c r="L23" s="1" cm="1">
        <f t="array" ref="L23">(SUM(L11,L13)*10)-INDEX('NAICS Historical WP'!$Q$52:$Q$63,COLUMN(K1),1)</f>
        <v>1613334.818293649</v>
      </c>
      <c r="M23" s="1" cm="1">
        <f t="array" ref="M23">(SUM(M11,M13)*10)-INDEX('NAICS Historical WP'!$Q$52:$Q$63,COLUMN(L1),1)</f>
        <v>1975850.8324769745</v>
      </c>
      <c r="N23" s="84">
        <f t="shared" si="1"/>
        <v>14441034.446444061</v>
      </c>
    </row>
    <row r="24" spans="1:17" x14ac:dyDescent="0.2">
      <c r="A24" s="2">
        <v>570</v>
      </c>
      <c r="B24" s="1" cm="1">
        <f t="array" ref="B24">(B14*10)-INDEX('NAICS Historical WP'!$AB$7:$AB$18,COLUMN(A1),1)</f>
        <v>247831.00967966765</v>
      </c>
      <c r="C24" s="1" cm="1">
        <f t="array" ref="C24">(C14*10)-INDEX('NAICS Historical WP'!$AB$7:$AB$18,COLUMN(B1),1)</f>
        <v>204887.13487919667</v>
      </c>
      <c r="D24" s="1" cm="1">
        <f t="array" ref="D24">(D14*10)-INDEX('NAICS Historical WP'!$AB$7:$AB$18,COLUMN(C1),1)</f>
        <v>220827.79294427135</v>
      </c>
      <c r="E24" s="1" cm="1">
        <f t="array" ref="E24">(E14*10)-INDEX('NAICS Historical WP'!$AB$7:$AB$18,COLUMN(D1),1)</f>
        <v>184918.96830249066</v>
      </c>
      <c r="F24" s="1" cm="1">
        <f t="array" ref="F24">(F14*10)-INDEX('NAICS Historical WP'!$AB$7:$AB$18,COLUMN(E1),1)</f>
        <v>131381.62624792036</v>
      </c>
      <c r="G24" s="1" cm="1">
        <f t="array" ref="G24">(G14*10)-INDEX('NAICS Historical WP'!$AB$7:$AB$18,COLUMN(F1),1)</f>
        <v>94870.776142863673</v>
      </c>
      <c r="H24" s="1" cm="1">
        <f t="array" ref="H24">(H14*10)-INDEX('NAICS Historical WP'!$AB$7:$AB$18,COLUMN(G1),1)</f>
        <v>96835.782927908993</v>
      </c>
      <c r="I24" s="1" cm="1">
        <f t="array" ref="I24">(I14*10)-INDEX('NAICS Historical WP'!$AB$7:$AB$18,COLUMN(H1),1)</f>
        <v>90232.137626399504</v>
      </c>
      <c r="J24" s="1" cm="1">
        <f t="array" ref="J24">(J14*10)-INDEX('NAICS Historical WP'!$AB$7:$AB$18,COLUMN(I1),1)</f>
        <v>93426.048823495672</v>
      </c>
      <c r="K24" s="1" cm="1">
        <f t="array" ref="K24">(K14*10)-INDEX('NAICS Historical WP'!$AB$7:$AB$18,COLUMN(J1),1)</f>
        <v>190086.00165683235</v>
      </c>
      <c r="L24" s="1" cm="1">
        <f t="array" ref="L24">(L14*10)-INDEX('NAICS Historical WP'!$AB$7:$AB$18,COLUMN(K1),1)</f>
        <v>213307.79972037533</v>
      </c>
      <c r="M24" s="1" cm="1">
        <f t="array" ref="M24">(M14*10)-INDEX('NAICS Historical WP'!$AB$7:$AB$18,COLUMN(L1),1)</f>
        <v>242916.61868289302</v>
      </c>
      <c r="N24" s="84">
        <f t="shared" si="1"/>
        <v>2011521.6976343151</v>
      </c>
    </row>
    <row r="25" spans="1:17" x14ac:dyDescent="0.2">
      <c r="A25" s="2">
        <v>663</v>
      </c>
      <c r="B25" s="1" cm="1">
        <f t="array" ref="B25">(B6*10)-INDEX('NAICS Historical WP'!$X$7:$X$18,COLUMN(A1),1)</f>
        <v>25933806.658730108</v>
      </c>
      <c r="C25" s="1" cm="1">
        <f t="array" ref="C25">(C6*10)-INDEX('NAICS Historical WP'!$X$7:$X$18,COLUMN(B1),1)</f>
        <v>22731286.994841196</v>
      </c>
      <c r="D25" s="1" cm="1">
        <f t="array" ref="D25">(D6*10)-INDEX('NAICS Historical WP'!$X$7:$X$18,COLUMN(C1),1)</f>
        <v>23046741.575396843</v>
      </c>
      <c r="E25" s="1" cm="1">
        <f t="array" ref="E25">(E6*10)-INDEX('NAICS Historical WP'!$X$7:$X$18,COLUMN(D1),1)</f>
        <v>20317552.3297619</v>
      </c>
      <c r="F25" s="1" cm="1">
        <f t="array" ref="F25">(F6*10)-INDEX('NAICS Historical WP'!$X$7:$X$18,COLUMN(E1),1)</f>
        <v>21309349.099999994</v>
      </c>
      <c r="G25" s="1" cm="1">
        <f t="array" ref="G25">(G6*10)-INDEX('NAICS Historical WP'!$X$7:$X$18,COLUMN(F1),1)</f>
        <v>20790255.720928594</v>
      </c>
      <c r="H25" s="1" cm="1">
        <f t="array" ref="H25">(H6*10)-INDEX('NAICS Historical WP'!$X$7:$X$18,COLUMN(G1),1)</f>
        <v>20947273.973452404</v>
      </c>
      <c r="I25" s="1" cm="1">
        <f t="array" ref="I25">(I6*10)-INDEX('NAICS Historical WP'!$X$7:$X$18,COLUMN(H1),1)</f>
        <v>21791358.347416699</v>
      </c>
      <c r="J25" s="1" cm="1">
        <f t="array" ref="J25">(J6*10)-INDEX('NAICS Historical WP'!$X$7:$X$18,COLUMN(I1),1)</f>
        <v>24059533.148726169</v>
      </c>
      <c r="K25" s="1" cm="1">
        <f t="array" ref="K25">(K6*10)-INDEX('NAICS Historical WP'!$X$7:$X$18,COLUMN(J1),1)</f>
        <v>25839749.431267831</v>
      </c>
      <c r="L25" s="1" cm="1">
        <f t="array" ref="L25">(L6*10)-INDEX('NAICS Historical WP'!$X$7:$X$18,COLUMN(K1),1)</f>
        <v>19840698.482238099</v>
      </c>
      <c r="M25" s="1" cm="1">
        <f t="array" ref="M25">(M6*10)-INDEX('NAICS Historical WP'!$X$7:$X$18,COLUMN(L1),1)</f>
        <v>22100773.629517835</v>
      </c>
      <c r="N25" s="84">
        <f t="shared" si="1"/>
        <v>268708379.39227766</v>
      </c>
    </row>
  </sheetData>
  <pageMargins left="0.75" right="0.75" top="1" bottom="1" header="0.5" footer="0.5"/>
  <pageSetup orientation="portrait" r:id="rId1"/>
  <colBreaks count="1" manualBreakCount="1">
    <brk id="1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1A391-3252-475E-AA84-FB5028D87DBF}">
  <dimension ref="A1:AL78"/>
  <sheetViews>
    <sheetView workbookViewId="0">
      <selection activeCell="A2" sqref="A2"/>
    </sheetView>
  </sheetViews>
  <sheetFormatPr defaultColWidth="22.28515625" defaultRowHeight="15" x14ac:dyDescent="0.25"/>
  <cols>
    <col min="1" max="1" width="57.42578125" style="155" bestFit="1" customWidth="1"/>
    <col min="2" max="14" width="15" style="155" customWidth="1"/>
    <col min="15" max="15" width="14.85546875" style="155" bestFit="1" customWidth="1"/>
    <col min="16" max="16" width="13.140625" style="155" customWidth="1"/>
    <col min="17" max="17" width="15" style="155" bestFit="1" customWidth="1"/>
    <col min="18" max="18" width="14.140625" style="155" customWidth="1"/>
    <col min="19" max="19" width="13.85546875" style="155" customWidth="1"/>
    <col min="20" max="20" width="15" style="155" bestFit="1" customWidth="1"/>
    <col min="21" max="21" width="13.42578125" style="155" customWidth="1"/>
    <col min="22" max="22" width="15" style="155" bestFit="1" customWidth="1"/>
    <col min="23" max="23" width="17.42578125" style="155" bestFit="1" customWidth="1"/>
    <col min="24" max="24" width="14.140625" style="155" customWidth="1"/>
    <col min="25" max="25" width="16.140625" style="155" bestFit="1" customWidth="1"/>
    <col min="26" max="26" width="16.85546875" style="155" bestFit="1" customWidth="1"/>
    <col min="27" max="27" width="17.42578125" style="155" bestFit="1" customWidth="1"/>
    <col min="28" max="28" width="14.5703125" style="155" bestFit="1" customWidth="1"/>
    <col min="29" max="29" width="22.7109375" style="155" bestFit="1" customWidth="1"/>
    <col min="30" max="30" width="16.85546875" style="155" bestFit="1" customWidth="1"/>
    <col min="31" max="31" width="15.7109375" style="155" customWidth="1"/>
    <col min="32" max="32" width="16.85546875" style="155" bestFit="1" customWidth="1"/>
    <col min="33" max="33" width="14" style="155" bestFit="1" customWidth="1"/>
    <col min="34" max="34" width="16" style="155" customWidth="1"/>
    <col min="35" max="36" width="16.85546875" style="155" bestFit="1" customWidth="1"/>
    <col min="37" max="37" width="15.5703125" style="155" customWidth="1"/>
    <col min="38" max="38" width="16.85546875" style="155" bestFit="1" customWidth="1"/>
    <col min="39" max="16384" width="22.28515625" style="155"/>
  </cols>
  <sheetData>
    <row r="1" spans="1:38" x14ac:dyDescent="0.25">
      <c r="A1" s="155" t="s">
        <v>406</v>
      </c>
    </row>
    <row r="2" spans="1:38" x14ac:dyDescent="0.25">
      <c r="A2" s="156" t="s">
        <v>405</v>
      </c>
    </row>
    <row r="3" spans="1:38" x14ac:dyDescent="0.25">
      <c r="C3" s="155">
        <f t="shared" ref="C3:N3" si="0">YEAR(C4)</f>
        <v>2022</v>
      </c>
      <c r="D3" s="155">
        <f t="shared" si="0"/>
        <v>2022</v>
      </c>
      <c r="E3" s="155">
        <f t="shared" si="0"/>
        <v>2022</v>
      </c>
      <c r="F3" s="155">
        <f t="shared" si="0"/>
        <v>2022</v>
      </c>
      <c r="G3" s="155">
        <f t="shared" si="0"/>
        <v>2022</v>
      </c>
      <c r="H3" s="155">
        <f t="shared" si="0"/>
        <v>2022</v>
      </c>
      <c r="I3" s="155">
        <f t="shared" si="0"/>
        <v>2022</v>
      </c>
      <c r="J3" s="155">
        <f t="shared" si="0"/>
        <v>2022</v>
      </c>
      <c r="K3" s="155">
        <f t="shared" si="0"/>
        <v>2022</v>
      </c>
      <c r="L3" s="155">
        <f t="shared" si="0"/>
        <v>2022</v>
      </c>
      <c r="M3" s="155">
        <f t="shared" si="0"/>
        <v>2022</v>
      </c>
      <c r="N3" s="155">
        <f t="shared" si="0"/>
        <v>2022</v>
      </c>
      <c r="O3" s="155">
        <f>YEAR(O4)</f>
        <v>2023</v>
      </c>
      <c r="P3" s="155">
        <f t="shared" ref="P3:AL3" si="1">YEAR(P4)</f>
        <v>2023</v>
      </c>
      <c r="Q3" s="155">
        <f t="shared" si="1"/>
        <v>2023</v>
      </c>
      <c r="R3" s="155">
        <f t="shared" si="1"/>
        <v>2023</v>
      </c>
      <c r="S3" s="155">
        <f t="shared" si="1"/>
        <v>2023</v>
      </c>
      <c r="T3" s="155">
        <f t="shared" si="1"/>
        <v>2023</v>
      </c>
      <c r="U3" s="155">
        <f t="shared" si="1"/>
        <v>2023</v>
      </c>
      <c r="V3" s="155">
        <f t="shared" si="1"/>
        <v>2023</v>
      </c>
      <c r="W3" s="155">
        <f t="shared" si="1"/>
        <v>2023</v>
      </c>
      <c r="X3" s="155">
        <f t="shared" si="1"/>
        <v>2023</v>
      </c>
      <c r="Y3" s="155">
        <f t="shared" si="1"/>
        <v>2023</v>
      </c>
      <c r="Z3" s="155">
        <f t="shared" si="1"/>
        <v>2023</v>
      </c>
      <c r="AA3" s="155">
        <f t="shared" si="1"/>
        <v>2024</v>
      </c>
      <c r="AB3" s="155">
        <f t="shared" si="1"/>
        <v>2024</v>
      </c>
      <c r="AC3" s="155">
        <f t="shared" si="1"/>
        <v>2024</v>
      </c>
      <c r="AD3" s="155">
        <f t="shared" si="1"/>
        <v>2024</v>
      </c>
      <c r="AE3" s="155">
        <f t="shared" si="1"/>
        <v>2024</v>
      </c>
      <c r="AF3" s="155">
        <f t="shared" si="1"/>
        <v>2024</v>
      </c>
      <c r="AG3" s="155">
        <f t="shared" si="1"/>
        <v>2024</v>
      </c>
      <c r="AH3" s="155">
        <f t="shared" si="1"/>
        <v>2024</v>
      </c>
      <c r="AI3" s="155">
        <f t="shared" si="1"/>
        <v>2024</v>
      </c>
      <c r="AJ3" s="155">
        <f t="shared" si="1"/>
        <v>2024</v>
      </c>
      <c r="AK3" s="155">
        <f t="shared" si="1"/>
        <v>2024</v>
      </c>
      <c r="AL3" s="155">
        <f t="shared" si="1"/>
        <v>2024</v>
      </c>
    </row>
    <row r="4" spans="1:38" ht="15.75" thickBot="1" x14ac:dyDescent="0.3">
      <c r="C4" s="394">
        <v>44562</v>
      </c>
      <c r="D4" s="394">
        <v>44593</v>
      </c>
      <c r="E4" s="394">
        <v>44621</v>
      </c>
      <c r="F4" s="394">
        <v>44652</v>
      </c>
      <c r="G4" s="394">
        <v>44682</v>
      </c>
      <c r="H4" s="394">
        <v>44713</v>
      </c>
      <c r="I4" s="394">
        <v>44743</v>
      </c>
      <c r="J4" s="394">
        <v>44774</v>
      </c>
      <c r="K4" s="394">
        <v>44805</v>
      </c>
      <c r="L4" s="394">
        <v>44835</v>
      </c>
      <c r="M4" s="394">
        <v>44866</v>
      </c>
      <c r="N4" s="394">
        <v>44896</v>
      </c>
      <c r="O4" s="394">
        <v>44927</v>
      </c>
      <c r="P4" s="394">
        <v>44958</v>
      </c>
      <c r="Q4" s="394">
        <v>44986</v>
      </c>
      <c r="R4" s="394">
        <v>45017</v>
      </c>
      <c r="S4" s="394">
        <v>45047</v>
      </c>
      <c r="T4" s="394">
        <v>45078</v>
      </c>
      <c r="U4" s="394">
        <v>45108</v>
      </c>
      <c r="V4" s="394">
        <v>45139</v>
      </c>
      <c r="W4" s="394">
        <v>45170</v>
      </c>
      <c r="X4" s="394">
        <v>45200</v>
      </c>
      <c r="Y4" s="394">
        <v>45231</v>
      </c>
      <c r="Z4" s="394">
        <v>45261</v>
      </c>
      <c r="AA4" s="394">
        <v>45292</v>
      </c>
      <c r="AB4" s="394">
        <v>45323</v>
      </c>
      <c r="AC4" s="394">
        <v>45352</v>
      </c>
      <c r="AD4" s="394">
        <v>45383</v>
      </c>
      <c r="AE4" s="394">
        <v>45413</v>
      </c>
      <c r="AF4" s="394">
        <v>45444</v>
      </c>
      <c r="AG4" s="394">
        <v>45474</v>
      </c>
      <c r="AH4" s="394">
        <v>45505</v>
      </c>
      <c r="AI4" s="394">
        <v>45536</v>
      </c>
      <c r="AJ4" s="394">
        <v>45566</v>
      </c>
      <c r="AK4" s="394">
        <v>45597</v>
      </c>
      <c r="AL4" s="394">
        <v>45627</v>
      </c>
    </row>
    <row r="5" spans="1:38" x14ac:dyDescent="0.25">
      <c r="A5" s="395" t="s">
        <v>243</v>
      </c>
      <c r="B5" s="39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row>
    <row r="6" spans="1:38" x14ac:dyDescent="0.25">
      <c r="A6" s="397" t="s">
        <v>244</v>
      </c>
      <c r="B6" s="398"/>
      <c r="C6" s="427"/>
      <c r="D6" s="427"/>
      <c r="E6" s="427"/>
      <c r="F6" s="427"/>
      <c r="G6" s="427"/>
      <c r="H6" s="427"/>
      <c r="I6" s="427"/>
      <c r="J6" s="427"/>
      <c r="K6" s="427"/>
      <c r="L6" s="427"/>
      <c r="M6" s="427"/>
      <c r="N6" s="427"/>
      <c r="O6" s="428"/>
      <c r="P6" s="427"/>
      <c r="Q6" s="427"/>
      <c r="R6" s="427"/>
      <c r="S6" s="427"/>
      <c r="T6" s="427"/>
      <c r="U6" s="427"/>
      <c r="V6" s="427"/>
      <c r="W6" s="427"/>
      <c r="X6" s="427"/>
      <c r="Y6" s="427"/>
      <c r="Z6" s="427"/>
      <c r="AA6" s="427"/>
      <c r="AB6" s="427"/>
      <c r="AC6" s="427"/>
      <c r="AD6" s="427"/>
      <c r="AE6" s="427"/>
      <c r="AF6" s="427"/>
      <c r="AG6" s="427"/>
      <c r="AH6" s="427"/>
      <c r="AI6" s="427"/>
      <c r="AJ6" s="427"/>
      <c r="AK6" s="427"/>
      <c r="AL6" s="427"/>
    </row>
    <row r="7" spans="1:38" x14ac:dyDescent="0.25">
      <c r="A7" s="397" t="s">
        <v>245</v>
      </c>
      <c r="B7" s="399"/>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row>
    <row r="8" spans="1:38" x14ac:dyDescent="0.25">
      <c r="A8" s="397"/>
      <c r="B8" s="398"/>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row>
    <row r="9" spans="1:38" x14ac:dyDescent="0.25">
      <c r="A9" s="397" t="s">
        <v>246</v>
      </c>
      <c r="B9" s="398"/>
      <c r="C9" s="429"/>
      <c r="D9" s="429"/>
      <c r="E9" s="429"/>
      <c r="F9" s="429"/>
      <c r="G9" s="429"/>
      <c r="H9" s="429"/>
      <c r="I9" s="429"/>
      <c r="J9" s="429"/>
      <c r="K9" s="429"/>
      <c r="L9" s="429"/>
      <c r="M9" s="429"/>
      <c r="N9" s="429"/>
      <c r="O9" s="430"/>
      <c r="P9" s="430"/>
      <c r="Q9" s="430"/>
      <c r="R9" s="430"/>
      <c r="S9" s="430"/>
      <c r="T9" s="430"/>
      <c r="U9" s="430"/>
      <c r="V9" s="430"/>
      <c r="W9" s="430"/>
      <c r="X9" s="430"/>
      <c r="Y9" s="430"/>
      <c r="Z9" s="430"/>
      <c r="AA9" s="430"/>
      <c r="AB9" s="431"/>
      <c r="AC9" s="430"/>
      <c r="AD9" s="427"/>
      <c r="AE9" s="427"/>
      <c r="AF9" s="427"/>
      <c r="AG9" s="427"/>
      <c r="AH9" s="427"/>
      <c r="AI9" s="427"/>
      <c r="AJ9" s="427"/>
      <c r="AK9" s="427"/>
      <c r="AL9" s="427"/>
    </row>
    <row r="10" spans="1:38" ht="15.75" thickBot="1" x14ac:dyDescent="0.3">
      <c r="A10" s="400" t="s">
        <v>247</v>
      </c>
      <c r="B10" s="401"/>
      <c r="C10" s="432"/>
      <c r="D10" s="432"/>
      <c r="E10" s="432"/>
      <c r="F10" s="432"/>
      <c r="G10" s="432"/>
      <c r="H10" s="432"/>
      <c r="I10" s="432"/>
      <c r="J10" s="432"/>
      <c r="K10" s="432"/>
      <c r="L10" s="432"/>
      <c r="M10" s="432"/>
      <c r="N10" s="432"/>
      <c r="O10" s="433"/>
      <c r="P10" s="433"/>
      <c r="Q10" s="433"/>
      <c r="R10" s="433"/>
      <c r="S10" s="433"/>
      <c r="T10" s="433"/>
      <c r="U10" s="433"/>
      <c r="V10" s="433"/>
      <c r="W10" s="433"/>
      <c r="X10" s="433"/>
      <c r="Y10" s="433"/>
      <c r="Z10" s="433"/>
      <c r="AA10" s="433"/>
      <c r="AB10" s="434"/>
      <c r="AC10" s="433"/>
      <c r="AD10" s="435"/>
      <c r="AE10" s="435"/>
      <c r="AF10" s="435"/>
      <c r="AG10" s="435"/>
      <c r="AH10" s="435"/>
      <c r="AI10" s="435"/>
      <c r="AJ10" s="435"/>
      <c r="AK10" s="435"/>
      <c r="AL10" s="435"/>
    </row>
    <row r="11" spans="1:38" x14ac:dyDescent="0.25">
      <c r="A11" s="271"/>
      <c r="B11" s="271"/>
      <c r="C11" s="164"/>
      <c r="D11" s="164"/>
      <c r="E11" s="164"/>
      <c r="F11" s="164"/>
      <c r="G11" s="164"/>
      <c r="H11" s="164"/>
      <c r="I11" s="164"/>
      <c r="J11" s="164"/>
      <c r="K11" s="164"/>
      <c r="L11" s="164"/>
      <c r="M11" s="164"/>
      <c r="N11" s="164"/>
      <c r="O11" s="402"/>
      <c r="P11" s="402"/>
      <c r="Q11" s="402"/>
      <c r="R11" s="402"/>
      <c r="S11" s="402"/>
      <c r="T11" s="402"/>
      <c r="U11" s="402"/>
      <c r="V11" s="402"/>
      <c r="W11" s="402"/>
      <c r="X11" s="402"/>
      <c r="Y11" s="402"/>
      <c r="Z11" s="402"/>
      <c r="AA11" s="402"/>
      <c r="AB11" s="262"/>
      <c r="AC11" s="402"/>
      <c r="AD11" s="403"/>
      <c r="AE11" s="403"/>
      <c r="AF11" s="403"/>
      <c r="AG11" s="403"/>
      <c r="AH11" s="403"/>
      <c r="AI11" s="403"/>
      <c r="AJ11" s="403"/>
      <c r="AK11" s="403"/>
      <c r="AL11" s="403"/>
    </row>
    <row r="12" spans="1:38" ht="15.75" thickBot="1" x14ac:dyDescent="0.3">
      <c r="A12" s="156" t="s">
        <v>248</v>
      </c>
      <c r="B12" s="156"/>
      <c r="C12" s="156"/>
      <c r="D12" s="156"/>
      <c r="E12" s="156"/>
      <c r="F12" s="156"/>
      <c r="G12" s="156"/>
      <c r="H12" s="156"/>
      <c r="I12" s="156"/>
      <c r="J12" s="156"/>
      <c r="K12" s="156"/>
      <c r="L12" s="156"/>
      <c r="M12" s="156"/>
      <c r="N12" s="156"/>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row>
    <row r="13" spans="1:38" s="344" customFormat="1" x14ac:dyDescent="0.25">
      <c r="A13" s="405" t="s">
        <v>249</v>
      </c>
      <c r="B13" s="406"/>
      <c r="C13" s="436"/>
      <c r="D13" s="436"/>
      <c r="E13" s="436"/>
      <c r="F13" s="436"/>
      <c r="G13" s="436"/>
      <c r="H13" s="436"/>
      <c r="I13" s="436"/>
      <c r="J13" s="436"/>
      <c r="K13" s="436"/>
      <c r="L13" s="436"/>
      <c r="M13" s="436"/>
      <c r="N13" s="436"/>
      <c r="O13" s="437"/>
      <c r="P13" s="437"/>
      <c r="Q13" s="437"/>
      <c r="R13" s="437"/>
      <c r="S13" s="437"/>
      <c r="T13" s="437"/>
      <c r="U13" s="437"/>
      <c r="V13" s="437"/>
      <c r="W13" s="437"/>
      <c r="X13" s="437"/>
      <c r="Y13" s="437"/>
      <c r="Z13" s="437"/>
      <c r="AA13" s="437"/>
      <c r="AB13" s="437"/>
      <c r="AC13" s="437"/>
      <c r="AD13" s="437"/>
      <c r="AE13" s="437"/>
      <c r="AF13" s="437"/>
      <c r="AG13" s="437"/>
      <c r="AH13" s="437"/>
      <c r="AI13" s="437"/>
      <c r="AJ13" s="437"/>
      <c r="AK13" s="437"/>
      <c r="AL13" s="437"/>
    </row>
    <row r="14" spans="1:38" s="344" customFormat="1" x14ac:dyDescent="0.25">
      <c r="A14" s="408" t="s">
        <v>250</v>
      </c>
      <c r="B14" s="409"/>
      <c r="C14" s="438"/>
      <c r="D14" s="438"/>
      <c r="E14" s="438"/>
      <c r="F14" s="438"/>
      <c r="G14" s="438"/>
      <c r="H14" s="438"/>
      <c r="I14" s="438"/>
      <c r="J14" s="438"/>
      <c r="K14" s="438"/>
      <c r="L14" s="438"/>
      <c r="M14" s="438"/>
      <c r="N14" s="438"/>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row>
    <row r="15" spans="1:38" s="344" customFormat="1" ht="15.75" thickBot="1" x14ac:dyDescent="0.3">
      <c r="A15" s="411" t="s">
        <v>251</v>
      </c>
      <c r="B15" s="412"/>
      <c r="C15" s="440"/>
      <c r="D15" s="440"/>
      <c r="E15" s="440"/>
      <c r="F15" s="440"/>
      <c r="G15" s="440"/>
      <c r="H15" s="440"/>
      <c r="I15" s="440"/>
      <c r="J15" s="440"/>
      <c r="K15" s="440"/>
      <c r="L15" s="440"/>
      <c r="M15" s="440"/>
      <c r="N15" s="440"/>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row>
    <row r="16" spans="1:38" s="344" customFormat="1" ht="15.75" thickBot="1" x14ac:dyDescent="0.3">
      <c r="AF16" s="414"/>
      <c r="AI16" s="415"/>
      <c r="AL16" s="414"/>
    </row>
    <row r="17" spans="1:38" s="344" customFormat="1" x14ac:dyDescent="0.25">
      <c r="A17" s="405" t="s">
        <v>252</v>
      </c>
      <c r="B17" s="406"/>
      <c r="C17" s="436"/>
      <c r="D17" s="436"/>
      <c r="E17" s="436"/>
      <c r="F17" s="436"/>
      <c r="G17" s="436"/>
      <c r="H17" s="436"/>
      <c r="I17" s="436"/>
      <c r="J17" s="436"/>
      <c r="K17" s="436"/>
      <c r="L17" s="436"/>
      <c r="M17" s="436"/>
      <c r="N17" s="436"/>
      <c r="O17" s="437"/>
      <c r="P17" s="437"/>
      <c r="Q17" s="442"/>
      <c r="R17" s="437"/>
      <c r="S17" s="442"/>
      <c r="T17" s="442"/>
      <c r="U17" s="442"/>
      <c r="V17" s="443"/>
      <c r="W17" s="443"/>
      <c r="X17" s="444"/>
      <c r="Y17" s="443"/>
      <c r="Z17" s="443"/>
      <c r="AA17" s="443"/>
      <c r="AB17" s="444"/>
      <c r="AC17" s="442"/>
      <c r="AD17" s="444"/>
      <c r="AE17" s="444"/>
      <c r="AF17" s="444"/>
      <c r="AG17" s="444"/>
      <c r="AH17" s="444"/>
      <c r="AI17" s="444"/>
      <c r="AJ17" s="444"/>
      <c r="AK17" s="444"/>
      <c r="AL17" s="444"/>
    </row>
    <row r="18" spans="1:38" s="344" customFormat="1" x14ac:dyDescent="0.25">
      <c r="A18" s="408" t="s">
        <v>253</v>
      </c>
      <c r="B18" s="409"/>
      <c r="C18" s="438"/>
      <c r="D18" s="438"/>
      <c r="E18" s="438"/>
      <c r="F18" s="438"/>
      <c r="G18" s="438"/>
      <c r="H18" s="438"/>
      <c r="I18" s="438"/>
      <c r="J18" s="438"/>
      <c r="K18" s="438"/>
      <c r="L18" s="438"/>
      <c r="M18" s="438"/>
      <c r="N18" s="438"/>
      <c r="O18" s="439"/>
      <c r="P18" s="439"/>
      <c r="Q18" s="439"/>
      <c r="R18" s="439"/>
      <c r="S18" s="439"/>
      <c r="T18" s="439"/>
      <c r="U18" s="439"/>
      <c r="V18" s="445"/>
      <c r="W18" s="445"/>
      <c r="X18" s="446"/>
      <c r="Y18" s="445"/>
      <c r="Z18" s="445"/>
      <c r="AA18" s="445"/>
      <c r="AB18" s="446"/>
      <c r="AC18" s="439"/>
      <c r="AD18" s="446"/>
      <c r="AE18" s="446"/>
      <c r="AF18" s="446"/>
      <c r="AG18" s="446"/>
      <c r="AH18" s="446"/>
      <c r="AI18" s="446"/>
      <c r="AJ18" s="446"/>
      <c r="AK18" s="446"/>
      <c r="AL18" s="446"/>
    </row>
    <row r="19" spans="1:38" s="344" customFormat="1" x14ac:dyDescent="0.25">
      <c r="A19" s="408" t="s">
        <v>254</v>
      </c>
      <c r="B19" s="409"/>
      <c r="C19" s="438"/>
      <c r="D19" s="438"/>
      <c r="E19" s="438"/>
      <c r="F19" s="438"/>
      <c r="G19" s="438"/>
      <c r="H19" s="438"/>
      <c r="I19" s="438"/>
      <c r="J19" s="438"/>
      <c r="K19" s="438"/>
      <c r="L19" s="438"/>
      <c r="M19" s="438"/>
      <c r="N19" s="438"/>
      <c r="O19" s="439"/>
      <c r="P19" s="439"/>
      <c r="Q19" s="439"/>
      <c r="R19" s="439"/>
      <c r="S19" s="439"/>
      <c r="T19" s="439"/>
      <c r="U19" s="439"/>
      <c r="V19" s="445"/>
      <c r="W19" s="445"/>
      <c r="X19" s="446"/>
      <c r="Y19" s="445"/>
      <c r="Z19" s="445"/>
      <c r="AA19" s="445"/>
      <c r="AB19" s="446"/>
      <c r="AC19" s="439"/>
      <c r="AD19" s="446"/>
      <c r="AE19" s="446"/>
      <c r="AF19" s="446"/>
      <c r="AG19" s="446"/>
      <c r="AH19" s="446"/>
      <c r="AI19" s="446"/>
      <c r="AJ19" s="446"/>
      <c r="AK19" s="446"/>
      <c r="AL19" s="446"/>
    </row>
    <row r="20" spans="1:38" s="344" customFormat="1" ht="15.75" thickBot="1" x14ac:dyDescent="0.3">
      <c r="A20" s="408" t="s">
        <v>255</v>
      </c>
      <c r="B20" s="417"/>
      <c r="C20" s="447"/>
      <c r="D20" s="447"/>
      <c r="E20" s="447"/>
      <c r="F20" s="447"/>
      <c r="G20" s="447"/>
      <c r="H20" s="447"/>
      <c r="I20" s="447"/>
      <c r="J20" s="447"/>
      <c r="K20" s="447"/>
      <c r="L20" s="447"/>
      <c r="M20" s="447"/>
      <c r="N20" s="447"/>
      <c r="O20" s="447"/>
      <c r="P20" s="447"/>
      <c r="Q20" s="447"/>
      <c r="R20" s="447"/>
      <c r="S20" s="447"/>
      <c r="T20" s="447"/>
      <c r="U20" s="447"/>
      <c r="V20" s="447"/>
      <c r="W20" s="448"/>
      <c r="X20" s="447"/>
      <c r="Y20" s="447"/>
      <c r="Z20" s="448"/>
      <c r="AA20" s="447"/>
      <c r="AB20" s="447"/>
      <c r="AC20" s="447"/>
      <c r="AD20" s="447"/>
      <c r="AE20" s="447"/>
      <c r="AF20" s="447"/>
      <c r="AG20" s="447"/>
      <c r="AH20" s="447"/>
      <c r="AI20" s="447"/>
      <c r="AJ20" s="447"/>
      <c r="AK20" s="447"/>
      <c r="AL20" s="447"/>
    </row>
    <row r="21" spans="1:38" s="344" customFormat="1" ht="15.75" thickBot="1" x14ac:dyDescent="0.3">
      <c r="AA21" s="158"/>
      <c r="AD21" s="158"/>
      <c r="AG21" s="158"/>
      <c r="AJ21" s="158"/>
    </row>
    <row r="22" spans="1:38" s="344" customFormat="1" x14ac:dyDescent="0.25">
      <c r="A22" s="405" t="s">
        <v>256</v>
      </c>
      <c r="B22" s="407"/>
      <c r="C22" s="407"/>
      <c r="D22" s="407"/>
      <c r="E22" s="407"/>
      <c r="F22" s="407"/>
      <c r="G22" s="407"/>
      <c r="H22" s="407"/>
      <c r="I22" s="407"/>
      <c r="J22" s="407"/>
      <c r="K22" s="407"/>
      <c r="L22" s="407"/>
      <c r="M22" s="407"/>
      <c r="N22" s="407">
        <v>2130.83</v>
      </c>
      <c r="O22" s="419">
        <v>1749.2099999999996</v>
      </c>
      <c r="P22" s="419">
        <v>1532.7499999999998</v>
      </c>
      <c r="Q22" s="419">
        <v>1765.0600000000002</v>
      </c>
      <c r="R22" s="419">
        <v>1532.8499999999997</v>
      </c>
      <c r="S22" s="419">
        <v>6538.21</v>
      </c>
      <c r="T22" s="419">
        <v>7515.1199999999972</v>
      </c>
      <c r="U22" s="419">
        <v>7152.7499999999982</v>
      </c>
      <c r="V22" s="419">
        <v>7820.59</v>
      </c>
      <c r="W22" s="419">
        <v>7125.6699999999992</v>
      </c>
      <c r="X22" s="419">
        <v>9164.48</v>
      </c>
      <c r="Y22" s="419">
        <v>8112.4899999999989</v>
      </c>
      <c r="Z22" s="419">
        <v>8044.3600000000015</v>
      </c>
      <c r="AA22" s="419">
        <v>5566.77</v>
      </c>
      <c r="AB22" s="407">
        <v>4589.07</v>
      </c>
      <c r="AC22" s="407">
        <v>4610.32</v>
      </c>
      <c r="AD22" s="420">
        <v>8000</v>
      </c>
      <c r="AE22" s="420">
        <v>8000</v>
      </c>
      <c r="AF22" s="420">
        <v>8000</v>
      </c>
      <c r="AG22" s="420">
        <v>8000</v>
      </c>
      <c r="AH22" s="420">
        <v>8000</v>
      </c>
      <c r="AI22" s="420">
        <v>8000</v>
      </c>
      <c r="AJ22" s="420">
        <v>8000</v>
      </c>
      <c r="AK22" s="420">
        <v>8000</v>
      </c>
      <c r="AL22" s="420">
        <v>8000</v>
      </c>
    </row>
    <row r="23" spans="1:38" s="344" customFormat="1" x14ac:dyDescent="0.25">
      <c r="A23" s="408" t="s">
        <v>257</v>
      </c>
      <c r="B23" s="410"/>
      <c r="C23" s="410"/>
      <c r="D23" s="410"/>
      <c r="E23" s="410"/>
      <c r="F23" s="410"/>
      <c r="G23" s="410"/>
      <c r="H23" s="410"/>
      <c r="I23" s="410"/>
      <c r="J23" s="410"/>
      <c r="K23" s="410"/>
      <c r="L23" s="410"/>
      <c r="M23" s="410"/>
      <c r="N23" s="410"/>
      <c r="O23" s="416"/>
      <c r="P23" s="416"/>
      <c r="Q23" s="416"/>
      <c r="R23" s="416"/>
      <c r="S23" s="416"/>
      <c r="T23" s="416"/>
      <c r="U23" s="416"/>
      <c r="V23" s="416"/>
      <c r="W23" s="416"/>
      <c r="X23" s="416"/>
      <c r="Y23" s="416"/>
      <c r="Z23" s="416"/>
      <c r="AA23" s="416"/>
      <c r="AB23" s="421"/>
      <c r="AC23" s="421">
        <v>7500</v>
      </c>
      <c r="AD23" s="421"/>
      <c r="AE23" s="410"/>
      <c r="AF23" s="410"/>
      <c r="AG23" s="421"/>
      <c r="AH23" s="410"/>
      <c r="AI23" s="410"/>
      <c r="AJ23" s="421"/>
      <c r="AK23" s="410"/>
      <c r="AL23" s="410"/>
    </row>
    <row r="24" spans="1:38" s="344" customFormat="1" x14ac:dyDescent="0.25">
      <c r="A24" s="408" t="s">
        <v>258</v>
      </c>
      <c r="B24" s="410"/>
      <c r="C24" s="410"/>
      <c r="D24" s="410"/>
      <c r="E24" s="410"/>
      <c r="F24" s="410"/>
      <c r="G24" s="410"/>
      <c r="H24" s="410"/>
      <c r="I24" s="410"/>
      <c r="J24" s="410"/>
      <c r="K24" s="410"/>
      <c r="L24" s="410"/>
      <c r="M24" s="410"/>
      <c r="N24" s="422">
        <f>223053.2</f>
        <v>223053.2</v>
      </c>
      <c r="O24" s="422">
        <v>0</v>
      </c>
      <c r="P24" s="422">
        <v>180855.3</v>
      </c>
      <c r="Q24" s="422">
        <v>93884.5</v>
      </c>
      <c r="R24" s="422">
        <v>69416</v>
      </c>
      <c r="S24" s="422">
        <v>0</v>
      </c>
      <c r="T24" s="422">
        <v>42490.25</v>
      </c>
      <c r="U24" s="422">
        <v>41407</v>
      </c>
      <c r="V24" s="422">
        <v>67022</v>
      </c>
      <c r="W24" s="422">
        <v>67384.73</v>
      </c>
      <c r="X24" s="422">
        <v>152236.65</v>
      </c>
      <c r="Y24" s="422">
        <v>237627.80000000002</v>
      </c>
      <c r="Z24" s="422">
        <v>15098.25</v>
      </c>
      <c r="AA24" s="422">
        <v>146365.29999999999</v>
      </c>
      <c r="AB24" s="422">
        <v>108894.75</v>
      </c>
      <c r="AC24" s="422">
        <v>228059.75</v>
      </c>
      <c r="AD24" s="414">
        <f>200000/2</f>
        <v>100000</v>
      </c>
      <c r="AE24" s="414">
        <f>150000/2</f>
        <v>75000</v>
      </c>
      <c r="AF24" s="414">
        <f>75000/2</f>
        <v>37500</v>
      </c>
      <c r="AG24" s="414">
        <f>75000/2</f>
        <v>37500</v>
      </c>
      <c r="AH24" s="410"/>
      <c r="AI24" s="410"/>
      <c r="AJ24" s="421"/>
      <c r="AK24" s="410"/>
      <c r="AL24" s="410"/>
    </row>
    <row r="25" spans="1:38" s="344" customFormat="1" ht="15.75" thickBot="1" x14ac:dyDescent="0.3">
      <c r="A25" s="411" t="s">
        <v>259</v>
      </c>
      <c r="B25" s="413"/>
      <c r="C25" s="413"/>
      <c r="D25" s="413"/>
      <c r="E25" s="413"/>
      <c r="F25" s="413"/>
      <c r="G25" s="413"/>
      <c r="H25" s="413"/>
      <c r="I25" s="413"/>
      <c r="J25" s="413"/>
      <c r="K25" s="413"/>
      <c r="L25" s="413"/>
      <c r="M25" s="413">
        <v>1100</v>
      </c>
      <c r="N25" s="413">
        <v>25788</v>
      </c>
      <c r="O25" s="423">
        <v>0</v>
      </c>
      <c r="P25" s="423">
        <v>18424.22</v>
      </c>
      <c r="Q25" s="423">
        <v>2958.5</v>
      </c>
      <c r="R25" s="423">
        <v>1982</v>
      </c>
      <c r="S25" s="423">
        <v>18685.009999999998</v>
      </c>
      <c r="T25" s="423">
        <v>3687.39</v>
      </c>
      <c r="U25" s="423">
        <v>21015.73</v>
      </c>
      <c r="V25" s="423">
        <v>22026.19</v>
      </c>
      <c r="W25" s="423">
        <v>97.08</v>
      </c>
      <c r="X25" s="423">
        <v>72763.199999999997</v>
      </c>
      <c r="Y25" s="423">
        <v>2630.23</v>
      </c>
      <c r="Z25" s="423">
        <v>28127.17</v>
      </c>
      <c r="AA25" s="418">
        <v>6712.07</v>
      </c>
      <c r="AB25" s="413">
        <v>16575</v>
      </c>
      <c r="AC25" s="413">
        <v>15593.14</v>
      </c>
      <c r="AD25" s="424"/>
      <c r="AE25" s="413"/>
      <c r="AF25" s="413"/>
      <c r="AG25" s="424"/>
      <c r="AH25" s="413"/>
      <c r="AI25" s="413"/>
      <c r="AJ25" s="424"/>
      <c r="AK25" s="413"/>
      <c r="AL25" s="413"/>
    </row>
    <row r="26" spans="1:38" s="344" customFormat="1" ht="15.75" thickBot="1" x14ac:dyDescent="0.3">
      <c r="A26" s="411" t="s">
        <v>260</v>
      </c>
      <c r="B26" s="413">
        <f>SUM(B22:B25)</f>
        <v>0</v>
      </c>
      <c r="C26" s="413">
        <f t="shared" ref="C26:AL26" si="2">SUM(C22:C25)</f>
        <v>0</v>
      </c>
      <c r="D26" s="413">
        <f t="shared" si="2"/>
        <v>0</v>
      </c>
      <c r="E26" s="413">
        <f t="shared" si="2"/>
        <v>0</v>
      </c>
      <c r="F26" s="413">
        <f t="shared" si="2"/>
        <v>0</v>
      </c>
      <c r="G26" s="413">
        <f t="shared" si="2"/>
        <v>0</v>
      </c>
      <c r="H26" s="413">
        <f t="shared" si="2"/>
        <v>0</v>
      </c>
      <c r="I26" s="413">
        <f t="shared" si="2"/>
        <v>0</v>
      </c>
      <c r="J26" s="413">
        <f t="shared" si="2"/>
        <v>0</v>
      </c>
      <c r="K26" s="413">
        <f t="shared" si="2"/>
        <v>0</v>
      </c>
      <c r="L26" s="413">
        <f t="shared" si="2"/>
        <v>0</v>
      </c>
      <c r="M26" s="413">
        <f t="shared" si="2"/>
        <v>1100</v>
      </c>
      <c r="N26" s="413">
        <f t="shared" si="2"/>
        <v>250972.03</v>
      </c>
      <c r="O26" s="413">
        <f t="shared" si="2"/>
        <v>1749.2099999999996</v>
      </c>
      <c r="P26" s="413">
        <f t="shared" si="2"/>
        <v>200812.27</v>
      </c>
      <c r="Q26" s="413">
        <f t="shared" si="2"/>
        <v>98608.06</v>
      </c>
      <c r="R26" s="413">
        <f t="shared" si="2"/>
        <v>72930.850000000006</v>
      </c>
      <c r="S26" s="413">
        <f t="shared" si="2"/>
        <v>25223.219999999998</v>
      </c>
      <c r="T26" s="413">
        <f t="shared" si="2"/>
        <v>53692.759999999995</v>
      </c>
      <c r="U26" s="413">
        <f t="shared" si="2"/>
        <v>69575.48</v>
      </c>
      <c r="V26" s="413">
        <f t="shared" si="2"/>
        <v>96868.78</v>
      </c>
      <c r="W26" s="413">
        <f t="shared" si="2"/>
        <v>74607.48</v>
      </c>
      <c r="X26" s="413">
        <f t="shared" si="2"/>
        <v>234164.33000000002</v>
      </c>
      <c r="Y26" s="413">
        <f t="shared" si="2"/>
        <v>248370.52000000002</v>
      </c>
      <c r="Z26" s="413">
        <f t="shared" si="2"/>
        <v>51269.78</v>
      </c>
      <c r="AA26" s="413">
        <f t="shared" si="2"/>
        <v>158644.13999999998</v>
      </c>
      <c r="AB26" s="413">
        <f t="shared" si="2"/>
        <v>130058.82</v>
      </c>
      <c r="AC26" s="413">
        <f t="shared" si="2"/>
        <v>255763.21000000002</v>
      </c>
      <c r="AD26" s="413">
        <f t="shared" si="2"/>
        <v>108000</v>
      </c>
      <c r="AE26" s="413">
        <f t="shared" si="2"/>
        <v>83000</v>
      </c>
      <c r="AF26" s="413">
        <f t="shared" si="2"/>
        <v>45500</v>
      </c>
      <c r="AG26" s="413">
        <f t="shared" si="2"/>
        <v>45500</v>
      </c>
      <c r="AH26" s="413">
        <f t="shared" si="2"/>
        <v>8000</v>
      </c>
      <c r="AI26" s="413">
        <f t="shared" si="2"/>
        <v>8000</v>
      </c>
      <c r="AJ26" s="413">
        <f t="shared" si="2"/>
        <v>8000</v>
      </c>
      <c r="AK26" s="413">
        <f t="shared" si="2"/>
        <v>8000</v>
      </c>
      <c r="AL26" s="413">
        <f t="shared" si="2"/>
        <v>8000</v>
      </c>
    </row>
    <row r="27" spans="1:38" x14ac:dyDescent="0.25">
      <c r="U27" s="344"/>
      <c r="V27" s="344"/>
      <c r="W27" s="344"/>
      <c r="X27" s="344"/>
      <c r="Y27" s="344"/>
      <c r="Z27" s="344"/>
      <c r="AA27" s="344"/>
      <c r="AB27" s="344"/>
      <c r="AC27" s="344"/>
      <c r="AD27" s="344"/>
      <c r="AE27" s="344"/>
      <c r="AF27" s="344"/>
      <c r="AG27" s="344"/>
    </row>
    <row r="28" spans="1:38" s="156" customFormat="1" x14ac:dyDescent="0.25">
      <c r="C28" s="425">
        <v>44562</v>
      </c>
      <c r="D28" s="425">
        <v>44593</v>
      </c>
      <c r="E28" s="425">
        <v>44621</v>
      </c>
      <c r="F28" s="425">
        <v>44652</v>
      </c>
      <c r="G28" s="425">
        <v>44682</v>
      </c>
      <c r="H28" s="425">
        <v>44713</v>
      </c>
      <c r="I28" s="425">
        <v>44743</v>
      </c>
      <c r="J28" s="425">
        <v>44774</v>
      </c>
      <c r="K28" s="425">
        <v>44805</v>
      </c>
      <c r="L28" s="425">
        <v>44835</v>
      </c>
      <c r="M28" s="425">
        <v>44866</v>
      </c>
      <c r="N28" s="425">
        <v>44896</v>
      </c>
      <c r="O28" s="425">
        <v>44927</v>
      </c>
      <c r="P28" s="425">
        <v>44958</v>
      </c>
      <c r="Q28" s="425">
        <v>44986</v>
      </c>
      <c r="R28" s="425">
        <v>45017</v>
      </c>
      <c r="S28" s="425">
        <v>45047</v>
      </c>
      <c r="T28" s="425">
        <v>45078</v>
      </c>
      <c r="U28" s="425">
        <v>45108</v>
      </c>
      <c r="V28" s="425">
        <v>45139</v>
      </c>
      <c r="W28" s="425">
        <v>45170</v>
      </c>
      <c r="X28" s="425">
        <v>45200</v>
      </c>
      <c r="Y28" s="425">
        <v>45231</v>
      </c>
      <c r="Z28" s="425">
        <v>45261</v>
      </c>
      <c r="AA28" s="425">
        <v>45292</v>
      </c>
      <c r="AB28" s="425">
        <v>45323</v>
      </c>
      <c r="AC28" s="425">
        <v>45352</v>
      </c>
      <c r="AD28" s="425">
        <v>45383</v>
      </c>
      <c r="AE28" s="425">
        <v>45413</v>
      </c>
      <c r="AF28" s="425">
        <v>45444</v>
      </c>
      <c r="AG28" s="425">
        <v>45474</v>
      </c>
      <c r="AH28" s="425">
        <v>45505</v>
      </c>
      <c r="AI28" s="425">
        <v>45536</v>
      </c>
      <c r="AJ28" s="425">
        <v>45566</v>
      </c>
      <c r="AK28" s="425">
        <v>45597</v>
      </c>
      <c r="AL28" s="425">
        <v>45627</v>
      </c>
    </row>
    <row r="29" spans="1:38" x14ac:dyDescent="0.25">
      <c r="A29" s="155" t="s">
        <v>261</v>
      </c>
      <c r="C29" s="390"/>
      <c r="D29" s="390"/>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row>
    <row r="30" spans="1:38" x14ac:dyDescent="0.25">
      <c r="A30" s="155" t="s">
        <v>262</v>
      </c>
      <c r="C30" s="390"/>
      <c r="D30" s="390"/>
      <c r="E30" s="390"/>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row>
    <row r="31" spans="1:38" x14ac:dyDescent="0.25">
      <c r="A31" s="155" t="s">
        <v>263</v>
      </c>
      <c r="C31" s="390"/>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row>
    <row r="32" spans="1:38" x14ac:dyDescent="0.25">
      <c r="A32" s="155" t="s">
        <v>264</v>
      </c>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449"/>
      <c r="AB32" s="390"/>
      <c r="AC32" s="390"/>
      <c r="AD32" s="390"/>
      <c r="AE32" s="390"/>
      <c r="AF32" s="390"/>
      <c r="AG32" s="390"/>
      <c r="AH32" s="390"/>
      <c r="AI32" s="390"/>
      <c r="AJ32" s="390"/>
      <c r="AK32" s="390"/>
      <c r="AL32" s="390"/>
    </row>
    <row r="33" spans="1:38" x14ac:dyDescent="0.25">
      <c r="A33" s="155" t="s">
        <v>265</v>
      </c>
      <c r="C33" s="390"/>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row>
    <row r="34" spans="1:38" x14ac:dyDescent="0.25">
      <c r="A34" s="155" t="s">
        <v>266</v>
      </c>
      <c r="C34" s="390"/>
      <c r="D34" s="390"/>
      <c r="E34" s="390"/>
      <c r="F34" s="390"/>
      <c r="G34" s="390"/>
      <c r="H34" s="390"/>
      <c r="I34" s="390"/>
      <c r="J34" s="390"/>
      <c r="K34" s="390"/>
      <c r="L34" s="390"/>
      <c r="M34" s="390"/>
      <c r="N34" s="390"/>
      <c r="O34" s="390"/>
      <c r="P34" s="390"/>
      <c r="Q34" s="390"/>
      <c r="R34" s="390"/>
      <c r="S34" s="390"/>
      <c r="T34" s="390"/>
      <c r="U34" s="390"/>
      <c r="V34" s="390"/>
      <c r="W34" s="450"/>
      <c r="X34" s="390"/>
      <c r="Y34" s="390"/>
      <c r="Z34" s="390"/>
      <c r="AA34" s="390"/>
      <c r="AB34" s="390"/>
      <c r="AC34" s="390"/>
      <c r="AD34" s="390"/>
      <c r="AE34" s="390"/>
      <c r="AF34" s="390"/>
      <c r="AG34" s="390"/>
      <c r="AH34" s="390"/>
      <c r="AI34" s="390"/>
      <c r="AJ34" s="390"/>
      <c r="AK34" s="390"/>
      <c r="AL34" s="390"/>
    </row>
    <row r="35" spans="1:38" x14ac:dyDescent="0.25">
      <c r="A35" s="155" t="s">
        <v>267</v>
      </c>
      <c r="C35" s="390"/>
      <c r="D35" s="390"/>
      <c r="E35" s="390"/>
      <c r="F35" s="390"/>
      <c r="G35" s="390"/>
      <c r="H35" s="390"/>
      <c r="I35" s="390"/>
      <c r="J35" s="390"/>
      <c r="K35" s="390"/>
      <c r="L35" s="390"/>
      <c r="M35" s="390"/>
      <c r="N35" s="390"/>
      <c r="O35" s="390"/>
      <c r="P35" s="390"/>
      <c r="Q35" s="390"/>
      <c r="R35" s="390"/>
      <c r="S35" s="390"/>
      <c r="T35" s="390"/>
      <c r="U35" s="390"/>
      <c r="V35" s="390"/>
      <c r="W35" s="390"/>
      <c r="X35" s="449"/>
      <c r="Y35" s="390"/>
      <c r="Z35" s="390"/>
      <c r="AA35" s="390"/>
      <c r="AB35" s="390"/>
      <c r="AC35" s="390"/>
      <c r="AD35" s="390"/>
      <c r="AE35" s="390"/>
      <c r="AF35" s="390"/>
      <c r="AG35" s="390"/>
      <c r="AH35" s="390"/>
      <c r="AI35" s="390"/>
      <c r="AJ35" s="390"/>
      <c r="AK35" s="390"/>
      <c r="AL35" s="390"/>
    </row>
    <row r="36" spans="1:38" x14ac:dyDescent="0.25">
      <c r="A36" s="155" t="s">
        <v>268</v>
      </c>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row>
    <row r="37" spans="1:38" x14ac:dyDescent="0.25">
      <c r="A37" s="155" t="s">
        <v>269</v>
      </c>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row>
    <row r="38" spans="1:38" x14ac:dyDescent="0.25">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row>
    <row r="39" spans="1:38" x14ac:dyDescent="0.25">
      <c r="A39" s="155" t="s">
        <v>270</v>
      </c>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row>
    <row r="40" spans="1:38" x14ac:dyDescent="0.25">
      <c r="A40" s="394"/>
      <c r="AL40" s="157"/>
    </row>
    <row r="41" spans="1:38" x14ac:dyDescent="0.25">
      <c r="A41" s="394"/>
      <c r="M41" s="155" t="s">
        <v>271</v>
      </c>
      <c r="N41" s="451"/>
      <c r="Y41" s="155" t="s">
        <v>272</v>
      </c>
      <c r="Z41" s="451"/>
      <c r="AK41" s="155" t="s">
        <v>273</v>
      </c>
      <c r="AL41" s="389"/>
    </row>
    <row r="42" spans="1:38" x14ac:dyDescent="0.25">
      <c r="A42" s="394"/>
    </row>
    <row r="43" spans="1:38" x14ac:dyDescent="0.25">
      <c r="A43" s="394"/>
      <c r="V43" s="155" t="s">
        <v>399</v>
      </c>
      <c r="W43" s="158">
        <v>0</v>
      </c>
      <c r="X43" s="158">
        <v>2400</v>
      </c>
      <c r="Y43" s="158">
        <v>1200</v>
      </c>
      <c r="Z43" s="158">
        <v>1400</v>
      </c>
      <c r="AA43" s="158">
        <v>1200</v>
      </c>
      <c r="AB43" s="158">
        <v>1200</v>
      </c>
      <c r="AC43" s="158">
        <v>1400</v>
      </c>
    </row>
    <row r="44" spans="1:38" x14ac:dyDescent="0.25">
      <c r="A44" s="394"/>
    </row>
    <row r="45" spans="1:38" x14ac:dyDescent="0.25">
      <c r="A45" s="394"/>
    </row>
    <row r="46" spans="1:38" x14ac:dyDescent="0.25">
      <c r="A46" s="394"/>
    </row>
    <row r="47" spans="1:38" x14ac:dyDescent="0.25">
      <c r="A47" s="394"/>
    </row>
    <row r="48" spans="1:38" x14ac:dyDescent="0.25">
      <c r="A48" s="394"/>
    </row>
    <row r="49" spans="1:1" x14ac:dyDescent="0.25">
      <c r="A49" s="394"/>
    </row>
    <row r="50" spans="1:1" x14ac:dyDescent="0.25">
      <c r="A50" s="394"/>
    </row>
    <row r="51" spans="1:1" x14ac:dyDescent="0.25">
      <c r="A51" s="394"/>
    </row>
    <row r="52" spans="1:1" x14ac:dyDescent="0.25">
      <c r="A52" s="394"/>
    </row>
    <row r="53" spans="1:1" x14ac:dyDescent="0.25">
      <c r="A53" s="394"/>
    </row>
    <row r="54" spans="1:1" x14ac:dyDescent="0.25">
      <c r="A54" s="394"/>
    </row>
    <row r="55" spans="1:1" x14ac:dyDescent="0.25">
      <c r="A55" s="394"/>
    </row>
    <row r="56" spans="1:1" x14ac:dyDescent="0.25">
      <c r="A56" s="394"/>
    </row>
    <row r="57" spans="1:1" x14ac:dyDescent="0.25">
      <c r="A57" s="394"/>
    </row>
    <row r="58" spans="1:1" x14ac:dyDescent="0.25">
      <c r="A58" s="394"/>
    </row>
    <row r="59" spans="1:1" x14ac:dyDescent="0.25">
      <c r="A59" s="394"/>
    </row>
    <row r="60" spans="1:1" x14ac:dyDescent="0.25">
      <c r="A60" s="394"/>
    </row>
    <row r="61" spans="1:1" x14ac:dyDescent="0.25">
      <c r="A61" s="394"/>
    </row>
    <row r="62" spans="1:1" x14ac:dyDescent="0.25">
      <c r="A62" s="394"/>
    </row>
    <row r="63" spans="1:1" x14ac:dyDescent="0.25">
      <c r="A63" s="394"/>
    </row>
    <row r="64" spans="1:1" x14ac:dyDescent="0.25">
      <c r="A64" s="394"/>
    </row>
    <row r="65" spans="1:1" x14ac:dyDescent="0.25">
      <c r="A65" s="394"/>
    </row>
    <row r="66" spans="1:1" x14ac:dyDescent="0.25">
      <c r="A66" s="394"/>
    </row>
    <row r="67" spans="1:1" x14ac:dyDescent="0.25">
      <c r="A67" s="394"/>
    </row>
    <row r="68" spans="1:1" x14ac:dyDescent="0.25">
      <c r="A68" s="394"/>
    </row>
    <row r="69" spans="1:1" x14ac:dyDescent="0.25">
      <c r="A69" s="394"/>
    </row>
    <row r="70" spans="1:1" x14ac:dyDescent="0.25">
      <c r="A70" s="394"/>
    </row>
    <row r="71" spans="1:1" x14ac:dyDescent="0.25">
      <c r="A71" s="394"/>
    </row>
    <row r="72" spans="1:1" x14ac:dyDescent="0.25">
      <c r="A72" s="394"/>
    </row>
    <row r="73" spans="1:1" x14ac:dyDescent="0.25">
      <c r="A73" s="394"/>
    </row>
    <row r="74" spans="1:1" x14ac:dyDescent="0.25">
      <c r="A74" s="394"/>
    </row>
    <row r="75" spans="1:1" x14ac:dyDescent="0.25">
      <c r="A75" s="394"/>
    </row>
    <row r="76" spans="1:1" x14ac:dyDescent="0.25">
      <c r="A76" s="394"/>
    </row>
    <row r="77" spans="1:1" x14ac:dyDescent="0.25">
      <c r="A77" s="394"/>
    </row>
    <row r="78" spans="1:1" x14ac:dyDescent="0.25">
      <c r="A78" s="394"/>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00677-1720-4EEA-B972-96E696B14E32}">
  <sheetPr codeName="Sheet6"/>
  <dimension ref="B3:BN63"/>
  <sheetViews>
    <sheetView workbookViewId="0"/>
  </sheetViews>
  <sheetFormatPr defaultRowHeight="15" x14ac:dyDescent="0.25"/>
  <cols>
    <col min="1" max="1" width="9.140625" style="153"/>
    <col min="2" max="2" width="10.140625" style="153" customWidth="1"/>
    <col min="3" max="3" width="10.42578125" style="153" customWidth="1"/>
    <col min="4" max="4" width="14.28515625" style="153" bestFit="1" customWidth="1"/>
    <col min="5" max="7" width="11.42578125" style="153" customWidth="1"/>
    <col min="8" max="8" width="9.140625" style="153"/>
    <col min="9" max="9" width="10.140625" style="153" customWidth="1"/>
    <col min="10" max="10" width="10.42578125" style="153" customWidth="1"/>
    <col min="11" max="11" width="12.5703125" style="153" bestFit="1" customWidth="1"/>
    <col min="12" max="14" width="11.42578125" style="153" customWidth="1"/>
    <col min="15" max="15" width="9.140625" style="153"/>
    <col min="16" max="16" width="10.140625" style="153" customWidth="1"/>
    <col min="17" max="17" width="10.42578125" style="153" customWidth="1"/>
    <col min="18" max="18" width="12.5703125" style="153" bestFit="1" customWidth="1"/>
    <col min="19" max="19" width="11.42578125" style="153" customWidth="1"/>
    <col min="20" max="22" width="9.140625" style="153"/>
    <col min="23" max="23" width="10.140625" style="153" customWidth="1"/>
    <col min="24" max="24" width="11.5703125" style="153" bestFit="1" customWidth="1"/>
    <col min="25" max="25" width="12.5703125" style="153" bestFit="1" customWidth="1"/>
    <col min="26" max="26" width="14.28515625" style="153" bestFit="1" customWidth="1"/>
    <col min="27" max="27" width="9.5703125" style="153" bestFit="1" customWidth="1"/>
    <col min="28" max="28" width="12" style="153" bestFit="1" customWidth="1"/>
    <col min="29" max="29" width="12.5703125" style="153" bestFit="1" customWidth="1"/>
    <col min="30" max="16384" width="9.140625" style="153"/>
  </cols>
  <sheetData>
    <row r="3" spans="2:66" ht="15.75" thickBot="1" x14ac:dyDescent="0.3">
      <c r="B3" s="288">
        <v>503</v>
      </c>
      <c r="I3" s="288">
        <v>504</v>
      </c>
      <c r="P3" s="288">
        <v>511</v>
      </c>
      <c r="W3" s="288"/>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row>
    <row r="4" spans="2:66" x14ac:dyDescent="0.25">
      <c r="B4" s="288" t="s">
        <v>275</v>
      </c>
      <c r="C4" s="288" t="s">
        <v>242</v>
      </c>
      <c r="D4" s="288" t="s">
        <v>276</v>
      </c>
      <c r="E4" s="288" t="s">
        <v>277</v>
      </c>
      <c r="F4" s="288" t="s">
        <v>278</v>
      </c>
      <c r="G4" s="288"/>
      <c r="I4" s="288" t="s">
        <v>275</v>
      </c>
      <c r="J4" s="288" t="s">
        <v>242</v>
      </c>
      <c r="K4" s="288" t="s">
        <v>276</v>
      </c>
      <c r="L4" s="288" t="s">
        <v>277</v>
      </c>
      <c r="M4" s="288" t="s">
        <v>278</v>
      </c>
      <c r="N4" s="288"/>
      <c r="P4" s="288" t="s">
        <v>275</v>
      </c>
      <c r="Q4" s="288" t="s">
        <v>242</v>
      </c>
      <c r="R4" s="288" t="s">
        <v>276</v>
      </c>
      <c r="S4" s="288" t="s">
        <v>277</v>
      </c>
      <c r="T4" s="288" t="s">
        <v>278</v>
      </c>
      <c r="U4" s="288"/>
      <c r="V4" s="288"/>
      <c r="W4" s="465" t="s">
        <v>279</v>
      </c>
      <c r="X4" s="466"/>
      <c r="Y4" s="466"/>
      <c r="Z4" s="466"/>
      <c r="AA4" s="466"/>
      <c r="AB4" s="467"/>
    </row>
    <row r="5" spans="2:66" ht="15.75" thickBot="1" x14ac:dyDescent="0.3">
      <c r="B5" s="153" t="s">
        <v>280</v>
      </c>
      <c r="C5" s="153">
        <v>2020</v>
      </c>
      <c r="D5" s="153">
        <v>26969</v>
      </c>
      <c r="E5" s="153">
        <v>29774.459999999995</v>
      </c>
      <c r="F5" s="153">
        <f>Table2[[#This Row],[REVENUE]]/Table2[[#This Row],[THERMS]]</f>
        <v>1.1040253624531868</v>
      </c>
      <c r="I5" s="153" t="s">
        <v>280</v>
      </c>
      <c r="J5" s="153">
        <v>2020</v>
      </c>
      <c r="K5" s="153">
        <v>9051</v>
      </c>
      <c r="L5" s="153">
        <v>7185.71</v>
      </c>
      <c r="M5" s="153">
        <f>Table3[[#This Row],[REVENUE]]/Table3[[#This Row],[THERMS]]</f>
        <v>0.79391337973704568</v>
      </c>
      <c r="P5" s="153" t="s">
        <v>280</v>
      </c>
      <c r="Q5" s="153">
        <v>2020</v>
      </c>
      <c r="R5" s="153">
        <v>15228</v>
      </c>
      <c r="S5" s="153">
        <v>4580.75</v>
      </c>
      <c r="T5" s="153">
        <f>Table4[[#This Row],[REVENUE]]/Table4[[#This Row],[THERMS]]</f>
        <v>0.30081100604150252</v>
      </c>
      <c r="W5" s="468" t="s">
        <v>281</v>
      </c>
      <c r="X5" s="469"/>
      <c r="Y5" s="290"/>
      <c r="Z5" s="290"/>
      <c r="AA5" s="469" t="s">
        <v>282</v>
      </c>
      <c r="AB5" s="470"/>
    </row>
    <row r="6" spans="2:66" x14ac:dyDescent="0.25">
      <c r="B6" s="153" t="s">
        <v>64</v>
      </c>
      <c r="C6" s="153">
        <v>2020</v>
      </c>
      <c r="D6" s="153">
        <v>16863</v>
      </c>
      <c r="E6" s="153">
        <v>16892.45</v>
      </c>
      <c r="F6" s="153">
        <f>Table2[[#This Row],[REVENUE]]/Table2[[#This Row],[THERMS]]</f>
        <v>1.0017464270888929</v>
      </c>
      <c r="I6" s="153" t="s">
        <v>64</v>
      </c>
      <c r="J6" s="153">
        <v>2020</v>
      </c>
      <c r="K6" s="153">
        <v>2253</v>
      </c>
      <c r="L6" s="153">
        <v>1858.85</v>
      </c>
      <c r="M6" s="153">
        <f>Table3[[#This Row],[REVENUE]]/Table3[[#This Row],[THERMS]]</f>
        <v>0.82505548158011532</v>
      </c>
      <c r="P6" s="153" t="s">
        <v>64</v>
      </c>
      <c r="Q6" s="153">
        <v>2020</v>
      </c>
      <c r="R6" s="153">
        <v>10994</v>
      </c>
      <c r="S6" s="153">
        <v>3942.61</v>
      </c>
      <c r="T6" s="153">
        <f>Table4[[#This Row],[REVENUE]]/Table4[[#This Row],[THERMS]]</f>
        <v>0.35861469892668729</v>
      </c>
      <c r="W6" s="291"/>
      <c r="AB6" s="292"/>
    </row>
    <row r="7" spans="2:66" x14ac:dyDescent="0.25">
      <c r="B7" s="153" t="s">
        <v>65</v>
      </c>
      <c r="C7" s="153">
        <v>2020</v>
      </c>
      <c r="D7" s="153">
        <v>7250</v>
      </c>
      <c r="E7" s="153">
        <v>11126.700000000004</v>
      </c>
      <c r="F7" s="153">
        <f>Table2[[#This Row],[REVENUE]]/Table2[[#This Row],[THERMS]]</f>
        <v>1.5347172413793109</v>
      </c>
      <c r="I7" s="153" t="s">
        <v>65</v>
      </c>
      <c r="J7" s="153">
        <v>2020</v>
      </c>
      <c r="K7" s="153">
        <v>4021</v>
      </c>
      <c r="L7" s="153">
        <v>3251.93</v>
      </c>
      <c r="M7" s="153">
        <f>Table3[[#This Row],[REVENUE]]/Table3[[#This Row],[THERMS]]</f>
        <v>0.80873663267843821</v>
      </c>
      <c r="P7" s="153" t="s">
        <v>65</v>
      </c>
      <c r="Q7" s="153">
        <v>2020</v>
      </c>
      <c r="R7" s="153">
        <v>8170</v>
      </c>
      <c r="S7" s="153">
        <v>2682.2000000000003</v>
      </c>
      <c r="T7" s="153">
        <f>Table4[[#This Row],[REVENUE]]/Table4[[#This Row],[THERMS]]</f>
        <v>0.32829865361077115</v>
      </c>
      <c r="W7" s="291" t="s">
        <v>173</v>
      </c>
      <c r="X7" s="16">
        <v>26186848.999999996</v>
      </c>
      <c r="AA7" s="153" t="s">
        <v>173</v>
      </c>
      <c r="AB7" s="50">
        <v>12875.333333333334</v>
      </c>
    </row>
    <row r="8" spans="2:66" x14ac:dyDescent="0.25">
      <c r="B8" s="153" t="s">
        <v>283</v>
      </c>
      <c r="C8" s="153">
        <v>2020</v>
      </c>
      <c r="D8" s="153">
        <v>9121</v>
      </c>
      <c r="E8" s="153">
        <v>12458.43</v>
      </c>
      <c r="F8" s="153">
        <f>Table2[[#This Row],[REVENUE]]/Table2[[#This Row],[THERMS]]</f>
        <v>1.365906150641377</v>
      </c>
      <c r="I8" s="153" t="s">
        <v>283</v>
      </c>
      <c r="J8" s="153">
        <v>2020</v>
      </c>
      <c r="K8" s="153">
        <v>3957</v>
      </c>
      <c r="L8" s="153">
        <v>3201.62</v>
      </c>
      <c r="M8" s="153">
        <f>Table3[[#This Row],[REVENUE]]/Table3[[#This Row],[THERMS]]</f>
        <v>0.80910285569876161</v>
      </c>
      <c r="P8" s="153" t="s">
        <v>283</v>
      </c>
      <c r="Q8" s="153">
        <v>2020</v>
      </c>
      <c r="R8" s="153">
        <v>8784</v>
      </c>
      <c r="S8" s="153">
        <v>2802.0399999999995</v>
      </c>
      <c r="T8" s="153">
        <f>Table4[[#This Row],[REVENUE]]/Table4[[#This Row],[THERMS]]</f>
        <v>0.31899362477231324</v>
      </c>
      <c r="W8" s="291" t="s">
        <v>174</v>
      </c>
      <c r="X8" s="16">
        <v>24615844</v>
      </c>
      <c r="AA8" s="153" t="s">
        <v>174</v>
      </c>
      <c r="AB8" s="50">
        <v>11534.333333333334</v>
      </c>
    </row>
    <row r="9" spans="2:66" x14ac:dyDescent="0.25">
      <c r="B9" s="153" t="s">
        <v>181</v>
      </c>
      <c r="C9" s="153">
        <v>2020</v>
      </c>
      <c r="D9" s="153">
        <v>16849</v>
      </c>
      <c r="E9" s="153">
        <v>25362.000000000007</v>
      </c>
      <c r="F9" s="153">
        <f>Table2[[#This Row],[REVENUE]]/Table2[[#This Row],[THERMS]]</f>
        <v>1.5052525372425667</v>
      </c>
      <c r="I9" s="153" t="s">
        <v>181</v>
      </c>
      <c r="J9" s="153">
        <v>2020</v>
      </c>
      <c r="K9" s="153">
        <v>10475</v>
      </c>
      <c r="L9" s="153">
        <v>8299.3700000000008</v>
      </c>
      <c r="M9" s="153">
        <f>Table3[[#This Row],[REVENUE]]/Table3[[#This Row],[THERMS]]</f>
        <v>0.7923026252983294</v>
      </c>
      <c r="P9" s="153" t="s">
        <v>181</v>
      </c>
      <c r="Q9" s="153">
        <v>2020</v>
      </c>
      <c r="R9" s="153">
        <v>16942</v>
      </c>
      <c r="S9" s="153">
        <v>3848.61</v>
      </c>
      <c r="T9" s="153">
        <f>Table4[[#This Row],[REVENUE]]/Table4[[#This Row],[THERMS]]</f>
        <v>0.22716385314602763</v>
      </c>
      <c r="W9" s="291" t="s">
        <v>175</v>
      </c>
      <c r="X9" s="16">
        <v>26512951.666666664</v>
      </c>
      <c r="AA9" s="153" t="s">
        <v>175</v>
      </c>
      <c r="AB9" s="50">
        <v>11827.666666666666</v>
      </c>
    </row>
    <row r="10" spans="2:66" x14ac:dyDescent="0.25">
      <c r="B10" s="153" t="s">
        <v>182</v>
      </c>
      <c r="C10" s="153">
        <v>2020</v>
      </c>
      <c r="D10" s="153">
        <v>71381</v>
      </c>
      <c r="E10" s="153">
        <v>75512.250000000029</v>
      </c>
      <c r="F10" s="153">
        <f>Table2[[#This Row],[REVENUE]]/Table2[[#This Row],[THERMS]]</f>
        <v>1.0578760454462677</v>
      </c>
      <c r="I10" s="153" t="s">
        <v>182</v>
      </c>
      <c r="J10" s="153">
        <v>2020</v>
      </c>
      <c r="K10" s="153">
        <v>20642</v>
      </c>
      <c r="L10" s="153">
        <v>16338.81</v>
      </c>
      <c r="M10" s="153">
        <f>Table3[[#This Row],[REVENUE]]/Table3[[#This Row],[THERMS]]</f>
        <v>0.79153231276039138</v>
      </c>
      <c r="P10" s="153" t="s">
        <v>182</v>
      </c>
      <c r="Q10" s="153">
        <v>2020</v>
      </c>
      <c r="R10" s="153">
        <v>33251</v>
      </c>
      <c r="S10" s="153">
        <v>6963.8600000000006</v>
      </c>
      <c r="T10" s="153">
        <f>Table4[[#This Row],[REVENUE]]/Table4[[#This Row],[THERMS]]</f>
        <v>0.20943309975639832</v>
      </c>
      <c r="W10" s="291" t="s">
        <v>176</v>
      </c>
      <c r="X10" s="16">
        <v>25242467</v>
      </c>
      <c r="AA10" s="153" t="s">
        <v>176</v>
      </c>
      <c r="AB10" s="50">
        <v>10421.333333333334</v>
      </c>
    </row>
    <row r="11" spans="2:66" x14ac:dyDescent="0.25">
      <c r="B11" s="153" t="s">
        <v>183</v>
      </c>
      <c r="C11" s="153">
        <v>2020</v>
      </c>
      <c r="D11" s="153">
        <v>138940</v>
      </c>
      <c r="E11" s="153">
        <v>125780.98999999996</v>
      </c>
      <c r="F11" s="153">
        <f>Table2[[#This Row],[REVENUE]]/Table2[[#This Row],[THERMS]]</f>
        <v>0.9052899812868862</v>
      </c>
      <c r="I11" s="153" t="s">
        <v>183</v>
      </c>
      <c r="J11" s="153">
        <v>2020</v>
      </c>
      <c r="K11" s="153">
        <v>24109</v>
      </c>
      <c r="L11" s="153">
        <v>19087.43</v>
      </c>
      <c r="M11" s="153">
        <f>Table3[[#This Row],[REVENUE]]/Table3[[#This Row],[THERMS]]</f>
        <v>0.79171388278236343</v>
      </c>
      <c r="P11" s="153" t="s">
        <v>183</v>
      </c>
      <c r="Q11" s="153">
        <v>2020</v>
      </c>
      <c r="R11" s="153">
        <v>45927</v>
      </c>
      <c r="S11" s="153">
        <v>13445.36</v>
      </c>
      <c r="T11" s="153">
        <f>Table4[[#This Row],[REVENUE]]/Table4[[#This Row],[THERMS]]</f>
        <v>0.29275502427765804</v>
      </c>
      <c r="W11" s="291" t="s">
        <v>62</v>
      </c>
      <c r="X11" s="16">
        <v>23674424</v>
      </c>
      <c r="AA11" s="153" t="s">
        <v>62</v>
      </c>
      <c r="AB11" s="50">
        <v>10257.666666666666</v>
      </c>
    </row>
    <row r="12" spans="2:66" x14ac:dyDescent="0.25">
      <c r="B12" s="153" t="s">
        <v>173</v>
      </c>
      <c r="C12" s="153">
        <v>2021</v>
      </c>
      <c r="D12" s="153">
        <v>140471</v>
      </c>
      <c r="E12" s="153">
        <v>132050.83000000002</v>
      </c>
      <c r="F12" s="153">
        <f>Table2[[#This Row],[REVENUE]]/Table2[[#This Row],[THERMS]]</f>
        <v>0.9400575919584826</v>
      </c>
      <c r="I12" s="153" t="s">
        <v>173</v>
      </c>
      <c r="J12" s="153">
        <v>2021</v>
      </c>
      <c r="K12" s="153">
        <v>28705</v>
      </c>
      <c r="L12" s="153">
        <v>22705.72</v>
      </c>
      <c r="M12" s="153">
        <f>Table3[[#This Row],[REVENUE]]/Table3[[#This Row],[THERMS]]</f>
        <v>0.79100226441386523</v>
      </c>
      <c r="P12" s="153" t="s">
        <v>173</v>
      </c>
      <c r="Q12" s="153">
        <v>2021</v>
      </c>
      <c r="R12" s="153">
        <v>53255</v>
      </c>
      <c r="S12" s="153">
        <v>14271.960000000001</v>
      </c>
      <c r="T12" s="153">
        <f>Table4[[#This Row],[REVENUE]]/Table4[[#This Row],[THERMS]]</f>
        <v>0.2679928645197634</v>
      </c>
      <c r="W12" s="291" t="s">
        <v>177</v>
      </c>
      <c r="X12" s="16">
        <v>23434361</v>
      </c>
      <c r="AA12" s="153" t="s">
        <v>177</v>
      </c>
      <c r="AB12" s="50">
        <v>8827.3333333333339</v>
      </c>
    </row>
    <row r="13" spans="2:66" x14ac:dyDescent="0.25">
      <c r="B13" s="153" t="s">
        <v>174</v>
      </c>
      <c r="C13" s="153">
        <v>2021</v>
      </c>
      <c r="D13" s="153">
        <v>123272</v>
      </c>
      <c r="E13" s="153">
        <v>121678.82999999997</v>
      </c>
      <c r="F13" s="153">
        <f>Table2[[#This Row],[REVENUE]]/Table2[[#This Row],[THERMS]]</f>
        <v>0.98707597832435567</v>
      </c>
      <c r="I13" s="153" t="s">
        <v>174</v>
      </c>
      <c r="J13" s="153">
        <v>2021</v>
      </c>
      <c r="K13" s="153">
        <v>30772</v>
      </c>
      <c r="L13" s="153">
        <v>24332.99</v>
      </c>
      <c r="M13" s="153">
        <f>Table3[[#This Row],[REVENUE]]/Table3[[#This Row],[THERMS]]</f>
        <v>0.79075100740933324</v>
      </c>
      <c r="P13" s="153" t="s">
        <v>174</v>
      </c>
      <c r="Q13" s="153">
        <v>2021</v>
      </c>
      <c r="R13" s="153">
        <v>50793</v>
      </c>
      <c r="S13" s="153">
        <v>12574.77</v>
      </c>
      <c r="T13" s="153">
        <f>Table4[[#This Row],[REVENUE]]/Table4[[#This Row],[THERMS]]</f>
        <v>0.24756895635225326</v>
      </c>
      <c r="W13" s="291" t="s">
        <v>178</v>
      </c>
      <c r="X13" s="16">
        <v>22926127</v>
      </c>
      <c r="AA13" s="153" t="s">
        <v>178</v>
      </c>
      <c r="AB13" s="50">
        <v>8554</v>
      </c>
    </row>
    <row r="14" spans="2:66" x14ac:dyDescent="0.25">
      <c r="B14" s="153" t="s">
        <v>72</v>
      </c>
      <c r="C14" s="153">
        <v>2021</v>
      </c>
      <c r="D14" s="153">
        <v>150847</v>
      </c>
      <c r="E14" s="153">
        <v>134882.04999999996</v>
      </c>
      <c r="F14" s="153">
        <f>Table2[[#This Row],[REVENUE]]/Table2[[#This Row],[THERMS]]</f>
        <v>0.8941646171286135</v>
      </c>
      <c r="I14" s="153" t="s">
        <v>72</v>
      </c>
      <c r="J14" s="153">
        <v>2021</v>
      </c>
      <c r="K14" s="153">
        <v>23434</v>
      </c>
      <c r="L14" s="153">
        <v>18556.04</v>
      </c>
      <c r="M14" s="153">
        <f>Table3[[#This Row],[REVENUE]]/Table3[[#This Row],[THERMS]]</f>
        <v>0.79184262183152687</v>
      </c>
      <c r="P14" s="153" t="s">
        <v>72</v>
      </c>
      <c r="Q14" s="153">
        <v>2021</v>
      </c>
      <c r="R14" s="153">
        <v>52420</v>
      </c>
      <c r="S14" s="153">
        <v>15038.639999999998</v>
      </c>
      <c r="T14" s="153">
        <f>Table4[[#This Row],[REVENUE]]/Table4[[#This Row],[THERMS]]</f>
        <v>0.28688744753910717</v>
      </c>
      <c r="W14" s="291" t="s">
        <v>179</v>
      </c>
      <c r="X14" s="16">
        <v>23501681</v>
      </c>
      <c r="AA14" s="153" t="s">
        <v>179</v>
      </c>
      <c r="AB14" s="50">
        <v>8460</v>
      </c>
    </row>
    <row r="15" spans="2:66" x14ac:dyDescent="0.25">
      <c r="B15" s="153" t="s">
        <v>274</v>
      </c>
      <c r="C15" s="153">
        <v>2021</v>
      </c>
      <c r="D15" s="153">
        <v>120427</v>
      </c>
      <c r="E15" s="153">
        <v>105835.29000000001</v>
      </c>
      <c r="F15" s="153">
        <f>Table2[[#This Row],[REVENUE]]/Table2[[#This Row],[THERMS]]</f>
        <v>0.8788335672232972</v>
      </c>
      <c r="I15" s="153" t="s">
        <v>274</v>
      </c>
      <c r="J15" s="153">
        <v>2021</v>
      </c>
      <c r="K15" s="153">
        <v>15706</v>
      </c>
      <c r="L15" s="153">
        <v>12472.05</v>
      </c>
      <c r="M15" s="153">
        <f>Table3[[#This Row],[REVENUE]]/Table3[[#This Row],[THERMS]]</f>
        <v>0.7940946135234942</v>
      </c>
      <c r="P15" s="153" t="s">
        <v>274</v>
      </c>
      <c r="Q15" s="153">
        <v>2021</v>
      </c>
      <c r="R15" s="153">
        <v>40581</v>
      </c>
      <c r="S15" s="153">
        <v>11830.41</v>
      </c>
      <c r="T15" s="153">
        <f>Table4[[#This Row],[REVENUE]]/Table4[[#This Row],[THERMS]]</f>
        <v>0.29152583721445996</v>
      </c>
      <c r="W15" s="291" t="s">
        <v>180</v>
      </c>
      <c r="X15" s="16">
        <v>22626112.333333332</v>
      </c>
      <c r="AA15" s="153" t="s">
        <v>180</v>
      </c>
      <c r="AB15" s="50">
        <v>9326.3333333333339</v>
      </c>
    </row>
    <row r="16" spans="2:66" x14ac:dyDescent="0.25">
      <c r="B16" s="153" t="s">
        <v>62</v>
      </c>
      <c r="C16" s="153">
        <v>2021</v>
      </c>
      <c r="D16" s="153">
        <v>61036</v>
      </c>
      <c r="E16" s="153">
        <v>56042.07</v>
      </c>
      <c r="F16" s="153">
        <f>Table2[[#This Row],[REVENUE]]/Table2[[#This Row],[THERMS]]</f>
        <v>0.9181805819516351</v>
      </c>
      <c r="I16" s="153" t="s">
        <v>62</v>
      </c>
      <c r="J16" s="153">
        <v>2021</v>
      </c>
      <c r="K16" s="153">
        <v>9063</v>
      </c>
      <c r="L16" s="153">
        <v>7242.25</v>
      </c>
      <c r="M16" s="153">
        <f>Table3[[#This Row],[REVENUE]]/Table3[[#This Row],[THERMS]]</f>
        <v>0.79910073926955749</v>
      </c>
      <c r="P16" s="153" t="s">
        <v>62</v>
      </c>
      <c r="Q16" s="153">
        <v>2021</v>
      </c>
      <c r="R16" s="153">
        <v>21240</v>
      </c>
      <c r="S16" s="153">
        <v>5375.4900000000007</v>
      </c>
      <c r="T16" s="153">
        <f>Table4[[#This Row],[REVENUE]]/Table4[[#This Row],[THERMS]]</f>
        <v>0.25308333333333338</v>
      </c>
      <c r="W16" s="291" t="s">
        <v>181</v>
      </c>
      <c r="X16" s="16">
        <v>24364407.666666668</v>
      </c>
      <c r="AA16" s="153" t="s">
        <v>181</v>
      </c>
      <c r="AB16" s="50">
        <v>11249.666666666666</v>
      </c>
    </row>
    <row r="17" spans="2:28" x14ac:dyDescent="0.25">
      <c r="B17" s="153" t="s">
        <v>280</v>
      </c>
      <c r="C17" s="153">
        <v>2021</v>
      </c>
      <c r="D17" s="153">
        <v>31141</v>
      </c>
      <c r="E17" s="153">
        <v>31502.489999999998</v>
      </c>
      <c r="F17" s="153">
        <f>Table2[[#This Row],[REVENUE]]/Table2[[#This Row],[THERMS]]</f>
        <v>1.0116081692944991</v>
      </c>
      <c r="I17" s="153" t="s">
        <v>280</v>
      </c>
      <c r="J17" s="153">
        <v>2021</v>
      </c>
      <c r="K17" s="153">
        <v>7745</v>
      </c>
      <c r="L17" s="153">
        <v>6204.61</v>
      </c>
      <c r="M17" s="153">
        <f>Table3[[#This Row],[REVENUE]]/Table3[[#This Row],[THERMS]]</f>
        <v>0.80111168495803742</v>
      </c>
      <c r="P17" s="153" t="s">
        <v>280</v>
      </c>
      <c r="Q17" s="153">
        <v>2021</v>
      </c>
      <c r="R17" s="153">
        <v>14776</v>
      </c>
      <c r="S17" s="153">
        <v>4638.8600000000006</v>
      </c>
      <c r="T17" s="153">
        <f>Table4[[#This Row],[REVENUE]]/Table4[[#This Row],[THERMS]]</f>
        <v>0.31394558743909046</v>
      </c>
      <c r="W17" s="291" t="s">
        <v>182</v>
      </c>
      <c r="X17" s="16">
        <v>29399503</v>
      </c>
      <c r="AA17" s="153" t="s">
        <v>182</v>
      </c>
      <c r="AB17" s="50">
        <v>12458.666666666666</v>
      </c>
    </row>
    <row r="18" spans="2:28" ht="15.75" thickBot="1" x14ac:dyDescent="0.3">
      <c r="B18" s="153" t="s">
        <v>64</v>
      </c>
      <c r="C18" s="153">
        <v>2021</v>
      </c>
      <c r="D18" s="153">
        <v>9741</v>
      </c>
      <c r="E18" s="153">
        <v>12448.639999999998</v>
      </c>
      <c r="F18" s="153">
        <f>Table2[[#This Row],[REVENUE]]/Table2[[#This Row],[THERMS]]</f>
        <v>1.2779632481264755</v>
      </c>
      <c r="I18" s="153" t="s">
        <v>64</v>
      </c>
      <c r="J18" s="153">
        <v>2021</v>
      </c>
      <c r="K18" s="153">
        <v>4018</v>
      </c>
      <c r="L18" s="153">
        <v>3270.18</v>
      </c>
      <c r="M18" s="153">
        <f>Table3[[#This Row],[REVENUE]]/Table3[[#This Row],[THERMS]]</f>
        <v>0.81388252862120458</v>
      </c>
      <c r="P18" s="153" t="s">
        <v>64</v>
      </c>
      <c r="Q18" s="153">
        <v>2021</v>
      </c>
      <c r="R18" s="153">
        <v>8408</v>
      </c>
      <c r="S18" s="153">
        <v>3036.05</v>
      </c>
      <c r="T18" s="153">
        <f>Table4[[#This Row],[REVENUE]]/Table4[[#This Row],[THERMS]]</f>
        <v>0.36109062797335872</v>
      </c>
      <c r="W18" s="293" t="s">
        <v>183</v>
      </c>
      <c r="X18" s="294">
        <v>28909626.666666668</v>
      </c>
      <c r="Y18" s="290"/>
      <c r="Z18" s="290"/>
      <c r="AA18" s="290" t="s">
        <v>183</v>
      </c>
      <c r="AB18" s="53">
        <v>13973</v>
      </c>
    </row>
    <row r="19" spans="2:28" x14ac:dyDescent="0.25">
      <c r="B19" s="153" t="s">
        <v>65</v>
      </c>
      <c r="C19" s="153">
        <v>2021</v>
      </c>
      <c r="D19" s="153">
        <v>9605</v>
      </c>
      <c r="E19" s="153">
        <v>12127.730000000003</v>
      </c>
      <c r="F19" s="153">
        <f>Table2[[#This Row],[REVENUE]]/Table2[[#This Row],[THERMS]]</f>
        <v>1.262647579385737</v>
      </c>
      <c r="I19" s="153" t="s">
        <v>65</v>
      </c>
      <c r="J19" s="153">
        <v>2021</v>
      </c>
      <c r="K19" s="153">
        <v>3051</v>
      </c>
      <c r="L19" s="153">
        <v>2503.27</v>
      </c>
      <c r="M19" s="153">
        <f>Table3[[#This Row],[REVENUE]]/Table3[[#This Row],[THERMS]]</f>
        <v>0.82047525401507704</v>
      </c>
      <c r="P19" s="153" t="s">
        <v>65</v>
      </c>
      <c r="Q19" s="153">
        <v>2021</v>
      </c>
      <c r="R19" s="153">
        <v>8363</v>
      </c>
      <c r="S19" s="153">
        <v>2680.25</v>
      </c>
      <c r="T19" s="153">
        <f>Table4[[#This Row],[REVENUE]]/Table4[[#This Row],[THERMS]]</f>
        <v>0.32048905895013752</v>
      </c>
      <c r="X19" s="284"/>
    </row>
    <row r="20" spans="2:28" x14ac:dyDescent="0.25">
      <c r="B20" s="153" t="s">
        <v>283</v>
      </c>
      <c r="C20" s="153">
        <v>2021</v>
      </c>
      <c r="D20" s="153">
        <v>9771</v>
      </c>
      <c r="E20" s="153">
        <v>14671.52000000001</v>
      </c>
      <c r="F20" s="153">
        <f>Table2[[#This Row],[REVENUE]]/Table2[[#This Row],[THERMS]]</f>
        <v>1.501537201924062</v>
      </c>
      <c r="I20" s="153" t="s">
        <v>283</v>
      </c>
      <c r="J20" s="153">
        <v>2021</v>
      </c>
      <c r="K20" s="153">
        <v>6447</v>
      </c>
      <c r="L20" s="153">
        <v>5182.3</v>
      </c>
      <c r="M20" s="153">
        <f>Table3[[#This Row],[REVENUE]]/Table3[[#This Row],[THERMS]]</f>
        <v>0.80383123933612532</v>
      </c>
      <c r="P20" s="153" t="s">
        <v>283</v>
      </c>
      <c r="Q20" s="153">
        <v>2021</v>
      </c>
      <c r="R20" s="153">
        <v>9483</v>
      </c>
      <c r="S20" s="153">
        <v>2869.4700000000003</v>
      </c>
      <c r="T20" s="153">
        <f>Table4[[#This Row],[REVENUE]]/Table4[[#This Row],[THERMS]]</f>
        <v>0.30259095223030691</v>
      </c>
    </row>
    <row r="21" spans="2:28" x14ac:dyDescent="0.25">
      <c r="B21" s="153" t="s">
        <v>181</v>
      </c>
      <c r="C21" s="153">
        <v>2021</v>
      </c>
      <c r="D21" s="153">
        <v>25621</v>
      </c>
      <c r="E21" s="153">
        <v>31586.430000000018</v>
      </c>
      <c r="F21" s="153">
        <f>Table2[[#This Row],[REVENUE]]/Table2[[#This Row],[THERMS]]</f>
        <v>1.2328336130517941</v>
      </c>
      <c r="I21" s="153" t="s">
        <v>181</v>
      </c>
      <c r="J21" s="153">
        <v>2021</v>
      </c>
      <c r="K21" s="153">
        <v>9465</v>
      </c>
      <c r="L21" s="153">
        <v>7558.13</v>
      </c>
      <c r="M21" s="153">
        <f>Table3[[#This Row],[REVENUE]]/Table3[[#This Row],[THERMS]]</f>
        <v>0.79853460116217645</v>
      </c>
      <c r="P21" s="153" t="s">
        <v>181</v>
      </c>
      <c r="Q21" s="153">
        <v>2021</v>
      </c>
      <c r="R21" s="153">
        <v>20361</v>
      </c>
      <c r="S21" s="153">
        <v>5025.51</v>
      </c>
      <c r="T21" s="153">
        <f>Table4[[#This Row],[REVENUE]]/Table4[[#This Row],[THERMS]]</f>
        <v>0.2468203919257404</v>
      </c>
    </row>
    <row r="22" spans="2:28" x14ac:dyDescent="0.25">
      <c r="B22" s="153" t="s">
        <v>182</v>
      </c>
      <c r="C22" s="153">
        <v>2021</v>
      </c>
      <c r="D22" s="153">
        <v>77081</v>
      </c>
      <c r="E22" s="153">
        <v>82507.889999999985</v>
      </c>
      <c r="F22" s="153">
        <f>Table2[[#This Row],[REVENUE]]/Table2[[#This Row],[THERMS]]</f>
        <v>1.0704050284765374</v>
      </c>
      <c r="I22" s="153" t="s">
        <v>182</v>
      </c>
      <c r="J22" s="153">
        <v>2021</v>
      </c>
      <c r="K22" s="153">
        <v>19178</v>
      </c>
      <c r="L22" s="153">
        <v>17599.27</v>
      </c>
      <c r="M22" s="153">
        <f>Table3[[#This Row],[REVENUE]]/Table3[[#This Row],[THERMS]]</f>
        <v>0.91768015434351868</v>
      </c>
      <c r="P22" s="153" t="s">
        <v>182</v>
      </c>
      <c r="Q22" s="153">
        <v>2021</v>
      </c>
      <c r="R22" s="153">
        <v>35475</v>
      </c>
      <c r="S22" s="153">
        <v>8660.52</v>
      </c>
      <c r="T22" s="153">
        <f>Table4[[#This Row],[REVENUE]]/Table4[[#This Row],[THERMS]]</f>
        <v>0.24413023255813954</v>
      </c>
    </row>
    <row r="23" spans="2:28" x14ac:dyDescent="0.25">
      <c r="B23" s="153" t="s">
        <v>183</v>
      </c>
      <c r="C23" s="153">
        <v>2021</v>
      </c>
      <c r="D23" s="153">
        <v>120793</v>
      </c>
      <c r="E23" s="153">
        <v>134132.68999999997</v>
      </c>
      <c r="F23" s="153">
        <f>Table2[[#This Row],[REVENUE]]/Table2[[#This Row],[THERMS]]</f>
        <v>1.1104342966893774</v>
      </c>
      <c r="I23" s="153" t="s">
        <v>183</v>
      </c>
      <c r="J23" s="153">
        <v>2021</v>
      </c>
      <c r="K23" s="153">
        <v>31242</v>
      </c>
      <c r="L23" s="153">
        <v>30450.69</v>
      </c>
      <c r="M23" s="153">
        <f>Table3[[#This Row],[REVENUE]]/Table3[[#This Row],[THERMS]]</f>
        <v>0.97467159592855768</v>
      </c>
      <c r="P23" s="153" t="s">
        <v>183</v>
      </c>
      <c r="Q23" s="153">
        <v>2021</v>
      </c>
      <c r="R23" s="153">
        <v>49271</v>
      </c>
      <c r="S23" s="153">
        <v>13548.13</v>
      </c>
      <c r="T23" s="153">
        <f>Table4[[#This Row],[REVENUE]]/Table4[[#This Row],[THERMS]]</f>
        <v>0.27497168719936677</v>
      </c>
    </row>
    <row r="24" spans="2:28" x14ac:dyDescent="0.25">
      <c r="B24" s="153" t="s">
        <v>173</v>
      </c>
      <c r="C24" s="153">
        <v>2022</v>
      </c>
      <c r="D24" s="153">
        <v>184482</v>
      </c>
      <c r="E24" s="153">
        <v>192450.98999999996</v>
      </c>
      <c r="F24" s="153">
        <f>Table2[[#This Row],[REVENUE]]/Table2[[#This Row],[THERMS]]</f>
        <v>1.0431965720232865</v>
      </c>
      <c r="I24" s="153" t="s">
        <v>173</v>
      </c>
      <c r="J24" s="153">
        <v>2022</v>
      </c>
      <c r="K24" s="153">
        <v>37191</v>
      </c>
      <c r="L24" s="153">
        <v>36228.620000000003</v>
      </c>
      <c r="M24" s="153">
        <f>Table3[[#This Row],[REVENUE]]/Table3[[#This Row],[THERMS]]</f>
        <v>0.97412330940281255</v>
      </c>
      <c r="P24" s="153" t="s">
        <v>173</v>
      </c>
      <c r="Q24" s="153">
        <v>2022</v>
      </c>
      <c r="R24" s="153">
        <v>68850</v>
      </c>
      <c r="S24" s="153">
        <v>21179.1</v>
      </c>
      <c r="T24" s="153">
        <f>Table4[[#This Row],[REVENUE]]/Table4[[#This Row],[THERMS]]</f>
        <v>0.30761220043572984</v>
      </c>
    </row>
    <row r="25" spans="2:28" x14ac:dyDescent="0.25">
      <c r="B25" s="153" t="s">
        <v>174</v>
      </c>
      <c r="C25" s="153">
        <v>2022</v>
      </c>
      <c r="D25" s="153">
        <v>135957</v>
      </c>
      <c r="E25" s="153">
        <v>145979.79999999999</v>
      </c>
      <c r="F25" s="153">
        <f>Table2[[#This Row],[REVENUE]]/Table2[[#This Row],[THERMS]]</f>
        <v>1.0737203674691262</v>
      </c>
      <c r="I25" s="153" t="s">
        <v>174</v>
      </c>
      <c r="J25" s="153">
        <v>2022</v>
      </c>
      <c r="K25" s="153">
        <v>33553</v>
      </c>
      <c r="L25" s="153">
        <v>32695.23</v>
      </c>
      <c r="M25" s="153">
        <f>Table3[[#This Row],[REVENUE]]/Table3[[#This Row],[THERMS]]</f>
        <v>0.97443537090573118</v>
      </c>
      <c r="P25" s="153" t="s">
        <v>174</v>
      </c>
      <c r="Q25" s="153">
        <v>2022</v>
      </c>
      <c r="R25" s="153">
        <v>49477</v>
      </c>
      <c r="S25" s="153">
        <v>15395.699999999999</v>
      </c>
      <c r="T25" s="153">
        <f>Table4[[#This Row],[REVENUE]]/Table4[[#This Row],[THERMS]]</f>
        <v>0.31116882591911393</v>
      </c>
    </row>
    <row r="26" spans="2:28" x14ac:dyDescent="0.25">
      <c r="B26" s="153" t="s">
        <v>72</v>
      </c>
      <c r="C26" s="153">
        <v>2022</v>
      </c>
      <c r="D26" s="153">
        <v>139788</v>
      </c>
      <c r="E26" s="153">
        <v>149229.96000000002</v>
      </c>
      <c r="F26" s="153">
        <f>Table2[[#This Row],[REVENUE]]/Table2[[#This Row],[THERMS]]</f>
        <v>1.0675448536355054</v>
      </c>
      <c r="I26" s="153" t="s">
        <v>72</v>
      </c>
      <c r="J26" s="153">
        <v>2022</v>
      </c>
      <c r="K26" s="153">
        <v>35173</v>
      </c>
      <c r="L26" s="153">
        <v>34268.660000000003</v>
      </c>
      <c r="M26" s="153">
        <f>Table3[[#This Row],[REVENUE]]/Table3[[#This Row],[THERMS]]</f>
        <v>0.97428880106900184</v>
      </c>
      <c r="P26" s="153" t="s">
        <v>72</v>
      </c>
      <c r="Q26" s="153">
        <v>2022</v>
      </c>
      <c r="R26" s="153">
        <v>48057</v>
      </c>
      <c r="S26" s="153">
        <v>15216.619999999999</v>
      </c>
      <c r="T26" s="153">
        <f>Table4[[#This Row],[REVENUE]]/Table4[[#This Row],[THERMS]]</f>
        <v>0.31663691033564306</v>
      </c>
    </row>
    <row r="27" spans="2:28" x14ac:dyDescent="0.25">
      <c r="B27" s="153" t="s">
        <v>274</v>
      </c>
      <c r="C27" s="153">
        <v>2022</v>
      </c>
      <c r="D27" s="153">
        <v>112599</v>
      </c>
      <c r="E27" s="153">
        <v>122361.78</v>
      </c>
      <c r="F27" s="153">
        <f>Table2[[#This Row],[REVENUE]]/Table2[[#This Row],[THERMS]]</f>
        <v>1.0867039671755521</v>
      </c>
      <c r="I27" s="153" t="s">
        <v>274</v>
      </c>
      <c r="J27" s="153">
        <v>2022</v>
      </c>
      <c r="K27" s="153">
        <v>29910</v>
      </c>
      <c r="L27" s="153">
        <v>27318.87</v>
      </c>
      <c r="M27" s="153">
        <f>Table3[[#This Row],[REVENUE]]/Table3[[#This Row],[THERMS]]</f>
        <v>0.91336910732196586</v>
      </c>
      <c r="P27" s="153" t="s">
        <v>274</v>
      </c>
      <c r="Q27" s="153">
        <v>2022</v>
      </c>
      <c r="R27" s="153">
        <v>40263</v>
      </c>
      <c r="S27" s="153">
        <v>12570.689999999999</v>
      </c>
      <c r="T27" s="153">
        <f>Table4[[#This Row],[REVENUE]]/Table4[[#This Row],[THERMS]]</f>
        <v>0.31221444005662763</v>
      </c>
    </row>
    <row r="28" spans="2:28" x14ac:dyDescent="0.25">
      <c r="B28" s="153" t="s">
        <v>62</v>
      </c>
      <c r="C28" s="153">
        <v>2022</v>
      </c>
      <c r="D28" s="153">
        <v>90807</v>
      </c>
      <c r="E28" s="153">
        <v>95869.620000000024</v>
      </c>
      <c r="F28" s="153">
        <f>Table2[[#This Row],[REVENUE]]/Table2[[#This Row],[THERMS]]</f>
        <v>1.0557514288546039</v>
      </c>
      <c r="I28" s="153" t="s">
        <v>62</v>
      </c>
      <c r="J28" s="153">
        <v>2022</v>
      </c>
      <c r="K28" s="153">
        <v>20831</v>
      </c>
      <c r="L28" s="153">
        <v>18651.53</v>
      </c>
      <c r="M28" s="153">
        <f>Table3[[#This Row],[REVENUE]]/Table3[[#This Row],[THERMS]]</f>
        <v>0.89537372185684794</v>
      </c>
      <c r="P28" s="153" t="s">
        <v>62</v>
      </c>
      <c r="Q28" s="153">
        <v>2022</v>
      </c>
      <c r="R28" s="153">
        <v>30167</v>
      </c>
      <c r="S28" s="153">
        <v>9596.4800000000014</v>
      </c>
      <c r="T28" s="153">
        <f>Table4[[#This Row],[REVENUE]]/Table4[[#This Row],[THERMS]]</f>
        <v>0.3181118440680214</v>
      </c>
    </row>
    <row r="29" spans="2:28" x14ac:dyDescent="0.25">
      <c r="B29" s="153" t="s">
        <v>280</v>
      </c>
      <c r="C29" s="153">
        <v>2022</v>
      </c>
      <c r="D29" s="153">
        <v>50465</v>
      </c>
      <c r="E29" s="153">
        <v>52390.419999999984</v>
      </c>
      <c r="F29" s="153">
        <f>Table2[[#This Row],[REVENUE]]/Table2[[#This Row],[THERMS]]</f>
        <v>1.0381535717824231</v>
      </c>
      <c r="I29" s="153" t="s">
        <v>280</v>
      </c>
      <c r="J29" s="153">
        <v>2022</v>
      </c>
      <c r="K29" s="153">
        <v>9549</v>
      </c>
      <c r="L29" s="153">
        <v>8607.91</v>
      </c>
      <c r="M29" s="153">
        <f>Table3[[#This Row],[REVENUE]]/Table3[[#This Row],[THERMS]]</f>
        <v>0.90144622473557434</v>
      </c>
      <c r="P29" s="153" t="s">
        <v>280</v>
      </c>
      <c r="Q29" s="153">
        <v>2022</v>
      </c>
      <c r="R29" s="153">
        <v>17969</v>
      </c>
      <c r="S29" s="153">
        <v>6313.6100000000006</v>
      </c>
      <c r="T29" s="153">
        <f>Table4[[#This Row],[REVENUE]]/Table4[[#This Row],[THERMS]]</f>
        <v>0.35136123323501589</v>
      </c>
    </row>
    <row r="30" spans="2:28" x14ac:dyDescent="0.25">
      <c r="B30" s="153" t="s">
        <v>64</v>
      </c>
      <c r="C30" s="153">
        <v>2022</v>
      </c>
      <c r="D30" s="153">
        <v>13702</v>
      </c>
      <c r="E30" s="153">
        <v>15674.97</v>
      </c>
      <c r="F30" s="153">
        <f>Table2[[#This Row],[REVENUE]]/Table2[[#This Row],[THERMS]]</f>
        <v>1.1439913881185229</v>
      </c>
      <c r="I30" s="153" t="s">
        <v>64</v>
      </c>
      <c r="J30" s="153">
        <v>2022</v>
      </c>
      <c r="K30" s="153">
        <v>1971</v>
      </c>
      <c r="L30" s="153">
        <v>1849.7</v>
      </c>
      <c r="M30" s="153">
        <f>Table3[[#This Row],[REVENUE]]/Table3[[#This Row],[THERMS]]</f>
        <v>0.93845763571790974</v>
      </c>
      <c r="P30" s="153" t="s">
        <v>64</v>
      </c>
      <c r="Q30" s="153">
        <v>2022</v>
      </c>
      <c r="R30" s="153">
        <v>9772</v>
      </c>
      <c r="S30" s="153">
        <v>4133.95</v>
      </c>
      <c r="T30" s="153">
        <f>Table4[[#This Row],[REVENUE]]/Table4[[#This Row],[THERMS]]</f>
        <v>0.42304031927957425</v>
      </c>
    </row>
    <row r="31" spans="2:28" x14ac:dyDescent="0.25">
      <c r="B31" s="153" t="s">
        <v>65</v>
      </c>
      <c r="C31" s="153">
        <v>2022</v>
      </c>
      <c r="D31" s="153">
        <v>10039</v>
      </c>
      <c r="E31" s="153">
        <v>13474.310000000003</v>
      </c>
      <c r="F31" s="153">
        <f>Table2[[#This Row],[REVENUE]]/Table2[[#This Row],[THERMS]]</f>
        <v>1.3421964339077601</v>
      </c>
      <c r="I31" s="153" t="s">
        <v>65</v>
      </c>
      <c r="J31" s="153">
        <v>2022</v>
      </c>
      <c r="K31" s="153">
        <v>2987</v>
      </c>
      <c r="L31" s="153">
        <v>2760.2</v>
      </c>
      <c r="M31" s="153">
        <f>Table3[[#This Row],[REVENUE]]/Table3[[#This Row],[THERMS]]</f>
        <v>0.92407097422162698</v>
      </c>
      <c r="P31" s="153" t="s">
        <v>65</v>
      </c>
      <c r="Q31" s="153">
        <v>2022</v>
      </c>
      <c r="R31" s="153">
        <v>8232</v>
      </c>
      <c r="S31" s="153">
        <v>3144.7400000000002</v>
      </c>
      <c r="T31" s="153">
        <f>Table4[[#This Row],[REVENUE]]/Table4[[#This Row],[THERMS]]</f>
        <v>0.38201409135082609</v>
      </c>
    </row>
    <row r="32" spans="2:28" x14ac:dyDescent="0.25">
      <c r="B32" s="153" t="s">
        <v>283</v>
      </c>
      <c r="C32" s="153">
        <v>2022</v>
      </c>
      <c r="D32" s="153">
        <v>9316</v>
      </c>
      <c r="E32" s="153">
        <v>12308.599999999997</v>
      </c>
      <c r="F32" s="153">
        <f>Table2[[#This Row],[REVENUE]]/Table2[[#This Row],[THERMS]]</f>
        <v>1.3212322885358518</v>
      </c>
      <c r="I32" s="153" t="s">
        <v>283</v>
      </c>
      <c r="J32" s="153">
        <v>2022</v>
      </c>
      <c r="K32" s="153">
        <v>2003</v>
      </c>
      <c r="L32" s="153">
        <v>1904.09</v>
      </c>
      <c r="M32" s="153">
        <f>Table3[[#This Row],[REVENUE]]/Table3[[#This Row],[THERMS]]</f>
        <v>0.95061907139291058</v>
      </c>
      <c r="P32" s="153" t="s">
        <v>283</v>
      </c>
      <c r="Q32" s="153">
        <v>2022</v>
      </c>
      <c r="R32" s="153">
        <v>8105</v>
      </c>
      <c r="S32" s="153">
        <v>3209.7000000000003</v>
      </c>
      <c r="T32" s="153">
        <f>Table4[[#This Row],[REVENUE]]/Table4[[#This Row],[THERMS]]</f>
        <v>0.39601480567550895</v>
      </c>
    </row>
    <row r="33" spans="2:20" x14ac:dyDescent="0.25">
      <c r="B33" s="153" t="s">
        <v>181</v>
      </c>
      <c r="C33" s="153">
        <v>2022</v>
      </c>
      <c r="D33" s="153">
        <v>14195</v>
      </c>
      <c r="E33" s="153">
        <v>15104.640000000003</v>
      </c>
      <c r="F33" s="153">
        <f>Table2[[#This Row],[REVENUE]]/Table2[[#This Row],[THERMS]]</f>
        <v>1.0640817189151113</v>
      </c>
      <c r="I33" s="153" t="s">
        <v>181</v>
      </c>
      <c r="J33" s="153">
        <v>2022</v>
      </c>
      <c r="K33" s="153">
        <v>7021</v>
      </c>
      <c r="L33" s="153">
        <v>6458.17</v>
      </c>
      <c r="M33" s="153">
        <f>Table3[[#This Row],[REVENUE]]/Table3[[#This Row],[THERMS]]</f>
        <v>0.91983620566870816</v>
      </c>
      <c r="P33" s="153" t="s">
        <v>181</v>
      </c>
      <c r="Q33" s="153">
        <v>2022</v>
      </c>
      <c r="R33" s="153">
        <v>13326</v>
      </c>
      <c r="S33" s="153">
        <v>11418.67</v>
      </c>
      <c r="T33" s="153">
        <f>Table4[[#This Row],[REVENUE]]/Table4[[#This Row],[THERMS]]</f>
        <v>0.85687152934113764</v>
      </c>
    </row>
    <row r="34" spans="2:20" x14ac:dyDescent="0.25">
      <c r="B34" s="153" t="s">
        <v>182</v>
      </c>
      <c r="C34" s="153">
        <v>2022</v>
      </c>
      <c r="D34" s="153">
        <v>76326</v>
      </c>
      <c r="E34" s="153">
        <v>82841.820000000007</v>
      </c>
      <c r="F34" s="153">
        <f>Table2[[#This Row],[REVENUE]]/Table2[[#This Row],[THERMS]]</f>
        <v>1.0853682886565523</v>
      </c>
      <c r="I34" s="153" t="s">
        <v>182</v>
      </c>
      <c r="J34" s="153">
        <v>2022</v>
      </c>
      <c r="K34" s="153">
        <v>34452</v>
      </c>
      <c r="L34" s="153">
        <v>38428.44</v>
      </c>
      <c r="M34" s="153">
        <f>Table3[[#This Row],[REVENUE]]/Table3[[#This Row],[THERMS]]</f>
        <v>1.1154197143852318</v>
      </c>
      <c r="P34" s="153" t="s">
        <v>182</v>
      </c>
      <c r="Q34" s="153">
        <v>2022</v>
      </c>
      <c r="R34" s="153">
        <v>37314</v>
      </c>
      <c r="S34" s="153">
        <v>38247.370000000003</v>
      </c>
      <c r="T34" s="153">
        <f>Table4[[#This Row],[REVENUE]]/Table4[[#This Row],[THERMS]]</f>
        <v>1.025013935788176</v>
      </c>
    </row>
    <row r="35" spans="2:20" x14ac:dyDescent="0.25">
      <c r="B35" s="153" t="s">
        <v>183</v>
      </c>
      <c r="C35" s="153">
        <v>2022</v>
      </c>
      <c r="D35" s="153">
        <v>164119</v>
      </c>
      <c r="E35" s="153">
        <v>209534.78</v>
      </c>
      <c r="F35" s="153">
        <f>Table2[[#This Row],[REVENUE]]/Table2[[#This Row],[THERMS]]</f>
        <v>1.2767246936673999</v>
      </c>
      <c r="I35" s="153" t="s">
        <v>183</v>
      </c>
      <c r="J35" s="153">
        <v>2022</v>
      </c>
      <c r="K35" s="153">
        <v>43110</v>
      </c>
      <c r="L35" s="153">
        <v>51055.5</v>
      </c>
      <c r="M35" s="153">
        <f>Table3[[#This Row],[REVENUE]]/Table3[[#This Row],[THERMS]]</f>
        <v>1.1843075852470424</v>
      </c>
      <c r="P35" s="153" t="s">
        <v>183</v>
      </c>
      <c r="Q35" s="153">
        <v>2022</v>
      </c>
      <c r="R35" s="153">
        <v>52443</v>
      </c>
      <c r="S35" s="153">
        <v>59632.29</v>
      </c>
      <c r="T35" s="153">
        <f>Table4[[#This Row],[REVENUE]]/Table4[[#This Row],[THERMS]]</f>
        <v>1.1370876952119444</v>
      </c>
    </row>
    <row r="36" spans="2:20" x14ac:dyDescent="0.25">
      <c r="B36" s="153" t="s">
        <v>173</v>
      </c>
      <c r="C36" s="153">
        <v>2023</v>
      </c>
      <c r="D36" s="153">
        <v>177338</v>
      </c>
      <c r="E36" s="153">
        <v>226817.53000000014</v>
      </c>
      <c r="F36" s="153">
        <f>Table2[[#This Row],[REVENUE]]/Table2[[#This Row],[THERMS]]</f>
        <v>1.2790125635791547</v>
      </c>
      <c r="I36" s="153" t="s">
        <v>173</v>
      </c>
      <c r="J36" s="153">
        <v>2023</v>
      </c>
      <c r="K36" s="153">
        <v>46281</v>
      </c>
      <c r="L36" s="153">
        <v>54802.78</v>
      </c>
      <c r="M36" s="153">
        <f>Table3[[#This Row],[REVENUE]]/Table3[[#This Row],[THERMS]]</f>
        <v>1.1841312849765562</v>
      </c>
      <c r="P36" s="153" t="s">
        <v>173</v>
      </c>
      <c r="Q36" s="153">
        <v>2023</v>
      </c>
      <c r="R36" s="153">
        <v>58345</v>
      </c>
      <c r="S36" s="153">
        <v>66236.34</v>
      </c>
      <c r="T36" s="153">
        <f>Table4[[#This Row],[REVENUE]]/Table4[[#This Row],[THERMS]]</f>
        <v>1.1352530636729796</v>
      </c>
    </row>
    <row r="37" spans="2:20" x14ac:dyDescent="0.25">
      <c r="B37" s="153" t="s">
        <v>174</v>
      </c>
      <c r="C37" s="153">
        <v>2023</v>
      </c>
      <c r="D37" s="153">
        <v>137388</v>
      </c>
      <c r="E37" s="153">
        <v>176058.21000000002</v>
      </c>
      <c r="F37" s="153">
        <f>Table2[[#This Row],[REVENUE]]/Table2[[#This Row],[THERMS]]</f>
        <v>1.2814671587038171</v>
      </c>
      <c r="I37" s="153" t="s">
        <v>174</v>
      </c>
      <c r="J37" s="153">
        <v>2023</v>
      </c>
      <c r="K37" s="153">
        <v>39702</v>
      </c>
      <c r="L37" s="153">
        <v>47028.17</v>
      </c>
      <c r="M37" s="153">
        <f>Table3[[#This Row],[REVENUE]]/Table3[[#This Row],[THERMS]]</f>
        <v>1.184528990982822</v>
      </c>
      <c r="P37" s="153" t="s">
        <v>174</v>
      </c>
      <c r="Q37" s="153">
        <v>2023</v>
      </c>
      <c r="R37" s="153">
        <v>49838</v>
      </c>
      <c r="S37" s="153">
        <v>56853.25</v>
      </c>
      <c r="T37" s="153">
        <f>Table4[[#This Row],[REVENUE]]/Table4[[#This Row],[THERMS]]</f>
        <v>1.1407610658533649</v>
      </c>
    </row>
    <row r="38" spans="2:20" x14ac:dyDescent="0.25">
      <c r="B38" s="153" t="s">
        <v>72</v>
      </c>
      <c r="C38" s="153">
        <v>2023</v>
      </c>
      <c r="D38" s="153">
        <v>169590</v>
      </c>
      <c r="E38" s="153">
        <v>216817.64999999997</v>
      </c>
      <c r="F38" s="153">
        <f>Table2[[#This Row],[REVENUE]]/Table2[[#This Row],[THERMS]]</f>
        <v>1.2784813373430035</v>
      </c>
      <c r="I38" s="153" t="s">
        <v>72</v>
      </c>
      <c r="J38" s="153">
        <v>2023</v>
      </c>
      <c r="K38" s="153">
        <v>41163</v>
      </c>
      <c r="L38" s="153">
        <v>48757.79</v>
      </c>
      <c r="M38" s="153">
        <f>Table3[[#This Row],[REVENUE]]/Table3[[#This Row],[THERMS]]</f>
        <v>1.1845052595777761</v>
      </c>
      <c r="P38" s="153" t="s">
        <v>72</v>
      </c>
      <c r="Q38" s="153">
        <v>2023</v>
      </c>
      <c r="R38" s="153">
        <v>56946</v>
      </c>
      <c r="S38" s="153">
        <v>64628.29</v>
      </c>
      <c r="T38" s="153">
        <f>Table4[[#This Row],[REVENUE]]/Table4[[#This Row],[THERMS]]</f>
        <v>1.1349048221121765</v>
      </c>
    </row>
    <row r="39" spans="2:20" x14ac:dyDescent="0.25">
      <c r="B39" s="153" t="s">
        <v>274</v>
      </c>
      <c r="C39" s="153">
        <v>2023</v>
      </c>
      <c r="D39" s="153">
        <v>114772</v>
      </c>
      <c r="E39" s="153">
        <v>147062.43999999994</v>
      </c>
      <c r="F39" s="153">
        <f>Table2[[#This Row],[REVENUE]]/Table2[[#This Row],[THERMS]]</f>
        <v>1.2813442303000726</v>
      </c>
      <c r="I39" s="153" t="s">
        <v>274</v>
      </c>
      <c r="J39" s="153">
        <v>2023</v>
      </c>
      <c r="K39" s="153">
        <v>33488</v>
      </c>
      <c r="L39" s="153">
        <v>39687.86</v>
      </c>
      <c r="M39" s="153">
        <f>Table3[[#This Row],[REVENUE]]/Table3[[#This Row],[THERMS]]</f>
        <v>1.1851367654085045</v>
      </c>
      <c r="P39" s="153" t="s">
        <v>274</v>
      </c>
      <c r="Q39" s="153">
        <v>2023</v>
      </c>
      <c r="R39" s="153">
        <v>40292</v>
      </c>
      <c r="S39" s="153">
        <v>46090.97</v>
      </c>
      <c r="T39" s="153">
        <f>Table4[[#This Row],[REVENUE]]/Table4[[#This Row],[THERMS]]</f>
        <v>1.1439236076640524</v>
      </c>
    </row>
    <row r="40" spans="2:20" x14ac:dyDescent="0.25">
      <c r="B40" s="153" t="s">
        <v>62</v>
      </c>
      <c r="C40" s="153">
        <v>2023</v>
      </c>
      <c r="D40" s="153">
        <v>92076</v>
      </c>
      <c r="E40" s="153">
        <v>118007.25999999988</v>
      </c>
      <c r="F40" s="153">
        <f>Table2[[#This Row],[REVENUE]]/Table2[[#This Row],[THERMS]]</f>
        <v>1.2816288718015538</v>
      </c>
      <c r="I40" s="153" t="s">
        <v>62</v>
      </c>
      <c r="J40" s="153">
        <v>2023</v>
      </c>
      <c r="K40" s="153">
        <v>15583</v>
      </c>
      <c r="L40" s="153">
        <v>18526.810000000001</v>
      </c>
      <c r="M40" s="153">
        <f>Table3[[#This Row],[REVENUE]]/Table3[[#This Row],[THERMS]]</f>
        <v>1.1889116344734647</v>
      </c>
      <c r="P40" s="153" t="s">
        <v>62</v>
      </c>
      <c r="Q40" s="153">
        <v>2023</v>
      </c>
      <c r="R40" s="153">
        <v>25191</v>
      </c>
      <c r="S40" s="153">
        <v>29003.239999999998</v>
      </c>
      <c r="T40" s="153">
        <f>Table4[[#This Row],[REVENUE]]/Table4[[#This Row],[THERMS]]</f>
        <v>1.1513334127267674</v>
      </c>
    </row>
    <row r="43" spans="2:20" x14ac:dyDescent="0.25">
      <c r="B43" s="288" t="s">
        <v>242</v>
      </c>
      <c r="C43" s="288" t="s">
        <v>276</v>
      </c>
      <c r="D43" s="288" t="s">
        <v>277</v>
      </c>
      <c r="I43" s="288" t="s">
        <v>242</v>
      </c>
      <c r="J43" s="288" t="s">
        <v>276</v>
      </c>
      <c r="K43" s="288" t="s">
        <v>277</v>
      </c>
      <c r="P43" s="288" t="s">
        <v>242</v>
      </c>
      <c r="Q43" s="288" t="s">
        <v>276</v>
      </c>
      <c r="R43" s="288" t="s">
        <v>277</v>
      </c>
    </row>
    <row r="44" spans="2:20" x14ac:dyDescent="0.25">
      <c r="B44" s="153" t="s">
        <v>284</v>
      </c>
      <c r="C44" s="295">
        <f>SUM(D5:D16)</f>
        <v>883426</v>
      </c>
      <c r="D44" s="296">
        <f>SUM(E5:E16)</f>
        <v>847396.35</v>
      </c>
      <c r="I44" s="153" t="s">
        <v>284</v>
      </c>
      <c r="J44" s="295">
        <f>SUM(K5:K16)</f>
        <v>182188</v>
      </c>
      <c r="K44" s="296">
        <f>SUM(L5:L16)</f>
        <v>144532.76999999999</v>
      </c>
      <c r="P44" s="153" t="s">
        <v>284</v>
      </c>
      <c r="Q44" s="295">
        <f>SUM(R5:R16)</f>
        <v>357585</v>
      </c>
      <c r="R44" s="296">
        <f>SUM(S5:S16)</f>
        <v>97356.700000000012</v>
      </c>
    </row>
    <row r="45" spans="2:20" x14ac:dyDescent="0.25">
      <c r="B45" s="153" t="s">
        <v>285</v>
      </c>
      <c r="C45" s="295">
        <f>SUM(D17:D28)</f>
        <v>947386</v>
      </c>
      <c r="D45" s="296">
        <f>SUM(E17:E28)</f>
        <v>1024869.5399999999</v>
      </c>
      <c r="I45" s="153" t="s">
        <v>285</v>
      </c>
      <c r="J45" s="295">
        <f>SUM(K17:K28)</f>
        <v>237804</v>
      </c>
      <c r="K45" s="296">
        <f>SUM(L17:L28)</f>
        <v>221931.36000000002</v>
      </c>
      <c r="P45" s="153" t="s">
        <v>285</v>
      </c>
      <c r="Q45" s="295">
        <f>SUM(R17:R28)</f>
        <v>382951</v>
      </c>
      <c r="R45" s="296">
        <f>SUM(S17:S28)</f>
        <v>114417.37999999999</v>
      </c>
    </row>
    <row r="46" spans="2:20" x14ac:dyDescent="0.25">
      <c r="B46" s="153" t="s">
        <v>286</v>
      </c>
      <c r="C46" s="295">
        <f>SUM(D29:D40)</f>
        <v>1029326</v>
      </c>
      <c r="D46" s="296">
        <v>0</v>
      </c>
      <c r="I46" s="153" t="s">
        <v>286</v>
      </c>
      <c r="J46" s="295">
        <f>SUM(K29:K40)</f>
        <v>277310</v>
      </c>
      <c r="K46" s="297">
        <v>0</v>
      </c>
      <c r="P46" s="153" t="s">
        <v>286</v>
      </c>
      <c r="Q46" s="295">
        <f>SUM(R29:R40)</f>
        <v>377773</v>
      </c>
      <c r="R46" s="296">
        <v>0</v>
      </c>
    </row>
    <row r="48" spans="2:20" x14ac:dyDescent="0.25">
      <c r="C48" s="153">
        <f>(C46-C44)/C44</f>
        <v>0.16515248589015943</v>
      </c>
      <c r="Q48" s="153">
        <f>(Q46-Q44)/Q44</f>
        <v>5.6456506844526473E-2</v>
      </c>
    </row>
    <row r="49" spans="2:18" x14ac:dyDescent="0.25">
      <c r="B49" s="288" t="s">
        <v>287</v>
      </c>
      <c r="C49" s="153">
        <f>AVERAGE(Table5[THERMS])</f>
        <v>953379.33333333337</v>
      </c>
      <c r="I49" s="288" t="s">
        <v>287</v>
      </c>
      <c r="J49" s="153">
        <f>AVERAGE(Table6[THERMS])</f>
        <v>232434</v>
      </c>
      <c r="P49" s="288" t="s">
        <v>287</v>
      </c>
      <c r="Q49" s="295">
        <f>AVERAGE(Q44:Q46)</f>
        <v>372769.66666666669</v>
      </c>
    </row>
    <row r="51" spans="2:18" x14ac:dyDescent="0.25">
      <c r="C51" s="288" t="s">
        <v>218</v>
      </c>
      <c r="D51" s="288" t="s">
        <v>192</v>
      </c>
      <c r="J51" s="288" t="s">
        <v>218</v>
      </c>
      <c r="K51" s="288" t="s">
        <v>192</v>
      </c>
      <c r="Q51" s="288" t="s">
        <v>218</v>
      </c>
      <c r="R51" s="288" t="s">
        <v>192</v>
      </c>
    </row>
    <row r="52" spans="2:18" x14ac:dyDescent="0.25">
      <c r="B52" s="288" t="s">
        <v>173</v>
      </c>
      <c r="C52" s="16">
        <f>AVERAGEIF(Table2[MONTH],B52,Table2[THERMS])</f>
        <v>167430.33333333334</v>
      </c>
      <c r="D52" s="25">
        <f>AVERAGEIF(Table2[MONTH],B52,Table2[REVENUE])</f>
        <v>183773.1166666667</v>
      </c>
      <c r="I52" s="288" t="s">
        <v>173</v>
      </c>
      <c r="J52" s="16">
        <f>AVERAGEIF(Table3[MONTH],I52,Table3[THERMS])</f>
        <v>37392.333333333336</v>
      </c>
      <c r="K52" s="25">
        <f>AVERAGEIF(Table3[MONTH],I52,Table3[REVENUE])</f>
        <v>37912.373333333329</v>
      </c>
      <c r="P52" s="288" t="s">
        <v>173</v>
      </c>
      <c r="Q52" s="16">
        <f>AVERAGEIF(Table4[MONTH],P52,Table4[THERMS])</f>
        <v>60150</v>
      </c>
      <c r="R52" s="25">
        <f>AVERAGEIF(Table4[MONTH],P52,Table4[REVENUE])</f>
        <v>33895.799999999996</v>
      </c>
    </row>
    <row r="53" spans="2:18" x14ac:dyDescent="0.25">
      <c r="B53" s="288" t="s">
        <v>174</v>
      </c>
      <c r="C53" s="16">
        <f>AVERAGEIF(Table2[MONTH],B53,Table2[THERMS])</f>
        <v>132205.66666666666</v>
      </c>
      <c r="D53" s="25">
        <f>AVERAGEIF(Table2[MONTH],B53,Table2[REVENUE])</f>
        <v>147905.61333333331</v>
      </c>
      <c r="I53" s="288" t="s">
        <v>174</v>
      </c>
      <c r="J53" s="16">
        <f>AVERAGEIF(Table3[MONTH],I53,Table3[THERMS])</f>
        <v>34675.666666666664</v>
      </c>
      <c r="K53" s="25">
        <f>AVERAGEIF(Table3[MONTH],I53,Table3[REVENUE])</f>
        <v>34685.463333333333</v>
      </c>
      <c r="P53" s="288" t="s">
        <v>174</v>
      </c>
      <c r="Q53" s="16">
        <f>AVERAGEIF(Table4[MONTH],P53,Table4[THERMS])</f>
        <v>50036</v>
      </c>
      <c r="R53" s="25">
        <f>AVERAGEIF(Table4[MONTH],P53,Table4[REVENUE])</f>
        <v>28274.573333333334</v>
      </c>
    </row>
    <row r="54" spans="2:18" x14ac:dyDescent="0.25">
      <c r="B54" s="288" t="s">
        <v>72</v>
      </c>
      <c r="C54" s="16">
        <f>AVERAGEIF(Table2[MONTH],B54,Table2[THERMS])</f>
        <v>153408.33333333334</v>
      </c>
      <c r="D54" s="25">
        <f>AVERAGEIF(Table2[MONTH],B54,Table2[REVENUE])</f>
        <v>166976.55333333332</v>
      </c>
      <c r="I54" s="288" t="s">
        <v>72</v>
      </c>
      <c r="J54" s="16">
        <f>AVERAGEIF(Table3[MONTH],I54,Table3[THERMS])</f>
        <v>33256.666666666664</v>
      </c>
      <c r="K54" s="25">
        <f>AVERAGEIF(Table3[MONTH],I54,Table3[REVENUE])</f>
        <v>33860.83</v>
      </c>
      <c r="P54" s="288" t="s">
        <v>72</v>
      </c>
      <c r="Q54" s="16">
        <f>AVERAGEIF(Table4[MONTH],P54,Table4[THERMS])</f>
        <v>52474.333333333336</v>
      </c>
      <c r="R54" s="25">
        <f>AVERAGEIF(Table4[MONTH],P54,Table4[REVENUE])</f>
        <v>31627.849999999995</v>
      </c>
    </row>
    <row r="55" spans="2:18" x14ac:dyDescent="0.25">
      <c r="B55" s="288" t="s">
        <v>274</v>
      </c>
      <c r="C55" s="16">
        <f>AVERAGEIF(Table2[MONTH],B55,Table2[THERMS])</f>
        <v>115932.66666666667</v>
      </c>
      <c r="D55" s="25">
        <f>AVERAGEIF(Table2[MONTH],B55,Table2[REVENUE])</f>
        <v>125086.50333333331</v>
      </c>
      <c r="I55" s="288" t="s">
        <v>274</v>
      </c>
      <c r="J55" s="16">
        <f>AVERAGEIF(Table3[MONTH],I55,Table3[THERMS])</f>
        <v>26368</v>
      </c>
      <c r="K55" s="25">
        <f>AVERAGEIF(Table3[MONTH],I55,Table3[REVENUE])</f>
        <v>26492.926666666666</v>
      </c>
      <c r="P55" s="288" t="s">
        <v>274</v>
      </c>
      <c r="Q55" s="16">
        <f>AVERAGEIF(Table4[MONTH],P55,Table4[THERMS])</f>
        <v>40378.666666666664</v>
      </c>
      <c r="R55" s="25">
        <f>AVERAGEIF(Table4[MONTH],P55,Table4[REVENUE])</f>
        <v>23497.35666666667</v>
      </c>
    </row>
    <row r="56" spans="2:18" x14ac:dyDescent="0.25">
      <c r="B56" s="288" t="s">
        <v>62</v>
      </c>
      <c r="C56" s="16">
        <f>AVERAGEIF(Table2[MONTH],B56,Table2[THERMS])</f>
        <v>81306.333333333328</v>
      </c>
      <c r="D56" s="25">
        <f>AVERAGEIF(Table2[MONTH],B56,Table2[REVENUE])</f>
        <v>89972.983333333294</v>
      </c>
      <c r="I56" s="288" t="s">
        <v>62</v>
      </c>
      <c r="J56" s="16">
        <f>AVERAGEIF(Table3[MONTH],I56,Table3[THERMS])</f>
        <v>15159</v>
      </c>
      <c r="K56" s="25">
        <f>AVERAGEIF(Table3[MONTH],I56,Table3[REVENUE])</f>
        <v>14806.863333333333</v>
      </c>
      <c r="P56" s="288" t="s">
        <v>62</v>
      </c>
      <c r="Q56" s="16">
        <f>AVERAGEIF(Table4[MONTH],P56,Table4[THERMS])</f>
        <v>25532.666666666668</v>
      </c>
      <c r="R56" s="25">
        <f>AVERAGEIF(Table4[MONTH],P56,Table4[REVENUE])</f>
        <v>14658.403333333334</v>
      </c>
    </row>
    <row r="57" spans="2:18" x14ac:dyDescent="0.25">
      <c r="B57" s="288" t="s">
        <v>280</v>
      </c>
      <c r="C57" s="16">
        <f>AVERAGEIF(Table2[MONTH],B57,Table2[THERMS])</f>
        <v>36191.666666666664</v>
      </c>
      <c r="D57" s="25">
        <f>AVERAGEIF(Table2[MONTH],B57,Table2[REVENUE])</f>
        <v>37889.123333333329</v>
      </c>
      <c r="I57" s="288" t="s">
        <v>280</v>
      </c>
      <c r="J57" s="16">
        <f>AVERAGEIF(Table3[MONTH],I57,Table3[THERMS])</f>
        <v>8781.6666666666661</v>
      </c>
      <c r="K57" s="25">
        <f>AVERAGEIF(Table3[MONTH],I57,Table3[REVENUE])</f>
        <v>7332.7433333333329</v>
      </c>
      <c r="P57" s="288" t="s">
        <v>280</v>
      </c>
      <c r="Q57" s="16">
        <f>AVERAGEIF(Table4[MONTH],P57,Table4[THERMS])</f>
        <v>15991</v>
      </c>
      <c r="R57" s="25">
        <f>AVERAGEIF(Table4[MONTH],P57,Table4[REVENUE])</f>
        <v>5177.7400000000007</v>
      </c>
    </row>
    <row r="58" spans="2:18" x14ac:dyDescent="0.25">
      <c r="B58" s="288" t="s">
        <v>64</v>
      </c>
      <c r="C58" s="16">
        <f>AVERAGEIF(Table2[MONTH],B58,Table2[THERMS])</f>
        <v>13435.333333333334</v>
      </c>
      <c r="D58" s="25">
        <f>AVERAGEIF(Table2[MONTH],B58,Table2[REVENUE])</f>
        <v>15005.353333333333</v>
      </c>
      <c r="I58" s="288" t="s">
        <v>64</v>
      </c>
      <c r="J58" s="16">
        <f>AVERAGEIF(Table3[MONTH],I58,Table3[THERMS])</f>
        <v>2747.3333333333335</v>
      </c>
      <c r="K58" s="25">
        <f>AVERAGEIF(Table3[MONTH],I58,Table3[REVENUE])</f>
        <v>2326.2433333333333</v>
      </c>
      <c r="P58" s="288" t="s">
        <v>64</v>
      </c>
      <c r="Q58" s="16">
        <f>AVERAGEIF(Table4[MONTH],P58,Table4[THERMS])</f>
        <v>9724.6666666666661</v>
      </c>
      <c r="R58" s="25">
        <f>AVERAGEIF(Table4[MONTH],P58,Table4[REVENUE])</f>
        <v>3704.2033333333334</v>
      </c>
    </row>
    <row r="59" spans="2:18" x14ac:dyDescent="0.25">
      <c r="B59" s="288" t="s">
        <v>65</v>
      </c>
      <c r="C59" s="16">
        <f>AVERAGEIF(Table2[MONTH],B59,Table2[THERMS])</f>
        <v>8964.6666666666661</v>
      </c>
      <c r="D59" s="25">
        <f>AVERAGEIF(Table2[MONTH],B59,Table2[REVENUE])</f>
        <v>12242.913333333338</v>
      </c>
      <c r="I59" s="288" t="s">
        <v>65</v>
      </c>
      <c r="J59" s="16">
        <f>AVERAGEIF(Table3[MONTH],I59,Table3[THERMS])</f>
        <v>3353</v>
      </c>
      <c r="K59" s="25">
        <f>AVERAGEIF(Table3[MONTH],I59,Table3[REVENUE])</f>
        <v>2838.4666666666667</v>
      </c>
      <c r="P59" s="288" t="s">
        <v>65</v>
      </c>
      <c r="Q59" s="16">
        <f>AVERAGEIF(Table4[MONTH],P59,Table4[THERMS])</f>
        <v>8255</v>
      </c>
      <c r="R59" s="25">
        <f>AVERAGEIF(Table4[MONTH],P59,Table4[REVENUE])</f>
        <v>2835.73</v>
      </c>
    </row>
    <row r="60" spans="2:18" x14ac:dyDescent="0.25">
      <c r="B60" s="288" t="s">
        <v>283</v>
      </c>
      <c r="C60" s="16">
        <f>AVERAGEIF(Table2[MONTH],B60,Table2[THERMS])</f>
        <v>9402.6666666666661</v>
      </c>
      <c r="D60" s="25">
        <f>AVERAGEIF(Table2[MONTH],B60,Table2[REVENUE])</f>
        <v>13146.183333333336</v>
      </c>
      <c r="I60" s="288" t="s">
        <v>283</v>
      </c>
      <c r="J60" s="16">
        <f>AVERAGEIF(Table3[MONTH],I60,Table3[THERMS])</f>
        <v>4135.666666666667</v>
      </c>
      <c r="K60" s="25">
        <f>AVERAGEIF(Table3[MONTH],I60,Table3[REVENUE])</f>
        <v>3429.3366666666666</v>
      </c>
      <c r="P60" s="288" t="s">
        <v>283</v>
      </c>
      <c r="Q60" s="16">
        <f>AVERAGEIF(Table4[MONTH],P60,Table4[THERMS])</f>
        <v>8790.6666666666661</v>
      </c>
      <c r="R60" s="25">
        <f>AVERAGEIF(Table4[MONTH],P60,Table4[REVENUE])</f>
        <v>2960.4033333333336</v>
      </c>
    </row>
    <row r="61" spans="2:18" x14ac:dyDescent="0.25">
      <c r="B61" s="288" t="s">
        <v>181</v>
      </c>
      <c r="C61" s="16">
        <f>AVERAGEIF(Table2[MONTH],B61,Table2[THERMS])</f>
        <v>18888.333333333332</v>
      </c>
      <c r="D61" s="25">
        <f>AVERAGEIF(Table2[MONTH],B61,Table2[REVENUE])</f>
        <v>24017.690000000006</v>
      </c>
      <c r="I61" s="288" t="s">
        <v>181</v>
      </c>
      <c r="J61" s="16">
        <f>AVERAGEIF(Table3[MONTH],I61,Table3[THERMS])</f>
        <v>8987</v>
      </c>
      <c r="K61" s="25">
        <f>AVERAGEIF(Table3[MONTH],I61,Table3[REVENUE])</f>
        <v>7438.5566666666664</v>
      </c>
      <c r="P61" s="288" t="s">
        <v>181</v>
      </c>
      <c r="Q61" s="16">
        <f>AVERAGEIF(Table4[MONTH],P61,Table4[THERMS])</f>
        <v>16876.333333333332</v>
      </c>
      <c r="R61" s="25">
        <f>AVERAGEIF(Table4[MONTH],P61,Table4[REVENUE])</f>
        <v>6764.2633333333333</v>
      </c>
    </row>
    <row r="62" spans="2:18" x14ac:dyDescent="0.25">
      <c r="B62" s="288" t="s">
        <v>182</v>
      </c>
      <c r="C62" s="16">
        <f>AVERAGEIF(Table2[MONTH],B62,Table2[THERMS])</f>
        <v>74929.333333333328</v>
      </c>
      <c r="D62" s="25">
        <f>AVERAGEIF(Table2[MONTH],B62,Table2[REVENUE])</f>
        <v>80287.320000000007</v>
      </c>
      <c r="I62" s="288" t="s">
        <v>182</v>
      </c>
      <c r="J62" s="16">
        <f>AVERAGEIF(Table3[MONTH],I62,Table3[THERMS])</f>
        <v>24757.333333333332</v>
      </c>
      <c r="K62" s="25">
        <f>AVERAGEIF(Table3[MONTH],I62,Table3[REVENUE])</f>
        <v>24122.173333333336</v>
      </c>
      <c r="P62" s="288" t="s">
        <v>182</v>
      </c>
      <c r="Q62" s="16">
        <f>AVERAGEIF(Table4[MONTH],P62,Table4[THERMS])</f>
        <v>35346.666666666664</v>
      </c>
      <c r="R62" s="25">
        <f>AVERAGEIF(Table4[MONTH],P62,Table4[REVENUE])</f>
        <v>17957.25</v>
      </c>
    </row>
    <row r="63" spans="2:18" x14ac:dyDescent="0.25">
      <c r="B63" s="288" t="s">
        <v>183</v>
      </c>
      <c r="C63" s="16">
        <f>AVERAGEIF(Table2[MONTH],B63,Table2[THERMS])</f>
        <v>141284</v>
      </c>
      <c r="D63" s="25">
        <f>AVERAGEIF(Table2[MONTH],B63,Table2[REVENUE])</f>
        <v>156482.81999999998</v>
      </c>
      <c r="I63" s="288" t="s">
        <v>183</v>
      </c>
      <c r="J63" s="16">
        <f>AVERAGEIF(Table3[MONTH],I63,Table3[THERMS])</f>
        <v>32820.333333333336</v>
      </c>
      <c r="K63" s="25">
        <f>AVERAGEIF(Table3[MONTH],I63,Table3[REVENUE])</f>
        <v>33531.206666666665</v>
      </c>
      <c r="P63" s="288" t="s">
        <v>183</v>
      </c>
      <c r="Q63" s="16">
        <f>AVERAGEIF(Table4[MONTH],P63,Table4[THERMS])</f>
        <v>49213.666666666664</v>
      </c>
      <c r="R63" s="25">
        <f>AVERAGEIF(Table4[MONTH],P63,Table4[REVENUE])</f>
        <v>28875.26</v>
      </c>
    </row>
  </sheetData>
  <mergeCells count="3">
    <mergeCell ref="W4:AB4"/>
    <mergeCell ref="W5:X5"/>
    <mergeCell ref="AA5:AB5"/>
  </mergeCells>
  <phoneticPr fontId="28" type="noConversion"/>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96AA9-B1AF-4637-AAFC-852DF733D290}">
  <sheetPr codeName="Sheet10"/>
  <dimension ref="A1:M184"/>
  <sheetViews>
    <sheetView workbookViewId="0">
      <selection activeCell="D9" sqref="D9"/>
    </sheetView>
  </sheetViews>
  <sheetFormatPr defaultColWidth="11.85546875" defaultRowHeight="15" x14ac:dyDescent="0.25"/>
  <cols>
    <col min="1" max="1" width="11.85546875" style="56"/>
    <col min="2" max="2" width="27.28515625" style="57" customWidth="1"/>
    <col min="3" max="3" width="15" style="59" customWidth="1"/>
    <col min="4" max="6" width="11.85546875" style="57"/>
    <col min="7" max="7" width="14" style="57" bestFit="1" customWidth="1"/>
    <col min="8" max="8" width="14" style="57" customWidth="1"/>
    <col min="9" max="9" width="11.85546875" style="57"/>
    <col min="10" max="10" width="15.5703125" style="57" customWidth="1"/>
    <col min="11" max="11" width="15.7109375" style="57" customWidth="1"/>
    <col min="12" max="12" width="17.140625" style="60" customWidth="1"/>
    <col min="13" max="13" width="14.5703125" style="61" customWidth="1"/>
    <col min="14" max="16384" width="11.85546875" style="57"/>
  </cols>
  <sheetData>
    <row r="1" spans="1:13" x14ac:dyDescent="0.25">
      <c r="A1" s="56" t="s">
        <v>0</v>
      </c>
      <c r="B1" s="56"/>
      <c r="C1" s="56"/>
      <c r="D1" s="56"/>
      <c r="E1" s="56"/>
      <c r="F1" s="56"/>
      <c r="G1" s="56"/>
      <c r="H1" s="56"/>
      <c r="I1" s="56"/>
      <c r="J1" s="56"/>
      <c r="K1" s="56"/>
      <c r="L1" s="56"/>
      <c r="M1" s="56"/>
    </row>
    <row r="2" spans="1:13" ht="18" customHeight="1" x14ac:dyDescent="0.25">
      <c r="A2" s="56" t="s">
        <v>288</v>
      </c>
      <c r="B2" s="56"/>
      <c r="C2" s="56"/>
      <c r="D2" s="56"/>
      <c r="E2" s="56"/>
      <c r="F2" s="56"/>
      <c r="G2" s="56"/>
      <c r="H2" s="56"/>
      <c r="I2" s="56"/>
      <c r="J2" s="56"/>
      <c r="K2" s="56"/>
      <c r="L2" s="56"/>
      <c r="M2" s="56"/>
    </row>
    <row r="3" spans="1:13" ht="21" customHeight="1" thickBot="1" x14ac:dyDescent="0.45">
      <c r="A3" s="56" t="s">
        <v>289</v>
      </c>
      <c r="B3" s="58"/>
    </row>
    <row r="4" spans="1:13" s="63" customFormat="1" ht="60.75" thickBot="1" x14ac:dyDescent="0.3">
      <c r="A4" s="62"/>
      <c r="C4" s="64" t="s">
        <v>78</v>
      </c>
      <c r="D4" s="65" t="s">
        <v>290</v>
      </c>
      <c r="E4" s="66" t="s">
        <v>291</v>
      </c>
      <c r="F4" s="66" t="s">
        <v>292</v>
      </c>
      <c r="G4" s="66" t="s">
        <v>293</v>
      </c>
      <c r="H4" s="66" t="s">
        <v>294</v>
      </c>
      <c r="I4" s="66" t="s">
        <v>295</v>
      </c>
      <c r="J4" s="66" t="s">
        <v>296</v>
      </c>
      <c r="K4" s="66" t="s">
        <v>297</v>
      </c>
      <c r="L4" s="66" t="s">
        <v>298</v>
      </c>
      <c r="M4" s="67" t="s">
        <v>299</v>
      </c>
    </row>
    <row r="5" spans="1:13" x14ac:dyDescent="0.25">
      <c r="A5" s="56" t="s">
        <v>300</v>
      </c>
      <c r="D5" s="68"/>
      <c r="L5" s="57"/>
      <c r="M5" s="69"/>
    </row>
    <row r="6" spans="1:13" x14ac:dyDescent="0.25">
      <c r="B6" s="57" t="s">
        <v>78</v>
      </c>
      <c r="C6" s="70">
        <v>5</v>
      </c>
      <c r="D6" s="71"/>
      <c r="L6" s="57"/>
      <c r="M6" s="69"/>
    </row>
    <row r="7" spans="1:13" x14ac:dyDescent="0.25">
      <c r="B7" s="57" t="s">
        <v>301</v>
      </c>
      <c r="D7" s="72">
        <v>0.33950999999999998</v>
      </c>
      <c r="E7" s="73">
        <v>0.63026000000000004</v>
      </c>
      <c r="F7" s="73">
        <v>0.26926</v>
      </c>
      <c r="G7" s="74">
        <v>-2.8700000000000002E-3</v>
      </c>
      <c r="H7" s="73">
        <v>1.238E-2</v>
      </c>
      <c r="I7" s="74">
        <v>1.35E-2</v>
      </c>
      <c r="J7" s="74">
        <v>-1.1390000000000001E-2</v>
      </c>
      <c r="K7" s="74">
        <v>1.7690000000000001E-2</v>
      </c>
      <c r="L7" s="74">
        <v>4.6559999999999997E-2</v>
      </c>
      <c r="M7" s="75">
        <f>+SUM(D7:L7)</f>
        <v>1.3149000000000002</v>
      </c>
    </row>
    <row r="8" spans="1:13" x14ac:dyDescent="0.25">
      <c r="A8" s="56" t="s">
        <v>302</v>
      </c>
      <c r="D8" s="72"/>
      <c r="E8" s="74"/>
      <c r="F8" s="74"/>
      <c r="G8" s="76"/>
      <c r="H8" s="74"/>
      <c r="I8" s="74"/>
      <c r="J8" s="74"/>
      <c r="K8" s="76"/>
      <c r="L8" s="74"/>
      <c r="M8" s="75"/>
    </row>
    <row r="9" spans="1:13" x14ac:dyDescent="0.25">
      <c r="B9" s="57" t="s">
        <v>78</v>
      </c>
      <c r="C9" s="70">
        <v>13</v>
      </c>
      <c r="D9" s="72"/>
      <c r="E9" s="74"/>
      <c r="F9" s="74"/>
      <c r="G9" s="76"/>
      <c r="H9" s="74"/>
      <c r="I9" s="74"/>
      <c r="J9" s="74"/>
      <c r="K9" s="76"/>
      <c r="L9" s="74"/>
      <c r="M9" s="75"/>
    </row>
    <row r="10" spans="1:13" x14ac:dyDescent="0.25">
      <c r="B10" s="57" t="s">
        <v>301</v>
      </c>
      <c r="D10" s="72">
        <v>0.28432000000000002</v>
      </c>
      <c r="E10" s="74">
        <v>0.62751000000000001</v>
      </c>
      <c r="F10" s="74">
        <v>0.26926</v>
      </c>
      <c r="G10" s="74">
        <v>-2.1900000000000001E-3</v>
      </c>
      <c r="H10" s="74">
        <v>9.4999999999999998E-3</v>
      </c>
      <c r="I10" s="74">
        <v>1.091E-2</v>
      </c>
      <c r="J10" s="74">
        <v>-2.197E-2</v>
      </c>
      <c r="K10" s="74">
        <v>1.0959999999999999E-2</v>
      </c>
      <c r="L10" s="74">
        <v>4.6559999999999997E-2</v>
      </c>
      <c r="M10" s="75">
        <f t="shared" ref="M10:M32" si="0">+SUM(D10:L10)</f>
        <v>1.2348600000000001</v>
      </c>
    </row>
    <row r="11" spans="1:13" x14ac:dyDescent="0.25">
      <c r="A11" s="56" t="s">
        <v>303</v>
      </c>
      <c r="D11" s="72"/>
      <c r="E11" s="74"/>
      <c r="F11" s="74"/>
      <c r="G11" s="76"/>
      <c r="H11" s="74"/>
      <c r="I11" s="74"/>
      <c r="J11" s="74"/>
      <c r="K11" s="76"/>
      <c r="L11" s="74"/>
      <c r="M11" s="75"/>
    </row>
    <row r="12" spans="1:13" x14ac:dyDescent="0.25">
      <c r="B12" s="57" t="s">
        <v>78</v>
      </c>
      <c r="C12" s="70">
        <v>125</v>
      </c>
      <c r="D12" s="72"/>
      <c r="E12" s="74"/>
      <c r="F12" s="74"/>
      <c r="G12" s="76"/>
      <c r="H12" s="74"/>
      <c r="I12" s="74"/>
      <c r="J12" s="74"/>
      <c r="K12" s="76"/>
      <c r="L12" s="74"/>
      <c r="M12" s="75"/>
    </row>
    <row r="13" spans="1:13" x14ac:dyDescent="0.25">
      <c r="B13" s="57" t="s">
        <v>304</v>
      </c>
      <c r="D13" s="72">
        <v>0.17424000000000001</v>
      </c>
      <c r="E13" s="74">
        <v>0.61394053077623278</v>
      </c>
      <c r="F13" s="74">
        <v>0.26926</v>
      </c>
      <c r="G13" s="74">
        <v>-1.15E-3</v>
      </c>
      <c r="H13" s="74">
        <v>5.1599999999999997E-3</v>
      </c>
      <c r="I13" s="74">
        <v>5.7200000000000003E-3</v>
      </c>
      <c r="J13" s="74">
        <v>3.3899999999999998E-3</v>
      </c>
      <c r="K13" s="74">
        <v>5.4099999999999999E-3</v>
      </c>
      <c r="L13" s="74">
        <v>4.6559999999999997E-2</v>
      </c>
      <c r="M13" s="75">
        <f t="shared" si="0"/>
        <v>1.1225305307762328</v>
      </c>
    </row>
    <row r="14" spans="1:13" x14ac:dyDescent="0.25">
      <c r="B14" s="57" t="s">
        <v>305</v>
      </c>
      <c r="D14" s="72">
        <v>0.13550999999999999</v>
      </c>
      <c r="E14" s="74">
        <v>0.61394053077623278</v>
      </c>
      <c r="F14" s="74">
        <v>0.26926</v>
      </c>
      <c r="G14" s="74">
        <v>-1.15E-3</v>
      </c>
      <c r="H14" s="74">
        <v>5.1599999999999997E-3</v>
      </c>
      <c r="I14" s="74">
        <v>5.7200000000000003E-3</v>
      </c>
      <c r="J14" s="74">
        <v>3.3899999999999998E-3</v>
      </c>
      <c r="K14" s="74">
        <v>5.4099999999999999E-3</v>
      </c>
      <c r="L14" s="74">
        <v>4.6559999999999997E-2</v>
      </c>
      <c r="M14" s="75">
        <f t="shared" si="0"/>
        <v>1.0838005307762326</v>
      </c>
    </row>
    <row r="15" spans="1:13" x14ac:dyDescent="0.25">
      <c r="B15" s="57" t="s">
        <v>306</v>
      </c>
      <c r="D15" s="72">
        <v>3.9699999999999999E-2</v>
      </c>
      <c r="E15" s="74">
        <v>0.61394053077623278</v>
      </c>
      <c r="F15" s="74">
        <v>0.26926</v>
      </c>
      <c r="G15" s="74">
        <v>-1.15E-3</v>
      </c>
      <c r="H15" s="74">
        <v>5.1599999999999997E-3</v>
      </c>
      <c r="I15" s="74">
        <v>5.7200000000000003E-3</v>
      </c>
      <c r="J15" s="74">
        <v>3.3899999999999998E-3</v>
      </c>
      <c r="K15" s="74">
        <v>5.4099999999999999E-3</v>
      </c>
      <c r="L15" s="74">
        <v>4.6559999999999997E-2</v>
      </c>
      <c r="M15" s="75">
        <f t="shared" si="0"/>
        <v>0.98799053077623289</v>
      </c>
    </row>
    <row r="16" spans="1:13" x14ac:dyDescent="0.25">
      <c r="A16" s="56" t="s">
        <v>307</v>
      </c>
      <c r="D16" s="72"/>
      <c r="E16" s="74"/>
      <c r="F16" s="74"/>
      <c r="G16" s="76"/>
      <c r="H16" s="74"/>
      <c r="I16" s="74"/>
      <c r="J16" s="74"/>
      <c r="K16" s="76"/>
      <c r="L16" s="74"/>
      <c r="M16" s="75"/>
    </row>
    <row r="17" spans="1:13" x14ac:dyDescent="0.25">
      <c r="B17" s="57" t="s">
        <v>78</v>
      </c>
      <c r="C17" s="70">
        <v>60</v>
      </c>
      <c r="D17" s="72"/>
      <c r="E17" s="74"/>
      <c r="F17" s="74"/>
      <c r="G17" s="76"/>
      <c r="H17" s="74"/>
      <c r="I17" s="74"/>
      <c r="J17" s="74"/>
      <c r="K17" s="76"/>
      <c r="L17" s="74"/>
      <c r="M17" s="75"/>
    </row>
    <row r="18" spans="1:13" x14ac:dyDescent="0.25">
      <c r="B18" s="57" t="s">
        <v>308</v>
      </c>
      <c r="D18" s="72">
        <v>0.21929000000000001</v>
      </c>
      <c r="E18" s="74">
        <v>0.61394053077623278</v>
      </c>
      <c r="F18" s="74">
        <v>0.26926</v>
      </c>
      <c r="G18" s="74">
        <v>-1.39E-3</v>
      </c>
      <c r="H18" s="74">
        <v>6.0000000000000001E-3</v>
      </c>
      <c r="I18" s="74">
        <v>6.7499999999999999E-3</v>
      </c>
      <c r="J18" s="74">
        <v>-5.9999999999999995E-4</v>
      </c>
      <c r="K18" s="74">
        <v>9.1500000000000001E-3</v>
      </c>
      <c r="L18" s="74">
        <v>4.6559999999999997E-2</v>
      </c>
      <c r="M18" s="75">
        <f t="shared" si="0"/>
        <v>1.1689605307762327</v>
      </c>
    </row>
    <row r="19" spans="1:13" x14ac:dyDescent="0.25">
      <c r="B19" s="57" t="s">
        <v>309</v>
      </c>
      <c r="D19" s="72">
        <v>0.17998</v>
      </c>
      <c r="E19" s="73">
        <v>0.61394053077623278</v>
      </c>
      <c r="F19" s="73">
        <v>0.26926</v>
      </c>
      <c r="G19" s="74">
        <v>-1.39E-3</v>
      </c>
      <c r="H19" s="73">
        <v>6.0000000000000001E-3</v>
      </c>
      <c r="I19" s="74">
        <v>6.7499999999999999E-3</v>
      </c>
      <c r="J19" s="74">
        <v>-5.9999999999999995E-4</v>
      </c>
      <c r="K19" s="74">
        <v>9.1500000000000001E-3</v>
      </c>
      <c r="L19" s="74">
        <v>4.6559999999999997E-2</v>
      </c>
      <c r="M19" s="75">
        <f t="shared" si="0"/>
        <v>1.1296505307762328</v>
      </c>
    </row>
    <row r="20" spans="1:13" x14ac:dyDescent="0.25">
      <c r="B20" s="57" t="s">
        <v>310</v>
      </c>
      <c r="D20" s="72">
        <v>0.17404</v>
      </c>
      <c r="E20" s="73">
        <v>0.61394053077623278</v>
      </c>
      <c r="F20" s="73">
        <v>0.26926</v>
      </c>
      <c r="G20" s="74">
        <v>-1.39E-3</v>
      </c>
      <c r="H20" s="73">
        <v>6.0000000000000001E-3</v>
      </c>
      <c r="I20" s="74">
        <v>6.7499999999999999E-3</v>
      </c>
      <c r="J20" s="74">
        <v>-5.9999999999999995E-4</v>
      </c>
      <c r="K20" s="74">
        <v>9.1500000000000001E-3</v>
      </c>
      <c r="L20" s="74">
        <v>4.6559999999999997E-2</v>
      </c>
      <c r="M20" s="75">
        <f t="shared" si="0"/>
        <v>1.1237105307762327</v>
      </c>
    </row>
    <row r="21" spans="1:13" x14ac:dyDescent="0.25">
      <c r="A21" s="56" t="s">
        <v>311</v>
      </c>
      <c r="D21" s="72"/>
      <c r="E21" s="74"/>
      <c r="F21" s="74"/>
      <c r="G21" s="76"/>
      <c r="H21" s="74"/>
      <c r="I21" s="74"/>
      <c r="J21" s="74"/>
      <c r="K21" s="76"/>
      <c r="L21" s="74"/>
      <c r="M21" s="75"/>
    </row>
    <row r="22" spans="1:13" x14ac:dyDescent="0.25">
      <c r="B22" s="57" t="s">
        <v>78</v>
      </c>
      <c r="C22" s="70">
        <v>163</v>
      </c>
      <c r="D22" s="72"/>
      <c r="E22" s="74"/>
      <c r="F22" s="74"/>
      <c r="G22" s="76"/>
      <c r="H22" s="74"/>
      <c r="I22" s="74"/>
      <c r="J22" s="74"/>
      <c r="K22" s="76"/>
      <c r="L22" s="74"/>
      <c r="M22" s="75"/>
    </row>
    <row r="23" spans="1:13" x14ac:dyDescent="0.25">
      <c r="B23" s="57" t="s">
        <v>312</v>
      </c>
      <c r="D23" s="72">
        <v>9.8379999999999995E-2</v>
      </c>
      <c r="E23" s="74">
        <v>0.6004226342111596</v>
      </c>
      <c r="F23" s="74">
        <v>0.26926</v>
      </c>
      <c r="G23" s="74">
        <v>-4.2000000000000002E-4</v>
      </c>
      <c r="H23" s="74">
        <v>2.14E-3</v>
      </c>
      <c r="I23" s="74">
        <v>2.0300000000000001E-3</v>
      </c>
      <c r="J23" s="74">
        <v>-4.0000000000000001E-3</v>
      </c>
      <c r="K23" s="74">
        <v>6.13E-3</v>
      </c>
      <c r="L23" s="74">
        <v>4.6559999999999997E-2</v>
      </c>
      <c r="M23" s="75">
        <f t="shared" si="0"/>
        <v>1.0205026342111596</v>
      </c>
    </row>
    <row r="24" spans="1:13" x14ac:dyDescent="0.25">
      <c r="B24" s="57" t="s">
        <v>313</v>
      </c>
      <c r="D24" s="72">
        <v>3.3009999999999998E-2</v>
      </c>
      <c r="E24" s="73">
        <v>0.6004226342111596</v>
      </c>
      <c r="F24" s="73">
        <v>0.26926</v>
      </c>
      <c r="G24" s="74">
        <v>-4.2000000000000002E-4</v>
      </c>
      <c r="H24" s="73">
        <v>2.14E-3</v>
      </c>
      <c r="I24" s="74">
        <v>2.0300000000000001E-3</v>
      </c>
      <c r="J24" s="74">
        <v>-4.0000000000000001E-3</v>
      </c>
      <c r="K24" s="74">
        <v>6.13E-3</v>
      </c>
      <c r="L24" s="74">
        <v>4.6559999999999997E-2</v>
      </c>
      <c r="M24" s="75">
        <f t="shared" si="0"/>
        <v>0.95513263421115968</v>
      </c>
    </row>
    <row r="25" spans="1:13" x14ac:dyDescent="0.25">
      <c r="A25" s="56" t="s">
        <v>314</v>
      </c>
      <c r="D25" s="72"/>
      <c r="E25" s="74"/>
      <c r="F25" s="74"/>
      <c r="G25" s="76"/>
      <c r="H25" s="74"/>
      <c r="I25" s="74"/>
      <c r="J25" s="74"/>
      <c r="K25" s="74"/>
      <c r="L25" s="74"/>
      <c r="M25" s="75"/>
    </row>
    <row r="26" spans="1:13" x14ac:dyDescent="0.25">
      <c r="B26" s="57" t="s">
        <v>315</v>
      </c>
      <c r="D26" s="72"/>
      <c r="E26" s="77"/>
      <c r="F26" s="77"/>
      <c r="G26" s="76"/>
      <c r="H26" s="74"/>
      <c r="I26" s="74"/>
      <c r="J26" s="74"/>
      <c r="K26" s="74"/>
      <c r="L26" s="74"/>
      <c r="M26" s="75"/>
    </row>
    <row r="27" spans="1:13" x14ac:dyDescent="0.25">
      <c r="B27" s="57" t="s">
        <v>78</v>
      </c>
      <c r="C27" s="70">
        <v>625</v>
      </c>
      <c r="D27" s="72"/>
      <c r="E27" s="77"/>
      <c r="F27" s="77"/>
      <c r="G27" s="76"/>
      <c r="H27" s="74"/>
      <c r="I27" s="74"/>
      <c r="J27" s="74"/>
      <c r="K27" s="74"/>
      <c r="L27" s="74"/>
      <c r="M27" s="75"/>
    </row>
    <row r="28" spans="1:13" x14ac:dyDescent="0.25">
      <c r="B28" s="57" t="s">
        <v>107</v>
      </c>
      <c r="C28" s="59">
        <v>4.0000000000000002E-4</v>
      </c>
      <c r="D28" s="72">
        <v>4.0000000000000002E-4</v>
      </c>
      <c r="E28" s="77"/>
      <c r="F28" s="77"/>
      <c r="G28" s="76"/>
      <c r="H28" s="74"/>
      <c r="I28" s="74"/>
      <c r="J28" s="74"/>
      <c r="K28" s="74"/>
      <c r="L28" s="74"/>
      <c r="M28" s="75">
        <f t="shared" si="0"/>
        <v>4.0000000000000002E-4</v>
      </c>
    </row>
    <row r="29" spans="1:13" x14ac:dyDescent="0.25">
      <c r="B29" s="57" t="s">
        <v>316</v>
      </c>
      <c r="D29" s="72">
        <v>6.4630000000000007E-2</v>
      </c>
      <c r="E29" s="77"/>
      <c r="F29" s="77"/>
      <c r="G29" s="74">
        <v>-2.4000000000000001E-4</v>
      </c>
      <c r="H29" s="74">
        <v>1.0200000000000001E-3</v>
      </c>
      <c r="I29" s="74">
        <v>1.23E-3</v>
      </c>
      <c r="J29" s="74">
        <v>0</v>
      </c>
      <c r="K29" s="74">
        <v>1.39E-3</v>
      </c>
      <c r="L29" s="74">
        <v>0</v>
      </c>
      <c r="M29" s="75">
        <f t="shared" si="0"/>
        <v>6.8029999999999993E-2</v>
      </c>
    </row>
    <row r="30" spans="1:13" x14ac:dyDescent="0.25">
      <c r="B30" s="57" t="s">
        <v>317</v>
      </c>
      <c r="D30" s="72">
        <v>2.5420000000000002E-2</v>
      </c>
      <c r="E30" s="77"/>
      <c r="F30" s="77"/>
      <c r="G30" s="74">
        <v>-2.4000000000000001E-4</v>
      </c>
      <c r="H30" s="74">
        <v>1.0200000000000001E-3</v>
      </c>
      <c r="I30" s="74">
        <v>1.23E-3</v>
      </c>
      <c r="J30" s="74"/>
      <c r="K30" s="74">
        <f>+K29</f>
        <v>1.39E-3</v>
      </c>
      <c r="L30" s="74"/>
      <c r="M30" s="75">
        <f t="shared" si="0"/>
        <v>2.8819999999999998E-2</v>
      </c>
    </row>
    <row r="31" spans="1:13" x14ac:dyDescent="0.25">
      <c r="B31" s="57" t="s">
        <v>317</v>
      </c>
      <c r="D31" s="72">
        <v>1.6590000000000001E-2</v>
      </c>
      <c r="E31" s="77"/>
      <c r="F31" s="77"/>
      <c r="G31" s="74">
        <v>-2.4000000000000001E-4</v>
      </c>
      <c r="H31" s="74">
        <v>1.0200000000000001E-3</v>
      </c>
      <c r="I31" s="74">
        <v>1.23E-3</v>
      </c>
      <c r="J31" s="74"/>
      <c r="K31" s="74">
        <f>+K29</f>
        <v>1.39E-3</v>
      </c>
      <c r="L31" s="74"/>
      <c r="M31" s="75">
        <f t="shared" si="0"/>
        <v>1.9989999999999997E-2</v>
      </c>
    </row>
    <row r="32" spans="1:13" ht="15.75" thickBot="1" x14ac:dyDescent="0.3">
      <c r="B32" s="57" t="s">
        <v>318</v>
      </c>
      <c r="D32" s="78">
        <v>9.41E-3</v>
      </c>
      <c r="E32" s="79"/>
      <c r="F32" s="79"/>
      <c r="G32" s="80">
        <v>-2.4000000000000001E-4</v>
      </c>
      <c r="H32" s="80">
        <v>1.0200000000000001E-3</v>
      </c>
      <c r="I32" s="80">
        <v>1.23E-3</v>
      </c>
      <c r="J32" s="80"/>
      <c r="K32" s="80">
        <f>+K29</f>
        <v>1.39E-3</v>
      </c>
      <c r="L32" s="80"/>
      <c r="M32" s="81">
        <f t="shared" si="0"/>
        <v>1.281E-2</v>
      </c>
    </row>
    <row r="36" spans="1:13" x14ac:dyDescent="0.25">
      <c r="A36" s="57"/>
      <c r="D36" s="74"/>
      <c r="E36" s="74"/>
      <c r="F36" s="74"/>
      <c r="G36" s="74"/>
      <c r="H36" s="74"/>
      <c r="I36" s="74"/>
      <c r="J36" s="74"/>
      <c r="K36" s="74"/>
      <c r="L36" s="82"/>
      <c r="M36" s="57"/>
    </row>
    <row r="54" spans="3:12" s="57" customFormat="1" x14ac:dyDescent="0.25">
      <c r="C54" s="83"/>
      <c r="D54" s="74"/>
      <c r="E54" s="74"/>
      <c r="F54" s="74"/>
      <c r="G54" s="74"/>
      <c r="H54" s="74"/>
      <c r="I54" s="74"/>
      <c r="J54" s="74"/>
      <c r="K54" s="74"/>
      <c r="L54" s="82"/>
    </row>
    <row r="58" spans="3:12" s="57" customFormat="1" x14ac:dyDescent="0.25">
      <c r="C58" s="83"/>
      <c r="D58" s="74"/>
      <c r="E58" s="74"/>
      <c r="F58" s="74"/>
      <c r="G58" s="74"/>
      <c r="H58" s="74"/>
      <c r="I58" s="74"/>
      <c r="J58" s="74"/>
      <c r="K58" s="74"/>
      <c r="L58" s="82"/>
    </row>
    <row r="59" spans="3:12" s="57" customFormat="1" x14ac:dyDescent="0.25">
      <c r="C59" s="83"/>
      <c r="D59" s="74"/>
      <c r="E59" s="74"/>
      <c r="F59" s="74"/>
      <c r="G59" s="74"/>
      <c r="H59" s="74"/>
      <c r="I59" s="74"/>
      <c r="J59" s="74"/>
      <c r="K59" s="74"/>
      <c r="L59" s="82"/>
    </row>
    <row r="60" spans="3:12" s="57" customFormat="1" x14ac:dyDescent="0.25">
      <c r="C60" s="83"/>
      <c r="D60" s="74"/>
      <c r="E60" s="74"/>
      <c r="F60" s="74"/>
      <c r="G60" s="74"/>
      <c r="H60" s="74"/>
      <c r="I60" s="74"/>
      <c r="J60" s="74"/>
      <c r="K60" s="74"/>
      <c r="L60" s="82"/>
    </row>
    <row r="61" spans="3:12" s="57" customFormat="1" x14ac:dyDescent="0.25">
      <c r="C61" s="83"/>
      <c r="D61" s="74"/>
      <c r="E61" s="74"/>
      <c r="F61" s="74"/>
      <c r="G61" s="74"/>
      <c r="H61" s="74"/>
      <c r="I61" s="74"/>
      <c r="J61" s="74"/>
      <c r="K61" s="74"/>
      <c r="L61" s="82"/>
    </row>
    <row r="62" spans="3:12" s="57" customFormat="1" x14ac:dyDescent="0.25">
      <c r="C62" s="83"/>
      <c r="D62" s="74"/>
      <c r="E62" s="74"/>
      <c r="F62" s="74"/>
      <c r="G62" s="74"/>
      <c r="H62" s="74"/>
      <c r="I62" s="74"/>
      <c r="J62" s="74"/>
      <c r="K62" s="74"/>
      <c r="L62" s="82"/>
    </row>
    <row r="63" spans="3:12" s="57" customFormat="1" x14ac:dyDescent="0.25">
      <c r="C63" s="83"/>
      <c r="D63" s="74"/>
      <c r="E63" s="74"/>
      <c r="F63" s="74"/>
      <c r="G63" s="74"/>
      <c r="H63" s="74"/>
      <c r="I63" s="74"/>
      <c r="J63" s="74"/>
      <c r="K63" s="74"/>
      <c r="L63" s="82"/>
    </row>
    <row r="64" spans="3:12" s="57" customFormat="1" x14ac:dyDescent="0.25">
      <c r="C64" s="83"/>
      <c r="D64" s="74"/>
      <c r="E64" s="74"/>
      <c r="F64" s="74"/>
      <c r="G64" s="74"/>
      <c r="H64" s="74"/>
      <c r="I64" s="74"/>
      <c r="J64" s="74"/>
      <c r="K64" s="74"/>
      <c r="L64" s="82"/>
    </row>
    <row r="65" spans="3:12" s="57" customFormat="1" x14ac:dyDescent="0.25">
      <c r="C65" s="83"/>
      <c r="D65" s="74"/>
      <c r="E65" s="74"/>
      <c r="F65" s="74"/>
      <c r="G65" s="74"/>
      <c r="H65" s="74"/>
      <c r="I65" s="74"/>
      <c r="J65" s="74"/>
      <c r="K65" s="74"/>
      <c r="L65" s="82"/>
    </row>
    <row r="66" spans="3:12" s="57" customFormat="1" x14ac:dyDescent="0.25">
      <c r="C66" s="83"/>
      <c r="D66" s="74"/>
      <c r="E66" s="74"/>
      <c r="F66" s="74"/>
      <c r="G66" s="74"/>
      <c r="H66" s="74"/>
      <c r="I66" s="74"/>
      <c r="J66" s="74"/>
      <c r="K66" s="74"/>
      <c r="L66" s="82"/>
    </row>
    <row r="67" spans="3:12" s="57" customFormat="1" x14ac:dyDescent="0.25">
      <c r="C67" s="83"/>
      <c r="D67" s="74"/>
      <c r="E67" s="74"/>
      <c r="F67" s="74"/>
      <c r="G67" s="74"/>
      <c r="H67" s="74"/>
      <c r="I67" s="74"/>
      <c r="J67" s="74"/>
      <c r="K67" s="74"/>
      <c r="L67" s="82"/>
    </row>
    <row r="68" spans="3:12" s="57" customFormat="1" x14ac:dyDescent="0.25">
      <c r="C68" s="83"/>
      <c r="D68" s="74"/>
      <c r="E68" s="74"/>
      <c r="F68" s="74"/>
      <c r="G68" s="74"/>
      <c r="H68" s="74"/>
      <c r="I68" s="74"/>
      <c r="J68" s="74"/>
      <c r="K68" s="74"/>
      <c r="L68" s="82"/>
    </row>
    <row r="69" spans="3:12" s="57" customFormat="1" x14ac:dyDescent="0.25">
      <c r="C69" s="83"/>
      <c r="D69" s="74"/>
      <c r="E69" s="74"/>
      <c r="F69" s="74"/>
      <c r="G69" s="74"/>
      <c r="H69" s="74"/>
      <c r="I69" s="74"/>
      <c r="J69" s="74"/>
      <c r="K69" s="74"/>
      <c r="L69" s="82"/>
    </row>
    <row r="70" spans="3:12" s="57" customFormat="1" x14ac:dyDescent="0.25">
      <c r="C70" s="83"/>
      <c r="D70" s="74"/>
      <c r="E70" s="74"/>
      <c r="F70" s="74"/>
      <c r="G70" s="74"/>
      <c r="H70" s="74"/>
      <c r="I70" s="74"/>
      <c r="J70" s="74"/>
      <c r="K70" s="74"/>
      <c r="L70" s="82"/>
    </row>
    <row r="71" spans="3:12" s="57" customFormat="1" x14ac:dyDescent="0.25">
      <c r="C71" s="83"/>
      <c r="D71" s="74"/>
      <c r="E71" s="74"/>
      <c r="F71" s="74"/>
      <c r="G71" s="74"/>
      <c r="H71" s="74"/>
      <c r="I71" s="74"/>
      <c r="J71" s="74"/>
      <c r="K71" s="74"/>
      <c r="L71" s="82"/>
    </row>
    <row r="72" spans="3:12" s="57" customFormat="1" x14ac:dyDescent="0.25">
      <c r="C72" s="83"/>
      <c r="D72" s="74"/>
      <c r="E72" s="74"/>
      <c r="F72" s="74"/>
      <c r="G72" s="74"/>
      <c r="H72" s="74"/>
      <c r="I72" s="74"/>
      <c r="J72" s="74"/>
      <c r="K72" s="74"/>
      <c r="L72" s="82"/>
    </row>
    <row r="73" spans="3:12" s="57" customFormat="1" x14ac:dyDescent="0.25">
      <c r="C73" s="83"/>
      <c r="D73" s="74"/>
      <c r="E73" s="74"/>
      <c r="F73" s="74"/>
      <c r="G73" s="74"/>
      <c r="H73" s="74"/>
      <c r="I73" s="74"/>
      <c r="J73" s="74"/>
      <c r="K73" s="74"/>
      <c r="L73" s="82"/>
    </row>
    <row r="74" spans="3:12" s="57" customFormat="1" x14ac:dyDescent="0.25">
      <c r="C74" s="83"/>
      <c r="D74" s="74"/>
      <c r="E74" s="74"/>
      <c r="F74" s="74"/>
      <c r="G74" s="74"/>
      <c r="H74" s="74"/>
      <c r="I74" s="74"/>
      <c r="J74" s="74"/>
      <c r="K74" s="74"/>
      <c r="L74" s="82"/>
    </row>
    <row r="75" spans="3:12" s="57" customFormat="1" x14ac:dyDescent="0.25">
      <c r="C75" s="83"/>
      <c r="D75" s="74"/>
      <c r="E75" s="74"/>
      <c r="F75" s="74"/>
      <c r="G75" s="74"/>
      <c r="H75" s="74"/>
      <c r="I75" s="74"/>
      <c r="J75" s="74"/>
      <c r="K75" s="74"/>
      <c r="L75" s="82"/>
    </row>
    <row r="76" spans="3:12" s="57" customFormat="1" x14ac:dyDescent="0.25">
      <c r="C76" s="83"/>
      <c r="D76" s="74"/>
      <c r="E76" s="74"/>
      <c r="F76" s="74"/>
      <c r="G76" s="74"/>
      <c r="H76" s="74"/>
      <c r="I76" s="74"/>
      <c r="J76" s="74"/>
      <c r="K76" s="74"/>
      <c r="L76" s="82"/>
    </row>
    <row r="77" spans="3:12" s="57" customFormat="1" x14ac:dyDescent="0.25">
      <c r="C77" s="83"/>
      <c r="D77" s="74"/>
      <c r="E77" s="74"/>
      <c r="F77" s="74"/>
      <c r="G77" s="74"/>
      <c r="H77" s="74"/>
      <c r="I77" s="74"/>
      <c r="J77" s="74"/>
      <c r="K77" s="74"/>
      <c r="L77" s="82"/>
    </row>
    <row r="78" spans="3:12" s="57" customFormat="1" x14ac:dyDescent="0.25">
      <c r="C78" s="83"/>
      <c r="D78" s="74"/>
      <c r="E78" s="74"/>
      <c r="F78" s="74"/>
      <c r="G78" s="74"/>
      <c r="H78" s="74"/>
      <c r="I78" s="74"/>
      <c r="J78" s="74"/>
      <c r="K78" s="74"/>
      <c r="L78" s="82"/>
    </row>
    <row r="79" spans="3:12" s="57" customFormat="1" x14ac:dyDescent="0.25">
      <c r="C79" s="83"/>
      <c r="D79" s="74"/>
      <c r="E79" s="74"/>
      <c r="F79" s="74"/>
      <c r="G79" s="74"/>
      <c r="H79" s="74"/>
      <c r="I79" s="74"/>
      <c r="J79" s="74"/>
      <c r="K79" s="74"/>
      <c r="L79" s="82"/>
    </row>
    <row r="80" spans="3:12" s="57" customFormat="1" x14ac:dyDescent="0.25">
      <c r="C80" s="83"/>
      <c r="D80" s="74"/>
      <c r="E80" s="74"/>
      <c r="F80" s="74"/>
      <c r="G80" s="74"/>
      <c r="H80" s="74"/>
      <c r="I80" s="74"/>
      <c r="J80" s="74"/>
      <c r="K80" s="74"/>
      <c r="L80" s="82"/>
    </row>
    <row r="81" spans="3:12" s="57" customFormat="1" x14ac:dyDescent="0.25">
      <c r="C81" s="83"/>
      <c r="D81" s="74"/>
      <c r="E81" s="74"/>
      <c r="F81" s="74"/>
      <c r="G81" s="74"/>
      <c r="H81" s="74"/>
      <c r="I81" s="74"/>
      <c r="J81" s="74"/>
      <c r="K81" s="74"/>
      <c r="L81" s="82"/>
    </row>
    <row r="82" spans="3:12" s="57" customFormat="1" x14ac:dyDescent="0.25">
      <c r="C82" s="83"/>
      <c r="D82" s="74"/>
      <c r="E82" s="74"/>
      <c r="F82" s="74"/>
      <c r="G82" s="74"/>
      <c r="H82" s="74"/>
      <c r="I82" s="74"/>
      <c r="J82" s="74"/>
      <c r="K82" s="74"/>
      <c r="L82" s="82"/>
    </row>
    <row r="83" spans="3:12" s="57" customFormat="1" x14ac:dyDescent="0.25">
      <c r="C83" s="83"/>
      <c r="D83" s="74"/>
      <c r="E83" s="74"/>
      <c r="F83" s="74"/>
      <c r="G83" s="74"/>
      <c r="H83" s="74"/>
      <c r="I83" s="74"/>
      <c r="J83" s="74"/>
      <c r="K83" s="74"/>
      <c r="L83" s="82"/>
    </row>
    <row r="84" spans="3:12" s="57" customFormat="1" x14ac:dyDescent="0.25">
      <c r="C84" s="83"/>
      <c r="D84" s="74"/>
      <c r="E84" s="74"/>
      <c r="F84" s="74"/>
      <c r="G84" s="74"/>
      <c r="H84" s="74"/>
      <c r="I84" s="74"/>
      <c r="J84" s="74"/>
      <c r="K84" s="74"/>
      <c r="L84" s="82"/>
    </row>
    <row r="85" spans="3:12" s="57" customFormat="1" x14ac:dyDescent="0.25">
      <c r="C85" s="83"/>
      <c r="D85" s="74"/>
      <c r="E85" s="74"/>
      <c r="F85" s="74"/>
      <c r="G85" s="74"/>
      <c r="H85" s="74"/>
      <c r="I85" s="74"/>
      <c r="J85" s="74"/>
      <c r="K85" s="74"/>
      <c r="L85" s="82"/>
    </row>
    <row r="86" spans="3:12" s="57" customFormat="1" x14ac:dyDescent="0.25">
      <c r="C86" s="83"/>
      <c r="D86" s="74"/>
      <c r="E86" s="74"/>
      <c r="F86" s="74"/>
      <c r="G86" s="74"/>
      <c r="H86" s="74"/>
      <c r="I86" s="74"/>
      <c r="J86" s="74"/>
      <c r="K86" s="74"/>
      <c r="L86" s="82"/>
    </row>
    <row r="87" spans="3:12" s="57" customFormat="1" x14ac:dyDescent="0.25">
      <c r="C87" s="83"/>
      <c r="D87" s="74"/>
      <c r="E87" s="74"/>
      <c r="F87" s="74"/>
      <c r="G87" s="74"/>
      <c r="H87" s="74"/>
      <c r="I87" s="74"/>
      <c r="J87" s="74"/>
      <c r="K87" s="74"/>
      <c r="L87" s="82"/>
    </row>
    <row r="88" spans="3:12" s="57" customFormat="1" x14ac:dyDescent="0.25">
      <c r="C88" s="83"/>
      <c r="D88" s="74"/>
      <c r="E88" s="74"/>
      <c r="F88" s="74"/>
      <c r="G88" s="74"/>
      <c r="H88" s="74"/>
      <c r="I88" s="74"/>
      <c r="J88" s="74"/>
      <c r="K88" s="74"/>
      <c r="L88" s="82"/>
    </row>
    <row r="89" spans="3:12" s="57" customFormat="1" x14ac:dyDescent="0.25">
      <c r="C89" s="83"/>
      <c r="D89" s="74"/>
      <c r="E89" s="74"/>
      <c r="F89" s="74"/>
      <c r="G89" s="74"/>
      <c r="H89" s="74"/>
      <c r="I89" s="74"/>
      <c r="J89" s="74"/>
      <c r="K89" s="74"/>
      <c r="L89" s="82"/>
    </row>
    <row r="90" spans="3:12" s="57" customFormat="1" x14ac:dyDescent="0.25">
      <c r="C90" s="83"/>
      <c r="D90" s="74"/>
      <c r="E90" s="74"/>
      <c r="F90" s="74"/>
      <c r="G90" s="74"/>
      <c r="H90" s="74"/>
      <c r="I90" s="74"/>
      <c r="J90" s="74"/>
      <c r="K90" s="74"/>
      <c r="L90" s="82"/>
    </row>
    <row r="91" spans="3:12" s="57" customFormat="1" x14ac:dyDescent="0.25">
      <c r="C91" s="83"/>
      <c r="D91" s="74"/>
      <c r="E91" s="74"/>
      <c r="F91" s="74"/>
      <c r="G91" s="74"/>
      <c r="H91" s="74"/>
      <c r="I91" s="74"/>
      <c r="J91" s="74"/>
      <c r="K91" s="74"/>
      <c r="L91" s="82"/>
    </row>
    <row r="92" spans="3:12" s="57" customFormat="1" x14ac:dyDescent="0.25">
      <c r="C92" s="83"/>
      <c r="D92" s="74"/>
      <c r="E92" s="74"/>
      <c r="F92" s="74"/>
      <c r="G92" s="74"/>
      <c r="H92" s="74"/>
      <c r="I92" s="74"/>
      <c r="J92" s="74"/>
      <c r="K92" s="74"/>
      <c r="L92" s="82"/>
    </row>
    <row r="93" spans="3:12" s="57" customFormat="1" x14ac:dyDescent="0.25">
      <c r="C93" s="83"/>
      <c r="D93" s="74"/>
      <c r="E93" s="74"/>
      <c r="F93" s="74"/>
      <c r="G93" s="74"/>
      <c r="H93" s="74"/>
      <c r="I93" s="74"/>
      <c r="J93" s="74"/>
      <c r="K93" s="74"/>
      <c r="L93" s="82"/>
    </row>
    <row r="94" spans="3:12" s="57" customFormat="1" x14ac:dyDescent="0.25">
      <c r="C94" s="83"/>
      <c r="D94" s="74"/>
      <c r="E94" s="74"/>
      <c r="F94" s="74"/>
      <c r="G94" s="74"/>
      <c r="H94" s="74"/>
      <c r="I94" s="74"/>
      <c r="J94" s="74"/>
      <c r="K94" s="74"/>
      <c r="L94" s="82"/>
    </row>
    <row r="95" spans="3:12" s="57" customFormat="1" x14ac:dyDescent="0.25">
      <c r="C95" s="83"/>
      <c r="D95" s="74"/>
      <c r="E95" s="74"/>
      <c r="F95" s="74"/>
      <c r="G95" s="74"/>
      <c r="H95" s="74"/>
      <c r="I95" s="74"/>
      <c r="J95" s="74"/>
      <c r="K95" s="74"/>
      <c r="L95" s="82"/>
    </row>
    <row r="96" spans="3:12" s="57" customFormat="1" x14ac:dyDescent="0.25">
      <c r="C96" s="83"/>
      <c r="D96" s="74"/>
      <c r="E96" s="74"/>
      <c r="F96" s="74"/>
      <c r="G96" s="74"/>
      <c r="H96" s="74"/>
      <c r="I96" s="74"/>
      <c r="J96" s="74"/>
      <c r="K96" s="74"/>
      <c r="L96" s="82"/>
    </row>
    <row r="97" spans="3:12" s="57" customFormat="1" x14ac:dyDescent="0.25">
      <c r="C97" s="83"/>
      <c r="D97" s="74"/>
      <c r="E97" s="74"/>
      <c r="F97" s="74"/>
      <c r="G97" s="74"/>
      <c r="H97" s="74"/>
      <c r="I97" s="74"/>
      <c r="J97" s="74"/>
      <c r="K97" s="74"/>
      <c r="L97" s="82"/>
    </row>
    <row r="98" spans="3:12" s="57" customFormat="1" x14ac:dyDescent="0.25">
      <c r="C98" s="83"/>
      <c r="D98" s="74"/>
      <c r="E98" s="74"/>
      <c r="F98" s="74"/>
      <c r="G98" s="74"/>
      <c r="H98" s="74"/>
      <c r="I98" s="74"/>
      <c r="J98" s="74"/>
      <c r="K98" s="74"/>
      <c r="L98" s="82"/>
    </row>
    <row r="99" spans="3:12" s="57" customFormat="1" x14ac:dyDescent="0.25">
      <c r="C99" s="83"/>
      <c r="D99" s="74"/>
      <c r="E99" s="74"/>
      <c r="F99" s="74"/>
      <c r="G99" s="74"/>
      <c r="H99" s="74"/>
      <c r="I99" s="74"/>
      <c r="J99" s="74"/>
      <c r="K99" s="74"/>
      <c r="L99" s="82"/>
    </row>
    <row r="100" spans="3:12" s="57" customFormat="1" x14ac:dyDescent="0.25">
      <c r="C100" s="83"/>
      <c r="D100" s="74"/>
      <c r="E100" s="74"/>
      <c r="F100" s="74"/>
      <c r="G100" s="74"/>
      <c r="H100" s="74"/>
      <c r="I100" s="74"/>
      <c r="J100" s="74"/>
      <c r="K100" s="74"/>
      <c r="L100" s="82"/>
    </row>
    <row r="101" spans="3:12" s="57" customFormat="1" x14ac:dyDescent="0.25">
      <c r="C101" s="83"/>
      <c r="D101" s="74"/>
      <c r="E101" s="74"/>
      <c r="F101" s="74"/>
      <c r="G101" s="74"/>
      <c r="H101" s="74"/>
      <c r="I101" s="74"/>
      <c r="J101" s="74"/>
      <c r="K101" s="74"/>
      <c r="L101" s="82"/>
    </row>
    <row r="102" spans="3:12" s="57" customFormat="1" x14ac:dyDescent="0.25">
      <c r="C102" s="83"/>
      <c r="D102" s="74"/>
      <c r="E102" s="74"/>
      <c r="F102" s="74"/>
      <c r="G102" s="74"/>
      <c r="H102" s="74"/>
      <c r="I102" s="74"/>
      <c r="J102" s="74"/>
      <c r="K102" s="74"/>
      <c r="L102" s="82"/>
    </row>
    <row r="103" spans="3:12" s="57" customFormat="1" x14ac:dyDescent="0.25">
      <c r="C103" s="83"/>
      <c r="D103" s="74"/>
      <c r="E103" s="74"/>
      <c r="F103" s="74"/>
      <c r="G103" s="74"/>
      <c r="H103" s="74"/>
      <c r="I103" s="74"/>
      <c r="J103" s="74"/>
      <c r="K103" s="74"/>
      <c r="L103" s="82"/>
    </row>
    <row r="104" spans="3:12" s="57" customFormat="1" x14ac:dyDescent="0.25">
      <c r="C104" s="83"/>
      <c r="D104" s="74"/>
      <c r="E104" s="74"/>
      <c r="F104" s="74"/>
      <c r="G104" s="74"/>
      <c r="H104" s="74"/>
      <c r="I104" s="74"/>
      <c r="J104" s="74"/>
      <c r="K104" s="74"/>
      <c r="L104" s="82"/>
    </row>
    <row r="105" spans="3:12" s="57" customFormat="1" x14ac:dyDescent="0.25">
      <c r="C105" s="83"/>
      <c r="D105" s="74"/>
      <c r="E105" s="74"/>
      <c r="F105" s="74"/>
      <c r="G105" s="74"/>
      <c r="H105" s="74"/>
      <c r="I105" s="74"/>
      <c r="J105" s="74"/>
      <c r="K105" s="74"/>
      <c r="L105" s="82"/>
    </row>
    <row r="106" spans="3:12" s="57" customFormat="1" x14ac:dyDescent="0.25">
      <c r="C106" s="83"/>
      <c r="D106" s="74"/>
      <c r="E106" s="74"/>
      <c r="F106" s="74"/>
      <c r="G106" s="74"/>
      <c r="H106" s="74"/>
      <c r="I106" s="74"/>
      <c r="J106" s="74"/>
      <c r="K106" s="74"/>
      <c r="L106" s="82"/>
    </row>
    <row r="107" spans="3:12" s="57" customFormat="1" x14ac:dyDescent="0.25">
      <c r="C107" s="83"/>
      <c r="D107" s="74"/>
      <c r="E107" s="74"/>
      <c r="F107" s="74"/>
      <c r="G107" s="74"/>
      <c r="H107" s="74"/>
      <c r="I107" s="74"/>
      <c r="J107" s="74"/>
      <c r="K107" s="74"/>
      <c r="L107" s="82"/>
    </row>
    <row r="108" spans="3:12" s="57" customFormat="1" x14ac:dyDescent="0.25">
      <c r="C108" s="83"/>
      <c r="D108" s="74"/>
      <c r="E108" s="74"/>
      <c r="F108" s="74"/>
      <c r="G108" s="74"/>
      <c r="H108" s="74"/>
      <c r="I108" s="74"/>
      <c r="J108" s="74"/>
      <c r="K108" s="74"/>
      <c r="L108" s="82"/>
    </row>
    <row r="109" spans="3:12" s="57" customFormat="1" x14ac:dyDescent="0.25">
      <c r="C109" s="83"/>
      <c r="D109" s="74"/>
      <c r="E109" s="74"/>
      <c r="F109" s="74"/>
      <c r="G109" s="74"/>
      <c r="H109" s="74"/>
      <c r="I109" s="74"/>
      <c r="J109" s="74"/>
      <c r="K109" s="74"/>
      <c r="L109" s="82"/>
    </row>
    <row r="110" spans="3:12" s="57" customFormat="1" x14ac:dyDescent="0.25">
      <c r="C110" s="83"/>
      <c r="D110" s="74"/>
      <c r="E110" s="74"/>
      <c r="F110" s="74"/>
      <c r="G110" s="74"/>
      <c r="H110" s="74"/>
      <c r="I110" s="74"/>
      <c r="J110" s="74"/>
      <c r="K110" s="74"/>
      <c r="L110" s="82"/>
    </row>
    <row r="111" spans="3:12" s="57" customFormat="1" x14ac:dyDescent="0.25">
      <c r="C111" s="83"/>
      <c r="D111" s="74"/>
      <c r="E111" s="74"/>
      <c r="F111" s="74"/>
      <c r="G111" s="74"/>
      <c r="H111" s="74"/>
      <c r="I111" s="74"/>
      <c r="J111" s="74"/>
      <c r="K111" s="74"/>
      <c r="L111" s="82"/>
    </row>
    <row r="112" spans="3:12" s="57" customFormat="1" x14ac:dyDescent="0.25">
      <c r="C112" s="83"/>
      <c r="D112" s="74"/>
      <c r="E112" s="74"/>
      <c r="F112" s="74"/>
      <c r="G112" s="74"/>
      <c r="H112" s="74"/>
      <c r="I112" s="74"/>
      <c r="J112" s="74"/>
      <c r="K112" s="74"/>
      <c r="L112" s="82"/>
    </row>
    <row r="113" spans="3:12" s="57" customFormat="1" x14ac:dyDescent="0.25">
      <c r="C113" s="83"/>
      <c r="D113" s="74"/>
      <c r="E113" s="74"/>
      <c r="F113" s="74"/>
      <c r="G113" s="74"/>
      <c r="H113" s="74"/>
      <c r="I113" s="74"/>
      <c r="J113" s="74"/>
      <c r="K113" s="74"/>
      <c r="L113" s="82"/>
    </row>
    <row r="114" spans="3:12" s="57" customFormat="1" x14ac:dyDescent="0.25">
      <c r="C114" s="83"/>
      <c r="D114" s="74"/>
      <c r="E114" s="74"/>
      <c r="F114" s="74"/>
      <c r="G114" s="74"/>
      <c r="H114" s="74"/>
      <c r="I114" s="74"/>
      <c r="J114" s="74"/>
      <c r="K114" s="74"/>
      <c r="L114" s="82"/>
    </row>
    <row r="115" spans="3:12" s="57" customFormat="1" x14ac:dyDescent="0.25">
      <c r="C115" s="83"/>
      <c r="D115" s="74"/>
      <c r="E115" s="74"/>
      <c r="F115" s="74"/>
      <c r="G115" s="74"/>
      <c r="H115" s="74"/>
      <c r="I115" s="74"/>
      <c r="J115" s="74"/>
      <c r="K115" s="74"/>
      <c r="L115" s="82"/>
    </row>
    <row r="116" spans="3:12" s="57" customFormat="1" x14ac:dyDescent="0.25">
      <c r="C116" s="83"/>
      <c r="D116" s="74"/>
      <c r="E116" s="74"/>
      <c r="F116" s="74"/>
      <c r="G116" s="74"/>
      <c r="H116" s="74"/>
      <c r="I116" s="74"/>
      <c r="J116" s="74"/>
      <c r="K116" s="74"/>
      <c r="L116" s="82"/>
    </row>
    <row r="117" spans="3:12" s="57" customFormat="1" x14ac:dyDescent="0.25">
      <c r="C117" s="83"/>
      <c r="D117" s="74"/>
      <c r="E117" s="74"/>
      <c r="F117" s="74"/>
      <c r="G117" s="74"/>
      <c r="H117" s="74"/>
      <c r="I117" s="74"/>
      <c r="J117" s="74"/>
      <c r="K117" s="74"/>
      <c r="L117" s="82"/>
    </row>
    <row r="118" spans="3:12" s="57" customFormat="1" x14ac:dyDescent="0.25">
      <c r="C118" s="83"/>
      <c r="D118" s="74"/>
      <c r="E118" s="74"/>
      <c r="F118" s="74"/>
      <c r="G118" s="74"/>
      <c r="H118" s="74"/>
      <c r="I118" s="74"/>
      <c r="J118" s="74"/>
      <c r="K118" s="74"/>
      <c r="L118" s="82"/>
    </row>
    <row r="119" spans="3:12" s="57" customFormat="1" x14ac:dyDescent="0.25">
      <c r="C119" s="83"/>
      <c r="D119" s="74"/>
      <c r="E119" s="74"/>
      <c r="F119" s="74"/>
      <c r="G119" s="74"/>
      <c r="H119" s="74"/>
      <c r="I119" s="74"/>
      <c r="J119" s="74"/>
      <c r="K119" s="74"/>
      <c r="L119" s="82"/>
    </row>
    <row r="120" spans="3:12" s="57" customFormat="1" x14ac:dyDescent="0.25">
      <c r="C120" s="83"/>
      <c r="D120" s="74"/>
      <c r="E120" s="74"/>
      <c r="F120" s="74"/>
      <c r="G120" s="74"/>
      <c r="H120" s="74"/>
      <c r="I120" s="74"/>
      <c r="J120" s="74"/>
      <c r="K120" s="74"/>
      <c r="L120" s="82"/>
    </row>
    <row r="121" spans="3:12" s="57" customFormat="1" x14ac:dyDescent="0.25">
      <c r="C121" s="83"/>
      <c r="D121" s="74"/>
      <c r="E121" s="74"/>
      <c r="F121" s="74"/>
      <c r="G121" s="74"/>
      <c r="H121" s="74"/>
      <c r="I121" s="74"/>
      <c r="J121" s="74"/>
      <c r="K121" s="74"/>
      <c r="L121" s="82"/>
    </row>
    <row r="122" spans="3:12" s="57" customFormat="1" x14ac:dyDescent="0.25">
      <c r="C122" s="83"/>
      <c r="D122" s="74"/>
      <c r="E122" s="74"/>
      <c r="F122" s="74"/>
      <c r="G122" s="74"/>
      <c r="H122" s="74"/>
      <c r="I122" s="74"/>
      <c r="J122" s="74"/>
      <c r="K122" s="74"/>
      <c r="L122" s="82"/>
    </row>
    <row r="123" spans="3:12" s="57" customFormat="1" x14ac:dyDescent="0.25">
      <c r="C123" s="83"/>
      <c r="D123" s="74"/>
      <c r="E123" s="74"/>
      <c r="F123" s="74"/>
      <c r="G123" s="74"/>
      <c r="H123" s="74"/>
      <c r="I123" s="74"/>
      <c r="J123" s="74"/>
      <c r="K123" s="74"/>
      <c r="L123" s="82"/>
    </row>
    <row r="124" spans="3:12" s="57" customFormat="1" x14ac:dyDescent="0.25">
      <c r="C124" s="83"/>
      <c r="D124" s="74"/>
      <c r="E124" s="74"/>
      <c r="F124" s="74"/>
      <c r="G124" s="74"/>
      <c r="H124" s="74"/>
      <c r="I124" s="74"/>
      <c r="J124" s="74"/>
      <c r="K124" s="74"/>
      <c r="L124" s="82"/>
    </row>
    <row r="125" spans="3:12" s="57" customFormat="1" x14ac:dyDescent="0.25">
      <c r="C125" s="83"/>
      <c r="D125" s="74"/>
      <c r="E125" s="74"/>
      <c r="F125" s="74"/>
      <c r="G125" s="74"/>
      <c r="H125" s="74"/>
      <c r="I125" s="74"/>
      <c r="J125" s="74"/>
      <c r="K125" s="74"/>
      <c r="L125" s="82"/>
    </row>
    <row r="126" spans="3:12" s="57" customFormat="1" x14ac:dyDescent="0.25">
      <c r="C126" s="83"/>
      <c r="D126" s="74"/>
      <c r="E126" s="74"/>
      <c r="F126" s="74"/>
      <c r="G126" s="74"/>
      <c r="H126" s="74"/>
      <c r="I126" s="74"/>
      <c r="J126" s="74"/>
      <c r="K126" s="74"/>
      <c r="L126" s="82"/>
    </row>
    <row r="127" spans="3:12" s="57" customFormat="1" x14ac:dyDescent="0.25">
      <c r="C127" s="83"/>
      <c r="D127" s="74"/>
      <c r="E127" s="74"/>
      <c r="F127" s="74"/>
      <c r="G127" s="74"/>
      <c r="H127" s="74"/>
      <c r="I127" s="74"/>
      <c r="J127" s="74"/>
      <c r="K127" s="74"/>
      <c r="L127" s="82"/>
    </row>
    <row r="128" spans="3:12" s="57" customFormat="1" x14ac:dyDescent="0.25">
      <c r="C128" s="83"/>
      <c r="D128" s="74"/>
      <c r="E128" s="74"/>
      <c r="F128" s="74"/>
      <c r="G128" s="74"/>
      <c r="H128" s="74"/>
      <c r="I128" s="74"/>
      <c r="J128" s="74"/>
      <c r="K128" s="74"/>
      <c r="L128" s="82"/>
    </row>
    <row r="129" spans="3:12" s="57" customFormat="1" x14ac:dyDescent="0.25">
      <c r="C129" s="83"/>
      <c r="D129" s="74"/>
      <c r="E129" s="74"/>
      <c r="F129" s="74"/>
      <c r="G129" s="74"/>
      <c r="H129" s="74"/>
      <c r="I129" s="74"/>
      <c r="J129" s="74"/>
      <c r="K129" s="74"/>
      <c r="L129" s="82"/>
    </row>
    <row r="130" spans="3:12" s="57" customFormat="1" x14ac:dyDescent="0.25">
      <c r="C130" s="83"/>
      <c r="D130" s="74"/>
      <c r="E130" s="74"/>
      <c r="F130" s="74"/>
      <c r="G130" s="74"/>
      <c r="H130" s="74"/>
      <c r="I130" s="74"/>
      <c r="J130" s="74"/>
      <c r="K130" s="74"/>
      <c r="L130" s="82"/>
    </row>
    <row r="131" spans="3:12" s="57" customFormat="1" x14ac:dyDescent="0.25">
      <c r="C131" s="83"/>
      <c r="D131" s="74"/>
      <c r="E131" s="74"/>
      <c r="F131" s="74"/>
      <c r="G131" s="74"/>
      <c r="H131" s="74"/>
      <c r="I131" s="74"/>
      <c r="J131" s="74"/>
      <c r="K131" s="74"/>
      <c r="L131" s="82"/>
    </row>
    <row r="132" spans="3:12" s="57" customFormat="1" x14ac:dyDescent="0.25">
      <c r="C132" s="83"/>
      <c r="D132" s="74"/>
      <c r="E132" s="74"/>
      <c r="F132" s="74"/>
      <c r="G132" s="74"/>
      <c r="H132" s="74"/>
      <c r="I132" s="74"/>
      <c r="J132" s="74"/>
      <c r="K132" s="74"/>
      <c r="L132" s="82"/>
    </row>
    <row r="133" spans="3:12" s="57" customFormat="1" x14ac:dyDescent="0.25">
      <c r="C133" s="83"/>
      <c r="D133" s="74"/>
      <c r="E133" s="74"/>
      <c r="F133" s="74"/>
      <c r="G133" s="74"/>
      <c r="H133" s="74"/>
      <c r="I133" s="74"/>
      <c r="J133" s="74"/>
      <c r="K133" s="74"/>
      <c r="L133" s="82"/>
    </row>
    <row r="134" spans="3:12" s="57" customFormat="1" x14ac:dyDescent="0.25">
      <c r="C134" s="83"/>
      <c r="D134" s="74"/>
      <c r="E134" s="74"/>
      <c r="F134" s="74"/>
      <c r="G134" s="74"/>
      <c r="H134" s="74"/>
      <c r="I134" s="74"/>
      <c r="J134" s="74"/>
      <c r="K134" s="74"/>
      <c r="L134" s="82"/>
    </row>
    <row r="135" spans="3:12" s="57" customFormat="1" x14ac:dyDescent="0.25">
      <c r="C135" s="83"/>
      <c r="D135" s="74"/>
      <c r="E135" s="74"/>
      <c r="F135" s="74"/>
      <c r="G135" s="74"/>
      <c r="H135" s="74"/>
      <c r="I135" s="74"/>
      <c r="J135" s="74"/>
      <c r="K135" s="74"/>
      <c r="L135" s="82"/>
    </row>
    <row r="136" spans="3:12" s="57" customFormat="1" x14ac:dyDescent="0.25">
      <c r="C136" s="83"/>
      <c r="D136" s="74"/>
      <c r="E136" s="74"/>
      <c r="F136" s="74"/>
      <c r="G136" s="74"/>
      <c r="H136" s="74"/>
      <c r="I136" s="74"/>
      <c r="J136" s="74"/>
      <c r="K136" s="74"/>
      <c r="L136" s="82"/>
    </row>
    <row r="137" spans="3:12" s="57" customFormat="1" x14ac:dyDescent="0.25">
      <c r="C137" s="83"/>
      <c r="D137" s="74"/>
      <c r="E137" s="74"/>
      <c r="F137" s="74"/>
      <c r="G137" s="74"/>
      <c r="H137" s="74"/>
      <c r="I137" s="74"/>
      <c r="J137" s="74"/>
      <c r="K137" s="74"/>
      <c r="L137" s="82"/>
    </row>
    <row r="138" spans="3:12" s="57" customFormat="1" x14ac:dyDescent="0.25">
      <c r="C138" s="83"/>
      <c r="D138" s="74"/>
      <c r="E138" s="74"/>
      <c r="F138" s="74"/>
      <c r="G138" s="74"/>
      <c r="H138" s="74"/>
      <c r="I138" s="74"/>
      <c r="J138" s="74"/>
      <c r="K138" s="74"/>
      <c r="L138" s="82"/>
    </row>
    <row r="139" spans="3:12" s="57" customFormat="1" x14ac:dyDescent="0.25">
      <c r="C139" s="83"/>
      <c r="D139" s="74"/>
      <c r="E139" s="74"/>
      <c r="F139" s="74"/>
      <c r="G139" s="74"/>
      <c r="H139" s="74"/>
      <c r="I139" s="74"/>
      <c r="J139" s="74"/>
      <c r="K139" s="74"/>
      <c r="L139" s="82"/>
    </row>
    <row r="140" spans="3:12" s="57" customFormat="1" x14ac:dyDescent="0.25">
      <c r="C140" s="83"/>
      <c r="D140" s="74"/>
      <c r="E140" s="74"/>
      <c r="F140" s="74"/>
      <c r="G140" s="74"/>
      <c r="H140" s="74"/>
      <c r="I140" s="74"/>
      <c r="J140" s="74"/>
      <c r="K140" s="74"/>
      <c r="L140" s="82"/>
    </row>
    <row r="141" spans="3:12" s="57" customFormat="1" x14ac:dyDescent="0.25">
      <c r="C141" s="83"/>
      <c r="D141" s="74"/>
      <c r="E141" s="74"/>
      <c r="F141" s="74"/>
      <c r="G141" s="74"/>
      <c r="H141" s="74"/>
      <c r="I141" s="74"/>
      <c r="J141" s="74"/>
      <c r="K141" s="74"/>
      <c r="L141" s="82"/>
    </row>
    <row r="142" spans="3:12" s="57" customFormat="1" x14ac:dyDescent="0.25">
      <c r="C142" s="83"/>
      <c r="D142" s="74"/>
      <c r="E142" s="74"/>
      <c r="F142" s="74"/>
      <c r="G142" s="74"/>
      <c r="H142" s="74"/>
      <c r="I142" s="74"/>
      <c r="J142" s="74"/>
      <c r="K142" s="74"/>
      <c r="L142" s="82"/>
    </row>
    <row r="143" spans="3:12" s="57" customFormat="1" x14ac:dyDescent="0.25">
      <c r="C143" s="83"/>
      <c r="D143" s="74"/>
      <c r="E143" s="74"/>
      <c r="F143" s="74"/>
      <c r="G143" s="74"/>
      <c r="H143" s="74"/>
      <c r="I143" s="74"/>
      <c r="J143" s="74"/>
      <c r="K143" s="74"/>
      <c r="L143" s="82"/>
    </row>
    <row r="144" spans="3:12" s="57" customFormat="1" x14ac:dyDescent="0.25">
      <c r="C144" s="83"/>
      <c r="D144" s="74"/>
      <c r="E144" s="74"/>
      <c r="F144" s="74"/>
      <c r="G144" s="74"/>
      <c r="H144" s="74"/>
      <c r="I144" s="74"/>
      <c r="J144" s="74"/>
      <c r="K144" s="74"/>
      <c r="L144" s="82"/>
    </row>
    <row r="145" spans="3:12" s="57" customFormat="1" x14ac:dyDescent="0.25">
      <c r="C145" s="83"/>
      <c r="D145" s="74"/>
      <c r="E145" s="74"/>
      <c r="F145" s="74"/>
      <c r="G145" s="74"/>
      <c r="H145" s="74"/>
      <c r="I145" s="74"/>
      <c r="J145" s="74"/>
      <c r="K145" s="74"/>
      <c r="L145" s="82"/>
    </row>
    <row r="146" spans="3:12" s="57" customFormat="1" x14ac:dyDescent="0.25">
      <c r="C146" s="83"/>
      <c r="D146" s="74"/>
      <c r="E146" s="74"/>
      <c r="F146" s="74"/>
      <c r="G146" s="74"/>
      <c r="H146" s="74"/>
      <c r="I146" s="74"/>
      <c r="J146" s="74"/>
      <c r="K146" s="74"/>
      <c r="L146" s="82"/>
    </row>
    <row r="147" spans="3:12" s="57" customFormat="1" x14ac:dyDescent="0.25">
      <c r="C147" s="83"/>
      <c r="D147" s="74"/>
      <c r="E147" s="74"/>
      <c r="F147" s="74"/>
      <c r="G147" s="74"/>
      <c r="H147" s="74"/>
      <c r="I147" s="74"/>
      <c r="J147" s="74"/>
      <c r="K147" s="74"/>
      <c r="L147" s="82"/>
    </row>
    <row r="148" spans="3:12" s="57" customFormat="1" x14ac:dyDescent="0.25">
      <c r="C148" s="83"/>
      <c r="D148" s="74"/>
      <c r="E148" s="74"/>
      <c r="F148" s="74"/>
      <c r="G148" s="74"/>
      <c r="H148" s="74"/>
      <c r="I148" s="74"/>
      <c r="J148" s="74"/>
      <c r="K148" s="74"/>
      <c r="L148" s="82"/>
    </row>
    <row r="149" spans="3:12" s="57" customFormat="1" x14ac:dyDescent="0.25">
      <c r="C149" s="83"/>
      <c r="D149" s="74"/>
      <c r="E149" s="74"/>
      <c r="F149" s="74"/>
      <c r="G149" s="74"/>
      <c r="H149" s="74"/>
      <c r="I149" s="74"/>
      <c r="J149" s="74"/>
      <c r="K149" s="74"/>
      <c r="L149" s="82"/>
    </row>
    <row r="150" spans="3:12" s="57" customFormat="1" x14ac:dyDescent="0.25">
      <c r="C150" s="83"/>
      <c r="D150" s="74"/>
      <c r="E150" s="74"/>
      <c r="F150" s="74"/>
      <c r="G150" s="74"/>
      <c r="H150" s="74"/>
      <c r="I150" s="74"/>
      <c r="J150" s="74"/>
      <c r="K150" s="74"/>
      <c r="L150" s="82"/>
    </row>
    <row r="151" spans="3:12" s="57" customFormat="1" x14ac:dyDescent="0.25">
      <c r="C151" s="83"/>
      <c r="D151" s="74"/>
      <c r="E151" s="74"/>
      <c r="F151" s="74"/>
      <c r="G151" s="74"/>
      <c r="H151" s="74"/>
      <c r="I151" s="74"/>
      <c r="J151" s="74"/>
      <c r="K151" s="74"/>
      <c r="L151" s="82"/>
    </row>
    <row r="152" spans="3:12" s="57" customFormat="1" x14ac:dyDescent="0.25">
      <c r="C152" s="83"/>
      <c r="D152" s="74"/>
      <c r="E152" s="74"/>
      <c r="F152" s="74"/>
      <c r="G152" s="74"/>
      <c r="H152" s="74"/>
      <c r="I152" s="74"/>
      <c r="J152" s="74"/>
      <c r="K152" s="74"/>
      <c r="L152" s="82"/>
    </row>
    <row r="153" spans="3:12" s="57" customFormat="1" x14ac:dyDescent="0.25">
      <c r="C153" s="83"/>
      <c r="D153" s="74"/>
      <c r="E153" s="74"/>
      <c r="F153" s="74"/>
      <c r="G153" s="74"/>
      <c r="H153" s="74"/>
      <c r="I153" s="74"/>
      <c r="J153" s="74"/>
      <c r="K153" s="74"/>
      <c r="L153" s="82"/>
    </row>
    <row r="154" spans="3:12" s="57" customFormat="1" x14ac:dyDescent="0.25">
      <c r="C154" s="83"/>
      <c r="D154" s="74"/>
      <c r="E154" s="74"/>
      <c r="F154" s="74"/>
      <c r="G154" s="74"/>
      <c r="H154" s="74"/>
      <c r="I154" s="74"/>
      <c r="J154" s="74"/>
      <c r="K154" s="74"/>
      <c r="L154" s="82"/>
    </row>
    <row r="155" spans="3:12" s="57" customFormat="1" x14ac:dyDescent="0.25">
      <c r="C155" s="83"/>
      <c r="D155" s="74"/>
      <c r="E155" s="74"/>
      <c r="F155" s="74"/>
      <c r="G155" s="74"/>
      <c r="H155" s="74"/>
      <c r="I155" s="74"/>
      <c r="J155" s="74"/>
      <c r="K155" s="74"/>
      <c r="L155" s="82"/>
    </row>
    <row r="156" spans="3:12" s="57" customFormat="1" x14ac:dyDescent="0.25">
      <c r="C156" s="83"/>
      <c r="D156" s="74"/>
      <c r="E156" s="74"/>
      <c r="F156" s="74"/>
      <c r="G156" s="74"/>
      <c r="H156" s="74"/>
      <c r="I156" s="74"/>
      <c r="J156" s="74"/>
      <c r="K156" s="74"/>
      <c r="L156" s="82"/>
    </row>
    <row r="157" spans="3:12" s="57" customFormat="1" x14ac:dyDescent="0.25">
      <c r="C157" s="83"/>
      <c r="D157" s="74"/>
      <c r="E157" s="74"/>
      <c r="F157" s="74"/>
      <c r="G157" s="74"/>
      <c r="H157" s="74"/>
      <c r="I157" s="74"/>
      <c r="J157" s="74"/>
      <c r="K157" s="74"/>
      <c r="L157" s="82"/>
    </row>
    <row r="158" spans="3:12" s="57" customFormat="1" x14ac:dyDescent="0.25">
      <c r="C158" s="83"/>
      <c r="D158" s="74"/>
      <c r="E158" s="74"/>
      <c r="F158" s="74"/>
      <c r="G158" s="74"/>
      <c r="H158" s="74"/>
      <c r="I158" s="74"/>
      <c r="J158" s="74"/>
      <c r="K158" s="74"/>
      <c r="L158" s="82"/>
    </row>
    <row r="159" spans="3:12" s="57" customFormat="1" x14ac:dyDescent="0.25">
      <c r="C159" s="83"/>
      <c r="D159" s="74"/>
      <c r="E159" s="74"/>
      <c r="F159" s="74"/>
      <c r="G159" s="74"/>
      <c r="H159" s="74"/>
      <c r="I159" s="74"/>
      <c r="J159" s="74"/>
      <c r="K159" s="74"/>
      <c r="L159" s="82"/>
    </row>
    <row r="160" spans="3:12" s="57" customFormat="1" x14ac:dyDescent="0.25">
      <c r="C160" s="83"/>
      <c r="D160" s="74"/>
      <c r="E160" s="74"/>
      <c r="F160" s="74"/>
      <c r="G160" s="74"/>
      <c r="H160" s="74"/>
      <c r="I160" s="74"/>
      <c r="J160" s="74"/>
      <c r="K160" s="74"/>
      <c r="L160" s="82"/>
    </row>
    <row r="161" spans="3:12" s="57" customFormat="1" x14ac:dyDescent="0.25">
      <c r="C161" s="83"/>
      <c r="D161" s="74"/>
      <c r="E161" s="74"/>
      <c r="F161" s="74"/>
      <c r="G161" s="74"/>
      <c r="H161" s="74"/>
      <c r="I161" s="74"/>
      <c r="J161" s="74"/>
      <c r="K161" s="74"/>
      <c r="L161" s="82"/>
    </row>
    <row r="162" spans="3:12" s="57" customFormat="1" x14ac:dyDescent="0.25">
      <c r="C162" s="83"/>
      <c r="D162" s="74"/>
      <c r="E162" s="74"/>
      <c r="F162" s="74"/>
      <c r="G162" s="74"/>
      <c r="H162" s="74"/>
      <c r="I162" s="74"/>
      <c r="J162" s="74"/>
      <c r="K162" s="74"/>
      <c r="L162" s="82"/>
    </row>
    <row r="163" spans="3:12" s="57" customFormat="1" x14ac:dyDescent="0.25">
      <c r="C163" s="83"/>
      <c r="D163" s="74"/>
      <c r="E163" s="74"/>
      <c r="F163" s="74"/>
      <c r="G163" s="74"/>
      <c r="H163" s="74"/>
      <c r="I163" s="74"/>
      <c r="J163" s="74"/>
      <c r="K163" s="74"/>
      <c r="L163" s="82"/>
    </row>
    <row r="164" spans="3:12" s="57" customFormat="1" x14ac:dyDescent="0.25">
      <c r="C164" s="83"/>
      <c r="D164" s="74"/>
      <c r="E164" s="74"/>
      <c r="F164" s="74"/>
      <c r="G164" s="74"/>
      <c r="H164" s="74"/>
      <c r="I164" s="74"/>
      <c r="J164" s="74"/>
      <c r="K164" s="74"/>
      <c r="L164" s="82"/>
    </row>
    <row r="165" spans="3:12" s="57" customFormat="1" x14ac:dyDescent="0.25">
      <c r="C165" s="83"/>
      <c r="D165" s="74"/>
      <c r="E165" s="74"/>
      <c r="F165" s="74"/>
      <c r="G165" s="74"/>
      <c r="H165" s="74"/>
      <c r="I165" s="74"/>
      <c r="J165" s="74"/>
      <c r="K165" s="74"/>
      <c r="L165" s="82"/>
    </row>
    <row r="166" spans="3:12" s="57" customFormat="1" x14ac:dyDescent="0.25">
      <c r="C166" s="83"/>
      <c r="D166" s="74"/>
      <c r="E166" s="74"/>
      <c r="F166" s="74"/>
      <c r="G166" s="74"/>
      <c r="H166" s="74"/>
      <c r="I166" s="74"/>
      <c r="J166" s="74"/>
      <c r="K166" s="74"/>
      <c r="L166" s="82"/>
    </row>
    <row r="167" spans="3:12" s="57" customFormat="1" x14ac:dyDescent="0.25">
      <c r="C167" s="83"/>
      <c r="D167" s="74"/>
      <c r="E167" s="74"/>
      <c r="F167" s="74"/>
      <c r="G167" s="74"/>
      <c r="H167" s="74"/>
      <c r="I167" s="74"/>
      <c r="J167" s="74"/>
      <c r="K167" s="74"/>
      <c r="L167" s="82"/>
    </row>
    <row r="168" spans="3:12" s="57" customFormat="1" x14ac:dyDescent="0.25">
      <c r="C168" s="83"/>
      <c r="D168" s="74"/>
      <c r="E168" s="74"/>
      <c r="F168" s="74"/>
      <c r="G168" s="74"/>
      <c r="H168" s="74"/>
      <c r="I168" s="74"/>
      <c r="J168" s="74"/>
      <c r="K168" s="74"/>
      <c r="L168" s="82"/>
    </row>
    <row r="169" spans="3:12" s="57" customFormat="1" x14ac:dyDescent="0.25">
      <c r="C169" s="83"/>
      <c r="D169" s="74"/>
      <c r="E169" s="74"/>
      <c r="F169" s="74"/>
      <c r="G169" s="74"/>
      <c r="H169" s="74"/>
      <c r="I169" s="74"/>
      <c r="J169" s="74"/>
      <c r="K169" s="74"/>
      <c r="L169" s="82"/>
    </row>
    <row r="170" spans="3:12" s="57" customFormat="1" x14ac:dyDescent="0.25">
      <c r="C170" s="83"/>
      <c r="D170" s="74"/>
      <c r="E170" s="74"/>
      <c r="F170" s="74"/>
      <c r="G170" s="74"/>
      <c r="H170" s="74"/>
      <c r="I170" s="74"/>
      <c r="J170" s="74"/>
      <c r="K170" s="74"/>
      <c r="L170" s="82"/>
    </row>
    <row r="171" spans="3:12" s="57" customFormat="1" x14ac:dyDescent="0.25">
      <c r="C171" s="83"/>
      <c r="D171" s="74"/>
      <c r="E171" s="74"/>
      <c r="F171" s="74"/>
      <c r="G171" s="74"/>
      <c r="H171" s="74"/>
      <c r="I171" s="74"/>
      <c r="J171" s="74"/>
      <c r="K171" s="74"/>
      <c r="L171" s="82"/>
    </row>
    <row r="172" spans="3:12" s="57" customFormat="1" x14ac:dyDescent="0.25">
      <c r="C172" s="83"/>
      <c r="D172" s="74"/>
      <c r="E172" s="74"/>
      <c r="F172" s="74"/>
      <c r="G172" s="74"/>
      <c r="H172" s="74"/>
      <c r="I172" s="74"/>
      <c r="J172" s="74"/>
      <c r="K172" s="74"/>
      <c r="L172" s="82"/>
    </row>
    <row r="173" spans="3:12" s="57" customFormat="1" x14ac:dyDescent="0.25">
      <c r="C173" s="83"/>
      <c r="D173" s="74"/>
      <c r="E173" s="74"/>
      <c r="F173" s="74"/>
      <c r="G173" s="74"/>
      <c r="H173" s="74"/>
      <c r="I173" s="74"/>
      <c r="J173" s="74"/>
      <c r="K173" s="74"/>
      <c r="L173" s="82"/>
    </row>
    <row r="174" spans="3:12" s="57" customFormat="1" x14ac:dyDescent="0.25">
      <c r="C174" s="83"/>
      <c r="D174" s="74"/>
      <c r="E174" s="74"/>
      <c r="F174" s="74"/>
      <c r="G174" s="74"/>
      <c r="H174" s="74"/>
      <c r="I174" s="74"/>
      <c r="J174" s="74"/>
      <c r="K174" s="74"/>
      <c r="L174" s="82"/>
    </row>
    <row r="175" spans="3:12" s="57" customFormat="1" x14ac:dyDescent="0.25">
      <c r="C175" s="83"/>
      <c r="D175" s="74"/>
      <c r="E175" s="74"/>
      <c r="F175" s="74"/>
      <c r="G175" s="74"/>
      <c r="H175" s="74"/>
      <c r="I175" s="74"/>
      <c r="J175" s="74"/>
      <c r="K175" s="74"/>
      <c r="L175" s="82"/>
    </row>
    <row r="176" spans="3:12" s="57" customFormat="1" x14ac:dyDescent="0.25">
      <c r="C176" s="83"/>
      <c r="D176" s="74"/>
      <c r="E176" s="74"/>
      <c r="F176" s="74"/>
      <c r="G176" s="74"/>
      <c r="H176" s="74"/>
      <c r="I176" s="74"/>
      <c r="J176" s="74"/>
      <c r="K176" s="74"/>
      <c r="L176" s="82"/>
    </row>
    <row r="177" spans="1:13" x14ac:dyDescent="0.25">
      <c r="A177" s="57"/>
      <c r="C177" s="83"/>
      <c r="D177" s="74"/>
      <c r="E177" s="74"/>
      <c r="F177" s="74"/>
      <c r="G177" s="74"/>
      <c r="H177" s="74"/>
      <c r="I177" s="74"/>
      <c r="J177" s="74"/>
      <c r="K177" s="74"/>
      <c r="L177" s="82"/>
      <c r="M177" s="57"/>
    </row>
    <row r="178" spans="1:13" x14ac:dyDescent="0.25">
      <c r="A178" s="57"/>
      <c r="C178" s="83"/>
      <c r="D178" s="74"/>
      <c r="E178" s="74"/>
      <c r="F178" s="74"/>
      <c r="G178" s="74"/>
      <c r="H178" s="74"/>
      <c r="I178" s="74"/>
      <c r="J178" s="74"/>
      <c r="K178" s="74"/>
      <c r="L178" s="82"/>
      <c r="M178" s="57"/>
    </row>
    <row r="179" spans="1:13" x14ac:dyDescent="0.25">
      <c r="A179" s="57"/>
      <c r="C179" s="83"/>
      <c r="D179" s="74"/>
      <c r="E179" s="74"/>
      <c r="F179" s="74"/>
      <c r="G179" s="74"/>
      <c r="H179" s="74"/>
      <c r="I179" s="74"/>
      <c r="J179" s="74"/>
      <c r="K179" s="74"/>
      <c r="L179" s="82"/>
      <c r="M179" s="57"/>
    </row>
    <row r="180" spans="1:13" x14ac:dyDescent="0.25">
      <c r="A180" s="57"/>
      <c r="C180" s="83"/>
      <c r="D180" s="74"/>
      <c r="E180" s="74"/>
      <c r="F180" s="74"/>
      <c r="G180" s="74"/>
      <c r="H180" s="74"/>
      <c r="I180" s="74"/>
      <c r="J180" s="74"/>
      <c r="K180" s="74"/>
      <c r="L180" s="82"/>
      <c r="M180" s="57"/>
    </row>
    <row r="181" spans="1:13" x14ac:dyDescent="0.25">
      <c r="A181" s="57"/>
      <c r="C181" s="83"/>
      <c r="D181" s="74"/>
      <c r="E181" s="74"/>
      <c r="F181" s="74"/>
      <c r="G181" s="74"/>
      <c r="H181" s="74"/>
      <c r="I181" s="74"/>
      <c r="J181" s="74"/>
      <c r="K181" s="74"/>
      <c r="L181" s="82"/>
      <c r="M181" s="57"/>
    </row>
    <row r="182" spans="1:13" x14ac:dyDescent="0.25">
      <c r="A182" s="57"/>
      <c r="C182" s="83"/>
      <c r="D182" s="74"/>
      <c r="E182" s="74"/>
      <c r="F182" s="74"/>
      <c r="G182" s="74"/>
      <c r="H182" s="74"/>
      <c r="I182" s="74"/>
      <c r="J182" s="74"/>
      <c r="K182" s="74"/>
      <c r="L182" s="82"/>
      <c r="M182" s="57"/>
    </row>
    <row r="183" spans="1:13" x14ac:dyDescent="0.25">
      <c r="A183" s="57"/>
      <c r="C183" s="83"/>
      <c r="D183" s="74"/>
      <c r="E183" s="74"/>
      <c r="F183" s="74"/>
      <c r="G183" s="74"/>
      <c r="H183" s="74"/>
      <c r="I183" s="74"/>
      <c r="J183" s="74"/>
      <c r="K183" s="74"/>
      <c r="L183" s="82"/>
      <c r="M183" s="57"/>
    </row>
    <row r="184" spans="1:13" x14ac:dyDescent="0.25">
      <c r="A184" s="57"/>
      <c r="C184" s="83"/>
      <c r="D184" s="74"/>
      <c r="E184" s="74"/>
      <c r="F184" s="74"/>
      <c r="G184" s="74"/>
      <c r="H184" s="74"/>
      <c r="I184" s="74"/>
      <c r="J184" s="74"/>
      <c r="K184" s="74"/>
      <c r="L184" s="82"/>
      <c r="M184" s="57"/>
    </row>
  </sheetData>
  <pageMargins left="0.7" right="0.7" top="0.75" bottom="0.75" header="0.3" footer="0.3"/>
  <pageSetup scale="5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B0FAA-084E-486C-BF15-A85C326C44F3}">
  <sheetPr transitionEvaluation="1" transitionEntry="1" codeName="Sheet23"/>
  <dimension ref="A1:F45"/>
  <sheetViews>
    <sheetView workbookViewId="0"/>
  </sheetViews>
  <sheetFormatPr defaultColWidth="16.42578125" defaultRowHeight="12.75" x14ac:dyDescent="0.2"/>
  <cols>
    <col min="1" max="3" width="17.7109375" style="18" customWidth="1"/>
    <col min="4" max="4" width="3.42578125" style="18" bestFit="1" customWidth="1"/>
    <col min="5" max="22" width="16.42578125" style="18"/>
    <col min="23" max="23" width="16.42578125" style="18" customWidth="1"/>
    <col min="24" max="85" width="16.42578125" style="18"/>
    <col min="86" max="86" width="17.7109375" style="18" customWidth="1"/>
    <col min="87" max="16384" width="16.42578125" style="18"/>
  </cols>
  <sheetData>
    <row r="1" spans="1:6" s="28" customFormat="1" ht="15.75" x14ac:dyDescent="0.25">
      <c r="A1" s="27" t="s">
        <v>319</v>
      </c>
      <c r="B1" s="27"/>
      <c r="C1" s="27"/>
      <c r="D1" s="27"/>
      <c r="F1" s="28" t="s">
        <v>320</v>
      </c>
    </row>
    <row r="2" spans="1:6" s="28" customFormat="1" ht="15.75" x14ac:dyDescent="0.25">
      <c r="A2" s="27" t="s">
        <v>321</v>
      </c>
      <c r="B2" s="27"/>
      <c r="C2" s="27"/>
      <c r="D2" s="27"/>
      <c r="F2" s="28" t="s">
        <v>322</v>
      </c>
    </row>
    <row r="3" spans="1:6" s="28" customFormat="1" ht="15.75" x14ac:dyDescent="0.25">
      <c r="A3" s="27" t="s">
        <v>323</v>
      </c>
      <c r="B3" s="27"/>
      <c r="C3" s="27"/>
      <c r="D3" s="27"/>
    </row>
    <row r="4" spans="1:6" x14ac:dyDescent="0.2">
      <c r="A4" s="20"/>
      <c r="B4" s="20"/>
      <c r="C4" s="20"/>
      <c r="D4" s="20"/>
    </row>
    <row r="5" spans="1:6" ht="15.75" customHeight="1" x14ac:dyDescent="0.2">
      <c r="A5" s="20" t="s">
        <v>324</v>
      </c>
      <c r="B5" s="20"/>
      <c r="C5" s="20"/>
      <c r="D5" s="20"/>
    </row>
    <row r="6" spans="1:6" ht="15.75" customHeight="1" x14ac:dyDescent="0.2">
      <c r="A6" s="20" t="s">
        <v>325</v>
      </c>
      <c r="B6" s="20"/>
      <c r="C6" s="20"/>
      <c r="D6" s="20"/>
    </row>
    <row r="7" spans="1:6" ht="15.75" customHeight="1" x14ac:dyDescent="0.2">
      <c r="A7" s="29"/>
      <c r="B7" s="30"/>
      <c r="C7" s="30"/>
      <c r="D7" s="30"/>
    </row>
    <row r="8" spans="1:6" x14ac:dyDescent="0.2">
      <c r="A8" s="20"/>
      <c r="B8" s="20"/>
      <c r="C8" s="20"/>
      <c r="D8" s="20"/>
    </row>
    <row r="9" spans="1:6" x14ac:dyDescent="0.2">
      <c r="A9" s="19" t="s">
        <v>326</v>
      </c>
      <c r="B9" s="19" t="s">
        <v>213</v>
      </c>
      <c r="C9" s="19" t="s">
        <v>327</v>
      </c>
      <c r="D9" s="19"/>
      <c r="E9" s="31"/>
    </row>
    <row r="10" spans="1:6" x14ac:dyDescent="0.2">
      <c r="A10" s="32">
        <v>44592</v>
      </c>
      <c r="B10" s="33"/>
      <c r="C10" s="34">
        <v>31</v>
      </c>
      <c r="D10" s="471" t="s">
        <v>328</v>
      </c>
    </row>
    <row r="11" spans="1:6" x14ac:dyDescent="0.2">
      <c r="A11" s="32">
        <v>44620</v>
      </c>
      <c r="B11" s="33"/>
      <c r="C11" s="34">
        <v>28</v>
      </c>
      <c r="D11" s="472"/>
    </row>
    <row r="12" spans="1:6" x14ac:dyDescent="0.2">
      <c r="A12" s="35">
        <v>44651</v>
      </c>
      <c r="B12" s="33"/>
      <c r="C12" s="34">
        <v>31</v>
      </c>
      <c r="D12" s="472"/>
    </row>
    <row r="13" spans="1:6" x14ac:dyDescent="0.2">
      <c r="A13" s="35">
        <v>44681</v>
      </c>
      <c r="B13" s="33"/>
      <c r="C13" s="34">
        <v>30</v>
      </c>
      <c r="D13" s="472"/>
    </row>
    <row r="14" spans="1:6" x14ac:dyDescent="0.2">
      <c r="A14" s="35">
        <v>44712</v>
      </c>
      <c r="B14" s="33"/>
      <c r="C14" s="34">
        <v>31</v>
      </c>
      <c r="D14" s="472"/>
    </row>
    <row r="15" spans="1:6" x14ac:dyDescent="0.2">
      <c r="A15" s="35">
        <v>44742</v>
      </c>
      <c r="B15" s="33"/>
      <c r="C15" s="34">
        <v>30</v>
      </c>
      <c r="D15" s="472"/>
    </row>
    <row r="16" spans="1:6" x14ac:dyDescent="0.2">
      <c r="A16" s="35">
        <v>44773</v>
      </c>
      <c r="B16" s="36"/>
      <c r="C16" s="34">
        <v>31</v>
      </c>
      <c r="D16" s="472"/>
    </row>
    <row r="17" spans="1:4" x14ac:dyDescent="0.2">
      <c r="A17" s="35">
        <v>44804</v>
      </c>
      <c r="B17" s="33"/>
      <c r="C17" s="34">
        <v>31</v>
      </c>
      <c r="D17" s="472"/>
    </row>
    <row r="18" spans="1:4" x14ac:dyDescent="0.2">
      <c r="A18" s="35">
        <v>44834</v>
      </c>
      <c r="B18" s="33">
        <v>4.5900000000000003E-2</v>
      </c>
      <c r="C18" s="34">
        <v>30</v>
      </c>
      <c r="D18" s="472"/>
    </row>
    <row r="19" spans="1:4" x14ac:dyDescent="0.2">
      <c r="A19" s="35">
        <v>44865</v>
      </c>
      <c r="B19" s="33">
        <f t="shared" ref="B19:B45" si="0">B18</f>
        <v>4.5900000000000003E-2</v>
      </c>
      <c r="C19" s="34">
        <v>31</v>
      </c>
      <c r="D19" s="472"/>
    </row>
    <row r="20" spans="1:4" x14ac:dyDescent="0.2">
      <c r="A20" s="32">
        <v>44895</v>
      </c>
      <c r="B20" s="33">
        <f t="shared" si="0"/>
        <v>4.5900000000000003E-2</v>
      </c>
      <c r="C20" s="34">
        <v>30</v>
      </c>
      <c r="D20" s="472"/>
    </row>
    <row r="21" spans="1:4" x14ac:dyDescent="0.2">
      <c r="A21" s="37">
        <v>44926</v>
      </c>
      <c r="B21" s="38">
        <f t="shared" si="0"/>
        <v>4.5900000000000003E-2</v>
      </c>
      <c r="C21" s="39">
        <v>31</v>
      </c>
      <c r="D21" s="473"/>
    </row>
    <row r="22" spans="1:4" x14ac:dyDescent="0.2">
      <c r="A22" s="35">
        <v>44957</v>
      </c>
      <c r="B22" s="33">
        <f t="shared" si="0"/>
        <v>4.5900000000000003E-2</v>
      </c>
      <c r="C22" s="34">
        <v>31</v>
      </c>
      <c r="D22" s="471" t="s">
        <v>329</v>
      </c>
    </row>
    <row r="23" spans="1:4" x14ac:dyDescent="0.2">
      <c r="A23" s="35">
        <v>44985</v>
      </c>
      <c r="B23" s="33">
        <f t="shared" si="0"/>
        <v>4.5900000000000003E-2</v>
      </c>
      <c r="C23" s="34">
        <v>28</v>
      </c>
      <c r="D23" s="472"/>
    </row>
    <row r="24" spans="1:4" x14ac:dyDescent="0.2">
      <c r="A24" s="35">
        <v>45016</v>
      </c>
      <c r="B24" s="40">
        <f t="shared" si="0"/>
        <v>4.5900000000000003E-2</v>
      </c>
      <c r="C24" s="34">
        <v>31</v>
      </c>
      <c r="D24" s="472"/>
    </row>
    <row r="25" spans="1:4" x14ac:dyDescent="0.2">
      <c r="A25" s="35">
        <v>45046</v>
      </c>
      <c r="B25" s="40">
        <f t="shared" si="0"/>
        <v>4.5900000000000003E-2</v>
      </c>
      <c r="C25" s="34">
        <v>30</v>
      </c>
      <c r="D25" s="472"/>
    </row>
    <row r="26" spans="1:4" x14ac:dyDescent="0.2">
      <c r="A26" s="35">
        <v>45077</v>
      </c>
      <c r="B26" s="40">
        <f t="shared" si="0"/>
        <v>4.5900000000000003E-2</v>
      </c>
      <c r="C26" s="34">
        <v>31</v>
      </c>
      <c r="D26" s="472"/>
    </row>
    <row r="27" spans="1:4" x14ac:dyDescent="0.2">
      <c r="A27" s="35">
        <v>45107</v>
      </c>
      <c r="B27" s="40">
        <f t="shared" si="0"/>
        <v>4.5900000000000003E-2</v>
      </c>
      <c r="C27" s="34">
        <v>30</v>
      </c>
      <c r="D27" s="472"/>
    </row>
    <row r="28" spans="1:4" x14ac:dyDescent="0.2">
      <c r="A28" s="35">
        <v>45138</v>
      </c>
      <c r="B28" s="40">
        <f t="shared" si="0"/>
        <v>4.5900000000000003E-2</v>
      </c>
      <c r="C28" s="34">
        <v>31</v>
      </c>
      <c r="D28" s="472"/>
    </row>
    <row r="29" spans="1:4" x14ac:dyDescent="0.2">
      <c r="A29" s="35">
        <v>45169</v>
      </c>
      <c r="B29" s="40">
        <f t="shared" si="0"/>
        <v>4.5900000000000003E-2</v>
      </c>
      <c r="C29" s="34">
        <v>31</v>
      </c>
      <c r="D29" s="472"/>
    </row>
    <row r="30" spans="1:4" x14ac:dyDescent="0.2">
      <c r="A30" s="35">
        <v>45199</v>
      </c>
      <c r="B30" s="40">
        <f t="shared" si="0"/>
        <v>4.5900000000000003E-2</v>
      </c>
      <c r="C30" s="34">
        <v>30</v>
      </c>
      <c r="D30" s="472"/>
    </row>
    <row r="31" spans="1:4" x14ac:dyDescent="0.2">
      <c r="A31" s="35">
        <v>45230</v>
      </c>
      <c r="B31" s="40">
        <f t="shared" si="0"/>
        <v>4.5900000000000003E-2</v>
      </c>
      <c r="C31" s="34">
        <v>31</v>
      </c>
      <c r="D31" s="472"/>
    </row>
    <row r="32" spans="1:4" x14ac:dyDescent="0.2">
      <c r="A32" s="35">
        <v>45260</v>
      </c>
      <c r="B32" s="33">
        <f t="shared" si="0"/>
        <v>4.5900000000000003E-2</v>
      </c>
      <c r="C32" s="34">
        <v>30</v>
      </c>
      <c r="D32" s="472"/>
    </row>
    <row r="33" spans="1:4" x14ac:dyDescent="0.2">
      <c r="A33" s="41">
        <v>45291</v>
      </c>
      <c r="B33" s="38">
        <f t="shared" si="0"/>
        <v>4.5900000000000003E-2</v>
      </c>
      <c r="C33" s="39">
        <v>31</v>
      </c>
      <c r="D33" s="473"/>
    </row>
    <row r="34" spans="1:4" x14ac:dyDescent="0.2">
      <c r="A34" s="35">
        <v>45322</v>
      </c>
      <c r="B34" s="33">
        <f t="shared" si="0"/>
        <v>4.5900000000000003E-2</v>
      </c>
      <c r="C34" s="34">
        <v>31</v>
      </c>
      <c r="D34" s="471" t="s">
        <v>330</v>
      </c>
    </row>
    <row r="35" spans="1:4" x14ac:dyDescent="0.2">
      <c r="A35" s="35">
        <v>45351</v>
      </c>
      <c r="B35" s="33">
        <f t="shared" si="0"/>
        <v>4.5900000000000003E-2</v>
      </c>
      <c r="C35" s="34">
        <v>29</v>
      </c>
      <c r="D35" s="472"/>
    </row>
    <row r="36" spans="1:4" x14ac:dyDescent="0.2">
      <c r="A36" s="35">
        <v>45382</v>
      </c>
      <c r="B36" s="40">
        <f t="shared" si="0"/>
        <v>4.5900000000000003E-2</v>
      </c>
      <c r="C36" s="34">
        <v>31</v>
      </c>
      <c r="D36" s="472"/>
    </row>
    <row r="37" spans="1:4" x14ac:dyDescent="0.2">
      <c r="A37" s="35">
        <v>45412</v>
      </c>
      <c r="B37" s="40">
        <f t="shared" si="0"/>
        <v>4.5900000000000003E-2</v>
      </c>
      <c r="C37" s="34">
        <v>30</v>
      </c>
      <c r="D37" s="472"/>
    </row>
    <row r="38" spans="1:4" x14ac:dyDescent="0.2">
      <c r="A38" s="35">
        <v>45443</v>
      </c>
      <c r="B38" s="40">
        <f t="shared" si="0"/>
        <v>4.5900000000000003E-2</v>
      </c>
      <c r="C38" s="34">
        <v>31</v>
      </c>
      <c r="D38" s="472"/>
    </row>
    <row r="39" spans="1:4" x14ac:dyDescent="0.2">
      <c r="A39" s="35">
        <v>45473</v>
      </c>
      <c r="B39" s="40">
        <f t="shared" si="0"/>
        <v>4.5900000000000003E-2</v>
      </c>
      <c r="C39" s="34">
        <v>30</v>
      </c>
      <c r="D39" s="472"/>
    </row>
    <row r="40" spans="1:4" x14ac:dyDescent="0.2">
      <c r="A40" s="35">
        <v>45504</v>
      </c>
      <c r="B40" s="40">
        <f t="shared" si="0"/>
        <v>4.5900000000000003E-2</v>
      </c>
      <c r="C40" s="34">
        <v>31</v>
      </c>
      <c r="D40" s="472"/>
    </row>
    <row r="41" spans="1:4" x14ac:dyDescent="0.2">
      <c r="A41" s="35">
        <v>45535</v>
      </c>
      <c r="B41" s="40">
        <f t="shared" si="0"/>
        <v>4.5900000000000003E-2</v>
      </c>
      <c r="C41" s="34">
        <v>31</v>
      </c>
      <c r="D41" s="472"/>
    </row>
    <row r="42" spans="1:4" x14ac:dyDescent="0.2">
      <c r="A42" s="35">
        <v>45565</v>
      </c>
      <c r="B42" s="40">
        <f t="shared" si="0"/>
        <v>4.5900000000000003E-2</v>
      </c>
      <c r="C42" s="34">
        <v>30</v>
      </c>
      <c r="D42" s="472"/>
    </row>
    <row r="43" spans="1:4" x14ac:dyDescent="0.2">
      <c r="A43" s="35">
        <v>45596</v>
      </c>
      <c r="B43" s="40">
        <f t="shared" si="0"/>
        <v>4.5900000000000003E-2</v>
      </c>
      <c r="C43" s="34">
        <v>31</v>
      </c>
      <c r="D43" s="472"/>
    </row>
    <row r="44" spans="1:4" x14ac:dyDescent="0.2">
      <c r="A44" s="35">
        <v>45626</v>
      </c>
      <c r="B44" s="33">
        <f t="shared" si="0"/>
        <v>4.5900000000000003E-2</v>
      </c>
      <c r="C44" s="34">
        <v>30</v>
      </c>
      <c r="D44" s="472"/>
    </row>
    <row r="45" spans="1:4" x14ac:dyDescent="0.2">
      <c r="A45" s="41">
        <v>45657</v>
      </c>
      <c r="B45" s="38">
        <f t="shared" si="0"/>
        <v>4.5900000000000003E-2</v>
      </c>
      <c r="C45" s="39">
        <v>31</v>
      </c>
      <c r="D45" s="473"/>
    </row>
  </sheetData>
  <mergeCells count="3">
    <mergeCell ref="D10:D21"/>
    <mergeCell ref="D22:D33"/>
    <mergeCell ref="D34:D45"/>
  </mergeCells>
  <printOptions gridLines="1" gridLinesSet="0"/>
  <pageMargins left="0.5" right="0.25" top="0.5" bottom="0.25" header="0.5" footer="0.5"/>
  <pageSetup scale="85" orientation="portrait" horizontalDpi="4294967292" verticalDpi="4294967292" r:id="rId1"/>
  <headerFooter alignWithMargins="0">
    <oddFooter>&amp;L&amp;"-,Bold"&amp;10Cascade Natural Gas Corporation&amp;C&amp;"-,Bold"&amp;10Washington Deferral Accounts&amp;R&amp;"-,Bold"&amp;10&amp;A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3243F-39E3-4405-835A-5CB6DA86C7AE}">
  <sheetPr>
    <pageSetUpPr fitToPage="1"/>
  </sheetPr>
  <dimension ref="A1:U38"/>
  <sheetViews>
    <sheetView workbookViewId="0">
      <selection activeCell="N12" sqref="N12"/>
    </sheetView>
  </sheetViews>
  <sheetFormatPr defaultColWidth="11.42578125" defaultRowHeight="12.75" x14ac:dyDescent="0.2"/>
  <cols>
    <col min="1" max="1" width="14" style="366" customWidth="1"/>
    <col min="2" max="2" width="6.5703125" style="366" customWidth="1"/>
    <col min="3" max="3" width="13.85546875" style="366" customWidth="1"/>
    <col min="4" max="4" width="12.85546875" style="366" customWidth="1"/>
    <col min="5" max="5" width="12.7109375" style="366" customWidth="1"/>
    <col min="6" max="7" width="11.42578125" style="366" customWidth="1"/>
    <col min="8" max="8" width="15.140625" style="366" customWidth="1"/>
    <col min="9" max="9" width="1.5703125" style="366" customWidth="1"/>
    <col min="10" max="10" width="13.140625" style="366" customWidth="1"/>
    <col min="11" max="11" width="12.28515625" style="366" customWidth="1"/>
    <col min="12" max="12" width="10" style="366" customWidth="1"/>
    <col min="13" max="13" width="9.28515625" style="366" bestFit="1" customWidth="1"/>
    <col min="14" max="14" width="45.42578125" style="366" bestFit="1" customWidth="1"/>
    <col min="15" max="16384" width="11.42578125" style="366"/>
  </cols>
  <sheetData>
    <row r="1" spans="1:21" x14ac:dyDescent="0.2">
      <c r="A1" s="485" t="s">
        <v>331</v>
      </c>
      <c r="B1" s="486"/>
      <c r="C1" s="487" t="s">
        <v>332</v>
      </c>
      <c r="D1" s="487"/>
      <c r="E1" s="487"/>
      <c r="F1" s="487"/>
      <c r="G1" s="487"/>
      <c r="H1" s="488"/>
      <c r="I1" s="365"/>
      <c r="O1" s="452"/>
      <c r="P1" s="452"/>
      <c r="Q1" s="452"/>
      <c r="R1" s="452"/>
    </row>
    <row r="2" spans="1:21" x14ac:dyDescent="0.2">
      <c r="A2" s="479" t="s">
        <v>333</v>
      </c>
      <c r="B2" s="480"/>
      <c r="C2" s="483" t="s">
        <v>334</v>
      </c>
      <c r="D2" s="483"/>
      <c r="E2" s="483"/>
      <c r="F2" s="483"/>
      <c r="G2" s="483"/>
      <c r="H2" s="484"/>
      <c r="I2" s="365"/>
      <c r="O2" s="453"/>
      <c r="P2" s="453"/>
      <c r="Q2" s="453"/>
      <c r="R2" s="453"/>
    </row>
    <row r="3" spans="1:21" x14ac:dyDescent="0.2">
      <c r="A3" s="479" t="s">
        <v>335</v>
      </c>
      <c r="B3" s="480"/>
      <c r="C3" s="483" t="s">
        <v>336</v>
      </c>
      <c r="D3" s="483"/>
      <c r="E3" s="483"/>
      <c r="F3" s="483"/>
      <c r="G3" s="483"/>
      <c r="H3" s="484"/>
      <c r="I3" s="365"/>
      <c r="O3" s="452"/>
      <c r="P3" s="452"/>
      <c r="Q3" s="452"/>
      <c r="R3" s="452"/>
    </row>
    <row r="4" spans="1:21" x14ac:dyDescent="0.2">
      <c r="A4" s="479" t="s">
        <v>337</v>
      </c>
      <c r="B4" s="480"/>
      <c r="C4" s="481" t="s">
        <v>338</v>
      </c>
      <c r="D4" s="481"/>
      <c r="E4" s="481"/>
      <c r="F4" s="481"/>
      <c r="G4" s="481"/>
      <c r="H4" s="482"/>
      <c r="I4" s="365"/>
      <c r="O4" s="452"/>
      <c r="P4" s="452"/>
      <c r="Q4" s="452"/>
      <c r="R4" s="452"/>
    </row>
    <row r="5" spans="1:21" x14ac:dyDescent="0.2">
      <c r="A5" s="479" t="s">
        <v>339</v>
      </c>
      <c r="B5" s="480"/>
      <c r="C5" s="483" t="s">
        <v>340</v>
      </c>
      <c r="D5" s="483"/>
      <c r="E5" s="483"/>
      <c r="F5" s="483"/>
      <c r="G5" s="483"/>
      <c r="H5" s="484"/>
      <c r="I5" s="365"/>
      <c r="O5" s="452"/>
      <c r="P5" s="452"/>
      <c r="Q5" s="452"/>
      <c r="R5" s="452"/>
    </row>
    <row r="6" spans="1:21" x14ac:dyDescent="0.2">
      <c r="A6" s="479" t="s">
        <v>341</v>
      </c>
      <c r="B6" s="480"/>
      <c r="C6" s="483" t="s">
        <v>342</v>
      </c>
      <c r="D6" s="483"/>
      <c r="E6" s="483"/>
      <c r="F6" s="483"/>
      <c r="G6" s="483"/>
      <c r="H6" s="484"/>
      <c r="I6" s="365"/>
      <c r="O6" s="452"/>
      <c r="P6" s="452"/>
      <c r="Q6" s="452"/>
      <c r="R6" s="452"/>
    </row>
    <row r="7" spans="1:21" ht="40.5" customHeight="1" thickBot="1" x14ac:dyDescent="0.25">
      <c r="A7" s="474" t="s">
        <v>343</v>
      </c>
      <c r="B7" s="475"/>
      <c r="C7" s="476" t="s">
        <v>344</v>
      </c>
      <c r="D7" s="476"/>
      <c r="E7" s="476"/>
      <c r="F7" s="476"/>
      <c r="G7" s="476"/>
      <c r="H7" s="477"/>
      <c r="I7" s="367"/>
      <c r="O7" s="452"/>
      <c r="P7" s="452"/>
      <c r="Q7" s="452"/>
      <c r="R7" s="452"/>
    </row>
    <row r="8" spans="1:21" x14ac:dyDescent="0.2">
      <c r="A8" s="368"/>
      <c r="B8" s="368"/>
      <c r="C8" s="369"/>
      <c r="D8" s="369"/>
      <c r="E8" s="369"/>
      <c r="F8" s="369"/>
      <c r="G8" s="369"/>
      <c r="H8" s="369"/>
      <c r="K8" s="365"/>
      <c r="O8" s="452"/>
      <c r="P8" s="452"/>
      <c r="Q8" s="452"/>
      <c r="R8" s="452"/>
    </row>
    <row r="9" spans="1:21" x14ac:dyDescent="0.2">
      <c r="A9" s="370"/>
      <c r="D9" s="478" t="s">
        <v>345</v>
      </c>
      <c r="E9" s="478"/>
      <c r="F9" s="478"/>
      <c r="O9" s="452"/>
      <c r="P9" s="452"/>
      <c r="Q9" s="452"/>
      <c r="R9" s="452"/>
    </row>
    <row r="10" spans="1:21" s="371" customFormat="1" ht="26.25" customHeight="1" x14ac:dyDescent="0.2">
      <c r="A10" s="371" t="s">
        <v>326</v>
      </c>
      <c r="B10" s="371" t="s">
        <v>346</v>
      </c>
      <c r="C10" s="371" t="s">
        <v>218</v>
      </c>
      <c r="D10" s="371" t="s">
        <v>347</v>
      </c>
      <c r="E10" s="371" t="s">
        <v>211</v>
      </c>
      <c r="F10" s="371" t="s">
        <v>6</v>
      </c>
      <c r="G10" s="371" t="s">
        <v>348</v>
      </c>
      <c r="H10" s="371" t="s">
        <v>349</v>
      </c>
      <c r="J10" s="371" t="s">
        <v>350</v>
      </c>
      <c r="K10" s="371" t="s">
        <v>351</v>
      </c>
      <c r="L10" s="371" t="s">
        <v>352</v>
      </c>
      <c r="M10" s="371" t="s">
        <v>353</v>
      </c>
      <c r="O10" s="452"/>
      <c r="P10" s="452"/>
      <c r="Q10" s="452"/>
      <c r="R10" s="452"/>
      <c r="S10" s="366"/>
      <c r="T10" s="366"/>
      <c r="U10" s="366"/>
    </row>
    <row r="11" spans="1:21" s="382" customFormat="1" ht="15" customHeight="1" x14ac:dyDescent="0.2">
      <c r="H11" s="366">
        <v>0</v>
      </c>
      <c r="L11" s="383"/>
      <c r="M11" s="383"/>
      <c r="O11" s="454"/>
      <c r="P11" s="454"/>
      <c r="Q11" s="454"/>
      <c r="R11" s="454"/>
    </row>
    <row r="12" spans="1:21" x14ac:dyDescent="0.2">
      <c r="A12" s="375">
        <v>44865</v>
      </c>
      <c r="D12" s="366">
        <v>17944</v>
      </c>
      <c r="F12" s="366">
        <v>0</v>
      </c>
      <c r="H12" s="366">
        <f t="shared" ref="H12:H15" si="0">H11+SUM(D12:G12)</f>
        <v>17944</v>
      </c>
      <c r="J12" s="366">
        <v>0</v>
      </c>
      <c r="K12" s="366">
        <f t="shared" ref="K12:K36" si="1">H12-J12</f>
        <v>17944</v>
      </c>
      <c r="L12" s="373" t="s">
        <v>354</v>
      </c>
      <c r="M12" s="374">
        <v>44872</v>
      </c>
    </row>
    <row r="13" spans="1:21" x14ac:dyDescent="0.2">
      <c r="A13" s="375">
        <v>44895</v>
      </c>
      <c r="D13" s="366">
        <v>81763.199999999997</v>
      </c>
      <c r="F13" s="366">
        <v>67.7</v>
      </c>
      <c r="H13" s="366">
        <f t="shared" si="0"/>
        <v>99774.9</v>
      </c>
      <c r="J13" s="366">
        <v>1100</v>
      </c>
      <c r="K13" s="366">
        <f t="shared" si="1"/>
        <v>98674.9</v>
      </c>
      <c r="L13" s="373" t="s">
        <v>354</v>
      </c>
      <c r="M13" s="374">
        <v>44903</v>
      </c>
    </row>
    <row r="14" spans="1:21" x14ac:dyDescent="0.2">
      <c r="A14" s="375">
        <v>44926</v>
      </c>
      <c r="D14" s="366">
        <v>247538.62</v>
      </c>
      <c r="F14" s="366">
        <v>388.96</v>
      </c>
      <c r="H14" s="366">
        <f t="shared" si="0"/>
        <v>347702.48</v>
      </c>
      <c r="J14" s="366">
        <v>347245.82</v>
      </c>
      <c r="K14" s="366">
        <f t="shared" si="1"/>
        <v>456.65999999997439</v>
      </c>
      <c r="L14" s="373" t="s">
        <v>354</v>
      </c>
      <c r="M14" s="374">
        <v>44950</v>
      </c>
    </row>
    <row r="15" spans="1:21" x14ac:dyDescent="0.2">
      <c r="A15" s="375">
        <v>44957</v>
      </c>
      <c r="D15" s="366">
        <v>104666.01</v>
      </c>
      <c r="F15" s="366">
        <f t="shared" ref="F15:F24" si="2">ROUND(H14*VLOOKUP(A15,ACODINT23,2)/365*VLOOKUP(A15,ACODINT23,3),2)</f>
        <v>1355.47</v>
      </c>
      <c r="H15" s="366">
        <f t="shared" si="0"/>
        <v>453723.95999999996</v>
      </c>
      <c r="J15" s="366">
        <v>454263.91</v>
      </c>
      <c r="K15" s="366">
        <f t="shared" si="1"/>
        <v>-539.95000000001164</v>
      </c>
      <c r="L15" s="373" t="s">
        <v>354</v>
      </c>
      <c r="M15" s="374">
        <v>44967</v>
      </c>
      <c r="N15" s="366" t="s">
        <v>355</v>
      </c>
    </row>
    <row r="16" spans="1:21" x14ac:dyDescent="0.2">
      <c r="A16" s="375">
        <v>44985</v>
      </c>
      <c r="D16" s="366">
        <v>113566.27</v>
      </c>
      <c r="F16" s="366">
        <f t="shared" si="2"/>
        <v>1597.61</v>
      </c>
      <c r="H16" s="366">
        <f t="shared" ref="H16:H38" si="3">H15+SUM(D16:G16)</f>
        <v>568887.84</v>
      </c>
      <c r="J16" s="366">
        <v>568887.84</v>
      </c>
      <c r="K16" s="366">
        <f t="shared" si="1"/>
        <v>0</v>
      </c>
      <c r="L16" s="373" t="s">
        <v>354</v>
      </c>
      <c r="M16" s="374">
        <v>44993</v>
      </c>
      <c r="N16" s="366" t="s">
        <v>356</v>
      </c>
    </row>
    <row r="17" spans="1:13" x14ac:dyDescent="0.2">
      <c r="A17" s="375">
        <v>45016</v>
      </c>
      <c r="D17" s="366">
        <v>98598.06</v>
      </c>
      <c r="F17" s="366">
        <f t="shared" si="2"/>
        <v>2217.73</v>
      </c>
      <c r="H17" s="366">
        <f t="shared" si="3"/>
        <v>669703.63</v>
      </c>
      <c r="J17" s="366">
        <v>669703.63</v>
      </c>
      <c r="K17" s="366">
        <f t="shared" si="1"/>
        <v>0</v>
      </c>
      <c r="L17" s="373" t="s">
        <v>354</v>
      </c>
      <c r="M17" s="374">
        <v>45026</v>
      </c>
    </row>
    <row r="18" spans="1:13" x14ac:dyDescent="0.2">
      <c r="A18" s="375">
        <v>45046</v>
      </c>
      <c r="D18" s="366">
        <v>5340.45</v>
      </c>
      <c r="F18" s="366">
        <f t="shared" si="2"/>
        <v>2526.5300000000002</v>
      </c>
      <c r="H18" s="366">
        <f t="shared" si="3"/>
        <v>677570.61</v>
      </c>
      <c r="J18" s="366">
        <v>677570.61</v>
      </c>
      <c r="K18" s="366">
        <f t="shared" si="1"/>
        <v>0</v>
      </c>
      <c r="L18" s="373" t="s">
        <v>354</v>
      </c>
      <c r="M18" s="374">
        <v>45054</v>
      </c>
    </row>
    <row r="19" spans="1:13" x14ac:dyDescent="0.2">
      <c r="A19" s="375">
        <v>45077</v>
      </c>
      <c r="D19" s="366">
        <v>66882.22</v>
      </c>
      <c r="F19" s="366">
        <f t="shared" si="2"/>
        <v>2641.41</v>
      </c>
      <c r="H19" s="366">
        <f t="shared" si="3"/>
        <v>747094.24</v>
      </c>
      <c r="J19" s="366">
        <v>747094.24</v>
      </c>
      <c r="K19" s="366">
        <f t="shared" si="1"/>
        <v>0</v>
      </c>
      <c r="L19" s="373" t="s">
        <v>354</v>
      </c>
      <c r="M19" s="374">
        <v>45091</v>
      </c>
    </row>
    <row r="20" spans="1:13" x14ac:dyDescent="0.2">
      <c r="A20" s="375">
        <v>45107</v>
      </c>
      <c r="D20" s="366">
        <v>23250.12</v>
      </c>
      <c r="F20" s="366">
        <f t="shared" si="2"/>
        <v>2818.49</v>
      </c>
      <c r="H20" s="366">
        <f t="shared" si="3"/>
        <v>773162.85</v>
      </c>
      <c r="J20" s="366">
        <v>773162.85</v>
      </c>
      <c r="K20" s="366">
        <f t="shared" si="1"/>
        <v>0</v>
      </c>
      <c r="L20" s="373" t="s">
        <v>354</v>
      </c>
      <c r="M20" s="374">
        <v>45118</v>
      </c>
    </row>
    <row r="21" spans="1:13" x14ac:dyDescent="0.2">
      <c r="A21" s="375">
        <v>45138</v>
      </c>
      <c r="D21" s="366">
        <v>59096.44</v>
      </c>
      <c r="F21" s="366">
        <f t="shared" si="2"/>
        <v>3014.06</v>
      </c>
      <c r="H21" s="366">
        <f t="shared" si="3"/>
        <v>835273.35</v>
      </c>
      <c r="J21" s="366">
        <v>835273.35</v>
      </c>
      <c r="K21" s="366">
        <f t="shared" si="1"/>
        <v>0</v>
      </c>
      <c r="L21" s="373" t="s">
        <v>354</v>
      </c>
      <c r="M21" s="374">
        <v>45146</v>
      </c>
    </row>
    <row r="22" spans="1:13" x14ac:dyDescent="0.2">
      <c r="A22" s="375">
        <v>45169</v>
      </c>
      <c r="D22" s="366">
        <f>98917.93+21991.67</f>
        <v>120909.59999999999</v>
      </c>
      <c r="F22" s="366">
        <f t="shared" si="2"/>
        <v>3256.19</v>
      </c>
      <c r="H22" s="366">
        <f t="shared" si="3"/>
        <v>959439.14</v>
      </c>
      <c r="J22" s="366">
        <v>959439.14</v>
      </c>
      <c r="K22" s="366">
        <f t="shared" si="1"/>
        <v>0</v>
      </c>
      <c r="L22" s="373" t="s">
        <v>354</v>
      </c>
      <c r="M22" s="374">
        <v>45180</v>
      </c>
    </row>
    <row r="23" spans="1:13" x14ac:dyDescent="0.2">
      <c r="A23" s="375">
        <v>45199</v>
      </c>
      <c r="D23" s="366">
        <f>23819.42+169102.73</f>
        <v>192922.15000000002</v>
      </c>
      <c r="F23" s="366">
        <f t="shared" si="2"/>
        <v>3619.58</v>
      </c>
      <c r="H23" s="366">
        <f t="shared" si="3"/>
        <v>1155980.8700000001</v>
      </c>
      <c r="J23" s="366">
        <v>1155980.8700000001</v>
      </c>
      <c r="K23" s="366">
        <f t="shared" si="1"/>
        <v>0</v>
      </c>
      <c r="L23" s="373" t="s">
        <v>354</v>
      </c>
      <c r="M23" s="374">
        <v>45208</v>
      </c>
    </row>
    <row r="24" spans="1:13" x14ac:dyDescent="0.2">
      <c r="A24" s="375">
        <v>45230</v>
      </c>
      <c r="D24" s="366">
        <v>101915.92</v>
      </c>
      <c r="F24" s="366">
        <f t="shared" si="2"/>
        <v>4506.43</v>
      </c>
      <c r="H24" s="366">
        <f t="shared" si="3"/>
        <v>1262403.2200000002</v>
      </c>
      <c r="J24" s="366">
        <v>1262403.22</v>
      </c>
      <c r="K24" s="366">
        <f t="shared" si="1"/>
        <v>0</v>
      </c>
      <c r="L24" s="373" t="s">
        <v>354</v>
      </c>
      <c r="M24" s="374">
        <v>45238</v>
      </c>
    </row>
    <row r="25" spans="1:13" x14ac:dyDescent="0.2">
      <c r="A25" s="375">
        <v>45260</v>
      </c>
      <c r="D25" s="366">
        <v>230233.29</v>
      </c>
      <c r="F25" s="366">
        <f t="shared" ref="F25:F26" si="4">ROUND(H24*VLOOKUP(A25,ACODINT23,2)/365*VLOOKUP(A25,ACODINT23,3),2)</f>
        <v>4762.55</v>
      </c>
      <c r="H25" s="366">
        <f t="shared" si="3"/>
        <v>1497399.0600000003</v>
      </c>
      <c r="J25" s="366">
        <v>1497399.06</v>
      </c>
      <c r="K25" s="366">
        <f t="shared" si="1"/>
        <v>0</v>
      </c>
      <c r="L25" s="373" t="s">
        <v>354</v>
      </c>
      <c r="M25" s="374">
        <v>45271</v>
      </c>
    </row>
    <row r="26" spans="1:13" x14ac:dyDescent="0.2">
      <c r="A26" s="375">
        <v>45291</v>
      </c>
      <c r="D26" s="366">
        <v>183431.58</v>
      </c>
      <c r="F26" s="366">
        <f t="shared" si="4"/>
        <v>5837.39</v>
      </c>
      <c r="H26" s="366">
        <f t="shared" si="3"/>
        <v>1686668.0300000003</v>
      </c>
      <c r="J26" s="366">
        <v>1686668.03</v>
      </c>
      <c r="K26" s="366">
        <f t="shared" si="1"/>
        <v>0</v>
      </c>
      <c r="L26" s="373" t="s">
        <v>354</v>
      </c>
      <c r="M26" s="374">
        <v>45300</v>
      </c>
    </row>
    <row r="27" spans="1:13" x14ac:dyDescent="0.2">
      <c r="A27" s="375">
        <v>45322</v>
      </c>
      <c r="D27" s="366">
        <v>106053.56</v>
      </c>
      <c r="F27" s="366">
        <f t="shared" ref="F27:F38" si="5">ROUND(H26*VLOOKUP(A27,ACODINT24,2)/365*VLOOKUP(A27,ACODINT24,3),2)</f>
        <v>6575.23</v>
      </c>
      <c r="H27" s="366">
        <f t="shared" si="3"/>
        <v>1799296.8200000003</v>
      </c>
      <c r="J27" s="366">
        <v>1799296.82</v>
      </c>
      <c r="K27" s="366">
        <f t="shared" si="1"/>
        <v>0</v>
      </c>
      <c r="L27" s="373" t="s">
        <v>354</v>
      </c>
      <c r="M27" s="374">
        <v>45334</v>
      </c>
    </row>
    <row r="28" spans="1:13" x14ac:dyDescent="0.2">
      <c r="A28" s="375">
        <v>45351</v>
      </c>
      <c r="D28" s="366">
        <v>163555.07</v>
      </c>
      <c r="F28" s="366">
        <f t="shared" si="5"/>
        <v>6561.76</v>
      </c>
      <c r="H28" s="366">
        <f t="shared" si="3"/>
        <v>1969413.6500000004</v>
      </c>
      <c r="J28" s="366">
        <v>1969413.65</v>
      </c>
      <c r="K28" s="366">
        <f t="shared" si="1"/>
        <v>0</v>
      </c>
      <c r="L28" s="373" t="s">
        <v>354</v>
      </c>
      <c r="M28" s="374">
        <v>45359</v>
      </c>
    </row>
    <row r="29" spans="1:13" x14ac:dyDescent="0.2">
      <c r="A29" s="375">
        <v>45382</v>
      </c>
      <c r="D29" s="366">
        <v>138785.88</v>
      </c>
      <c r="F29" s="366">
        <f t="shared" si="5"/>
        <v>7677.48</v>
      </c>
      <c r="H29" s="366">
        <f t="shared" si="3"/>
        <v>2115877.0100000002</v>
      </c>
      <c r="J29" s="366">
        <v>2115877.0099999998</v>
      </c>
      <c r="K29" s="366">
        <f t="shared" si="1"/>
        <v>0</v>
      </c>
      <c r="L29" s="373" t="s">
        <v>354</v>
      </c>
      <c r="M29" s="374">
        <v>45390</v>
      </c>
    </row>
    <row r="30" spans="1:13" x14ac:dyDescent="0.2">
      <c r="A30" s="375">
        <v>45412</v>
      </c>
      <c r="D30" s="366">
        <f>'Tracker WP (R)'!AD26</f>
        <v>108000</v>
      </c>
      <c r="F30" s="366">
        <f t="shared" si="5"/>
        <v>7982.36</v>
      </c>
      <c r="H30" s="366">
        <f t="shared" si="3"/>
        <v>2231859.37</v>
      </c>
      <c r="K30" s="366">
        <f t="shared" si="1"/>
        <v>2231859.37</v>
      </c>
      <c r="L30" s="373"/>
      <c r="M30" s="374"/>
    </row>
    <row r="31" spans="1:13" x14ac:dyDescent="0.2">
      <c r="A31" s="375">
        <v>45443</v>
      </c>
      <c r="D31" s="366">
        <f>'Tracker WP (R)'!AE26</f>
        <v>83000</v>
      </c>
      <c r="F31" s="366">
        <f t="shared" si="5"/>
        <v>8700.58</v>
      </c>
      <c r="H31" s="366">
        <f t="shared" si="3"/>
        <v>2323559.9500000002</v>
      </c>
      <c r="K31" s="366">
        <f t="shared" si="1"/>
        <v>2323559.9500000002</v>
      </c>
      <c r="L31" s="373"/>
      <c r="M31" s="374"/>
    </row>
    <row r="32" spans="1:13" x14ac:dyDescent="0.2">
      <c r="A32" s="375">
        <v>45473</v>
      </c>
      <c r="D32" s="366">
        <f>'Tracker WP (R)'!AF26</f>
        <v>45500</v>
      </c>
      <c r="F32" s="366">
        <f t="shared" si="5"/>
        <v>8765.8700000000008</v>
      </c>
      <c r="H32" s="366">
        <f t="shared" si="3"/>
        <v>2377825.8200000003</v>
      </c>
      <c r="K32" s="366">
        <f t="shared" si="1"/>
        <v>2377825.8200000003</v>
      </c>
      <c r="L32" s="373"/>
      <c r="M32" s="374"/>
    </row>
    <row r="33" spans="1:13" x14ac:dyDescent="0.2">
      <c r="A33" s="375">
        <v>45504</v>
      </c>
      <c r="D33" s="366">
        <f>'Tracker WP (R)'!AG26</f>
        <v>45500</v>
      </c>
      <c r="F33" s="366">
        <f t="shared" si="5"/>
        <v>9269.61</v>
      </c>
      <c r="H33" s="366">
        <f t="shared" si="3"/>
        <v>2432595.4300000002</v>
      </c>
      <c r="K33" s="366">
        <f t="shared" si="1"/>
        <v>2432595.4300000002</v>
      </c>
      <c r="L33" s="373"/>
      <c r="M33" s="374"/>
    </row>
    <row r="34" spans="1:13" x14ac:dyDescent="0.2">
      <c r="A34" s="375">
        <v>45535</v>
      </c>
      <c r="D34" s="366">
        <f>'Tracker WP (R)'!AH26</f>
        <v>8000</v>
      </c>
      <c r="F34" s="366">
        <f t="shared" si="5"/>
        <v>9483.1200000000008</v>
      </c>
      <c r="H34" s="366">
        <f t="shared" si="3"/>
        <v>2450078.5500000003</v>
      </c>
      <c r="K34" s="366">
        <f t="shared" si="1"/>
        <v>2450078.5500000003</v>
      </c>
      <c r="L34" s="373"/>
      <c r="M34" s="374"/>
    </row>
    <row r="35" spans="1:13" x14ac:dyDescent="0.2">
      <c r="A35" s="375">
        <v>45565</v>
      </c>
      <c r="D35" s="366">
        <f>'Tracker WP (R)'!AI26</f>
        <v>8000</v>
      </c>
      <c r="F35" s="366">
        <f t="shared" si="5"/>
        <v>9243.17</v>
      </c>
      <c r="H35" s="366">
        <f t="shared" si="3"/>
        <v>2467321.7200000002</v>
      </c>
      <c r="K35" s="366">
        <f t="shared" si="1"/>
        <v>2467321.7200000002</v>
      </c>
      <c r="L35" s="373"/>
      <c r="M35" s="374"/>
    </row>
    <row r="36" spans="1:13" x14ac:dyDescent="0.2">
      <c r="A36" s="375">
        <v>45596</v>
      </c>
      <c r="D36" s="366">
        <f>'Tracker WP (R)'!AJ26</f>
        <v>8000</v>
      </c>
      <c r="F36" s="366">
        <f t="shared" si="5"/>
        <v>9618.5</v>
      </c>
      <c r="H36" s="366">
        <f t="shared" si="3"/>
        <v>2484940.2200000002</v>
      </c>
      <c r="K36" s="366">
        <f t="shared" si="1"/>
        <v>2484940.2200000002</v>
      </c>
      <c r="L36" s="373"/>
      <c r="M36" s="374"/>
    </row>
    <row r="37" spans="1:13" x14ac:dyDescent="0.2">
      <c r="A37" s="375">
        <v>45626</v>
      </c>
      <c r="D37" s="366">
        <f>'Tracker WP (R)'!AK26</f>
        <v>8000</v>
      </c>
      <c r="F37" s="366">
        <f t="shared" si="5"/>
        <v>9374.69</v>
      </c>
      <c r="H37" s="366">
        <f t="shared" si="3"/>
        <v>2502314.91</v>
      </c>
    </row>
    <row r="38" spans="1:13" x14ac:dyDescent="0.2">
      <c r="A38" s="375">
        <v>45657</v>
      </c>
      <c r="D38" s="366">
        <f>'Tracker WP (R)'!AL26</f>
        <v>8000</v>
      </c>
      <c r="F38" s="366">
        <f t="shared" si="5"/>
        <v>9754.91</v>
      </c>
      <c r="H38" s="366">
        <f t="shared" si="3"/>
        <v>2520069.8200000003</v>
      </c>
    </row>
  </sheetData>
  <mergeCells count="15">
    <mergeCell ref="A1:B1"/>
    <mergeCell ref="C1:H1"/>
    <mergeCell ref="A2:B2"/>
    <mergeCell ref="C2:H2"/>
    <mergeCell ref="A3:B3"/>
    <mergeCell ref="C3:H3"/>
    <mergeCell ref="A7:B7"/>
    <mergeCell ref="C7:H7"/>
    <mergeCell ref="D9:F9"/>
    <mergeCell ref="A4:B4"/>
    <mergeCell ref="C4:H4"/>
    <mergeCell ref="A5:B5"/>
    <mergeCell ref="C5:H5"/>
    <mergeCell ref="A6:B6"/>
    <mergeCell ref="C6:H6"/>
  </mergeCells>
  <pageMargins left="0.5" right="0.25" top="0.5" bottom="0.25" header="0.5" footer="0.5"/>
  <pageSetup scale="68" orientation="landscape" r:id="rId1"/>
  <headerFooter alignWithMargins="0">
    <oddFooter>&amp;L&amp;"-,Bold"&amp;10Cascade Natural Gas Corporation&amp;C&amp;"-,Bold"&amp;10Washington Deferral Accounts&amp;R&amp;"-,Bold"&amp;10Deferred Gas Cost &amp;A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FA1B1-A58E-4EC1-B2F5-93162971A29E}">
  <sheetPr>
    <pageSetUpPr fitToPage="1"/>
  </sheetPr>
  <dimension ref="A1:M35"/>
  <sheetViews>
    <sheetView workbookViewId="0">
      <selection activeCell="D1" sqref="D1:D2"/>
    </sheetView>
  </sheetViews>
  <sheetFormatPr defaultColWidth="11.42578125" defaultRowHeight="12.75" x14ac:dyDescent="0.2"/>
  <cols>
    <col min="1" max="1" width="14" style="366" customWidth="1"/>
    <col min="2" max="2" width="10" style="366" customWidth="1"/>
    <col min="3" max="3" width="13.85546875" style="366" customWidth="1"/>
    <col min="4" max="4" width="14.42578125" style="366" customWidth="1"/>
    <col min="5" max="5" width="13.5703125" style="366" bestFit="1" customWidth="1"/>
    <col min="6" max="6" width="12.85546875" style="366" bestFit="1" customWidth="1"/>
    <col min="7" max="7" width="13.85546875" style="366" bestFit="1" customWidth="1"/>
    <col min="8" max="8" width="15.140625" style="366" customWidth="1"/>
    <col min="9" max="9" width="1.5703125" style="366" customWidth="1"/>
    <col min="10" max="10" width="13.5703125" style="366" customWidth="1"/>
    <col min="11" max="11" width="12.5703125" style="366" customWidth="1"/>
    <col min="12" max="12" width="11.5703125" style="366" bestFit="1" customWidth="1"/>
    <col min="13" max="13" width="13.28515625" style="366" bestFit="1" customWidth="1"/>
    <col min="14" max="16384" width="11.42578125" style="366"/>
  </cols>
  <sheetData>
    <row r="1" spans="1:13" ht="15" x14ac:dyDescent="0.25">
      <c r="D1" s="155" t="s">
        <v>406</v>
      </c>
    </row>
    <row r="2" spans="1:13" ht="15.75" thickBot="1" x14ac:dyDescent="0.3">
      <c r="D2" s="156" t="s">
        <v>405</v>
      </c>
    </row>
    <row r="3" spans="1:13" x14ac:dyDescent="0.2">
      <c r="A3" s="485" t="s">
        <v>331</v>
      </c>
      <c r="B3" s="486"/>
      <c r="C3" s="487" t="s">
        <v>332</v>
      </c>
      <c r="D3" s="487"/>
      <c r="E3" s="487"/>
      <c r="F3" s="487"/>
      <c r="G3" s="487"/>
      <c r="H3" s="488"/>
      <c r="I3" s="365"/>
    </row>
    <row r="4" spans="1:13" x14ac:dyDescent="0.2">
      <c r="A4" s="479" t="s">
        <v>333</v>
      </c>
      <c r="B4" s="480"/>
      <c r="C4" s="483" t="s">
        <v>357</v>
      </c>
      <c r="D4" s="483"/>
      <c r="E4" s="483"/>
      <c r="F4" s="483"/>
      <c r="G4" s="483"/>
      <c r="H4" s="484"/>
      <c r="I4" s="365"/>
    </row>
    <row r="5" spans="1:13" x14ac:dyDescent="0.2">
      <c r="A5" s="479" t="s">
        <v>335</v>
      </c>
      <c r="B5" s="480"/>
      <c r="C5" s="483" t="s">
        <v>358</v>
      </c>
      <c r="D5" s="483"/>
      <c r="E5" s="483"/>
      <c r="F5" s="483"/>
      <c r="G5" s="483"/>
      <c r="H5" s="484"/>
      <c r="I5" s="365"/>
    </row>
    <row r="6" spans="1:13" x14ac:dyDescent="0.2">
      <c r="A6" s="479" t="s">
        <v>337</v>
      </c>
      <c r="B6" s="480"/>
      <c r="C6" s="481" t="s">
        <v>338</v>
      </c>
      <c r="D6" s="481"/>
      <c r="E6" s="481"/>
      <c r="F6" s="481"/>
      <c r="G6" s="481"/>
      <c r="H6" s="482"/>
      <c r="I6" s="365"/>
      <c r="J6" s="366" t="s">
        <v>359</v>
      </c>
    </row>
    <row r="7" spans="1:13" x14ac:dyDescent="0.2">
      <c r="A7" s="479" t="s">
        <v>339</v>
      </c>
      <c r="B7" s="480"/>
      <c r="C7" s="483" t="s">
        <v>360</v>
      </c>
      <c r="D7" s="483"/>
      <c r="E7" s="483"/>
      <c r="F7" s="483"/>
      <c r="G7" s="483"/>
      <c r="H7" s="484"/>
      <c r="I7" s="365"/>
      <c r="J7" s="366" t="s">
        <v>361</v>
      </c>
    </row>
    <row r="8" spans="1:13" x14ac:dyDescent="0.2">
      <c r="A8" s="479" t="s">
        <v>341</v>
      </c>
      <c r="B8" s="480"/>
      <c r="C8" s="483" t="s">
        <v>58</v>
      </c>
      <c r="D8" s="483"/>
      <c r="E8" s="483"/>
      <c r="F8" s="483"/>
      <c r="G8" s="483"/>
      <c r="H8" s="484"/>
      <c r="I8" s="365"/>
    </row>
    <row r="9" spans="1:13" ht="27.75" customHeight="1" thickBot="1" x14ac:dyDescent="0.25">
      <c r="A9" s="474" t="s">
        <v>343</v>
      </c>
      <c r="B9" s="475"/>
      <c r="C9" s="476" t="s">
        <v>362</v>
      </c>
      <c r="D9" s="476"/>
      <c r="E9" s="476"/>
      <c r="F9" s="476"/>
      <c r="G9" s="476"/>
      <c r="H9" s="477"/>
      <c r="I9" s="367"/>
    </row>
    <row r="10" spans="1:13" x14ac:dyDescent="0.2">
      <c r="A10" s="368"/>
      <c r="B10" s="368"/>
      <c r="C10" s="369"/>
      <c r="D10" s="369"/>
      <c r="E10" s="369"/>
      <c r="F10" s="369"/>
      <c r="G10" s="369"/>
      <c r="H10" s="369"/>
      <c r="K10" s="365"/>
    </row>
    <row r="11" spans="1:13" x14ac:dyDescent="0.2">
      <c r="A11" s="370"/>
      <c r="D11" s="478" t="s">
        <v>345</v>
      </c>
      <c r="E11" s="478"/>
      <c r="F11" s="478"/>
    </row>
    <row r="12" spans="1:13" s="371" customFormat="1" ht="26.25" customHeight="1" x14ac:dyDescent="0.2">
      <c r="A12" s="371" t="s">
        <v>326</v>
      </c>
      <c r="B12" s="371" t="s">
        <v>346</v>
      </c>
      <c r="C12" s="371" t="s">
        <v>218</v>
      </c>
      <c r="D12" s="371" t="s">
        <v>347</v>
      </c>
      <c r="E12" s="371" t="s">
        <v>211</v>
      </c>
      <c r="F12" s="371" t="s">
        <v>6</v>
      </c>
      <c r="G12" s="371" t="s">
        <v>348</v>
      </c>
      <c r="H12" s="371" t="s">
        <v>349</v>
      </c>
      <c r="J12" s="371" t="s">
        <v>350</v>
      </c>
      <c r="K12" s="371" t="s">
        <v>351</v>
      </c>
      <c r="L12" s="372" t="s">
        <v>352</v>
      </c>
      <c r="M12" s="372" t="s">
        <v>353</v>
      </c>
    </row>
    <row r="13" spans="1:13" x14ac:dyDescent="0.2">
      <c r="A13" s="489"/>
      <c r="B13" s="489"/>
      <c r="C13" s="489"/>
      <c r="D13" s="489"/>
      <c r="E13" s="489"/>
      <c r="F13" s="489"/>
      <c r="G13" s="489"/>
      <c r="L13" s="373"/>
      <c r="M13" s="374"/>
    </row>
    <row r="14" spans="1:13" x14ac:dyDescent="0.2">
      <c r="A14" s="375">
        <v>45016</v>
      </c>
      <c r="B14" s="376"/>
      <c r="C14" s="376"/>
      <c r="D14" s="376"/>
      <c r="E14" s="376"/>
      <c r="F14" s="376"/>
      <c r="G14" s="376"/>
      <c r="H14" s="376"/>
      <c r="I14" s="376"/>
      <c r="J14" s="376"/>
      <c r="K14" s="376"/>
      <c r="L14" s="377"/>
      <c r="M14" s="378"/>
    </row>
    <row r="15" spans="1:13" x14ac:dyDescent="0.2">
      <c r="A15" s="375">
        <v>45046</v>
      </c>
      <c r="B15" s="376"/>
      <c r="C15" s="376"/>
      <c r="D15" s="376"/>
      <c r="E15" s="376"/>
      <c r="F15" s="376"/>
      <c r="G15" s="376"/>
      <c r="H15" s="376"/>
      <c r="I15" s="376"/>
      <c r="J15" s="376"/>
      <c r="K15" s="376"/>
      <c r="L15" s="377"/>
      <c r="M15" s="378"/>
    </row>
    <row r="16" spans="1:13" x14ac:dyDescent="0.2">
      <c r="A16" s="375">
        <v>45077</v>
      </c>
      <c r="B16" s="376"/>
      <c r="C16" s="376"/>
      <c r="D16" s="376"/>
      <c r="E16" s="376"/>
      <c r="F16" s="376"/>
      <c r="G16" s="376"/>
      <c r="H16" s="376"/>
      <c r="I16" s="376"/>
      <c r="J16" s="376"/>
      <c r="K16" s="376"/>
      <c r="L16" s="377"/>
      <c r="M16" s="378"/>
    </row>
    <row r="17" spans="1:13" x14ac:dyDescent="0.2">
      <c r="A17" s="375">
        <v>45107</v>
      </c>
      <c r="B17" s="376"/>
      <c r="C17" s="376"/>
      <c r="D17" s="376"/>
      <c r="E17" s="376"/>
      <c r="F17" s="376"/>
      <c r="G17" s="376"/>
      <c r="H17" s="376"/>
      <c r="I17" s="376"/>
      <c r="J17" s="376"/>
      <c r="K17" s="376"/>
      <c r="L17" s="377"/>
      <c r="M17" s="378"/>
    </row>
    <row r="18" spans="1:13" x14ac:dyDescent="0.2">
      <c r="A18" s="375">
        <v>45138</v>
      </c>
      <c r="B18" s="376"/>
      <c r="C18" s="376"/>
      <c r="D18" s="376"/>
      <c r="E18" s="376"/>
      <c r="F18" s="376"/>
      <c r="G18" s="376"/>
      <c r="H18" s="376"/>
      <c r="I18" s="376"/>
      <c r="J18" s="376"/>
      <c r="K18" s="376"/>
      <c r="L18" s="377"/>
      <c r="M18" s="378"/>
    </row>
    <row r="19" spans="1:13" x14ac:dyDescent="0.2">
      <c r="A19" s="375">
        <v>45169</v>
      </c>
      <c r="B19" s="376"/>
      <c r="C19" s="376"/>
      <c r="D19" s="376"/>
      <c r="E19" s="376"/>
      <c r="F19" s="376"/>
      <c r="G19" s="376"/>
      <c r="H19" s="376"/>
      <c r="I19" s="376"/>
      <c r="J19" s="376"/>
      <c r="K19" s="376"/>
      <c r="L19" s="377"/>
      <c r="M19" s="378"/>
    </row>
    <row r="20" spans="1:13" x14ac:dyDescent="0.2">
      <c r="A20" s="375">
        <v>45199</v>
      </c>
      <c r="B20" s="376"/>
      <c r="C20" s="376"/>
      <c r="D20" s="376"/>
      <c r="E20" s="376"/>
      <c r="F20" s="376"/>
      <c r="G20" s="376"/>
      <c r="H20" s="376"/>
      <c r="I20" s="376"/>
      <c r="J20" s="376"/>
      <c r="K20" s="376"/>
      <c r="L20" s="377"/>
      <c r="M20" s="378"/>
    </row>
    <row r="21" spans="1:13" x14ac:dyDescent="0.2">
      <c r="A21" s="375">
        <v>45230</v>
      </c>
      <c r="B21" s="376"/>
      <c r="C21" s="376"/>
      <c r="D21" s="376"/>
      <c r="E21" s="376"/>
      <c r="F21" s="376"/>
      <c r="G21" s="376"/>
      <c r="H21" s="376"/>
      <c r="I21" s="376"/>
      <c r="J21" s="376"/>
      <c r="K21" s="376"/>
      <c r="L21" s="377"/>
      <c r="M21" s="378"/>
    </row>
    <row r="22" spans="1:13" x14ac:dyDescent="0.2">
      <c r="A22" s="375">
        <v>45260</v>
      </c>
      <c r="B22" s="376"/>
      <c r="C22" s="376"/>
      <c r="D22" s="376"/>
      <c r="E22" s="376"/>
      <c r="F22" s="376"/>
      <c r="G22" s="376"/>
      <c r="H22" s="376"/>
      <c r="I22" s="376"/>
      <c r="J22" s="376"/>
      <c r="K22" s="376"/>
      <c r="L22" s="377"/>
      <c r="M22" s="378"/>
    </row>
    <row r="23" spans="1:13" x14ac:dyDescent="0.2">
      <c r="A23" s="375">
        <v>45291</v>
      </c>
      <c r="B23" s="376"/>
      <c r="C23" s="376"/>
      <c r="D23" s="376"/>
      <c r="E23" s="376"/>
      <c r="F23" s="376"/>
      <c r="G23" s="376"/>
      <c r="H23" s="376"/>
      <c r="I23" s="376"/>
      <c r="J23" s="376"/>
      <c r="K23" s="376"/>
      <c r="L23" s="377"/>
      <c r="M23" s="378"/>
    </row>
    <row r="24" spans="1:13" x14ac:dyDescent="0.2">
      <c r="A24" s="375">
        <v>45322</v>
      </c>
      <c r="B24" s="376"/>
      <c r="C24" s="376"/>
      <c r="D24" s="376"/>
      <c r="E24" s="376"/>
      <c r="F24" s="376"/>
      <c r="G24" s="376"/>
      <c r="H24" s="376"/>
      <c r="I24" s="376"/>
      <c r="J24" s="376"/>
      <c r="K24" s="376"/>
      <c r="L24" s="377"/>
      <c r="M24" s="378"/>
    </row>
    <row r="25" spans="1:13" x14ac:dyDescent="0.2">
      <c r="A25" s="375">
        <v>45351</v>
      </c>
      <c r="B25" s="376"/>
      <c r="C25" s="376"/>
      <c r="D25" s="376"/>
      <c r="E25" s="376"/>
      <c r="F25" s="376"/>
      <c r="G25" s="376"/>
      <c r="H25" s="376"/>
      <c r="I25" s="379"/>
      <c r="J25" s="376"/>
      <c r="K25" s="376"/>
      <c r="L25" s="377"/>
      <c r="M25" s="378"/>
    </row>
    <row r="26" spans="1:13" x14ac:dyDescent="0.2">
      <c r="A26" s="375">
        <v>45382</v>
      </c>
      <c r="B26" s="376"/>
      <c r="C26" s="376"/>
      <c r="D26" s="376"/>
      <c r="E26" s="376"/>
      <c r="F26" s="376"/>
      <c r="G26" s="376"/>
      <c r="H26" s="376"/>
      <c r="I26" s="379"/>
      <c r="J26" s="376"/>
      <c r="K26" s="376"/>
      <c r="L26" s="377"/>
      <c r="M26" s="378"/>
    </row>
    <row r="27" spans="1:13" x14ac:dyDescent="0.2">
      <c r="A27" s="375">
        <v>45412</v>
      </c>
      <c r="B27" s="376"/>
      <c r="C27" s="376"/>
      <c r="D27" s="376"/>
      <c r="E27" s="376"/>
      <c r="F27" s="376"/>
      <c r="G27" s="376"/>
      <c r="H27" s="376"/>
      <c r="I27" s="379"/>
      <c r="J27" s="376"/>
      <c r="K27" s="376"/>
      <c r="L27" s="377"/>
      <c r="M27" s="378"/>
    </row>
    <row r="28" spans="1:13" x14ac:dyDescent="0.2">
      <c r="A28" s="375">
        <v>45443</v>
      </c>
      <c r="B28" s="376"/>
      <c r="C28" s="376"/>
      <c r="D28" s="376"/>
      <c r="E28" s="376"/>
      <c r="F28" s="376"/>
      <c r="G28" s="376"/>
      <c r="H28" s="376"/>
      <c r="I28" s="379"/>
      <c r="J28" s="376"/>
      <c r="K28" s="376"/>
      <c r="L28" s="377"/>
      <c r="M28" s="378"/>
    </row>
    <row r="29" spans="1:13" x14ac:dyDescent="0.2">
      <c r="A29" s="375">
        <v>45473</v>
      </c>
      <c r="B29" s="376"/>
      <c r="C29" s="376"/>
      <c r="D29" s="376"/>
      <c r="E29" s="376"/>
      <c r="F29" s="376"/>
      <c r="G29" s="376"/>
      <c r="H29" s="376"/>
      <c r="I29" s="379"/>
      <c r="J29" s="376"/>
      <c r="K29" s="376"/>
      <c r="L29" s="377"/>
      <c r="M29" s="378"/>
    </row>
    <row r="30" spans="1:13" x14ac:dyDescent="0.2">
      <c r="A30" s="375">
        <v>45504</v>
      </c>
      <c r="B30" s="376"/>
      <c r="C30" s="376"/>
      <c r="D30" s="376"/>
      <c r="E30" s="376"/>
      <c r="F30" s="376"/>
      <c r="G30" s="376"/>
      <c r="H30" s="376"/>
      <c r="I30" s="379"/>
      <c r="J30" s="376"/>
      <c r="K30" s="376"/>
      <c r="L30" s="377"/>
      <c r="M30" s="378"/>
    </row>
    <row r="31" spans="1:13" x14ac:dyDescent="0.2">
      <c r="A31" s="375">
        <v>45535</v>
      </c>
      <c r="B31" s="376"/>
      <c r="C31" s="376"/>
      <c r="D31" s="376"/>
      <c r="E31" s="376"/>
      <c r="F31" s="376"/>
      <c r="G31" s="376"/>
      <c r="H31" s="376"/>
      <c r="I31" s="379"/>
      <c r="J31" s="376"/>
      <c r="K31" s="376"/>
      <c r="L31" s="377"/>
      <c r="M31" s="378"/>
    </row>
    <row r="32" spans="1:13" x14ac:dyDescent="0.2">
      <c r="A32" s="375">
        <v>45565</v>
      </c>
      <c r="B32" s="376"/>
      <c r="C32" s="376"/>
      <c r="D32" s="376"/>
      <c r="E32" s="376"/>
      <c r="F32" s="376"/>
      <c r="G32" s="376"/>
      <c r="H32" s="376"/>
      <c r="I32" s="379"/>
      <c r="J32" s="376"/>
      <c r="K32" s="376"/>
      <c r="L32" s="377"/>
      <c r="M32" s="378"/>
    </row>
    <row r="33" spans="1:13" x14ac:dyDescent="0.2">
      <c r="A33" s="375">
        <v>45596</v>
      </c>
      <c r="B33" s="376"/>
      <c r="C33" s="376"/>
      <c r="D33" s="376"/>
      <c r="E33" s="376"/>
      <c r="F33" s="376"/>
      <c r="G33" s="376"/>
      <c r="H33" s="376"/>
      <c r="I33" s="379"/>
      <c r="J33" s="376"/>
      <c r="K33" s="376"/>
      <c r="L33" s="377"/>
      <c r="M33" s="378"/>
    </row>
    <row r="34" spans="1:13" x14ac:dyDescent="0.2">
      <c r="A34" s="375">
        <v>45626</v>
      </c>
      <c r="B34" s="376"/>
      <c r="C34" s="376"/>
      <c r="D34" s="376"/>
      <c r="E34" s="376"/>
      <c r="F34" s="376"/>
      <c r="G34" s="376"/>
      <c r="H34" s="376"/>
      <c r="I34" s="376"/>
      <c r="J34" s="376"/>
      <c r="K34" s="376"/>
      <c r="L34" s="376"/>
      <c r="M34" s="376"/>
    </row>
    <row r="35" spans="1:13" x14ac:dyDescent="0.2">
      <c r="A35" s="375">
        <v>45657</v>
      </c>
      <c r="B35" s="376"/>
      <c r="C35" s="376"/>
      <c r="D35" s="376"/>
      <c r="E35" s="376"/>
      <c r="F35" s="376"/>
      <c r="G35" s="376"/>
      <c r="H35" s="376"/>
      <c r="I35" s="376"/>
      <c r="J35" s="376"/>
      <c r="K35" s="376"/>
      <c r="L35" s="376"/>
      <c r="M35" s="376"/>
    </row>
  </sheetData>
  <mergeCells count="16">
    <mergeCell ref="A3:B3"/>
    <mergeCell ref="C3:H3"/>
    <mergeCell ref="A4:B4"/>
    <mergeCell ref="C4:H4"/>
    <mergeCell ref="A5:B5"/>
    <mergeCell ref="C5:H5"/>
    <mergeCell ref="A9:B9"/>
    <mergeCell ref="C9:H9"/>
    <mergeCell ref="D11:F11"/>
    <mergeCell ref="A13:G13"/>
    <mergeCell ref="A6:B6"/>
    <mergeCell ref="C6:H6"/>
    <mergeCell ref="A7:B7"/>
    <mergeCell ref="C7:H7"/>
    <mergeCell ref="A8:B8"/>
    <mergeCell ref="C8:H8"/>
  </mergeCells>
  <pageMargins left="0.5" right="0.25" top="0.5" bottom="0.25" header="0.5" footer="0.5"/>
  <pageSetup scale="81" orientation="landscape" r:id="rId1"/>
  <headerFooter alignWithMargins="0">
    <oddFooter>&amp;L&amp;"-,Bold"&amp;10Cascade Natural Gas Corporation&amp;C&amp;"-,Bold"&amp;10Washington Deferral Accounts&amp;R&amp;"-,Bold"&amp;10Deferred Gas Cost &amp;A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15173-0E81-4B63-917B-11D42C7A6CAC}">
  <sheetPr>
    <pageSetUpPr fitToPage="1"/>
  </sheetPr>
  <dimension ref="A1:M35"/>
  <sheetViews>
    <sheetView workbookViewId="0">
      <selection activeCell="D1" sqref="D1:D2"/>
    </sheetView>
  </sheetViews>
  <sheetFormatPr defaultColWidth="11.42578125" defaultRowHeight="12.75" x14ac:dyDescent="0.2"/>
  <cols>
    <col min="1" max="1" width="14" style="366" customWidth="1"/>
    <col min="2" max="3" width="10.42578125" style="366" customWidth="1"/>
    <col min="4" max="4" width="14.42578125" style="366" customWidth="1"/>
    <col min="5" max="5" width="12.5703125" style="366" bestFit="1" customWidth="1"/>
    <col min="6" max="6" width="9.140625" style="366" customWidth="1"/>
    <col min="7" max="7" width="13.85546875" style="366" bestFit="1" customWidth="1"/>
    <col min="8" max="8" width="15.140625" style="366" customWidth="1"/>
    <col min="9" max="9" width="1.5703125" style="366" customWidth="1"/>
    <col min="10" max="13" width="17.85546875" style="366" customWidth="1"/>
    <col min="14" max="16384" width="11.42578125" style="366"/>
  </cols>
  <sheetData>
    <row r="1" spans="1:13" ht="15" x14ac:dyDescent="0.25">
      <c r="D1" s="155" t="s">
        <v>406</v>
      </c>
    </row>
    <row r="2" spans="1:13" ht="15.75" thickBot="1" x14ac:dyDescent="0.3">
      <c r="D2" s="156" t="s">
        <v>405</v>
      </c>
    </row>
    <row r="3" spans="1:13" x14ac:dyDescent="0.2">
      <c r="A3" s="485" t="s">
        <v>331</v>
      </c>
      <c r="B3" s="486"/>
      <c r="C3" s="487" t="s">
        <v>332</v>
      </c>
      <c r="D3" s="487"/>
      <c r="E3" s="487"/>
      <c r="F3" s="487"/>
      <c r="G3" s="487"/>
      <c r="H3" s="488"/>
      <c r="I3" s="365"/>
    </row>
    <row r="4" spans="1:13" x14ac:dyDescent="0.2">
      <c r="A4" s="479" t="s">
        <v>333</v>
      </c>
      <c r="B4" s="480"/>
      <c r="C4" s="483" t="s">
        <v>363</v>
      </c>
      <c r="D4" s="483"/>
      <c r="E4" s="483"/>
      <c r="F4" s="483"/>
      <c r="G4" s="483"/>
      <c r="H4" s="484"/>
      <c r="I4" s="365"/>
    </row>
    <row r="5" spans="1:13" x14ac:dyDescent="0.2">
      <c r="A5" s="479" t="s">
        <v>335</v>
      </c>
      <c r="B5" s="480"/>
      <c r="C5" s="483" t="s">
        <v>364</v>
      </c>
      <c r="D5" s="483"/>
      <c r="E5" s="483"/>
      <c r="F5" s="483"/>
      <c r="G5" s="483"/>
      <c r="H5" s="484"/>
      <c r="I5" s="365"/>
    </row>
    <row r="6" spans="1:13" x14ac:dyDescent="0.2">
      <c r="A6" s="479" t="s">
        <v>337</v>
      </c>
      <c r="B6" s="480"/>
      <c r="C6" s="481" t="s">
        <v>338</v>
      </c>
      <c r="D6" s="481"/>
      <c r="E6" s="481"/>
      <c r="F6" s="481"/>
      <c r="G6" s="481"/>
      <c r="H6" s="482"/>
      <c r="I6" s="365"/>
    </row>
    <row r="7" spans="1:13" x14ac:dyDescent="0.2">
      <c r="A7" s="479" t="s">
        <v>339</v>
      </c>
      <c r="B7" s="480"/>
      <c r="C7" s="483" t="s">
        <v>360</v>
      </c>
      <c r="D7" s="483"/>
      <c r="E7" s="483"/>
      <c r="F7" s="483"/>
      <c r="G7" s="483"/>
      <c r="H7" s="484"/>
      <c r="I7" s="365"/>
    </row>
    <row r="8" spans="1:13" x14ac:dyDescent="0.2">
      <c r="A8" s="479" t="s">
        <v>341</v>
      </c>
      <c r="B8" s="480"/>
      <c r="C8" s="483" t="s">
        <v>58</v>
      </c>
      <c r="D8" s="483"/>
      <c r="E8" s="483"/>
      <c r="F8" s="483"/>
      <c r="G8" s="483"/>
      <c r="H8" s="484"/>
      <c r="I8" s="365"/>
    </row>
    <row r="9" spans="1:13" ht="27.75" customHeight="1" thickBot="1" x14ac:dyDescent="0.25">
      <c r="A9" s="474" t="s">
        <v>343</v>
      </c>
      <c r="B9" s="475"/>
      <c r="C9" s="476" t="s">
        <v>365</v>
      </c>
      <c r="D9" s="476"/>
      <c r="E9" s="476"/>
      <c r="F9" s="476"/>
      <c r="G9" s="476"/>
      <c r="H9" s="477"/>
      <c r="I9" s="367"/>
    </row>
    <row r="10" spans="1:13" x14ac:dyDescent="0.2">
      <c r="A10" s="368"/>
      <c r="B10" s="368"/>
      <c r="C10" s="369"/>
      <c r="D10" s="369"/>
      <c r="E10" s="369"/>
      <c r="F10" s="369"/>
      <c r="G10" s="369"/>
      <c r="H10" s="369"/>
      <c r="K10" s="365"/>
    </row>
    <row r="11" spans="1:13" x14ac:dyDescent="0.2">
      <c r="A11" s="370"/>
      <c r="D11" s="478"/>
      <c r="E11" s="478"/>
      <c r="F11" s="478"/>
    </row>
    <row r="12" spans="1:13" s="371" customFormat="1" ht="26.25" customHeight="1" x14ac:dyDescent="0.2">
      <c r="A12" s="371" t="s">
        <v>326</v>
      </c>
      <c r="B12" s="371" t="s">
        <v>346</v>
      </c>
      <c r="C12" s="371" t="s">
        <v>218</v>
      </c>
      <c r="D12" s="371" t="s">
        <v>347</v>
      </c>
      <c r="E12" s="371" t="s">
        <v>211</v>
      </c>
      <c r="F12" s="371" t="s">
        <v>6</v>
      </c>
      <c r="G12" s="371" t="s">
        <v>348</v>
      </c>
      <c r="H12" s="371" t="s">
        <v>349</v>
      </c>
      <c r="J12" s="371" t="s">
        <v>350</v>
      </c>
      <c r="K12" s="371" t="s">
        <v>351</v>
      </c>
      <c r="L12" s="372" t="s">
        <v>352</v>
      </c>
      <c r="M12" s="372" t="s">
        <v>353</v>
      </c>
    </row>
    <row r="13" spans="1:13" x14ac:dyDescent="0.2">
      <c r="A13" s="489"/>
      <c r="B13" s="489"/>
      <c r="C13" s="489"/>
      <c r="D13" s="489"/>
      <c r="E13" s="489"/>
      <c r="F13" s="489"/>
      <c r="G13" s="489"/>
      <c r="L13" s="373"/>
      <c r="M13" s="374"/>
    </row>
    <row r="14" spans="1:13" x14ac:dyDescent="0.2">
      <c r="A14" s="375">
        <v>45016</v>
      </c>
      <c r="B14" s="376"/>
      <c r="C14" s="376"/>
      <c r="D14" s="376"/>
      <c r="E14" s="376"/>
      <c r="F14" s="376"/>
      <c r="G14" s="376"/>
      <c r="H14" s="376"/>
      <c r="I14" s="376"/>
      <c r="J14" s="376"/>
      <c r="K14" s="376"/>
      <c r="L14" s="377"/>
      <c r="M14" s="378"/>
    </row>
    <row r="15" spans="1:13" x14ac:dyDescent="0.2">
      <c r="A15" s="375">
        <v>45046</v>
      </c>
      <c r="B15" s="376"/>
      <c r="C15" s="376"/>
      <c r="D15" s="376"/>
      <c r="E15" s="376"/>
      <c r="F15" s="376"/>
      <c r="G15" s="376"/>
      <c r="H15" s="376"/>
      <c r="I15" s="376"/>
      <c r="J15" s="376"/>
      <c r="K15" s="376"/>
      <c r="L15" s="377"/>
      <c r="M15" s="378"/>
    </row>
    <row r="16" spans="1:13" x14ac:dyDescent="0.2">
      <c r="A16" s="375">
        <v>45077</v>
      </c>
      <c r="B16" s="376"/>
      <c r="C16" s="376"/>
      <c r="D16" s="376"/>
      <c r="E16" s="376"/>
      <c r="F16" s="376"/>
      <c r="G16" s="376"/>
      <c r="H16" s="376"/>
      <c r="I16" s="376"/>
      <c r="J16" s="376"/>
      <c r="K16" s="376"/>
      <c r="L16" s="377"/>
      <c r="M16" s="378"/>
    </row>
    <row r="17" spans="1:13" x14ac:dyDescent="0.2">
      <c r="A17" s="375">
        <v>45107</v>
      </c>
      <c r="B17" s="376"/>
      <c r="C17" s="376"/>
      <c r="D17" s="376"/>
      <c r="E17" s="376"/>
      <c r="F17" s="376"/>
      <c r="G17" s="376"/>
      <c r="H17" s="376"/>
      <c r="I17" s="376"/>
      <c r="J17" s="376"/>
      <c r="K17" s="376"/>
      <c r="L17" s="377"/>
      <c r="M17" s="378"/>
    </row>
    <row r="18" spans="1:13" x14ac:dyDescent="0.2">
      <c r="A18" s="375">
        <v>45138</v>
      </c>
      <c r="B18" s="376"/>
      <c r="C18" s="376"/>
      <c r="D18" s="376"/>
      <c r="E18" s="376"/>
      <c r="F18" s="376"/>
      <c r="G18" s="376"/>
      <c r="H18" s="376"/>
      <c r="I18" s="376"/>
      <c r="J18" s="376"/>
      <c r="K18" s="376"/>
      <c r="L18" s="377"/>
      <c r="M18" s="378"/>
    </row>
    <row r="19" spans="1:13" x14ac:dyDescent="0.2">
      <c r="A19" s="375">
        <v>45169</v>
      </c>
      <c r="B19" s="376"/>
      <c r="C19" s="376"/>
      <c r="D19" s="376"/>
      <c r="E19" s="376"/>
      <c r="F19" s="376"/>
      <c r="G19" s="376"/>
      <c r="H19" s="376"/>
      <c r="I19" s="376"/>
      <c r="J19" s="376"/>
      <c r="K19" s="376"/>
      <c r="L19" s="377"/>
      <c r="M19" s="378"/>
    </row>
    <row r="20" spans="1:13" x14ac:dyDescent="0.2">
      <c r="A20" s="375">
        <v>45199</v>
      </c>
      <c r="B20" s="376"/>
      <c r="C20" s="376"/>
      <c r="D20" s="376"/>
      <c r="E20" s="376"/>
      <c r="F20" s="376"/>
      <c r="G20" s="376"/>
      <c r="H20" s="376"/>
      <c r="I20" s="376"/>
      <c r="J20" s="376"/>
      <c r="K20" s="376"/>
      <c r="L20" s="377"/>
      <c r="M20" s="378"/>
    </row>
    <row r="21" spans="1:13" x14ac:dyDescent="0.2">
      <c r="A21" s="375">
        <v>45230</v>
      </c>
      <c r="B21" s="376"/>
      <c r="C21" s="376"/>
      <c r="D21" s="376"/>
      <c r="E21" s="376"/>
      <c r="F21" s="376"/>
      <c r="G21" s="376"/>
      <c r="H21" s="376"/>
      <c r="I21" s="376"/>
      <c r="J21" s="376"/>
      <c r="K21" s="376"/>
      <c r="L21" s="377"/>
      <c r="M21" s="378"/>
    </row>
    <row r="22" spans="1:13" x14ac:dyDescent="0.2">
      <c r="A22" s="375">
        <v>45260</v>
      </c>
      <c r="B22" s="376"/>
      <c r="C22" s="376"/>
      <c r="D22" s="376"/>
      <c r="E22" s="376"/>
      <c r="F22" s="376"/>
      <c r="G22" s="376"/>
      <c r="H22" s="376"/>
      <c r="I22" s="376"/>
      <c r="J22" s="376"/>
      <c r="K22" s="376"/>
      <c r="L22" s="377"/>
      <c r="M22" s="378"/>
    </row>
    <row r="23" spans="1:13" x14ac:dyDescent="0.2">
      <c r="A23" s="375">
        <v>45291</v>
      </c>
      <c r="B23" s="376"/>
      <c r="C23" s="376"/>
      <c r="D23" s="376"/>
      <c r="E23" s="376"/>
      <c r="F23" s="376"/>
      <c r="G23" s="376"/>
      <c r="H23" s="376"/>
      <c r="I23" s="376"/>
      <c r="J23" s="376"/>
      <c r="K23" s="376"/>
      <c r="L23" s="377"/>
      <c r="M23" s="378"/>
    </row>
    <row r="24" spans="1:13" x14ac:dyDescent="0.2">
      <c r="A24" s="375">
        <v>45322</v>
      </c>
      <c r="B24" s="376"/>
      <c r="C24" s="376"/>
      <c r="D24" s="376"/>
      <c r="E24" s="376"/>
      <c r="F24" s="376"/>
      <c r="G24" s="376"/>
      <c r="H24" s="376"/>
      <c r="I24" s="376"/>
      <c r="J24" s="376"/>
      <c r="K24" s="376"/>
      <c r="L24" s="377"/>
      <c r="M24" s="378"/>
    </row>
    <row r="25" spans="1:13" x14ac:dyDescent="0.2">
      <c r="A25" s="375">
        <v>45351</v>
      </c>
      <c r="B25" s="376"/>
      <c r="C25" s="376"/>
      <c r="D25" s="376"/>
      <c r="E25" s="376"/>
      <c r="F25" s="376"/>
      <c r="G25" s="376"/>
      <c r="H25" s="376"/>
      <c r="I25" s="379"/>
      <c r="J25" s="376"/>
      <c r="K25" s="376"/>
      <c r="L25" s="377"/>
      <c r="M25" s="378"/>
    </row>
    <row r="26" spans="1:13" x14ac:dyDescent="0.2">
      <c r="A26" s="375">
        <v>45382</v>
      </c>
      <c r="B26" s="376"/>
      <c r="C26" s="376"/>
      <c r="D26" s="376"/>
      <c r="E26" s="376"/>
      <c r="F26" s="376"/>
      <c r="G26" s="376"/>
      <c r="H26" s="376"/>
      <c r="I26" s="379"/>
      <c r="J26" s="376"/>
      <c r="K26" s="376"/>
      <c r="L26" s="377"/>
      <c r="M26" s="378"/>
    </row>
    <row r="27" spans="1:13" x14ac:dyDescent="0.2">
      <c r="A27" s="375">
        <v>45412</v>
      </c>
      <c r="B27" s="376"/>
      <c r="C27" s="376"/>
      <c r="D27" s="376"/>
      <c r="E27" s="376"/>
      <c r="F27" s="376"/>
      <c r="G27" s="376"/>
      <c r="H27" s="376"/>
      <c r="I27" s="379"/>
      <c r="J27" s="376"/>
      <c r="K27" s="376"/>
      <c r="L27" s="377"/>
      <c r="M27" s="378"/>
    </row>
    <row r="28" spans="1:13" x14ac:dyDescent="0.2">
      <c r="A28" s="375">
        <v>45443</v>
      </c>
      <c r="B28" s="376"/>
      <c r="C28" s="376"/>
      <c r="D28" s="376"/>
      <c r="E28" s="376"/>
      <c r="F28" s="376"/>
      <c r="G28" s="376"/>
      <c r="H28" s="376"/>
      <c r="I28" s="379"/>
      <c r="J28" s="376"/>
      <c r="K28" s="376"/>
      <c r="L28" s="377"/>
      <c r="M28" s="378"/>
    </row>
    <row r="29" spans="1:13" x14ac:dyDescent="0.2">
      <c r="A29" s="375">
        <v>45473</v>
      </c>
      <c r="B29" s="376"/>
      <c r="C29" s="376"/>
      <c r="D29" s="376"/>
      <c r="E29" s="376"/>
      <c r="F29" s="376"/>
      <c r="G29" s="376"/>
      <c r="H29" s="376"/>
      <c r="I29" s="379"/>
      <c r="J29" s="376"/>
      <c r="K29" s="376"/>
      <c r="L29" s="377"/>
      <c r="M29" s="378"/>
    </row>
    <row r="30" spans="1:13" x14ac:dyDescent="0.2">
      <c r="A30" s="375">
        <v>45504</v>
      </c>
      <c r="B30" s="376"/>
      <c r="C30" s="376"/>
      <c r="D30" s="376"/>
      <c r="E30" s="376"/>
      <c r="F30" s="376"/>
      <c r="G30" s="376"/>
      <c r="H30" s="376"/>
      <c r="I30" s="379"/>
      <c r="J30" s="376"/>
      <c r="K30" s="376"/>
      <c r="L30" s="377"/>
      <c r="M30" s="378"/>
    </row>
    <row r="31" spans="1:13" x14ac:dyDescent="0.2">
      <c r="A31" s="375">
        <v>45535</v>
      </c>
      <c r="B31" s="376"/>
      <c r="C31" s="376"/>
      <c r="D31" s="376"/>
      <c r="E31" s="376"/>
      <c r="F31" s="376"/>
      <c r="G31" s="376"/>
      <c r="H31" s="376"/>
      <c r="I31" s="379"/>
      <c r="J31" s="376"/>
      <c r="K31" s="376"/>
      <c r="L31" s="377"/>
      <c r="M31" s="378"/>
    </row>
    <row r="32" spans="1:13" x14ac:dyDescent="0.2">
      <c r="A32" s="375">
        <v>45565</v>
      </c>
      <c r="B32" s="376"/>
      <c r="C32" s="376"/>
      <c r="D32" s="376"/>
      <c r="E32" s="376"/>
      <c r="F32" s="376"/>
      <c r="G32" s="376"/>
      <c r="H32" s="376"/>
      <c r="I32" s="379"/>
      <c r="J32" s="376"/>
      <c r="K32" s="376"/>
      <c r="L32" s="377"/>
      <c r="M32" s="378"/>
    </row>
    <row r="33" spans="1:13" x14ac:dyDescent="0.2">
      <c r="A33" s="375">
        <v>45596</v>
      </c>
      <c r="B33" s="376"/>
      <c r="C33" s="376"/>
      <c r="D33" s="376"/>
      <c r="E33" s="376"/>
      <c r="F33" s="376"/>
      <c r="G33" s="376"/>
      <c r="H33" s="376"/>
      <c r="I33" s="376"/>
      <c r="J33" s="376"/>
      <c r="K33" s="376"/>
      <c r="L33" s="376"/>
      <c r="M33" s="376"/>
    </row>
    <row r="34" spans="1:13" x14ac:dyDescent="0.2">
      <c r="A34" s="375">
        <v>45626</v>
      </c>
      <c r="B34" s="376"/>
      <c r="C34" s="376"/>
      <c r="D34" s="376"/>
      <c r="E34" s="376"/>
      <c r="F34" s="376"/>
      <c r="G34" s="376"/>
      <c r="H34" s="376"/>
      <c r="I34" s="376"/>
      <c r="J34" s="376"/>
      <c r="K34" s="376"/>
      <c r="L34" s="376"/>
      <c r="M34" s="376"/>
    </row>
    <row r="35" spans="1:13" x14ac:dyDescent="0.2">
      <c r="A35" s="375">
        <v>45657</v>
      </c>
      <c r="B35" s="376"/>
      <c r="C35" s="376"/>
      <c r="D35" s="376"/>
      <c r="E35" s="376"/>
      <c r="F35" s="376"/>
      <c r="G35" s="376"/>
      <c r="H35" s="376"/>
      <c r="I35" s="376"/>
      <c r="J35" s="376"/>
      <c r="K35" s="376"/>
      <c r="L35" s="376"/>
      <c r="M35" s="376"/>
    </row>
  </sheetData>
  <mergeCells count="16">
    <mergeCell ref="A3:B3"/>
    <mergeCell ref="C3:H3"/>
    <mergeCell ref="A4:B4"/>
    <mergeCell ref="C4:H4"/>
    <mergeCell ref="A5:B5"/>
    <mergeCell ref="C5:H5"/>
    <mergeCell ref="A9:B9"/>
    <mergeCell ref="C9:H9"/>
    <mergeCell ref="D11:F11"/>
    <mergeCell ref="A13:G13"/>
    <mergeCell ref="A6:B6"/>
    <mergeCell ref="C6:H6"/>
    <mergeCell ref="A7:B7"/>
    <mergeCell ref="C7:H7"/>
    <mergeCell ref="A8:B8"/>
    <mergeCell ref="C8:H8"/>
  </mergeCells>
  <pageMargins left="0.5" right="0.25" top="0.5" bottom="0.25" header="0.5" footer="0.5"/>
  <pageSetup scale="75" orientation="landscape" r:id="rId1"/>
  <headerFooter alignWithMargins="0">
    <oddFooter>&amp;L&amp;"-,Bold"&amp;10Cascade Natural Gas Corporation&amp;C&amp;"-,Bold"&amp;10Washington Deferral Accounts&amp;R&amp;"-,Bold"&amp;10Deferred Gas Cost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63084-776A-4079-A60A-7D7887023F39}">
  <sheetPr>
    <pageSetUpPr fitToPage="1"/>
  </sheetPr>
  <dimension ref="A1:O35"/>
  <sheetViews>
    <sheetView workbookViewId="0">
      <selection activeCell="D1" sqref="D1:D2"/>
    </sheetView>
  </sheetViews>
  <sheetFormatPr defaultColWidth="11.42578125" defaultRowHeight="12.75" x14ac:dyDescent="0.2"/>
  <cols>
    <col min="1" max="1" width="14" style="366" customWidth="1"/>
    <col min="2" max="2" width="5.28515625" style="366" customWidth="1"/>
    <col min="3" max="3" width="6.85546875" style="366" customWidth="1"/>
    <col min="4" max="6" width="14.42578125" style="366" customWidth="1"/>
    <col min="7" max="8" width="13.140625" style="366" customWidth="1"/>
    <col min="9" max="9" width="13.85546875" style="366" bestFit="1" customWidth="1"/>
    <col min="10" max="10" width="13.140625" style="366" customWidth="1"/>
    <col min="11" max="11" width="2.140625" style="366" customWidth="1"/>
    <col min="12" max="12" width="15.140625" style="366" customWidth="1"/>
    <col min="13" max="13" width="13.85546875" style="366" customWidth="1"/>
    <col min="14" max="14" width="12.5703125" style="366" customWidth="1"/>
    <col min="15" max="15" width="13.42578125" style="366" bestFit="1" customWidth="1"/>
    <col min="16" max="16" width="3.42578125" style="366" customWidth="1"/>
    <col min="17" max="16384" width="11.42578125" style="366"/>
  </cols>
  <sheetData>
    <row r="1" spans="1:15" ht="15" x14ac:dyDescent="0.25">
      <c r="D1" s="155" t="s">
        <v>406</v>
      </c>
    </row>
    <row r="2" spans="1:15" ht="15.75" thickBot="1" x14ac:dyDescent="0.3">
      <c r="D2" s="156" t="s">
        <v>405</v>
      </c>
    </row>
    <row r="3" spans="1:15" x14ac:dyDescent="0.2">
      <c r="A3" s="485" t="s">
        <v>331</v>
      </c>
      <c r="B3" s="486"/>
      <c r="C3" s="495" t="s">
        <v>332</v>
      </c>
      <c r="D3" s="487"/>
      <c r="E3" s="487"/>
      <c r="F3" s="487"/>
      <c r="G3" s="487"/>
      <c r="H3" s="487"/>
      <c r="I3" s="487"/>
      <c r="J3" s="488"/>
      <c r="K3" s="365"/>
      <c r="L3" s="365"/>
    </row>
    <row r="4" spans="1:15" x14ac:dyDescent="0.2">
      <c r="A4" s="479" t="s">
        <v>333</v>
      </c>
      <c r="B4" s="480"/>
      <c r="C4" s="493" t="s">
        <v>366</v>
      </c>
      <c r="D4" s="494"/>
      <c r="E4" s="494"/>
      <c r="F4" s="494"/>
      <c r="G4" s="494"/>
      <c r="H4" s="494"/>
      <c r="I4" s="494"/>
      <c r="J4" s="484"/>
      <c r="K4" s="365"/>
      <c r="L4" s="365"/>
    </row>
    <row r="5" spans="1:15" x14ac:dyDescent="0.2">
      <c r="A5" s="479" t="s">
        <v>335</v>
      </c>
      <c r="B5" s="480"/>
      <c r="C5" s="493" t="s">
        <v>367</v>
      </c>
      <c r="D5" s="494"/>
      <c r="E5" s="494"/>
      <c r="F5" s="494"/>
      <c r="G5" s="494"/>
      <c r="H5" s="494"/>
      <c r="I5" s="494"/>
      <c r="J5" s="484"/>
      <c r="K5" s="365"/>
      <c r="L5" s="365"/>
    </row>
    <row r="6" spans="1:15" x14ac:dyDescent="0.2">
      <c r="A6" s="479" t="s">
        <v>337</v>
      </c>
      <c r="B6" s="480"/>
      <c r="C6" s="491" t="s">
        <v>338</v>
      </c>
      <c r="D6" s="492"/>
      <c r="E6" s="492"/>
      <c r="F6" s="492"/>
      <c r="G6" s="492"/>
      <c r="H6" s="492"/>
      <c r="I6" s="492"/>
      <c r="J6" s="482"/>
      <c r="K6" s="380"/>
      <c r="L6" s="365"/>
    </row>
    <row r="7" spans="1:15" x14ac:dyDescent="0.2">
      <c r="A7" s="479" t="s">
        <v>339</v>
      </c>
      <c r="B7" s="480"/>
      <c r="C7" s="493" t="s">
        <v>360</v>
      </c>
      <c r="D7" s="494"/>
      <c r="E7" s="494"/>
      <c r="F7" s="494"/>
      <c r="G7" s="494"/>
      <c r="H7" s="494"/>
      <c r="I7" s="494"/>
      <c r="J7" s="484"/>
      <c r="K7" s="365"/>
      <c r="L7" s="365"/>
    </row>
    <row r="8" spans="1:15" x14ac:dyDescent="0.2">
      <c r="A8" s="479" t="s">
        <v>341</v>
      </c>
      <c r="B8" s="480"/>
      <c r="C8" s="493" t="s">
        <v>58</v>
      </c>
      <c r="D8" s="494"/>
      <c r="E8" s="494"/>
      <c r="F8" s="494"/>
      <c r="G8" s="494"/>
      <c r="H8" s="494"/>
      <c r="I8" s="494"/>
      <c r="J8" s="484"/>
      <c r="K8" s="365"/>
      <c r="L8" s="365"/>
    </row>
    <row r="9" spans="1:15" ht="27.75" customHeight="1" thickBot="1" x14ac:dyDescent="0.25">
      <c r="A9" s="474" t="s">
        <v>343</v>
      </c>
      <c r="B9" s="475"/>
      <c r="C9" s="490" t="s">
        <v>368</v>
      </c>
      <c r="D9" s="476"/>
      <c r="E9" s="476"/>
      <c r="F9" s="476"/>
      <c r="G9" s="476"/>
      <c r="H9" s="476"/>
      <c r="I9" s="476"/>
      <c r="J9" s="477"/>
      <c r="K9" s="367"/>
      <c r="L9" s="367"/>
    </row>
    <row r="10" spans="1:15" x14ac:dyDescent="0.2">
      <c r="A10" s="368"/>
      <c r="B10" s="368"/>
      <c r="C10" s="369"/>
      <c r="D10" s="369"/>
      <c r="E10" s="369"/>
      <c r="F10" s="369"/>
      <c r="G10" s="369"/>
      <c r="H10" s="369"/>
      <c r="I10" s="369"/>
      <c r="J10" s="369"/>
      <c r="K10" s="369"/>
      <c r="N10" s="365"/>
    </row>
    <row r="11" spans="1:15" x14ac:dyDescent="0.2">
      <c r="A11" s="370"/>
      <c r="D11" s="478" t="s">
        <v>345</v>
      </c>
      <c r="E11" s="478"/>
      <c r="F11" s="478"/>
      <c r="G11" s="478"/>
      <c r="H11" s="478"/>
      <c r="I11" s="478"/>
    </row>
    <row r="12" spans="1:15" s="371" customFormat="1" ht="36.75" customHeight="1" x14ac:dyDescent="0.2">
      <c r="A12" s="371" t="s">
        <v>326</v>
      </c>
      <c r="B12" s="371" t="s">
        <v>346</v>
      </c>
      <c r="C12" s="371" t="s">
        <v>218</v>
      </c>
      <c r="D12" s="371" t="s">
        <v>347</v>
      </c>
      <c r="E12" s="371" t="s">
        <v>211</v>
      </c>
      <c r="F12" s="371" t="s">
        <v>6</v>
      </c>
      <c r="G12" s="371" t="s">
        <v>369</v>
      </c>
      <c r="H12" s="371" t="s">
        <v>370</v>
      </c>
      <c r="I12" s="371" t="s">
        <v>371</v>
      </c>
      <c r="J12" s="371" t="s">
        <v>372</v>
      </c>
      <c r="L12" s="371" t="s">
        <v>373</v>
      </c>
      <c r="M12" s="371" t="s">
        <v>351</v>
      </c>
      <c r="N12" s="372" t="s">
        <v>352</v>
      </c>
      <c r="O12" s="372" t="s">
        <v>353</v>
      </c>
    </row>
    <row r="13" spans="1:15" x14ac:dyDescent="0.2">
      <c r="A13" s="381"/>
      <c r="B13" s="381"/>
      <c r="C13" s="381"/>
      <c r="D13" s="381"/>
      <c r="E13" s="381"/>
      <c r="F13" s="381"/>
      <c r="G13" s="381"/>
      <c r="H13" s="375"/>
      <c r="N13" s="373"/>
      <c r="O13" s="374"/>
    </row>
    <row r="14" spans="1:15" x14ac:dyDescent="0.2">
      <c r="A14" s="375">
        <v>45016</v>
      </c>
      <c r="D14" s="376"/>
      <c r="E14" s="376"/>
      <c r="F14" s="376"/>
      <c r="G14" s="376"/>
      <c r="H14" s="376"/>
      <c r="I14" s="376"/>
      <c r="J14" s="376"/>
      <c r="K14" s="376"/>
      <c r="L14" s="376"/>
      <c r="M14" s="376"/>
      <c r="N14" s="377"/>
      <c r="O14" s="378"/>
    </row>
    <row r="15" spans="1:15" x14ac:dyDescent="0.2">
      <c r="A15" s="375">
        <v>45046</v>
      </c>
      <c r="D15" s="376"/>
      <c r="E15" s="376"/>
      <c r="F15" s="376"/>
      <c r="G15" s="376"/>
      <c r="H15" s="376"/>
      <c r="I15" s="376"/>
      <c r="J15" s="376"/>
      <c r="K15" s="376"/>
      <c r="L15" s="376"/>
      <c r="M15" s="376"/>
      <c r="N15" s="377"/>
      <c r="O15" s="378"/>
    </row>
    <row r="16" spans="1:15" x14ac:dyDescent="0.2">
      <c r="A16" s="375">
        <v>45077</v>
      </c>
      <c r="D16" s="376"/>
      <c r="E16" s="376"/>
      <c r="F16" s="376"/>
      <c r="G16" s="376"/>
      <c r="H16" s="376"/>
      <c r="I16" s="376"/>
      <c r="J16" s="376"/>
      <c r="K16" s="376"/>
      <c r="L16" s="376"/>
      <c r="M16" s="376"/>
      <c r="N16" s="377"/>
      <c r="O16" s="378"/>
    </row>
    <row r="17" spans="1:15" x14ac:dyDescent="0.2">
      <c r="A17" s="375">
        <v>45107</v>
      </c>
      <c r="D17" s="376"/>
      <c r="E17" s="376"/>
      <c r="F17" s="376"/>
      <c r="G17" s="376"/>
      <c r="H17" s="376"/>
      <c r="I17" s="376"/>
      <c r="J17" s="376"/>
      <c r="K17" s="376"/>
      <c r="L17" s="376"/>
      <c r="M17" s="376"/>
      <c r="N17" s="377"/>
      <c r="O17" s="378"/>
    </row>
    <row r="18" spans="1:15" x14ac:dyDescent="0.2">
      <c r="A18" s="375">
        <v>45138</v>
      </c>
      <c r="D18" s="376"/>
      <c r="E18" s="376"/>
      <c r="F18" s="376"/>
      <c r="G18" s="376"/>
      <c r="H18" s="376"/>
      <c r="I18" s="376"/>
      <c r="J18" s="376"/>
      <c r="K18" s="376"/>
      <c r="L18" s="376"/>
      <c r="M18" s="376"/>
      <c r="N18" s="377"/>
      <c r="O18" s="378"/>
    </row>
    <row r="19" spans="1:15" x14ac:dyDescent="0.2">
      <c r="A19" s="375">
        <v>45169</v>
      </c>
      <c r="D19" s="376"/>
      <c r="E19" s="376"/>
      <c r="F19" s="376"/>
      <c r="G19" s="376"/>
      <c r="H19" s="376"/>
      <c r="I19" s="376"/>
      <c r="J19" s="376"/>
      <c r="K19" s="376"/>
      <c r="L19" s="376"/>
      <c r="M19" s="376"/>
      <c r="N19" s="377"/>
      <c r="O19" s="378"/>
    </row>
    <row r="20" spans="1:15" x14ac:dyDescent="0.2">
      <c r="A20" s="375">
        <v>45199</v>
      </c>
      <c r="D20" s="376"/>
      <c r="E20" s="376"/>
      <c r="F20" s="376"/>
      <c r="G20" s="376"/>
      <c r="H20" s="376"/>
      <c r="I20" s="376"/>
      <c r="J20" s="376"/>
      <c r="K20" s="376"/>
      <c r="L20" s="376"/>
      <c r="M20" s="376"/>
      <c r="N20" s="377"/>
      <c r="O20" s="378"/>
    </row>
    <row r="21" spans="1:15" x14ac:dyDescent="0.2">
      <c r="A21" s="375">
        <v>45230</v>
      </c>
      <c r="D21" s="376"/>
      <c r="E21" s="376"/>
      <c r="F21" s="376"/>
      <c r="G21" s="376"/>
      <c r="H21" s="376"/>
      <c r="I21" s="376"/>
      <c r="J21" s="376"/>
      <c r="K21" s="376"/>
      <c r="L21" s="376"/>
      <c r="M21" s="376"/>
      <c r="N21" s="377"/>
      <c r="O21" s="378"/>
    </row>
    <row r="22" spans="1:15" x14ac:dyDescent="0.2">
      <c r="A22" s="375">
        <v>45260</v>
      </c>
      <c r="D22" s="376"/>
      <c r="E22" s="376"/>
      <c r="F22" s="376"/>
      <c r="G22" s="376"/>
      <c r="H22" s="376"/>
      <c r="I22" s="376"/>
      <c r="J22" s="376"/>
      <c r="K22" s="376"/>
      <c r="L22" s="376"/>
      <c r="M22" s="376"/>
      <c r="N22" s="377"/>
      <c r="O22" s="378"/>
    </row>
    <row r="23" spans="1:15" x14ac:dyDescent="0.2">
      <c r="A23" s="375">
        <v>45291</v>
      </c>
      <c r="D23" s="376"/>
      <c r="E23" s="376"/>
      <c r="F23" s="376"/>
      <c r="G23" s="376"/>
      <c r="H23" s="376"/>
      <c r="I23" s="376"/>
      <c r="J23" s="376"/>
      <c r="K23" s="376"/>
      <c r="L23" s="376"/>
      <c r="M23" s="376"/>
      <c r="N23" s="377"/>
      <c r="O23" s="378"/>
    </row>
    <row r="24" spans="1:15" x14ac:dyDescent="0.2">
      <c r="A24" s="375">
        <v>45322</v>
      </c>
      <c r="D24" s="376"/>
      <c r="E24" s="376"/>
      <c r="F24" s="376"/>
      <c r="G24" s="376"/>
      <c r="H24" s="376"/>
      <c r="I24" s="376"/>
      <c r="J24" s="376"/>
      <c r="K24" s="376"/>
      <c r="L24" s="376"/>
      <c r="M24" s="376"/>
      <c r="N24" s="377"/>
      <c r="O24" s="378"/>
    </row>
    <row r="25" spans="1:15" x14ac:dyDescent="0.2">
      <c r="A25" s="375">
        <v>45351</v>
      </c>
      <c r="D25" s="376"/>
      <c r="E25" s="376"/>
      <c r="F25" s="376"/>
      <c r="G25" s="376"/>
      <c r="H25" s="376"/>
      <c r="I25" s="376"/>
      <c r="J25" s="376"/>
      <c r="K25" s="379"/>
      <c r="L25" s="376"/>
      <c r="M25" s="376"/>
      <c r="N25" s="377"/>
      <c r="O25" s="378"/>
    </row>
    <row r="26" spans="1:15" x14ac:dyDescent="0.2">
      <c r="A26" s="375">
        <v>45382</v>
      </c>
      <c r="D26" s="376"/>
      <c r="E26" s="376"/>
      <c r="F26" s="376"/>
      <c r="G26" s="376"/>
      <c r="H26" s="376"/>
      <c r="I26" s="376"/>
      <c r="J26" s="376"/>
      <c r="K26" s="379"/>
      <c r="L26" s="376"/>
      <c r="M26" s="376"/>
      <c r="N26" s="377"/>
      <c r="O26" s="378"/>
    </row>
    <row r="27" spans="1:15" x14ac:dyDescent="0.2">
      <c r="A27" s="375">
        <v>45412</v>
      </c>
      <c r="D27" s="376"/>
      <c r="E27" s="376"/>
      <c r="F27" s="376"/>
      <c r="G27" s="376"/>
      <c r="H27" s="376"/>
      <c r="I27" s="376"/>
      <c r="J27" s="376"/>
      <c r="K27" s="379"/>
      <c r="L27" s="376"/>
      <c r="M27" s="376"/>
      <c r="N27" s="377"/>
      <c r="O27" s="378"/>
    </row>
    <row r="28" spans="1:15" x14ac:dyDescent="0.2">
      <c r="A28" s="375">
        <v>45443</v>
      </c>
      <c r="D28" s="376"/>
      <c r="E28" s="376"/>
      <c r="F28" s="376"/>
      <c r="G28" s="376"/>
      <c r="H28" s="376"/>
      <c r="I28" s="376"/>
      <c r="J28" s="376"/>
      <c r="K28" s="379"/>
      <c r="L28" s="376"/>
      <c r="M28" s="376"/>
      <c r="N28" s="377"/>
      <c r="O28" s="378"/>
    </row>
    <row r="29" spans="1:15" x14ac:dyDescent="0.2">
      <c r="A29" s="375">
        <v>45473</v>
      </c>
      <c r="D29" s="376"/>
      <c r="E29" s="376"/>
      <c r="F29" s="376"/>
      <c r="G29" s="376"/>
      <c r="H29" s="376"/>
      <c r="I29" s="376"/>
      <c r="J29" s="376"/>
      <c r="K29" s="379"/>
      <c r="L29" s="376"/>
      <c r="M29" s="376"/>
      <c r="N29" s="377"/>
      <c r="O29" s="378"/>
    </row>
    <row r="30" spans="1:15" x14ac:dyDescent="0.2">
      <c r="A30" s="375">
        <v>45504</v>
      </c>
      <c r="D30" s="376"/>
      <c r="E30" s="376"/>
      <c r="F30" s="376"/>
      <c r="G30" s="376"/>
      <c r="H30" s="376"/>
      <c r="I30" s="376"/>
      <c r="J30" s="376"/>
      <c r="K30" s="379"/>
      <c r="L30" s="376"/>
      <c r="M30" s="376"/>
      <c r="N30" s="377"/>
      <c r="O30" s="378"/>
    </row>
    <row r="31" spans="1:15" x14ac:dyDescent="0.2">
      <c r="A31" s="375">
        <v>45535</v>
      </c>
      <c r="D31" s="376"/>
      <c r="E31" s="376"/>
      <c r="F31" s="376"/>
      <c r="G31" s="376"/>
      <c r="H31" s="376"/>
      <c r="I31" s="376"/>
      <c r="J31" s="376"/>
      <c r="K31" s="379"/>
      <c r="L31" s="376"/>
      <c r="M31" s="376"/>
      <c r="N31" s="377"/>
      <c r="O31" s="378"/>
    </row>
    <row r="32" spans="1:15" x14ac:dyDescent="0.2">
      <c r="A32" s="375">
        <v>45565</v>
      </c>
      <c r="D32" s="376"/>
      <c r="E32" s="376"/>
      <c r="F32" s="376"/>
      <c r="G32" s="376"/>
      <c r="H32" s="376"/>
      <c r="I32" s="376"/>
      <c r="J32" s="376"/>
      <c r="K32" s="379"/>
      <c r="L32" s="376"/>
      <c r="M32" s="376"/>
      <c r="N32" s="377"/>
      <c r="O32" s="378"/>
    </row>
    <row r="33" spans="1:15" x14ac:dyDescent="0.2">
      <c r="A33" s="375">
        <v>45596</v>
      </c>
      <c r="D33" s="376"/>
      <c r="E33" s="376"/>
      <c r="F33" s="376"/>
      <c r="G33" s="376"/>
      <c r="H33" s="376"/>
      <c r="I33" s="376"/>
      <c r="J33" s="376"/>
      <c r="K33" s="379"/>
      <c r="L33" s="376"/>
      <c r="M33" s="376"/>
      <c r="N33" s="377"/>
      <c r="O33" s="378"/>
    </row>
    <row r="34" spans="1:15" x14ac:dyDescent="0.2">
      <c r="A34" s="375">
        <v>45626</v>
      </c>
      <c r="D34" s="376"/>
      <c r="E34" s="376"/>
      <c r="F34" s="376"/>
      <c r="G34" s="376"/>
      <c r="H34" s="376"/>
      <c r="I34" s="376"/>
      <c r="J34" s="376"/>
      <c r="K34" s="376"/>
      <c r="L34" s="376"/>
      <c r="M34" s="376"/>
      <c r="N34" s="376"/>
      <c r="O34" s="376"/>
    </row>
    <row r="35" spans="1:15" x14ac:dyDescent="0.2">
      <c r="A35" s="375">
        <v>45657</v>
      </c>
      <c r="D35" s="376"/>
      <c r="E35" s="376"/>
      <c r="F35" s="376"/>
      <c r="G35" s="376"/>
      <c r="H35" s="376"/>
      <c r="I35" s="376"/>
      <c r="J35" s="376"/>
      <c r="K35" s="376"/>
      <c r="L35" s="376"/>
      <c r="M35" s="376"/>
      <c r="N35" s="376"/>
      <c r="O35" s="376"/>
    </row>
  </sheetData>
  <mergeCells count="15">
    <mergeCell ref="A3:B3"/>
    <mergeCell ref="C3:J3"/>
    <mergeCell ref="A4:B4"/>
    <mergeCell ref="C4:J4"/>
    <mergeCell ref="A5:B5"/>
    <mergeCell ref="C5:J5"/>
    <mergeCell ref="A9:B9"/>
    <mergeCell ref="C9:J9"/>
    <mergeCell ref="D11:I11"/>
    <mergeCell ref="A6:B6"/>
    <mergeCell ref="C6:J6"/>
    <mergeCell ref="A7:B7"/>
    <mergeCell ref="C7:J7"/>
    <mergeCell ref="A8:B8"/>
    <mergeCell ref="C8:J8"/>
  </mergeCells>
  <pageMargins left="0.5" right="0.25" top="0.5" bottom="0.25" header="0.5" footer="0.5"/>
  <pageSetup scale="72" orientation="landscape" r:id="rId1"/>
  <headerFooter alignWithMargins="0">
    <oddFooter>&amp;L&amp;"-,Bold"&amp;10Cascade Natural Gas Corporation&amp;C&amp;"-,Bold"&amp;10Washington Deferral Accounts&amp;R&amp;"-,Bold"&amp;10Deferred Gas Cost &amp;A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A156A-4DAE-43B3-A519-D6D66C7BB4C9}">
  <sheetPr>
    <pageSetUpPr fitToPage="1"/>
  </sheetPr>
  <dimension ref="A1:N40"/>
  <sheetViews>
    <sheetView workbookViewId="0">
      <selection activeCell="G1" sqref="G1"/>
    </sheetView>
  </sheetViews>
  <sheetFormatPr defaultColWidth="11.42578125" defaultRowHeight="12.75" x14ac:dyDescent="0.2"/>
  <cols>
    <col min="1" max="1" width="14" style="366" customWidth="1"/>
    <col min="2" max="2" width="6.5703125" style="366" customWidth="1"/>
    <col min="3" max="3" width="13.85546875" style="366" customWidth="1"/>
    <col min="4" max="4" width="14.42578125" style="366" customWidth="1"/>
    <col min="5" max="5" width="12.140625" style="366" customWidth="1"/>
    <col min="6" max="7" width="11.42578125" style="366" customWidth="1"/>
    <col min="8" max="8" width="15.140625" style="366" customWidth="1"/>
    <col min="9" max="9" width="1.5703125" style="366" customWidth="1"/>
    <col min="10" max="10" width="13.140625" style="366" customWidth="1"/>
    <col min="11" max="11" width="13.85546875" style="366" customWidth="1"/>
    <col min="12" max="12" width="10" style="366" customWidth="1"/>
    <col min="13" max="13" width="22.7109375" style="366" customWidth="1"/>
    <col min="14" max="16384" width="11.42578125" style="366"/>
  </cols>
  <sheetData>
    <row r="1" spans="1:14" ht="15" x14ac:dyDescent="0.25">
      <c r="D1" s="155" t="s">
        <v>406</v>
      </c>
    </row>
    <row r="2" spans="1:14" ht="15.75" thickBot="1" x14ac:dyDescent="0.3">
      <c r="D2" s="156" t="s">
        <v>405</v>
      </c>
    </row>
    <row r="3" spans="1:14" x14ac:dyDescent="0.2">
      <c r="A3" s="485" t="s">
        <v>331</v>
      </c>
      <c r="B3" s="486"/>
      <c r="C3" s="487" t="s">
        <v>332</v>
      </c>
      <c r="D3" s="487"/>
      <c r="E3" s="487"/>
      <c r="F3" s="487"/>
      <c r="G3" s="487"/>
      <c r="H3" s="488"/>
      <c r="I3" s="365"/>
    </row>
    <row r="4" spans="1:14" x14ac:dyDescent="0.2">
      <c r="A4" s="479" t="s">
        <v>333</v>
      </c>
      <c r="B4" s="480"/>
      <c r="C4" s="483" t="s">
        <v>374</v>
      </c>
      <c r="D4" s="483"/>
      <c r="E4" s="483"/>
      <c r="F4" s="483"/>
      <c r="G4" s="483"/>
      <c r="H4" s="484"/>
      <c r="I4" s="365"/>
    </row>
    <row r="5" spans="1:14" x14ac:dyDescent="0.2">
      <c r="A5" s="479" t="s">
        <v>335</v>
      </c>
      <c r="B5" s="480"/>
      <c r="C5" s="483" t="s">
        <v>375</v>
      </c>
      <c r="D5" s="483"/>
      <c r="E5" s="483"/>
      <c r="F5" s="483"/>
      <c r="G5" s="483"/>
      <c r="H5" s="484"/>
      <c r="I5" s="365"/>
    </row>
    <row r="6" spans="1:14" x14ac:dyDescent="0.2">
      <c r="A6" s="479" t="s">
        <v>337</v>
      </c>
      <c r="B6" s="480"/>
      <c r="C6" s="481" t="s">
        <v>338</v>
      </c>
      <c r="D6" s="481"/>
      <c r="E6" s="481"/>
      <c r="F6" s="481"/>
      <c r="G6" s="481"/>
      <c r="H6" s="482"/>
      <c r="I6" s="365"/>
    </row>
    <row r="7" spans="1:14" x14ac:dyDescent="0.2">
      <c r="A7" s="479" t="s">
        <v>339</v>
      </c>
      <c r="B7" s="480"/>
      <c r="C7" s="483" t="s">
        <v>340</v>
      </c>
      <c r="D7" s="483"/>
      <c r="E7" s="483"/>
      <c r="F7" s="483"/>
      <c r="G7" s="483"/>
      <c r="H7" s="484"/>
      <c r="I7" s="365"/>
    </row>
    <row r="8" spans="1:14" x14ac:dyDescent="0.2">
      <c r="A8" s="479" t="s">
        <v>341</v>
      </c>
      <c r="B8" s="480"/>
      <c r="C8" s="483" t="s">
        <v>342</v>
      </c>
      <c r="D8" s="483"/>
      <c r="E8" s="483"/>
      <c r="F8" s="483"/>
      <c r="G8" s="483"/>
      <c r="H8" s="484"/>
      <c r="I8" s="365"/>
    </row>
    <row r="9" spans="1:14" ht="40.5" customHeight="1" thickBot="1" x14ac:dyDescent="0.25">
      <c r="A9" s="474" t="s">
        <v>343</v>
      </c>
      <c r="B9" s="475"/>
      <c r="C9" s="476" t="s">
        <v>376</v>
      </c>
      <c r="D9" s="476"/>
      <c r="E9" s="476"/>
      <c r="F9" s="476"/>
      <c r="G9" s="476"/>
      <c r="H9" s="477"/>
      <c r="I9" s="367"/>
    </row>
    <row r="10" spans="1:14" x14ac:dyDescent="0.2">
      <c r="A10" s="368"/>
      <c r="B10" s="368"/>
      <c r="C10" s="369"/>
      <c r="D10" s="369"/>
      <c r="E10" s="369"/>
      <c r="F10" s="369"/>
      <c r="G10" s="369"/>
      <c r="H10" s="369"/>
      <c r="K10" s="365"/>
    </row>
    <row r="11" spans="1:14" x14ac:dyDescent="0.2">
      <c r="A11" s="370"/>
      <c r="D11" s="478" t="s">
        <v>345</v>
      </c>
      <c r="E11" s="478"/>
      <c r="F11" s="478"/>
    </row>
    <row r="12" spans="1:14" s="371" customFormat="1" ht="26.25" customHeight="1" x14ac:dyDescent="0.2">
      <c r="A12" s="371" t="s">
        <v>326</v>
      </c>
      <c r="B12" s="371" t="s">
        <v>346</v>
      </c>
      <c r="C12" s="371" t="s">
        <v>218</v>
      </c>
      <c r="D12" s="371" t="s">
        <v>347</v>
      </c>
      <c r="E12" s="371" t="s">
        <v>211</v>
      </c>
      <c r="F12" s="371" t="s">
        <v>6</v>
      </c>
      <c r="G12" s="371" t="s">
        <v>348</v>
      </c>
      <c r="H12" s="371" t="s">
        <v>349</v>
      </c>
      <c r="J12" s="371" t="s">
        <v>350</v>
      </c>
      <c r="K12" s="371" t="s">
        <v>351</v>
      </c>
      <c r="L12" s="371" t="s">
        <v>352</v>
      </c>
      <c r="M12" s="371" t="s">
        <v>353</v>
      </c>
      <c r="N12" s="366"/>
    </row>
    <row r="13" spans="1:14" s="382" customFormat="1" ht="15" customHeight="1" x14ac:dyDescent="0.2">
      <c r="H13" s="366"/>
      <c r="L13" s="383"/>
      <c r="M13" s="383"/>
    </row>
    <row r="14" spans="1:14" x14ac:dyDescent="0.2">
      <c r="A14" s="375">
        <v>44865</v>
      </c>
      <c r="D14" s="376"/>
      <c r="E14" s="376"/>
      <c r="F14" s="376"/>
      <c r="G14" s="376"/>
      <c r="H14" s="376"/>
      <c r="I14" s="376"/>
      <c r="J14" s="376"/>
      <c r="K14" s="376"/>
      <c r="L14" s="377"/>
      <c r="M14" s="378"/>
    </row>
    <row r="15" spans="1:14" x14ac:dyDescent="0.2">
      <c r="A15" s="375">
        <v>44895</v>
      </c>
      <c r="D15" s="376"/>
      <c r="E15" s="376"/>
      <c r="F15" s="376"/>
      <c r="G15" s="376"/>
      <c r="H15" s="376"/>
      <c r="I15" s="376"/>
      <c r="J15" s="376"/>
      <c r="K15" s="376"/>
      <c r="L15" s="377"/>
      <c r="M15" s="378"/>
    </row>
    <row r="16" spans="1:14" x14ac:dyDescent="0.2">
      <c r="A16" s="375">
        <v>44926</v>
      </c>
      <c r="D16" s="376"/>
      <c r="E16" s="376"/>
      <c r="F16" s="376"/>
      <c r="G16" s="376"/>
      <c r="H16" s="376"/>
      <c r="I16" s="376"/>
      <c r="J16" s="376"/>
      <c r="K16" s="376"/>
      <c r="L16" s="377"/>
      <c r="M16" s="378"/>
    </row>
    <row r="17" spans="1:13" x14ac:dyDescent="0.2">
      <c r="A17" s="375">
        <v>44957</v>
      </c>
      <c r="D17" s="376"/>
      <c r="E17" s="376"/>
      <c r="F17" s="376"/>
      <c r="G17" s="376"/>
      <c r="H17" s="376"/>
      <c r="I17" s="376"/>
      <c r="J17" s="376"/>
      <c r="K17" s="376"/>
      <c r="L17" s="377"/>
      <c r="M17" s="378"/>
    </row>
    <row r="18" spans="1:13" x14ac:dyDescent="0.2">
      <c r="A18" s="375">
        <v>44985</v>
      </c>
      <c r="D18" s="376"/>
      <c r="E18" s="376"/>
      <c r="F18" s="376"/>
      <c r="G18" s="376"/>
      <c r="H18" s="376"/>
      <c r="I18" s="376"/>
      <c r="J18" s="376"/>
      <c r="K18" s="376"/>
      <c r="L18" s="377"/>
      <c r="M18" s="378"/>
    </row>
    <row r="19" spans="1:13" x14ac:dyDescent="0.2">
      <c r="A19" s="375">
        <v>45016</v>
      </c>
      <c r="D19" s="376"/>
      <c r="E19" s="376"/>
      <c r="F19" s="376"/>
      <c r="G19" s="376"/>
      <c r="H19" s="376"/>
      <c r="I19" s="376"/>
      <c r="J19" s="376"/>
      <c r="K19" s="376"/>
      <c r="L19" s="377"/>
      <c r="M19" s="378"/>
    </row>
    <row r="20" spans="1:13" x14ac:dyDescent="0.2">
      <c r="A20" s="375">
        <v>45046</v>
      </c>
      <c r="D20" s="376"/>
      <c r="E20" s="376"/>
      <c r="F20" s="376"/>
      <c r="G20" s="376"/>
      <c r="H20" s="376"/>
      <c r="I20" s="376"/>
      <c r="J20" s="376"/>
      <c r="K20" s="376"/>
      <c r="L20" s="377"/>
      <c r="M20" s="378"/>
    </row>
    <row r="21" spans="1:13" x14ac:dyDescent="0.2">
      <c r="A21" s="375">
        <v>45077</v>
      </c>
      <c r="D21" s="376"/>
      <c r="E21" s="376"/>
      <c r="F21" s="376"/>
      <c r="G21" s="376"/>
      <c r="H21" s="376"/>
      <c r="I21" s="376"/>
      <c r="J21" s="376"/>
      <c r="K21" s="376"/>
      <c r="L21" s="377"/>
      <c r="M21" s="378"/>
    </row>
    <row r="22" spans="1:13" x14ac:dyDescent="0.2">
      <c r="A22" s="375">
        <v>45107</v>
      </c>
      <c r="D22" s="376"/>
      <c r="E22" s="376"/>
      <c r="F22" s="376"/>
      <c r="G22" s="376"/>
      <c r="H22" s="376"/>
      <c r="I22" s="376"/>
      <c r="J22" s="376"/>
      <c r="K22" s="376"/>
      <c r="L22" s="377"/>
      <c r="M22" s="378"/>
    </row>
    <row r="23" spans="1:13" x14ac:dyDescent="0.2">
      <c r="A23" s="375">
        <v>45138</v>
      </c>
      <c r="D23" s="376"/>
      <c r="E23" s="376"/>
      <c r="F23" s="376"/>
      <c r="G23" s="376"/>
      <c r="H23" s="376"/>
      <c r="I23" s="376"/>
      <c r="J23" s="376"/>
      <c r="K23" s="376"/>
      <c r="L23" s="377"/>
      <c r="M23" s="378"/>
    </row>
    <row r="24" spans="1:13" x14ac:dyDescent="0.2">
      <c r="A24" s="375">
        <v>45169</v>
      </c>
      <c r="D24" s="376"/>
      <c r="E24" s="376"/>
      <c r="F24" s="376"/>
      <c r="G24" s="376"/>
      <c r="H24" s="376"/>
      <c r="I24" s="376"/>
      <c r="J24" s="376"/>
      <c r="K24" s="376"/>
      <c r="L24" s="377"/>
      <c r="M24" s="378"/>
    </row>
    <row r="25" spans="1:13" x14ac:dyDescent="0.2">
      <c r="A25" s="375">
        <v>45199</v>
      </c>
      <c r="D25" s="376"/>
      <c r="E25" s="376"/>
      <c r="F25" s="376"/>
      <c r="G25" s="376"/>
      <c r="H25" s="376"/>
      <c r="I25" s="376"/>
      <c r="J25" s="376"/>
      <c r="K25" s="376"/>
      <c r="L25" s="377"/>
      <c r="M25" s="378"/>
    </row>
    <row r="26" spans="1:13" x14ac:dyDescent="0.2">
      <c r="A26" s="375">
        <v>45230</v>
      </c>
      <c r="D26" s="376"/>
      <c r="E26" s="376"/>
      <c r="F26" s="376"/>
      <c r="G26" s="376"/>
      <c r="H26" s="376"/>
      <c r="I26" s="376"/>
      <c r="J26" s="376"/>
      <c r="K26" s="376"/>
      <c r="L26" s="377"/>
      <c r="M26" s="378"/>
    </row>
    <row r="27" spans="1:13" x14ac:dyDescent="0.2">
      <c r="A27" s="375">
        <v>45260</v>
      </c>
      <c r="D27" s="376"/>
      <c r="E27" s="376"/>
      <c r="F27" s="376"/>
      <c r="G27" s="376"/>
      <c r="H27" s="376"/>
      <c r="I27" s="376"/>
      <c r="J27" s="376"/>
      <c r="K27" s="376"/>
      <c r="L27" s="377"/>
      <c r="M27" s="378"/>
    </row>
    <row r="28" spans="1:13" x14ac:dyDescent="0.2">
      <c r="A28" s="375">
        <v>45291</v>
      </c>
      <c r="D28" s="376"/>
      <c r="E28" s="376"/>
      <c r="F28" s="376"/>
      <c r="G28" s="376"/>
      <c r="H28" s="376"/>
      <c r="I28" s="376"/>
      <c r="J28" s="376"/>
      <c r="K28" s="376"/>
      <c r="L28" s="377"/>
      <c r="M28" s="378"/>
    </row>
    <row r="29" spans="1:13" x14ac:dyDescent="0.2">
      <c r="A29" s="375">
        <v>45322</v>
      </c>
      <c r="D29" s="376"/>
      <c r="E29" s="376"/>
      <c r="F29" s="376"/>
      <c r="G29" s="376"/>
      <c r="H29" s="376"/>
      <c r="I29" s="376"/>
      <c r="J29" s="376"/>
      <c r="K29" s="376"/>
      <c r="L29" s="377"/>
      <c r="M29" s="378"/>
    </row>
    <row r="30" spans="1:13" x14ac:dyDescent="0.2">
      <c r="A30" s="375">
        <v>45351</v>
      </c>
      <c r="D30" s="376"/>
      <c r="E30" s="376"/>
      <c r="F30" s="376"/>
      <c r="G30" s="376"/>
      <c r="H30" s="376"/>
      <c r="I30" s="376"/>
      <c r="J30" s="376"/>
      <c r="K30" s="376"/>
      <c r="L30" s="377"/>
      <c r="M30" s="378"/>
    </row>
    <row r="31" spans="1:13" x14ac:dyDescent="0.2">
      <c r="A31" s="375">
        <v>45382</v>
      </c>
      <c r="D31" s="376"/>
      <c r="E31" s="376"/>
      <c r="F31" s="376"/>
      <c r="G31" s="376"/>
      <c r="H31" s="376"/>
      <c r="I31" s="376"/>
      <c r="J31" s="376"/>
      <c r="K31" s="376"/>
      <c r="L31" s="377"/>
      <c r="M31" s="378"/>
    </row>
    <row r="32" spans="1:13" x14ac:dyDescent="0.2">
      <c r="A32" s="375">
        <v>45412</v>
      </c>
      <c r="D32" s="376"/>
      <c r="E32" s="376"/>
      <c r="F32" s="376"/>
      <c r="G32" s="376"/>
      <c r="H32" s="376"/>
      <c r="I32" s="376"/>
      <c r="J32" s="376"/>
      <c r="K32" s="376"/>
      <c r="L32" s="377"/>
      <c r="M32" s="378"/>
    </row>
    <row r="33" spans="1:13" x14ac:dyDescent="0.2">
      <c r="A33" s="375">
        <v>45443</v>
      </c>
      <c r="D33" s="376"/>
      <c r="E33" s="376"/>
      <c r="F33" s="376"/>
      <c r="G33" s="376"/>
      <c r="H33" s="376"/>
      <c r="I33" s="376"/>
      <c r="J33" s="376"/>
      <c r="K33" s="376"/>
      <c r="L33" s="377"/>
      <c r="M33" s="378"/>
    </row>
    <row r="34" spans="1:13" x14ac:dyDescent="0.2">
      <c r="A34" s="375">
        <v>45473</v>
      </c>
      <c r="D34" s="376"/>
      <c r="E34" s="376"/>
      <c r="F34" s="376"/>
      <c r="G34" s="376"/>
      <c r="H34" s="376"/>
      <c r="I34" s="376"/>
      <c r="J34" s="376"/>
      <c r="K34" s="376"/>
      <c r="L34" s="377"/>
      <c r="M34" s="378"/>
    </row>
    <row r="35" spans="1:13" x14ac:dyDescent="0.2">
      <c r="A35" s="375">
        <v>45504</v>
      </c>
      <c r="D35" s="376"/>
      <c r="E35" s="376"/>
      <c r="F35" s="376"/>
      <c r="G35" s="376"/>
      <c r="H35" s="376"/>
      <c r="I35" s="376"/>
      <c r="J35" s="376"/>
      <c r="K35" s="376"/>
      <c r="L35" s="377"/>
      <c r="M35" s="378"/>
    </row>
    <row r="36" spans="1:13" x14ac:dyDescent="0.2">
      <c r="A36" s="375">
        <v>45535</v>
      </c>
      <c r="D36" s="376"/>
      <c r="E36" s="376"/>
      <c r="F36" s="376"/>
      <c r="G36" s="376"/>
      <c r="H36" s="376"/>
      <c r="I36" s="376"/>
      <c r="J36" s="376"/>
      <c r="K36" s="376"/>
      <c r="L36" s="377"/>
      <c r="M36" s="378"/>
    </row>
    <row r="37" spans="1:13" x14ac:dyDescent="0.2">
      <c r="A37" s="375">
        <v>45565</v>
      </c>
      <c r="D37" s="376"/>
      <c r="E37" s="376"/>
      <c r="F37" s="376"/>
      <c r="G37" s="376"/>
      <c r="H37" s="376"/>
      <c r="I37" s="376"/>
      <c r="J37" s="376"/>
      <c r="K37" s="376"/>
      <c r="L37" s="377"/>
      <c r="M37" s="378"/>
    </row>
    <row r="38" spans="1:13" x14ac:dyDescent="0.2">
      <c r="A38" s="375">
        <v>45596</v>
      </c>
      <c r="D38" s="376"/>
      <c r="E38" s="376"/>
      <c r="F38" s="376"/>
      <c r="G38" s="376"/>
      <c r="H38" s="376"/>
      <c r="I38" s="376"/>
      <c r="J38" s="376"/>
      <c r="K38" s="376"/>
      <c r="L38" s="377"/>
      <c r="M38" s="378"/>
    </row>
    <row r="39" spans="1:13" x14ac:dyDescent="0.2">
      <c r="A39" s="375">
        <v>45626</v>
      </c>
      <c r="D39" s="376"/>
      <c r="E39" s="376"/>
      <c r="F39" s="376"/>
      <c r="G39" s="376"/>
      <c r="H39" s="376"/>
      <c r="I39" s="376"/>
      <c r="J39" s="376"/>
      <c r="K39" s="376"/>
      <c r="L39" s="376"/>
      <c r="M39" s="376"/>
    </row>
    <row r="40" spans="1:13" x14ac:dyDescent="0.2">
      <c r="A40" s="375">
        <v>45657</v>
      </c>
      <c r="D40" s="376"/>
      <c r="E40" s="376"/>
      <c r="F40" s="376"/>
      <c r="G40" s="376"/>
      <c r="H40" s="376"/>
      <c r="I40" s="376"/>
      <c r="J40" s="376"/>
      <c r="K40" s="376"/>
      <c r="L40" s="376"/>
      <c r="M40" s="376"/>
    </row>
  </sheetData>
  <mergeCells count="15">
    <mergeCell ref="A3:B3"/>
    <mergeCell ref="C3:H3"/>
    <mergeCell ref="A4:B4"/>
    <mergeCell ref="C4:H4"/>
    <mergeCell ref="A5:B5"/>
    <mergeCell ref="C5:H5"/>
    <mergeCell ref="A9:B9"/>
    <mergeCell ref="C9:H9"/>
    <mergeCell ref="D11:F11"/>
    <mergeCell ref="A6:B6"/>
    <mergeCell ref="C6:H6"/>
    <mergeCell ref="A7:B7"/>
    <mergeCell ref="C7:H7"/>
    <mergeCell ref="A8:B8"/>
    <mergeCell ref="C8:H8"/>
  </mergeCells>
  <pageMargins left="0.5" right="0.25" top="0.5" bottom="0.25" header="0.5" footer="0.5"/>
  <pageSetup scale="81" orientation="landscape" r:id="rId1"/>
  <headerFooter alignWithMargins="0">
    <oddFooter>&amp;L&amp;"-,Bold"&amp;10Cascade Natural Gas Corporation&amp;C&amp;"-,Bold"&amp;10Washington Deferral Accounts&amp;R&amp;"-,Bold"&amp;10Deferred Gas Cost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757BB3E34339F4BBFE3836C40D7238D" ma:contentTypeVersion="16" ma:contentTypeDescription="" ma:contentTypeScope="" ma:versionID="528658e417af2ba907d113f97070817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2024-03-01T08:00:00+00:00</OpenedDate>
    <SignificantOrder xmlns="dc463f71-b30c-4ab2-9473-d307f9d35888">false</SignificantOrder>
    <Date1 xmlns="dc463f71-b30c-4ab2-9473-d307f9d35888">2024-05-13T07:00:00+00:00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240141</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4235B26-9D15-4AAA-B304-9379F790C545}"/>
</file>

<file path=customXml/itemProps2.xml><?xml version="1.0" encoding="utf-8"?>
<ds:datastoreItem xmlns:ds="http://schemas.openxmlformats.org/officeDocument/2006/customXml" ds:itemID="{94CAFFD2-28ED-4AB4-8E94-5DC0D8438706}">
  <ds:schemaRefs>
    <ds:schemaRef ds:uri="http://schemas.openxmlformats.org/package/2006/metadata/core-properties"/>
    <ds:schemaRef ds:uri="http://purl.org/dc/elements/1.1/"/>
    <ds:schemaRef ds:uri="http://www.w3.org/XML/1998/namespace"/>
    <ds:schemaRef ds:uri="http://schemas.microsoft.com/office/infopath/2007/PartnerControls"/>
    <ds:schemaRef ds:uri="http://purl.org/dc/terms/"/>
    <ds:schemaRef ds:uri="9f5829b0-3c83-407a-9888-15708671f8c2"/>
    <ds:schemaRef ds:uri="http://schemas.microsoft.com/office/2006/documentManagement/types"/>
    <ds:schemaRef ds:uri="6a7949fb-eacc-49ff-8531-d4b1ca318f6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EB43909-7D24-4F5E-978F-5875199DDA08}">
  <ds:schemaRefs>
    <ds:schemaRef ds:uri="http://schemas.microsoft.com/sharepoint/v3/contenttype/forms"/>
  </ds:schemaRefs>
</ds:datastoreItem>
</file>

<file path=customXml/itemProps4.xml><?xml version="1.0" encoding="utf-8"?>
<ds:datastoreItem xmlns:ds="http://schemas.openxmlformats.org/officeDocument/2006/customXml" ds:itemID="{C9B6A69C-4D18-4287-8592-8CEA08FE81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Total CCA</vt:lpstr>
      <vt:lpstr>CCA Breakdown (R)</vt:lpstr>
      <vt:lpstr>CCA Allocation</vt:lpstr>
      <vt:lpstr>WA Climate Act Credit 503,504</vt:lpstr>
      <vt:lpstr>Customer Bill Impact</vt:lpstr>
      <vt:lpstr>Rev. Sensitivity Factor</vt:lpstr>
      <vt:lpstr>503 Cost,Benefit Amort</vt:lpstr>
      <vt:lpstr>504-663 Cost Amort</vt:lpstr>
      <vt:lpstr>504 Benefit Amort</vt:lpstr>
      <vt:lpstr>505 Benefit Amort</vt:lpstr>
      <vt:lpstr>511 Benefit Amort</vt:lpstr>
      <vt:lpstr>570 Benefit Amort</vt:lpstr>
      <vt:lpstr>663 Benefit Amort</vt:lpstr>
      <vt:lpstr>Eligible Customers WP</vt:lpstr>
      <vt:lpstr>Eligible Therms WP</vt:lpstr>
      <vt:lpstr>Forecasted Customer Count WP</vt:lpstr>
      <vt:lpstr>Forecasted Therms WP</vt:lpstr>
      <vt:lpstr>Tracker WP (R)</vt:lpstr>
      <vt:lpstr>NAICS Historical WP</vt:lpstr>
      <vt:lpstr>WA Schedule Summaries WP</vt:lpstr>
      <vt:lpstr>ACOD Interest Rates WP</vt:lpstr>
      <vt:lpstr>CCA 1823.2058 WP</vt:lpstr>
      <vt:lpstr>CCA 1823.2063 WP (R)</vt:lpstr>
      <vt:lpstr>CCA 1823.2064 WP (R)</vt:lpstr>
      <vt:lpstr>CCA 1823.2065 WP (R)</vt:lpstr>
      <vt:lpstr>CCA 2540.20491 WP (R)</vt:lpstr>
      <vt:lpstr>ACODINT22</vt:lpstr>
      <vt:lpstr>ACODINT23</vt:lpstr>
      <vt:lpstr>ACODINT24</vt:lpstr>
      <vt:lpstr>'ACOD Interest Rates WP'!ARORINT22</vt:lpstr>
      <vt:lpstr>'ACOD Interest Rates WP'!ARORINT23</vt:lpstr>
      <vt:lpstr>'ACOD Interest Rates WP'!FERCINT22</vt:lpstr>
      <vt:lpstr>'ACOD Interest Rates WP'!FERCINT23</vt:lpstr>
      <vt:lpstr>'503 Cost,Benefit Amort'!Print_Area</vt:lpstr>
      <vt:lpstr>'504 Benefit Amort'!Print_Area</vt:lpstr>
      <vt:lpstr>'504-663 Cost Amort'!Print_Area</vt:lpstr>
      <vt:lpstr>'ACOD Interest Rates WP'!Print_Area</vt:lpstr>
      <vt:lpstr>'CCA 1823.2058 WP'!Print_Area</vt:lpstr>
      <vt:lpstr>'CCA 1823.2063 WP (R)'!Print_Area</vt:lpstr>
      <vt:lpstr>'CCA 1823.2064 WP (R)'!Print_Area</vt:lpstr>
      <vt:lpstr>'CCA 1823.2065 WP (R)'!Print_Area</vt:lpstr>
      <vt:lpstr>'CCA 2540.20491 WP (R)'!Print_Area</vt:lpstr>
      <vt:lpstr>'CCA Allocation'!Print_Area</vt:lpstr>
      <vt:lpstr>'CCA Breakdown (R)'!Print_Area</vt:lpstr>
      <vt:lpstr>'Customer Bill Impact'!Print_Area</vt:lpstr>
      <vt:lpstr>'Forecasted Customer Count WP'!Print_Area</vt:lpstr>
      <vt:lpstr>'Forecasted Therms WP'!Print_Area</vt:lpstr>
      <vt:lpstr>'Rev. Sensitivity Factor'!Print_Area</vt:lpstr>
      <vt:lpstr>'Total CCA'!Print_Area</vt:lpstr>
      <vt:lpstr>'WA Climate Act Credit 503,504'!Print_Area</vt:lpstr>
      <vt:lpstr>'CCA Allocation'!Print_Titles</vt:lpstr>
      <vt:lpstr>'WA Climate Act Credit 503,504'!Print_Titles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Hodges, Becky</dc:creator>
  <cp:keywords/>
  <dc:description/>
  <cp:lastModifiedBy>Harris, Zachary</cp:lastModifiedBy>
  <cp:revision/>
  <cp:lastPrinted>2024-05-13T21:43:12Z</cp:lastPrinted>
  <dcterms:created xsi:type="dcterms:W3CDTF">2024-01-30T01:17:29Z</dcterms:created>
  <dcterms:modified xsi:type="dcterms:W3CDTF">2024-05-13T21:43:25Z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0x0101006E56B4D1795A2E4DB2F0B01679ED314A003757BB3E34339F4BBFE3836C40D7238D</vt:lpwstr>
  </property>
  <property fmtid="{D5CDD505-2E9C-101B-9397-08002B2CF9AE}" pid="3" name="MediaServiceImageTags">
    <vt:lpwstr/>
  </property>
  <property fmtid="{D5CDD505-2E9C-101B-9397-08002B2CF9AE}" pid="4" name="_docset_NoMedatataSyncRequired">
    <vt:lpwstr>False</vt:lpwstr>
  </property>
</Properties>
</file>