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style3.xml" ContentType="application/vnd.ms-office.chart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2024\2024-2025 WA Conservation Planning (UE-230897_UG-230898)\ACP-BCP (UE-230897_UG-230898)\2024-11-15- 2025 ACP\2025-01-15 Workpaper Filing (Staff Request)\Electric (UE-230897)\"/>
    </mc:Choice>
  </mc:AlternateContent>
  <xr:revisionPtr revIDLastSave="0" documentId="8_{C912BDFE-AA84-4E25-A70C-B86B5F9BD0E8}" xr6:coauthVersionLast="47" xr6:coauthVersionMax="47" xr10:uidLastSave="{00000000-0000-0000-0000-000000000000}"/>
  <bookViews>
    <workbookView xWindow="28680" yWindow="-120" windowWidth="29040" windowHeight="15840" firstSheet="1" activeTab="1" xr2:uid="{852B2937-DC53-41F6-996B-1E3B6662E836}"/>
  </bookViews>
  <sheets>
    <sheet name="Workbook Selections" sheetId="3" state="hidden" r:id="rId1"/>
    <sheet name="Core Data" sheetId="1" r:id="rId2"/>
    <sheet name="Rate Constants Control" sheetId="6" state="hidden" r:id="rId3"/>
    <sheet name="NIUC" sheetId="5" r:id="rId4"/>
    <sheet name="Electric Avoided Costs" sheetId="2" state="hidden" r:id="rId5"/>
    <sheet name="Gas Avoided Costs" sheetId="4" state="hidden" r:id="rId6"/>
    <sheet name="Residential Summary" sheetId="14" r:id="rId7"/>
    <sheet name="Low-Income Summary" sheetId="18" r:id="rId8"/>
    <sheet name="Non-Residential Summary" sheetId="20" r:id="rId9"/>
    <sheet name="Annual Program Summary" sheetId="10" r:id="rId10"/>
    <sheet name="Figures - MP" sheetId="22" r:id="rId11"/>
    <sheet name="Appendix C" sheetId="23" r:id="rId12"/>
    <sheet name="Program Manager View" sheetId="21" state="hidden" r:id="rId13"/>
  </sheets>
  <externalReferences>
    <externalReference r:id="rId14"/>
  </externalReferences>
  <definedNames>
    <definedName name="_xlnm._FilterDatabase" localSheetId="1" hidden="1">'Core Data'!$A$1:$AG$170</definedName>
    <definedName name="_xlnm._FilterDatabase" localSheetId="10" hidden="1">'Figures - MP'!$A$67:$B$77</definedName>
    <definedName name="AC_Measure_Life">'Electric Avoided Costs'!$A$1:$A$47</definedName>
    <definedName name="Elec_AC_Measure_Life">'Electric Avoided Costs'!$A$1:$A$47</definedName>
    <definedName name="Elec_Heat_Curve">'Electric Avoided Costs'!$A$1:$AT$1</definedName>
    <definedName name="Elec_Measure_Type" localSheetId="1">'[1]3.3 - MF Wx'!$BK$1:$BK$8</definedName>
    <definedName name="Electric_AC">'Electric Avoided Costs'!$A$1:$AT$47</definedName>
    <definedName name="Electric_Discount_Rate">'Rate Constants Control'!$B$1</definedName>
    <definedName name="Energy_Savings">'Annual Program Summary'!$I$15:$I$303</definedName>
    <definedName name="Gas_AC">'Gas Avoided Costs'!$A$1:$J$47</definedName>
    <definedName name="Gas_AC_Measure_Life">'Gas Avoided Costs'!$A$1:$A$47</definedName>
    <definedName name="Gas_Discount_Rate">'Rate Constants Control'!$B$3</definedName>
    <definedName name="Gas_Heat_Load">'Gas Avoided Costs'!$A$1:$J$1</definedName>
    <definedName name="Heat_Curve">'Electric Avoided Costs'!$A$1:$AT$1</definedName>
    <definedName name="ID_Elec_NIUC">NIUC!$J$9</definedName>
    <definedName name="ID_Electric_Rates">'Rate Constants Control'!$M$4:$M$14</definedName>
    <definedName name="ID_Gas_NIUC">NIUC!$J$10</definedName>
    <definedName name="ID_Gas_Rates">'Rate Constants Control'!$M$23:$M$25</definedName>
    <definedName name="LI_Total_Incentive" localSheetId="9">'Annual Program Summary'!$D$3</definedName>
    <definedName name="LI_Total_Incentive">#REF!</definedName>
    <definedName name="Low_Income_AC" localSheetId="9">'Annual Program Summary'!$H$3</definedName>
    <definedName name="Low_Income_AC">#REF!</definedName>
    <definedName name="Low_Income_CIC" localSheetId="9">'Annual Program Summary'!$E$3</definedName>
    <definedName name="Low_Income_CIC">#REF!</definedName>
    <definedName name="Low_Income_Energy_Savings" localSheetId="9">'Annual Program Summary'!$I$3</definedName>
    <definedName name="Low_Income_Energy_Savings">#REF!</definedName>
    <definedName name="Low_Income_NEI" localSheetId="9">'Annual Program Summary'!$G$3</definedName>
    <definedName name="Low_Income_NEI">#REF!</definedName>
    <definedName name="Low_Income_NIUC" localSheetId="9">'Annual Program Summary'!$F$3</definedName>
    <definedName name="Low_Income_NIUC">#REF!</definedName>
    <definedName name="Low_Income_Total_Incentive" localSheetId="9">'Annual Program Summary'!$D$3</definedName>
    <definedName name="Low_Income_Total_Incentive">#REF!</definedName>
    <definedName name="NR_AC" localSheetId="9">'Annual Program Summary'!$H$4</definedName>
    <definedName name="NR_AC">#REF!</definedName>
    <definedName name="NR_CIC" localSheetId="9">'Annual Program Summary'!$E$4</definedName>
    <definedName name="NR_CIC">#REF!</definedName>
    <definedName name="NR_ENERGY_SAVINGS" localSheetId="9">'Annual Program Summary'!$I$4</definedName>
    <definedName name="NR_ENERGY_SAVINGS">#REF!</definedName>
    <definedName name="NR_INCENTIVE" localSheetId="9">'Annual Program Summary'!$D$4</definedName>
    <definedName name="NR_INCENTIVE">#REF!</definedName>
    <definedName name="NR_NEI" localSheetId="9">'Annual Program Summary'!$G$4</definedName>
    <definedName name="NR_NEI">#REF!</definedName>
    <definedName name="NR_NIUC" localSheetId="9">'Annual Program Summary'!$F$4</definedName>
    <definedName name="NR_NIUC">#REF!</definedName>
    <definedName name="PCT_Elec_Constant">'Rate Constants Control'!$B$7</definedName>
    <definedName name="PCT_Gas_Constant">'Rate Constants Control'!$B$8</definedName>
    <definedName name="Program_AC">'Annual Program Summary'!$H$15:$H$303</definedName>
    <definedName name="Program_CIC">'Annual Program Summary'!$E$15:$E$303</definedName>
    <definedName name="Program_Incentive">'Annual Program Summary'!$D$15:$D$303</definedName>
    <definedName name="Program_NEI">'Annual Program Summary'!$G$15:$G$303</definedName>
    <definedName name="Program_NIUC">'Annual Program Summary'!$F$15:$F$303</definedName>
    <definedName name="RES_AC" localSheetId="9">'Annual Program Summary'!$H$5</definedName>
    <definedName name="RES_AC">#REF!</definedName>
    <definedName name="RES_CIC" localSheetId="9">'Annual Program Summary'!$E$5</definedName>
    <definedName name="RES_CIC">#REF!</definedName>
    <definedName name="RES_ENERGY_SAVINGS" localSheetId="9">'Annual Program Summary'!$I$5</definedName>
    <definedName name="RES_ENERGY_SAVINGS">#REF!</definedName>
    <definedName name="RES_INCENTIVE" localSheetId="9">'Annual Program Summary'!$D$5</definedName>
    <definedName name="RES_INCENTIVE">#REF!</definedName>
    <definedName name="RES_NEI" localSheetId="9">'Annual Program Summary'!$G$5</definedName>
    <definedName name="RES_NEI">#REF!</definedName>
    <definedName name="RES_NIUC" localSheetId="9">'Annual Program Summary'!$F$5</definedName>
    <definedName name="RES_NIUC">#REF!</definedName>
    <definedName name="Res_Space_Heat">'Electric Avoided Costs'!$D$1:$D$47</definedName>
    <definedName name="Summary_AC">'Annual Program Summary'!$H$3:$H$9</definedName>
    <definedName name="Summary_CIC">'Annual Program Summary'!$E$3:$E$9</definedName>
    <definedName name="Summary_Energy_Savings">'Annual Program Summary'!$I$3:$I$9</definedName>
    <definedName name="Summary_Incentive">'Annual Program Summary'!$D$3:$D$9</definedName>
    <definedName name="Summary_NEI">'Annual Program Summary'!$G$3:$G$9</definedName>
    <definedName name="Summary_NIUC">'Annual Program Summary'!$F$3:$F$9</definedName>
    <definedName name="TOTAL_AC" localSheetId="9">'Annual Program Summary'!$H$6</definedName>
    <definedName name="TOTAL_AC">#REF!</definedName>
    <definedName name="TOTAL_CIC" localSheetId="9">'Annual Program Summary'!$E$6</definedName>
    <definedName name="TOTAL_CIC">#REF!</definedName>
    <definedName name="TOTAL_ENERGY_SAVINGS" localSheetId="9">'Annual Program Summary'!$I$6</definedName>
    <definedName name="TOTAL_ENERGY_SAVINGS">#REF!</definedName>
    <definedName name="TOTAL_INCENTIVE" localSheetId="9">'Annual Program Summary'!$D$6</definedName>
    <definedName name="TOTAL_INCENTIVE">#REF!</definedName>
    <definedName name="TOTAL_NEI" localSheetId="9">'Annual Program Summary'!$G$6</definedName>
    <definedName name="TOTAL_NEI">#REF!</definedName>
    <definedName name="TOTAL_NIUC" localSheetId="9">'Annual Program Summary'!$F$6</definedName>
    <definedName name="TOTAL_NIUC">#REF!</definedName>
    <definedName name="WA_Elec_NIUC">NIUC!$J$5</definedName>
    <definedName name="WA_Electric_Rates">'Rate Constants Control'!$K$4:$K$14</definedName>
    <definedName name="WA_Gas_NIUC">NIUC!$J$6</definedName>
    <definedName name="WA_Gas_Rates">'Rate Constants Control'!$K$23:$K$27</definedName>
  </definedNames>
  <calcPr calcId="191029"/>
  <pivotCaches>
    <pivotCache cacheId="0" r:id="rId15"/>
    <pivotCache cacheId="1" r:id="rId16"/>
    <pivotCache cacheId="2" r:id="rId17"/>
    <pivotCache cacheId="3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2" l="1"/>
  <c r="C15" i="22"/>
  <c r="C18" i="22"/>
  <c r="C17" i="22"/>
  <c r="C16" i="22"/>
  <c r="B15" i="22"/>
  <c r="G26" i="5"/>
  <c r="L7" i="5"/>
  <c r="L5" i="5"/>
  <c r="G14" i="5"/>
  <c r="D13" i="5"/>
  <c r="C27" i="23"/>
  <c r="C30" i="23"/>
  <c r="C31" i="23"/>
  <c r="C28" i="23"/>
  <c r="C29" i="23"/>
  <c r="B32" i="23"/>
  <c r="C5" i="23"/>
  <c r="C4" i="23"/>
  <c r="B4" i="23"/>
  <c r="L10" i="5"/>
  <c r="B22" i="23"/>
  <c r="B21" i="23"/>
  <c r="C20" i="23"/>
  <c r="C18" i="23"/>
  <c r="B12" i="23"/>
  <c r="B24" i="23"/>
  <c r="D70" i="10"/>
  <c r="C11" i="23"/>
  <c r="C23" i="23"/>
  <c r="C22" i="23"/>
  <c r="D68" i="10"/>
  <c r="B68" i="10"/>
  <c r="C13" i="23"/>
  <c r="B9" i="23"/>
  <c r="B16" i="23"/>
  <c r="B23" i="23"/>
  <c r="B8" i="23"/>
  <c r="B18" i="23"/>
  <c r="C17" i="23"/>
  <c r="C24" i="23"/>
  <c r="B20" i="23"/>
  <c r="C19" i="23"/>
  <c r="C16" i="23"/>
  <c r="C21" i="23"/>
  <c r="B13" i="23"/>
  <c r="C9" i="23"/>
  <c r="B10" i="23"/>
  <c r="C10" i="23"/>
  <c r="C8" i="23"/>
  <c r="B17" i="23"/>
  <c r="B11" i="23"/>
  <c r="C12" i="23"/>
  <c r="B19" i="23"/>
  <c r="B14" i="23" l="1"/>
  <c r="B12" i="22" s="1"/>
  <c r="B25" i="23"/>
  <c r="B13" i="22" s="1"/>
  <c r="C10" i="22"/>
  <c r="C11" i="22"/>
  <c r="B6" i="23"/>
  <c r="B10" i="22" s="1"/>
  <c r="C6" i="23"/>
  <c r="C25" i="23"/>
  <c r="C13" i="22" s="1"/>
  <c r="C14" i="23"/>
  <c r="C12" i="22" s="1"/>
  <c r="C32" i="23"/>
  <c r="G4" i="5"/>
  <c r="M20" i="5"/>
  <c r="L20" i="5"/>
  <c r="K20" i="5"/>
  <c r="J20" i="5"/>
  <c r="K17" i="5"/>
  <c r="J17" i="5"/>
  <c r="G2" i="5"/>
  <c r="B19" i="22" l="1"/>
  <c r="C19" i="22"/>
  <c r="B34" i="23"/>
  <c r="C34" i="23"/>
  <c r="J77" i="10"/>
  <c r="J76" i="10"/>
  <c r="B75" i="22"/>
  <c r="B57" i="22"/>
  <c r="B73" i="22"/>
  <c r="B61" i="22"/>
  <c r="B77" i="22"/>
  <c r="F66" i="10"/>
  <c r="B59" i="22"/>
  <c r="B63" i="22"/>
  <c r="J72" i="10"/>
  <c r="B74" i="22"/>
  <c r="B64" i="22"/>
  <c r="D66" i="10"/>
  <c r="B70" i="22"/>
  <c r="B58" i="22"/>
  <c r="B60" i="22"/>
  <c r="B65" i="22"/>
  <c r="B66" i="10"/>
  <c r="J66" i="10"/>
  <c r="B62" i="22"/>
  <c r="B72" i="22"/>
  <c r="B68" i="22"/>
  <c r="B76" i="22"/>
  <c r="J68" i="10"/>
  <c r="B69" i="22" l="1"/>
  <c r="B71" i="22"/>
  <c r="M15" i="10" a="1"/>
  <c r="M15" i="10" s="1"/>
  <c r="J79" i="10"/>
  <c r="C9" i="10"/>
  <c r="D9" i="10"/>
  <c r="E9" i="10"/>
  <c r="F9" i="10"/>
  <c r="G9" i="10"/>
  <c r="H9" i="10"/>
  <c r="I9" i="10"/>
  <c r="M3" i="10" s="1" a="1"/>
  <c r="M3" i="10" s="1"/>
  <c r="J9" i="10"/>
  <c r="B9" i="10"/>
  <c r="C19" i="5"/>
  <c r="C9" i="5" s="1"/>
  <c r="C18" i="5"/>
  <c r="C10" i="5" s="1"/>
  <c r="C17" i="5"/>
  <c r="N3" i="10" l="1" a="1"/>
  <c r="N3" i="10" s="1"/>
  <c r="I2" i="5"/>
  <c r="C8" i="5"/>
  <c r="U168" i="1"/>
  <c r="U167" i="1"/>
  <c r="L168" i="1"/>
  <c r="V168" i="1" s="1"/>
  <c r="S167" i="1"/>
  <c r="AD167" i="1" s="1"/>
  <c r="U169" i="1"/>
  <c r="S169" i="1"/>
  <c r="AD169" i="1" s="1"/>
  <c r="T167" i="1"/>
  <c r="AE167" i="1" s="1"/>
  <c r="W167" i="1"/>
  <c r="Y167" i="1"/>
  <c r="T168" i="1"/>
  <c r="AE168" i="1" s="1"/>
  <c r="W168" i="1"/>
  <c r="Y168" i="1"/>
  <c r="T169" i="1"/>
  <c r="AE169" i="1" s="1"/>
  <c r="W169" i="1"/>
  <c r="Y169" i="1"/>
  <c r="L170" i="1"/>
  <c r="V170" i="1" s="1"/>
  <c r="S170" i="1"/>
  <c r="AD170" i="1" s="1"/>
  <c r="T170" i="1"/>
  <c r="AE170" i="1" s="1"/>
  <c r="U170" i="1"/>
  <c r="W170" i="1"/>
  <c r="Y170" i="1"/>
  <c r="L167" i="1" l="1"/>
  <c r="V167" i="1" s="1"/>
  <c r="S168" i="1"/>
  <c r="AD168" i="1" s="1"/>
  <c r="L169" i="1"/>
  <c r="V169" i="1" s="1"/>
  <c r="W108" i="1" l="1"/>
  <c r="U108" i="1"/>
  <c r="L108" i="1"/>
  <c r="V108" i="1" s="1"/>
  <c r="S108" i="1"/>
  <c r="AD108" i="1" s="1"/>
  <c r="T108" i="1"/>
  <c r="AE108" i="1" s="1"/>
  <c r="Y108" i="1"/>
  <c r="L54" i="1"/>
  <c r="U29" i="1"/>
  <c r="S29" i="1"/>
  <c r="AD29" i="1" s="1"/>
  <c r="T29" i="1"/>
  <c r="AE29" i="1" s="1"/>
  <c r="W29" i="1"/>
  <c r="Y29" i="1"/>
  <c r="S30" i="1"/>
  <c r="AD30" i="1" s="1"/>
  <c r="T30" i="1"/>
  <c r="AE30" i="1" s="1"/>
  <c r="U30" i="1"/>
  <c r="W30" i="1"/>
  <c r="Y30" i="1"/>
  <c r="S31" i="1"/>
  <c r="AD31" i="1" s="1"/>
  <c r="T31" i="1"/>
  <c r="AE31" i="1" s="1"/>
  <c r="U31" i="1"/>
  <c r="W31" i="1"/>
  <c r="Y31" i="1"/>
  <c r="T32" i="1"/>
  <c r="AE32" i="1" s="1"/>
  <c r="U32" i="1"/>
  <c r="W32" i="1"/>
  <c r="Y32" i="1"/>
  <c r="L29" i="1"/>
  <c r="V29" i="1" s="1"/>
  <c r="F32" i="1"/>
  <c r="L32" i="1" s="1"/>
  <c r="V32" i="1" s="1"/>
  <c r="S32" i="1" l="1"/>
  <c r="AD32" i="1" s="1"/>
  <c r="U35" i="1"/>
  <c r="L34" i="1"/>
  <c r="V34" i="1" s="1"/>
  <c r="L35" i="1"/>
  <c r="V35" i="1" s="1"/>
  <c r="L31" i="1"/>
  <c r="V31" i="1" s="1"/>
  <c r="U28" i="1"/>
  <c r="U27" i="1"/>
  <c r="L27" i="1"/>
  <c r="V27" i="1" s="1"/>
  <c r="S26" i="1"/>
  <c r="AD26" i="1" s="1"/>
  <c r="T26" i="1"/>
  <c r="AE26" i="1" s="1"/>
  <c r="U26" i="1"/>
  <c r="W26" i="1"/>
  <c r="Y26" i="1"/>
  <c r="T27" i="1"/>
  <c r="AE27" i="1" s="1"/>
  <c r="W27" i="1"/>
  <c r="Y27" i="1"/>
  <c r="S28" i="1"/>
  <c r="AD28" i="1" s="1"/>
  <c r="T28" i="1"/>
  <c r="AE28" i="1" s="1"/>
  <c r="W28" i="1"/>
  <c r="Y28" i="1"/>
  <c r="S33" i="1"/>
  <c r="AD33" i="1" s="1"/>
  <c r="T33" i="1"/>
  <c r="AE33" i="1" s="1"/>
  <c r="U33" i="1"/>
  <c r="W33" i="1"/>
  <c r="Y33" i="1"/>
  <c r="T34" i="1"/>
  <c r="AE34" i="1" s="1"/>
  <c r="U34" i="1"/>
  <c r="W34" i="1"/>
  <c r="Y34" i="1"/>
  <c r="T35" i="1"/>
  <c r="AE35" i="1" s="1"/>
  <c r="W35" i="1"/>
  <c r="Y35" i="1"/>
  <c r="L28" i="1"/>
  <c r="V28" i="1" s="1"/>
  <c r="L30" i="1"/>
  <c r="V30" i="1" s="1"/>
  <c r="L33" i="1"/>
  <c r="V33" i="1" s="1"/>
  <c r="S34" i="1" l="1"/>
  <c r="AD34" i="1" s="1"/>
  <c r="S35" i="1"/>
  <c r="AD35" i="1" s="1"/>
  <c r="S27" i="1"/>
  <c r="AD27" i="1" s="1"/>
  <c r="Y15" i="1" l="1"/>
  <c r="W15" i="1"/>
  <c r="U15" i="1"/>
  <c r="T15" i="1"/>
  <c r="AE15" i="1" s="1"/>
  <c r="S15" i="1"/>
  <c r="AD15" i="1" s="1"/>
  <c r="Y14" i="1"/>
  <c r="W14" i="1"/>
  <c r="U14" i="1"/>
  <c r="T14" i="1"/>
  <c r="AE14" i="1" s="1"/>
  <c r="S14" i="1"/>
  <c r="AD14" i="1" s="1"/>
  <c r="L14" i="1"/>
  <c r="V14" i="1" s="1"/>
  <c r="Y105" i="1" l="1"/>
  <c r="W105" i="1"/>
  <c r="U105" i="1"/>
  <c r="T105" i="1"/>
  <c r="AE105" i="1" s="1"/>
  <c r="S105" i="1"/>
  <c r="AD105" i="1" s="1"/>
  <c r="L105" i="1"/>
  <c r="V105" i="1" s="1"/>
  <c r="L86" i="1"/>
  <c r="V86" i="1" s="1"/>
  <c r="S86" i="1"/>
  <c r="AD86" i="1" s="1"/>
  <c r="T86" i="1"/>
  <c r="AE86" i="1" s="1"/>
  <c r="U86" i="1"/>
  <c r="W86" i="1"/>
  <c r="Y86" i="1"/>
  <c r="L87" i="1"/>
  <c r="V87" i="1" s="1"/>
  <c r="S87" i="1"/>
  <c r="AD87" i="1" s="1"/>
  <c r="T87" i="1"/>
  <c r="AE87" i="1" s="1"/>
  <c r="U87" i="1"/>
  <c r="W87" i="1"/>
  <c r="Y87" i="1"/>
  <c r="U147" i="1" l="1"/>
  <c r="W147" i="1"/>
  <c r="Y147" i="1"/>
  <c r="L147" i="1"/>
  <c r="V147" i="1" s="1"/>
  <c r="T147" i="1"/>
  <c r="AE147" i="1" s="1"/>
  <c r="S147" i="1"/>
  <c r="AD147" i="1" s="1"/>
  <c r="S16" i="1"/>
  <c r="AD16" i="1" s="1"/>
  <c r="T16" i="1"/>
  <c r="AE16" i="1" s="1"/>
  <c r="U16" i="1"/>
  <c r="W16" i="1"/>
  <c r="Y16" i="1"/>
  <c r="S17" i="1"/>
  <c r="AD17" i="1" s="1"/>
  <c r="T17" i="1"/>
  <c r="AE17" i="1" s="1"/>
  <c r="U17" i="1"/>
  <c r="W17" i="1"/>
  <c r="Y17" i="1"/>
  <c r="L17" i="1"/>
  <c r="V17" i="1" s="1"/>
  <c r="L15" i="1"/>
  <c r="V15" i="1" s="1"/>
  <c r="L16" i="1"/>
  <c r="V16" i="1" s="1"/>
  <c r="L48" i="1"/>
  <c r="V48" i="1" s="1"/>
  <c r="S48" i="1"/>
  <c r="AD48" i="1" s="1"/>
  <c r="T48" i="1"/>
  <c r="AE48" i="1" s="1"/>
  <c r="U48" i="1"/>
  <c r="W48" i="1"/>
  <c r="Y48" i="1"/>
  <c r="L46" i="1"/>
  <c r="V46" i="1" s="1"/>
  <c r="S46" i="1"/>
  <c r="AD46" i="1" s="1"/>
  <c r="T46" i="1"/>
  <c r="AE46" i="1" s="1"/>
  <c r="U46" i="1"/>
  <c r="W46" i="1"/>
  <c r="Y46" i="1"/>
  <c r="L47" i="1"/>
  <c r="V47" i="1" s="1"/>
  <c r="S47" i="1"/>
  <c r="AD47" i="1" s="1"/>
  <c r="T47" i="1"/>
  <c r="AE47" i="1" s="1"/>
  <c r="U47" i="1"/>
  <c r="W47" i="1"/>
  <c r="Y47" i="1"/>
  <c r="L49" i="1"/>
  <c r="V49" i="1" s="1"/>
  <c r="S49" i="1"/>
  <c r="AD49" i="1" s="1"/>
  <c r="T49" i="1"/>
  <c r="AE49" i="1" s="1"/>
  <c r="U49" i="1"/>
  <c r="W49" i="1"/>
  <c r="Y49" i="1"/>
  <c r="K15" i="10" a="1"/>
  <c r="K15" i="10" s="1"/>
  <c r="I162" i="1" l="1"/>
  <c r="B8" i="6"/>
  <c r="Y3" i="1" l="1"/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3" i="4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C25" i="4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D25" i="4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F2" i="4" l="1"/>
  <c r="F3" i="4" s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I2" i="4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J2" i="4"/>
  <c r="J3" i="4" s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AT2" i="2" l="1"/>
  <c r="AT3" i="2" s="1"/>
  <c r="AT4" i="2" s="1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  <c r="AT40" i="2" s="1"/>
  <c r="AT41" i="2" s="1"/>
  <c r="AT42" i="2" s="1"/>
  <c r="AT43" i="2" s="1"/>
  <c r="AT44" i="2" s="1"/>
  <c r="AT45" i="2" s="1"/>
  <c r="AT46" i="2" s="1"/>
  <c r="AT47" i="2" s="1"/>
  <c r="AR2" i="2"/>
  <c r="AR3" i="2" s="1"/>
  <c r="AR4" i="2" s="1"/>
  <c r="AR5" i="2" s="1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P2" i="2"/>
  <c r="AP3" i="2" s="1"/>
  <c r="AP4" i="2" s="1"/>
  <c r="AP5" i="2" s="1"/>
  <c r="AP6" i="2" s="1"/>
  <c r="AP7" i="2" s="1"/>
  <c r="AP8" i="2" s="1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AP37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N2" i="2"/>
  <c r="AN3" i="2" s="1"/>
  <c r="AN4" i="2" s="1"/>
  <c r="AN5" i="2" s="1"/>
  <c r="AN6" i="2" s="1"/>
  <c r="AN7" i="2" s="1"/>
  <c r="AN8" i="2" s="1"/>
  <c r="AN9" i="2" s="1"/>
  <c r="AN10" i="2" s="1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L2" i="2"/>
  <c r="AL3" i="2" s="1"/>
  <c r="AL4" i="2" s="1"/>
  <c r="AL5" i="2" s="1"/>
  <c r="AL6" i="2" s="1"/>
  <c r="AL7" i="2" s="1"/>
  <c r="AL8" i="2" s="1"/>
  <c r="AL9" i="2" s="1"/>
  <c r="AL10" i="2" s="1"/>
  <c r="AL11" i="2" s="1"/>
  <c r="AL12" i="2" s="1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J2" i="2"/>
  <c r="AJ3" i="2" s="1"/>
  <c r="AJ4" i="2" s="1"/>
  <c r="AJ5" i="2" s="1"/>
  <c r="AJ6" i="2" s="1"/>
  <c r="AJ7" i="2" s="1"/>
  <c r="AH2" i="2"/>
  <c r="AH3" i="2" s="1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F2" i="2"/>
  <c r="AF3" i="2" s="1"/>
  <c r="AF4" i="2" s="1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D2" i="2"/>
  <c r="AD3" i="2" s="1"/>
  <c r="AD4" i="2" s="1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B2" i="2"/>
  <c r="AB3" i="2" s="1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Z2" i="2"/>
  <c r="Z3" i="2" s="1"/>
  <c r="Z4" i="2" s="1"/>
  <c r="Z5" i="2" s="1"/>
  <c r="Z6" i="2" s="1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X2" i="2"/>
  <c r="X3" i="2" s="1"/>
  <c r="X4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V2" i="2"/>
  <c r="V3" i="2" s="1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T2" i="2"/>
  <c r="T3" i="2" s="1"/>
  <c r="T4" i="2" s="1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R2" i="2"/>
  <c r="R3" i="2" s="1"/>
  <c r="P2" i="2"/>
  <c r="P3" i="2" s="1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N2" i="2"/>
  <c r="N3" i="2" s="1"/>
  <c r="N4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L2" i="2"/>
  <c r="L3" i="2" s="1"/>
  <c r="L4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J2" i="2"/>
  <c r="J3" i="2" s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F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AH15" i="2" l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X87" i="1"/>
  <c r="Z87" i="1" s="1"/>
  <c r="X86" i="1"/>
  <c r="Z86" i="1" s="1"/>
  <c r="AJ8" i="2"/>
  <c r="AJ9" i="2" s="1"/>
  <c r="X147" i="1"/>
  <c r="Z147" i="1" s="1"/>
  <c r="R4" i="2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X105" i="1"/>
  <c r="Z105" i="1" s="1"/>
  <c r="L16" i="2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X48" i="1"/>
  <c r="Z48" i="1" s="1"/>
  <c r="B7" i="6"/>
  <c r="AF147" i="1" l="1"/>
  <c r="AF105" i="1"/>
  <c r="AF86" i="1"/>
  <c r="AF87" i="1"/>
  <c r="AF48" i="1"/>
  <c r="AJ10" i="2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X167" i="1"/>
  <c r="Z167" i="1" s="1"/>
  <c r="X168" i="1"/>
  <c r="Z168" i="1" s="1"/>
  <c r="X169" i="1"/>
  <c r="Z169" i="1" s="1"/>
  <c r="X170" i="1"/>
  <c r="Z170" i="1" s="1"/>
  <c r="L15" i="10" a="1"/>
  <c r="L15" i="10" s="1"/>
  <c r="N15" i="10" a="1"/>
  <c r="N15" i="10" s="1"/>
  <c r="AF169" i="1" l="1"/>
  <c r="AF168" i="1"/>
  <c r="AF170" i="1"/>
  <c r="AF167" i="1"/>
  <c r="AJ21" i="2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X108" i="1"/>
  <c r="Z108" i="1" s="1"/>
  <c r="K3" i="10" a="1"/>
  <c r="L3" i="10" a="1"/>
  <c r="F8" i="5"/>
  <c r="G6" i="5"/>
  <c r="I4" i="5"/>
  <c r="I6" i="5" s="1"/>
  <c r="G8" i="5"/>
  <c r="G10" i="5" s="1"/>
  <c r="I8" i="5"/>
  <c r="I10" i="5" s="1"/>
  <c r="D8" i="5"/>
  <c r="D10" i="5" s="1"/>
  <c r="E8" i="5"/>
  <c r="E9" i="5" s="1"/>
  <c r="D4" i="5"/>
  <c r="D6" i="5" s="1"/>
  <c r="E4" i="5"/>
  <c r="E6" i="5" s="1"/>
  <c r="AF108" i="1" l="1"/>
  <c r="L3" i="10"/>
  <c r="B4" i="22" s="1"/>
  <c r="E4" i="22"/>
  <c r="D4" i="22"/>
  <c r="C4" i="22"/>
  <c r="K3" i="10"/>
  <c r="B3" i="22" s="1"/>
  <c r="E3" i="22"/>
  <c r="D3" i="22"/>
  <c r="C3" i="22"/>
  <c r="G5" i="5"/>
  <c r="F10" i="5"/>
  <c r="F9" i="5"/>
  <c r="F4" i="5"/>
  <c r="F5" i="5" s="1"/>
  <c r="I9" i="5"/>
  <c r="G9" i="5"/>
  <c r="I5" i="5"/>
  <c r="D5" i="5"/>
  <c r="E5" i="5"/>
  <c r="E10" i="5"/>
  <c r="D9" i="5"/>
  <c r="F6" i="5" l="1"/>
  <c r="D29" i="5"/>
  <c r="L3" i="1" l="1"/>
  <c r="L4" i="1"/>
  <c r="L5" i="1"/>
  <c r="L6" i="1"/>
  <c r="L7" i="1"/>
  <c r="L8" i="1"/>
  <c r="L9" i="1"/>
  <c r="L11" i="1"/>
  <c r="L12" i="1"/>
  <c r="L13" i="1"/>
  <c r="L18" i="1"/>
  <c r="L19" i="1"/>
  <c r="L20" i="1"/>
  <c r="L21" i="1"/>
  <c r="L22" i="1"/>
  <c r="L23" i="1"/>
  <c r="L24" i="1"/>
  <c r="L25" i="1"/>
  <c r="L26" i="1"/>
  <c r="V26" i="1" s="1"/>
  <c r="L36" i="1"/>
  <c r="L37" i="1"/>
  <c r="L38" i="1"/>
  <c r="L39" i="1"/>
  <c r="L40" i="1"/>
  <c r="L41" i="1"/>
  <c r="L42" i="1"/>
  <c r="L43" i="1"/>
  <c r="L44" i="1"/>
  <c r="L45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2" i="1"/>
  <c r="U164" i="1" l="1"/>
  <c r="S163" i="1"/>
  <c r="AD163" i="1" s="1"/>
  <c r="T163" i="1"/>
  <c r="AE163" i="1" s="1"/>
  <c r="U163" i="1"/>
  <c r="V163" i="1"/>
  <c r="W163" i="1"/>
  <c r="S164" i="1"/>
  <c r="AD164" i="1" s="1"/>
  <c r="T164" i="1"/>
  <c r="AE164" i="1" s="1"/>
  <c r="V164" i="1"/>
  <c r="W164" i="1"/>
  <c r="S165" i="1"/>
  <c r="AD165" i="1" s="1"/>
  <c r="T165" i="1"/>
  <c r="AE165" i="1" s="1"/>
  <c r="U165" i="1"/>
  <c r="V165" i="1"/>
  <c r="W165" i="1"/>
  <c r="S2" i="1" l="1"/>
  <c r="AD2" i="1" s="1"/>
  <c r="W3" i="1" l="1"/>
  <c r="W4" i="1"/>
  <c r="W5" i="1"/>
  <c r="W6" i="1"/>
  <c r="W7" i="1"/>
  <c r="W8" i="1"/>
  <c r="W9" i="1"/>
  <c r="W10" i="1"/>
  <c r="W11" i="1"/>
  <c r="W12" i="1"/>
  <c r="W13" i="1"/>
  <c r="W18" i="1"/>
  <c r="W19" i="1"/>
  <c r="W20" i="1"/>
  <c r="W21" i="1"/>
  <c r="W22" i="1"/>
  <c r="W23" i="1"/>
  <c r="W24" i="1"/>
  <c r="W25" i="1"/>
  <c r="W36" i="1"/>
  <c r="W37" i="1"/>
  <c r="W38" i="1"/>
  <c r="W39" i="1"/>
  <c r="W40" i="1"/>
  <c r="W41" i="1"/>
  <c r="W42" i="1"/>
  <c r="W43" i="1"/>
  <c r="W44" i="1"/>
  <c r="W45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6" i="1"/>
  <c r="W107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6" i="1"/>
  <c r="W2" i="1"/>
  <c r="V3" i="1"/>
  <c r="V4" i="1"/>
  <c r="V5" i="1"/>
  <c r="V6" i="1"/>
  <c r="V7" i="1"/>
  <c r="V8" i="1"/>
  <c r="V9" i="1"/>
  <c r="V11" i="1"/>
  <c r="V12" i="1"/>
  <c r="V13" i="1"/>
  <c r="V18" i="1"/>
  <c r="V19" i="1"/>
  <c r="V20" i="1"/>
  <c r="V21" i="1"/>
  <c r="V22" i="1"/>
  <c r="V23" i="1"/>
  <c r="V24" i="1"/>
  <c r="V25" i="1"/>
  <c r="V36" i="1"/>
  <c r="V37" i="1"/>
  <c r="V38" i="1"/>
  <c r="V39" i="1"/>
  <c r="V40" i="1"/>
  <c r="V41" i="1"/>
  <c r="V42" i="1"/>
  <c r="V43" i="1"/>
  <c r="V44" i="1"/>
  <c r="V45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6" i="1"/>
  <c r="V107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6" i="1"/>
  <c r="V2" i="1"/>
  <c r="U3" i="1"/>
  <c r="U4" i="1"/>
  <c r="U5" i="1"/>
  <c r="U6" i="1"/>
  <c r="U7" i="1"/>
  <c r="U8" i="1"/>
  <c r="U9" i="1"/>
  <c r="U10" i="1"/>
  <c r="U11" i="1"/>
  <c r="U12" i="1"/>
  <c r="U13" i="1"/>
  <c r="U18" i="1"/>
  <c r="U19" i="1"/>
  <c r="U20" i="1"/>
  <c r="U21" i="1"/>
  <c r="U22" i="1"/>
  <c r="U23" i="1"/>
  <c r="U24" i="1"/>
  <c r="U25" i="1"/>
  <c r="U36" i="1"/>
  <c r="U37" i="1"/>
  <c r="U38" i="1"/>
  <c r="U39" i="1"/>
  <c r="U40" i="1"/>
  <c r="U41" i="1"/>
  <c r="U42" i="1"/>
  <c r="U43" i="1"/>
  <c r="U44" i="1"/>
  <c r="U45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6" i="1"/>
  <c r="U107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6" i="1"/>
  <c r="U2" i="1"/>
  <c r="S3" i="1"/>
  <c r="AD3" i="1" s="1"/>
  <c r="T3" i="1"/>
  <c r="AE3" i="1" s="1"/>
  <c r="S4" i="1"/>
  <c r="AD4" i="1" s="1"/>
  <c r="T4" i="1"/>
  <c r="AE4" i="1" s="1"/>
  <c r="S5" i="1"/>
  <c r="AD5" i="1" s="1"/>
  <c r="T5" i="1"/>
  <c r="AE5" i="1" s="1"/>
  <c r="S6" i="1"/>
  <c r="AD6" i="1" s="1"/>
  <c r="T6" i="1"/>
  <c r="AE6" i="1" s="1"/>
  <c r="S7" i="1"/>
  <c r="AD7" i="1" s="1"/>
  <c r="T7" i="1"/>
  <c r="AE7" i="1" s="1"/>
  <c r="S8" i="1"/>
  <c r="AD8" i="1" s="1"/>
  <c r="T8" i="1"/>
  <c r="AE8" i="1" s="1"/>
  <c r="S9" i="1"/>
  <c r="AD9" i="1" s="1"/>
  <c r="T9" i="1"/>
  <c r="AE9" i="1" s="1"/>
  <c r="T10" i="1"/>
  <c r="AE10" i="1" s="1"/>
  <c r="S11" i="1"/>
  <c r="AD11" i="1" s="1"/>
  <c r="T11" i="1"/>
  <c r="AE11" i="1" s="1"/>
  <c r="S12" i="1"/>
  <c r="AD12" i="1" s="1"/>
  <c r="T12" i="1"/>
  <c r="AE12" i="1" s="1"/>
  <c r="S13" i="1"/>
  <c r="AD13" i="1" s="1"/>
  <c r="T13" i="1"/>
  <c r="AE13" i="1" s="1"/>
  <c r="S18" i="1"/>
  <c r="AD18" i="1" s="1"/>
  <c r="T18" i="1"/>
  <c r="AE18" i="1" s="1"/>
  <c r="S19" i="1"/>
  <c r="AD19" i="1" s="1"/>
  <c r="T19" i="1"/>
  <c r="AE19" i="1" s="1"/>
  <c r="S20" i="1"/>
  <c r="AD20" i="1" s="1"/>
  <c r="T20" i="1"/>
  <c r="AE20" i="1" s="1"/>
  <c r="S21" i="1"/>
  <c r="AD21" i="1" s="1"/>
  <c r="T21" i="1"/>
  <c r="AE21" i="1" s="1"/>
  <c r="S22" i="1"/>
  <c r="AD22" i="1" s="1"/>
  <c r="T22" i="1"/>
  <c r="AE22" i="1" s="1"/>
  <c r="S23" i="1"/>
  <c r="AD23" i="1" s="1"/>
  <c r="T23" i="1"/>
  <c r="AE23" i="1" s="1"/>
  <c r="S24" i="1"/>
  <c r="AD24" i="1" s="1"/>
  <c r="T24" i="1"/>
  <c r="AE24" i="1" s="1"/>
  <c r="S25" i="1"/>
  <c r="AD25" i="1" s="1"/>
  <c r="T25" i="1"/>
  <c r="AE25" i="1" s="1"/>
  <c r="S36" i="1"/>
  <c r="AD36" i="1" s="1"/>
  <c r="T36" i="1"/>
  <c r="AE36" i="1" s="1"/>
  <c r="S37" i="1"/>
  <c r="AD37" i="1" s="1"/>
  <c r="T37" i="1"/>
  <c r="AE37" i="1" s="1"/>
  <c r="S38" i="1"/>
  <c r="AD38" i="1" s="1"/>
  <c r="T38" i="1"/>
  <c r="AE38" i="1" s="1"/>
  <c r="S39" i="1"/>
  <c r="AD39" i="1" s="1"/>
  <c r="T39" i="1"/>
  <c r="AE39" i="1" s="1"/>
  <c r="S40" i="1"/>
  <c r="AD40" i="1" s="1"/>
  <c r="T40" i="1"/>
  <c r="AE40" i="1" s="1"/>
  <c r="S41" i="1"/>
  <c r="AD41" i="1" s="1"/>
  <c r="T41" i="1"/>
  <c r="AE41" i="1" s="1"/>
  <c r="S42" i="1"/>
  <c r="AD42" i="1" s="1"/>
  <c r="T42" i="1"/>
  <c r="AE42" i="1" s="1"/>
  <c r="S43" i="1"/>
  <c r="AD43" i="1" s="1"/>
  <c r="T43" i="1"/>
  <c r="AE43" i="1" s="1"/>
  <c r="S44" i="1"/>
  <c r="AD44" i="1" s="1"/>
  <c r="T44" i="1"/>
  <c r="AE44" i="1" s="1"/>
  <c r="S45" i="1"/>
  <c r="AD45" i="1" s="1"/>
  <c r="T45" i="1"/>
  <c r="AE45" i="1" s="1"/>
  <c r="S50" i="1"/>
  <c r="AD50" i="1" s="1"/>
  <c r="T50" i="1"/>
  <c r="AE50" i="1" s="1"/>
  <c r="S51" i="1"/>
  <c r="AD51" i="1" s="1"/>
  <c r="T51" i="1"/>
  <c r="AE51" i="1" s="1"/>
  <c r="S52" i="1"/>
  <c r="AD52" i="1" s="1"/>
  <c r="T52" i="1"/>
  <c r="AE52" i="1" s="1"/>
  <c r="S53" i="1"/>
  <c r="AD53" i="1" s="1"/>
  <c r="T53" i="1"/>
  <c r="AE53" i="1" s="1"/>
  <c r="S54" i="1"/>
  <c r="AD54" i="1" s="1"/>
  <c r="T54" i="1"/>
  <c r="AE54" i="1" s="1"/>
  <c r="S55" i="1"/>
  <c r="AD55" i="1" s="1"/>
  <c r="T55" i="1"/>
  <c r="AE55" i="1" s="1"/>
  <c r="S56" i="1"/>
  <c r="AD56" i="1" s="1"/>
  <c r="T56" i="1"/>
  <c r="AE56" i="1" s="1"/>
  <c r="S57" i="1"/>
  <c r="AD57" i="1" s="1"/>
  <c r="T57" i="1"/>
  <c r="AE57" i="1" s="1"/>
  <c r="S58" i="1"/>
  <c r="AD58" i="1" s="1"/>
  <c r="T58" i="1"/>
  <c r="AE58" i="1" s="1"/>
  <c r="S59" i="1"/>
  <c r="AD59" i="1" s="1"/>
  <c r="T59" i="1"/>
  <c r="AE59" i="1" s="1"/>
  <c r="S60" i="1"/>
  <c r="AD60" i="1" s="1"/>
  <c r="T60" i="1"/>
  <c r="AE60" i="1" s="1"/>
  <c r="S61" i="1"/>
  <c r="AD61" i="1" s="1"/>
  <c r="T61" i="1"/>
  <c r="AE61" i="1" s="1"/>
  <c r="S62" i="1"/>
  <c r="AD62" i="1" s="1"/>
  <c r="T62" i="1"/>
  <c r="AE62" i="1" s="1"/>
  <c r="S63" i="1"/>
  <c r="AD63" i="1" s="1"/>
  <c r="T63" i="1"/>
  <c r="AE63" i="1" s="1"/>
  <c r="S64" i="1"/>
  <c r="AD64" i="1" s="1"/>
  <c r="T64" i="1"/>
  <c r="AE64" i="1" s="1"/>
  <c r="S65" i="1"/>
  <c r="AD65" i="1" s="1"/>
  <c r="T65" i="1"/>
  <c r="AE65" i="1" s="1"/>
  <c r="S66" i="1"/>
  <c r="AD66" i="1" s="1"/>
  <c r="T66" i="1"/>
  <c r="AE66" i="1" s="1"/>
  <c r="S67" i="1"/>
  <c r="AD67" i="1" s="1"/>
  <c r="T67" i="1"/>
  <c r="AE67" i="1" s="1"/>
  <c r="S68" i="1"/>
  <c r="AD68" i="1" s="1"/>
  <c r="T68" i="1"/>
  <c r="AE68" i="1" s="1"/>
  <c r="S69" i="1"/>
  <c r="AD69" i="1" s="1"/>
  <c r="T69" i="1"/>
  <c r="AE69" i="1" s="1"/>
  <c r="S70" i="1"/>
  <c r="AD70" i="1" s="1"/>
  <c r="T70" i="1"/>
  <c r="AE70" i="1" s="1"/>
  <c r="S71" i="1"/>
  <c r="AD71" i="1" s="1"/>
  <c r="T71" i="1"/>
  <c r="AE71" i="1" s="1"/>
  <c r="S72" i="1"/>
  <c r="AD72" i="1" s="1"/>
  <c r="T72" i="1"/>
  <c r="AE72" i="1" s="1"/>
  <c r="S73" i="1"/>
  <c r="AD73" i="1" s="1"/>
  <c r="T73" i="1"/>
  <c r="AE73" i="1" s="1"/>
  <c r="S74" i="1"/>
  <c r="AD74" i="1" s="1"/>
  <c r="T74" i="1"/>
  <c r="AE74" i="1" s="1"/>
  <c r="S75" i="1"/>
  <c r="AD75" i="1" s="1"/>
  <c r="T75" i="1"/>
  <c r="AE75" i="1" s="1"/>
  <c r="S76" i="1"/>
  <c r="AD76" i="1" s="1"/>
  <c r="T76" i="1"/>
  <c r="AE76" i="1" s="1"/>
  <c r="S77" i="1"/>
  <c r="AD77" i="1" s="1"/>
  <c r="T77" i="1"/>
  <c r="AE77" i="1" s="1"/>
  <c r="S78" i="1"/>
  <c r="AD78" i="1" s="1"/>
  <c r="T78" i="1"/>
  <c r="AE78" i="1" s="1"/>
  <c r="S79" i="1"/>
  <c r="AD79" i="1" s="1"/>
  <c r="T79" i="1"/>
  <c r="AE79" i="1" s="1"/>
  <c r="S80" i="1"/>
  <c r="AD80" i="1" s="1"/>
  <c r="T80" i="1"/>
  <c r="AE80" i="1" s="1"/>
  <c r="S81" i="1"/>
  <c r="AD81" i="1" s="1"/>
  <c r="T81" i="1"/>
  <c r="AE81" i="1" s="1"/>
  <c r="S82" i="1"/>
  <c r="AD82" i="1" s="1"/>
  <c r="T82" i="1"/>
  <c r="AE82" i="1" s="1"/>
  <c r="S83" i="1"/>
  <c r="AD83" i="1" s="1"/>
  <c r="T83" i="1"/>
  <c r="AE83" i="1" s="1"/>
  <c r="S84" i="1"/>
  <c r="AD84" i="1" s="1"/>
  <c r="T84" i="1"/>
  <c r="AE84" i="1" s="1"/>
  <c r="S85" i="1"/>
  <c r="AD85" i="1" s="1"/>
  <c r="T85" i="1"/>
  <c r="AE85" i="1" s="1"/>
  <c r="S88" i="1"/>
  <c r="AD88" i="1" s="1"/>
  <c r="T88" i="1"/>
  <c r="AE88" i="1" s="1"/>
  <c r="S89" i="1"/>
  <c r="AD89" i="1" s="1"/>
  <c r="T89" i="1"/>
  <c r="AE89" i="1" s="1"/>
  <c r="S90" i="1"/>
  <c r="AD90" i="1" s="1"/>
  <c r="T90" i="1"/>
  <c r="AE90" i="1" s="1"/>
  <c r="S91" i="1"/>
  <c r="AD91" i="1" s="1"/>
  <c r="T91" i="1"/>
  <c r="AE91" i="1" s="1"/>
  <c r="S92" i="1"/>
  <c r="AD92" i="1" s="1"/>
  <c r="T92" i="1"/>
  <c r="AE92" i="1" s="1"/>
  <c r="S93" i="1"/>
  <c r="AD93" i="1" s="1"/>
  <c r="T93" i="1"/>
  <c r="AE93" i="1" s="1"/>
  <c r="S94" i="1"/>
  <c r="AD94" i="1" s="1"/>
  <c r="T94" i="1"/>
  <c r="AE94" i="1" s="1"/>
  <c r="S95" i="1"/>
  <c r="AD95" i="1" s="1"/>
  <c r="T95" i="1"/>
  <c r="AE95" i="1" s="1"/>
  <c r="S96" i="1"/>
  <c r="AD96" i="1" s="1"/>
  <c r="T96" i="1"/>
  <c r="AE96" i="1" s="1"/>
  <c r="S97" i="1"/>
  <c r="AD97" i="1" s="1"/>
  <c r="T97" i="1"/>
  <c r="AE97" i="1" s="1"/>
  <c r="S98" i="1"/>
  <c r="AD98" i="1" s="1"/>
  <c r="T98" i="1"/>
  <c r="AE98" i="1" s="1"/>
  <c r="S99" i="1"/>
  <c r="AD99" i="1" s="1"/>
  <c r="T99" i="1"/>
  <c r="AE99" i="1" s="1"/>
  <c r="S100" i="1"/>
  <c r="AD100" i="1" s="1"/>
  <c r="T100" i="1"/>
  <c r="AE100" i="1" s="1"/>
  <c r="S101" i="1"/>
  <c r="AD101" i="1" s="1"/>
  <c r="T101" i="1"/>
  <c r="AE101" i="1" s="1"/>
  <c r="S102" i="1"/>
  <c r="AD102" i="1" s="1"/>
  <c r="T102" i="1"/>
  <c r="AE102" i="1" s="1"/>
  <c r="S103" i="1"/>
  <c r="AD103" i="1" s="1"/>
  <c r="T103" i="1"/>
  <c r="AE103" i="1" s="1"/>
  <c r="S104" i="1"/>
  <c r="AD104" i="1" s="1"/>
  <c r="T104" i="1"/>
  <c r="AE104" i="1" s="1"/>
  <c r="S106" i="1"/>
  <c r="AD106" i="1" s="1"/>
  <c r="T106" i="1"/>
  <c r="AE106" i="1" s="1"/>
  <c r="S107" i="1"/>
  <c r="AD107" i="1" s="1"/>
  <c r="T107" i="1"/>
  <c r="AE107" i="1" s="1"/>
  <c r="S109" i="1"/>
  <c r="AD109" i="1" s="1"/>
  <c r="T109" i="1"/>
  <c r="AE109" i="1" s="1"/>
  <c r="S110" i="1"/>
  <c r="AD110" i="1" s="1"/>
  <c r="T110" i="1"/>
  <c r="AE110" i="1" s="1"/>
  <c r="S111" i="1"/>
  <c r="AD111" i="1" s="1"/>
  <c r="T111" i="1"/>
  <c r="AE111" i="1" s="1"/>
  <c r="S112" i="1"/>
  <c r="AD112" i="1" s="1"/>
  <c r="T112" i="1"/>
  <c r="AE112" i="1" s="1"/>
  <c r="S113" i="1"/>
  <c r="AD113" i="1" s="1"/>
  <c r="T113" i="1"/>
  <c r="AE113" i="1" s="1"/>
  <c r="S114" i="1"/>
  <c r="AD114" i="1" s="1"/>
  <c r="T114" i="1"/>
  <c r="AE114" i="1" s="1"/>
  <c r="S115" i="1"/>
  <c r="AD115" i="1" s="1"/>
  <c r="T115" i="1"/>
  <c r="AE115" i="1" s="1"/>
  <c r="S116" i="1"/>
  <c r="AD116" i="1" s="1"/>
  <c r="T116" i="1"/>
  <c r="AE116" i="1" s="1"/>
  <c r="S117" i="1"/>
  <c r="AD117" i="1" s="1"/>
  <c r="T117" i="1"/>
  <c r="AE117" i="1" s="1"/>
  <c r="S118" i="1"/>
  <c r="AD118" i="1" s="1"/>
  <c r="T118" i="1"/>
  <c r="AE118" i="1" s="1"/>
  <c r="S119" i="1"/>
  <c r="AD119" i="1" s="1"/>
  <c r="T119" i="1"/>
  <c r="AE119" i="1" s="1"/>
  <c r="S120" i="1"/>
  <c r="AD120" i="1" s="1"/>
  <c r="T120" i="1"/>
  <c r="AE120" i="1" s="1"/>
  <c r="S121" i="1"/>
  <c r="AD121" i="1" s="1"/>
  <c r="T121" i="1"/>
  <c r="AE121" i="1" s="1"/>
  <c r="S122" i="1"/>
  <c r="AD122" i="1" s="1"/>
  <c r="T122" i="1"/>
  <c r="AE122" i="1" s="1"/>
  <c r="S123" i="1"/>
  <c r="AD123" i="1" s="1"/>
  <c r="T123" i="1"/>
  <c r="AE123" i="1" s="1"/>
  <c r="S124" i="1"/>
  <c r="AD124" i="1" s="1"/>
  <c r="T124" i="1"/>
  <c r="AE124" i="1" s="1"/>
  <c r="S125" i="1"/>
  <c r="AD125" i="1" s="1"/>
  <c r="T125" i="1"/>
  <c r="AE125" i="1" s="1"/>
  <c r="S126" i="1"/>
  <c r="AD126" i="1" s="1"/>
  <c r="T126" i="1"/>
  <c r="AE126" i="1" s="1"/>
  <c r="S127" i="1"/>
  <c r="AD127" i="1" s="1"/>
  <c r="T127" i="1"/>
  <c r="AE127" i="1" s="1"/>
  <c r="S128" i="1"/>
  <c r="AD128" i="1" s="1"/>
  <c r="T128" i="1"/>
  <c r="AE128" i="1" s="1"/>
  <c r="S129" i="1"/>
  <c r="AD129" i="1" s="1"/>
  <c r="T129" i="1"/>
  <c r="AE129" i="1" s="1"/>
  <c r="S130" i="1"/>
  <c r="AD130" i="1" s="1"/>
  <c r="T130" i="1"/>
  <c r="AE130" i="1" s="1"/>
  <c r="S131" i="1"/>
  <c r="AD131" i="1" s="1"/>
  <c r="T131" i="1"/>
  <c r="AE131" i="1" s="1"/>
  <c r="S132" i="1"/>
  <c r="AD132" i="1" s="1"/>
  <c r="T132" i="1"/>
  <c r="AE132" i="1" s="1"/>
  <c r="S133" i="1"/>
  <c r="AD133" i="1" s="1"/>
  <c r="T133" i="1"/>
  <c r="AE133" i="1" s="1"/>
  <c r="S134" i="1"/>
  <c r="AD134" i="1" s="1"/>
  <c r="T134" i="1"/>
  <c r="AE134" i="1" s="1"/>
  <c r="S135" i="1"/>
  <c r="AD135" i="1" s="1"/>
  <c r="T135" i="1"/>
  <c r="AE135" i="1" s="1"/>
  <c r="S136" i="1"/>
  <c r="AD136" i="1" s="1"/>
  <c r="T136" i="1"/>
  <c r="AE136" i="1" s="1"/>
  <c r="S137" i="1"/>
  <c r="AD137" i="1" s="1"/>
  <c r="T137" i="1"/>
  <c r="AE137" i="1" s="1"/>
  <c r="S138" i="1"/>
  <c r="AD138" i="1" s="1"/>
  <c r="T138" i="1"/>
  <c r="AE138" i="1" s="1"/>
  <c r="S139" i="1"/>
  <c r="AD139" i="1" s="1"/>
  <c r="T139" i="1"/>
  <c r="AE139" i="1" s="1"/>
  <c r="S140" i="1"/>
  <c r="AD140" i="1" s="1"/>
  <c r="T140" i="1"/>
  <c r="AE140" i="1" s="1"/>
  <c r="S141" i="1"/>
  <c r="AD141" i="1" s="1"/>
  <c r="T141" i="1"/>
  <c r="AE141" i="1" s="1"/>
  <c r="S142" i="1"/>
  <c r="AD142" i="1" s="1"/>
  <c r="T142" i="1"/>
  <c r="AE142" i="1" s="1"/>
  <c r="S143" i="1"/>
  <c r="AD143" i="1" s="1"/>
  <c r="T143" i="1"/>
  <c r="AE143" i="1" s="1"/>
  <c r="S144" i="1"/>
  <c r="AD144" i="1" s="1"/>
  <c r="T144" i="1"/>
  <c r="AE144" i="1" s="1"/>
  <c r="S145" i="1"/>
  <c r="AD145" i="1" s="1"/>
  <c r="T145" i="1"/>
  <c r="AE145" i="1" s="1"/>
  <c r="S146" i="1"/>
  <c r="AD146" i="1" s="1"/>
  <c r="T146" i="1"/>
  <c r="AE146" i="1" s="1"/>
  <c r="S148" i="1"/>
  <c r="AD148" i="1" s="1"/>
  <c r="T148" i="1"/>
  <c r="AE148" i="1" s="1"/>
  <c r="S149" i="1"/>
  <c r="AD149" i="1" s="1"/>
  <c r="T149" i="1"/>
  <c r="AE149" i="1" s="1"/>
  <c r="S150" i="1"/>
  <c r="AD150" i="1" s="1"/>
  <c r="T150" i="1"/>
  <c r="AE150" i="1" s="1"/>
  <c r="S151" i="1"/>
  <c r="AD151" i="1" s="1"/>
  <c r="T151" i="1"/>
  <c r="AE151" i="1" s="1"/>
  <c r="S152" i="1"/>
  <c r="AD152" i="1" s="1"/>
  <c r="T152" i="1"/>
  <c r="AE152" i="1" s="1"/>
  <c r="S153" i="1"/>
  <c r="AD153" i="1" s="1"/>
  <c r="T153" i="1"/>
  <c r="AE153" i="1" s="1"/>
  <c r="S154" i="1"/>
  <c r="AD154" i="1" s="1"/>
  <c r="T154" i="1"/>
  <c r="AE154" i="1" s="1"/>
  <c r="S155" i="1"/>
  <c r="AD155" i="1" s="1"/>
  <c r="T155" i="1"/>
  <c r="AE155" i="1" s="1"/>
  <c r="S156" i="1"/>
  <c r="AD156" i="1" s="1"/>
  <c r="T156" i="1"/>
  <c r="AE156" i="1" s="1"/>
  <c r="S157" i="1"/>
  <c r="AD157" i="1" s="1"/>
  <c r="T157" i="1"/>
  <c r="AE157" i="1" s="1"/>
  <c r="S158" i="1"/>
  <c r="AD158" i="1" s="1"/>
  <c r="T158" i="1"/>
  <c r="AE158" i="1" s="1"/>
  <c r="S159" i="1"/>
  <c r="AD159" i="1" s="1"/>
  <c r="T159" i="1"/>
  <c r="AE159" i="1" s="1"/>
  <c r="S160" i="1"/>
  <c r="AD160" i="1" s="1"/>
  <c r="T160" i="1"/>
  <c r="AE160" i="1" s="1"/>
  <c r="S161" i="1"/>
  <c r="AD161" i="1" s="1"/>
  <c r="T161" i="1"/>
  <c r="AE161" i="1" s="1"/>
  <c r="S162" i="1"/>
  <c r="AD162" i="1" s="1"/>
  <c r="T162" i="1"/>
  <c r="AE162" i="1" s="1"/>
  <c r="S166" i="1"/>
  <c r="AD166" i="1" s="1"/>
  <c r="T166" i="1"/>
  <c r="AE166" i="1" s="1"/>
  <c r="T2" i="1"/>
  <c r="AE2" i="1" s="1"/>
  <c r="Y21" i="1"/>
  <c r="Y40" i="1"/>
  <c r="Y56" i="1"/>
  <c r="Y135" i="1"/>
  <c r="Y143" i="1"/>
  <c r="H25" i="4"/>
  <c r="J25" i="4" s="1"/>
  <c r="G25" i="4"/>
  <c r="F25" i="4"/>
  <c r="Y5" i="1"/>
  <c r="G26" i="4" l="1"/>
  <c r="I25" i="4"/>
  <c r="I26" i="4" s="1"/>
  <c r="Y127" i="1"/>
  <c r="Y119" i="1"/>
  <c r="Y158" i="1"/>
  <c r="Y144" i="1"/>
  <c r="Y136" i="1"/>
  <c r="Y128" i="1"/>
  <c r="Y120" i="1"/>
  <c r="Y142" i="1"/>
  <c r="Y134" i="1"/>
  <c r="Y126" i="1"/>
  <c r="Y118" i="1"/>
  <c r="Y154" i="1"/>
  <c r="Y141" i="1"/>
  <c r="Y133" i="1"/>
  <c r="Y125" i="1"/>
  <c r="Y117" i="1"/>
  <c r="Y165" i="1"/>
  <c r="Y153" i="1"/>
  <c r="Y140" i="1"/>
  <c r="Y132" i="1"/>
  <c r="Y124" i="1"/>
  <c r="Y116" i="1"/>
  <c r="Y152" i="1"/>
  <c r="Y139" i="1"/>
  <c r="Y131" i="1"/>
  <c r="Y123" i="1"/>
  <c r="Y115" i="1"/>
  <c r="Y148" i="1"/>
  <c r="Y159" i="1"/>
  <c r="Y151" i="1"/>
  <c r="Y146" i="1"/>
  <c r="Y138" i="1"/>
  <c r="Y130" i="1"/>
  <c r="Y122" i="1"/>
  <c r="Y114" i="1"/>
  <c r="Y145" i="1"/>
  <c r="Y137" i="1"/>
  <c r="Y129" i="1"/>
  <c r="Y121" i="1"/>
  <c r="Y7" i="1"/>
  <c r="Y6" i="1"/>
  <c r="Y106" i="1"/>
  <c r="Y51" i="1"/>
  <c r="Y4" i="1"/>
  <c r="Y55" i="1"/>
  <c r="Y18" i="1"/>
  <c r="Y2" i="1"/>
  <c r="Y54" i="1"/>
  <c r="Y38" i="1"/>
  <c r="Y20" i="1"/>
  <c r="Y53" i="1"/>
  <c r="Y45" i="1"/>
  <c r="Y37" i="1"/>
  <c r="Y52" i="1"/>
  <c r="Y36" i="1"/>
  <c r="Y23" i="1"/>
  <c r="Y58" i="1"/>
  <c r="Y50" i="1"/>
  <c r="Y22" i="1"/>
  <c r="Y57" i="1"/>
  <c r="Y19" i="1"/>
  <c r="G27" i="4"/>
  <c r="F26" i="4"/>
  <c r="H26" i="4"/>
  <c r="J26" i="4" s="1"/>
  <c r="J27" i="4" l="1"/>
  <c r="I27" i="4"/>
  <c r="Y156" i="1"/>
  <c r="Y155" i="1"/>
  <c r="Y157" i="1"/>
  <c r="G28" i="4"/>
  <c r="F27" i="4"/>
  <c r="H27" i="4"/>
  <c r="J28" i="4" l="1"/>
  <c r="I28" i="4"/>
  <c r="Y164" i="1"/>
  <c r="H28" i="4"/>
  <c r="F28" i="4"/>
  <c r="G29" i="4"/>
  <c r="I29" i="4" l="1"/>
  <c r="Y149" i="1"/>
  <c r="Y109" i="1"/>
  <c r="Y150" i="1"/>
  <c r="F29" i="4"/>
  <c r="G30" i="4"/>
  <c r="H29" i="4"/>
  <c r="J29" i="4" s="1"/>
  <c r="I30" i="4" l="1"/>
  <c r="Y113" i="1"/>
  <c r="Y111" i="1"/>
  <c r="Y110" i="1"/>
  <c r="Y112" i="1"/>
  <c r="G31" i="4"/>
  <c r="F30" i="4"/>
  <c r="H30" i="4"/>
  <c r="J30" i="4" s="1"/>
  <c r="I31" i="4" l="1"/>
  <c r="F31" i="4"/>
  <c r="G32" i="4"/>
  <c r="H31" i="4"/>
  <c r="J31" i="4" s="1"/>
  <c r="I32" i="4" l="1"/>
  <c r="I33" i="4" s="1"/>
  <c r="H32" i="4"/>
  <c r="J32" i="4" s="1"/>
  <c r="F32" i="4"/>
  <c r="G33" i="4"/>
  <c r="J33" i="4" l="1"/>
  <c r="F33" i="4"/>
  <c r="H33" i="4"/>
  <c r="G34" i="4"/>
  <c r="I34" i="4" s="1"/>
  <c r="G35" i="4" l="1"/>
  <c r="I35" i="4" s="1"/>
  <c r="H34" i="4"/>
  <c r="J34" i="4" s="1"/>
  <c r="F34" i="4"/>
  <c r="F35" i="4" l="1"/>
  <c r="H35" i="4"/>
  <c r="J35" i="4" s="1"/>
  <c r="G36" i="4"/>
  <c r="I36" i="4" s="1"/>
  <c r="G37" i="4" l="1"/>
  <c r="I37" i="4" s="1"/>
  <c r="H36" i="4"/>
  <c r="J36" i="4" s="1"/>
  <c r="F36" i="4"/>
  <c r="H37" i="4" l="1"/>
  <c r="J37" i="4" s="1"/>
  <c r="G38" i="4"/>
  <c r="I38" i="4" s="1"/>
  <c r="F37" i="4"/>
  <c r="F38" i="4" l="1"/>
  <c r="G39" i="4"/>
  <c r="I39" i="4" s="1"/>
  <c r="H38" i="4"/>
  <c r="J38" i="4" s="1"/>
  <c r="H39" i="4" l="1"/>
  <c r="J39" i="4" s="1"/>
  <c r="G40" i="4"/>
  <c r="I40" i="4" s="1"/>
  <c r="F39" i="4"/>
  <c r="H40" i="4" l="1"/>
  <c r="J40" i="4" s="1"/>
  <c r="F40" i="4"/>
  <c r="G41" i="4"/>
  <c r="I41" i="4" s="1"/>
  <c r="F41" i="4" l="1"/>
  <c r="H41" i="4"/>
  <c r="J41" i="4" s="1"/>
  <c r="G42" i="4"/>
  <c r="I42" i="4" s="1"/>
  <c r="F42" i="4" l="1"/>
  <c r="C43" i="4"/>
  <c r="G43" i="4"/>
  <c r="I43" i="4" s="1"/>
  <c r="H42" i="4"/>
  <c r="J42" i="4" s="1"/>
  <c r="H43" i="4" l="1"/>
  <c r="J43" i="4" s="1"/>
  <c r="C44" i="4"/>
  <c r="G44" i="4"/>
  <c r="I44" i="4" s="1"/>
  <c r="D43" i="4"/>
  <c r="F43" i="4" s="1"/>
  <c r="Y8" i="1" l="1"/>
  <c r="H44" i="4"/>
  <c r="J44" i="4" s="1"/>
  <c r="D44" i="4"/>
  <c r="F44" i="4" s="1"/>
  <c r="G45" i="4"/>
  <c r="I45" i="4" s="1"/>
  <c r="C45" i="4"/>
  <c r="C46" i="4" l="1"/>
  <c r="Y13" i="1"/>
  <c r="G46" i="4"/>
  <c r="I46" i="4" s="1"/>
  <c r="H45" i="4"/>
  <c r="J45" i="4" s="1"/>
  <c r="D45" i="4"/>
  <c r="F45" i="4" s="1"/>
  <c r="H46" i="4" l="1"/>
  <c r="J46" i="4" s="1"/>
  <c r="D46" i="4"/>
  <c r="F46" i="4" s="1"/>
  <c r="C47" i="4"/>
  <c r="G47" i="4"/>
  <c r="I47" i="4" s="1"/>
  <c r="D47" i="4" l="1"/>
  <c r="F47" i="4" s="1"/>
  <c r="H47" i="4"/>
  <c r="J47" i="4" s="1"/>
  <c r="Y9" i="1" l="1"/>
  <c r="Y41" i="1"/>
  <c r="Y10" i="1"/>
  <c r="Y42" i="1"/>
  <c r="Y11" i="1"/>
  <c r="Y43" i="1"/>
  <c r="Y12" i="1"/>
  <c r="Y44" i="1"/>
  <c r="Y24" i="1"/>
  <c r="Y25" i="1"/>
  <c r="Y39" i="1"/>
  <c r="X165" i="1" l="1"/>
  <c r="Z165" i="1" s="1"/>
  <c r="X163" i="1"/>
  <c r="X158" i="1"/>
  <c r="Z158" i="1" s="1"/>
  <c r="X156" i="1"/>
  <c r="Z156" i="1" s="1"/>
  <c r="X96" i="1"/>
  <c r="X63" i="1"/>
  <c r="X94" i="1"/>
  <c r="X61" i="1"/>
  <c r="X88" i="1"/>
  <c r="X85" i="1"/>
  <c r="X79" i="1"/>
  <c r="X77" i="1"/>
  <c r="X104" i="1"/>
  <c r="X71" i="1"/>
  <c r="X102" i="1"/>
  <c r="X69" i="1"/>
  <c r="X5" i="1"/>
  <c r="Z5" i="1" s="1"/>
  <c r="X4" i="1"/>
  <c r="Z4" i="1" s="1"/>
  <c r="X51" i="1"/>
  <c r="Z51" i="1" s="1"/>
  <c r="X58" i="1"/>
  <c r="Z58" i="1" s="1"/>
  <c r="X148" i="1"/>
  <c r="Z148" i="1" s="1"/>
  <c r="X114" i="1"/>
  <c r="Z114" i="1" s="1"/>
  <c r="X157" i="1"/>
  <c r="Z157" i="1" s="1"/>
  <c r="X103" i="1"/>
  <c r="X95" i="1"/>
  <c r="X78" i="1"/>
  <c r="X70" i="1"/>
  <c r="X62" i="1"/>
  <c r="X7" i="1"/>
  <c r="Z7" i="1" s="1"/>
  <c r="X166" i="1"/>
  <c r="X155" i="1"/>
  <c r="Z155" i="1" s="1"/>
  <c r="X101" i="1"/>
  <c r="X93" i="1"/>
  <c r="X84" i="1"/>
  <c r="X76" i="1"/>
  <c r="X68" i="1"/>
  <c r="X60" i="1"/>
  <c r="X6" i="1"/>
  <c r="Z6" i="1" s="1"/>
  <c r="X162" i="1"/>
  <c r="X154" i="1"/>
  <c r="Z154" i="1" s="1"/>
  <c r="X150" i="1"/>
  <c r="Z150" i="1" s="1"/>
  <c r="X109" i="1"/>
  <c r="Z109" i="1" s="1"/>
  <c r="X100" i="1"/>
  <c r="X92" i="1"/>
  <c r="X83" i="1"/>
  <c r="X75" i="1"/>
  <c r="X67" i="1"/>
  <c r="X59" i="1"/>
  <c r="X161" i="1"/>
  <c r="X153" i="1"/>
  <c r="Z153" i="1" s="1"/>
  <c r="X149" i="1"/>
  <c r="Z149" i="1" s="1"/>
  <c r="X107" i="1"/>
  <c r="X99" i="1"/>
  <c r="X91" i="1"/>
  <c r="X82" i="1"/>
  <c r="X74" i="1"/>
  <c r="X66" i="1"/>
  <c r="X160" i="1"/>
  <c r="X152" i="1"/>
  <c r="Z152" i="1" s="1"/>
  <c r="X98" i="1"/>
  <c r="X90" i="1"/>
  <c r="X81" i="1"/>
  <c r="X73" i="1"/>
  <c r="X65" i="1"/>
  <c r="X159" i="1"/>
  <c r="Z159" i="1" s="1"/>
  <c r="X151" i="1"/>
  <c r="Z151" i="1" s="1"/>
  <c r="X97" i="1"/>
  <c r="X89" i="1"/>
  <c r="X80" i="1"/>
  <c r="X72" i="1"/>
  <c r="X64" i="1"/>
  <c r="X50" i="1"/>
  <c r="Z50" i="1" s="1"/>
  <c r="AF157" i="1" l="1"/>
  <c r="AF150" i="1"/>
  <c r="AF165" i="1"/>
  <c r="AF51" i="1"/>
  <c r="AF7" i="1"/>
  <c r="AF148" i="1"/>
  <c r="AF154" i="1"/>
  <c r="AF6" i="1"/>
  <c r="AF155" i="1"/>
  <c r="AF149" i="1"/>
  <c r="AF151" i="1"/>
  <c r="AF4" i="1"/>
  <c r="AF153" i="1"/>
  <c r="AF5" i="1"/>
  <c r="AF158" i="1"/>
  <c r="AF50" i="1"/>
  <c r="AF159" i="1"/>
  <c r="AF109" i="1"/>
  <c r="AF114" i="1"/>
  <c r="AF152" i="1"/>
  <c r="AF156" i="1"/>
  <c r="X164" i="1"/>
  <c r="Z164" i="1" s="1"/>
  <c r="AF58" i="1"/>
  <c r="X115" i="1"/>
  <c r="Z115" i="1" s="1"/>
  <c r="X116" i="1"/>
  <c r="Z116" i="1" s="1"/>
  <c r="X117" i="1"/>
  <c r="Z117" i="1" s="1"/>
  <c r="X118" i="1"/>
  <c r="Z118" i="1" s="1"/>
  <c r="X56" i="1"/>
  <c r="Z56" i="1" s="1"/>
  <c r="AF164" i="1" l="1"/>
  <c r="X110" i="1"/>
  <c r="Z110" i="1" s="1"/>
  <c r="X111" i="1"/>
  <c r="Z111" i="1" s="1"/>
  <c r="X113" i="1"/>
  <c r="Z113" i="1" s="1"/>
  <c r="X112" i="1"/>
  <c r="Z112" i="1" s="1"/>
  <c r="AF115" i="1"/>
  <c r="X122" i="1"/>
  <c r="Z122" i="1" s="1"/>
  <c r="X130" i="1"/>
  <c r="Z130" i="1" s="1"/>
  <c r="X138" i="1"/>
  <c r="Z138" i="1" s="1"/>
  <c r="X146" i="1"/>
  <c r="Z146" i="1" s="1"/>
  <c r="X143" i="1"/>
  <c r="Z143" i="1" s="1"/>
  <c r="X137" i="1"/>
  <c r="Z137" i="1" s="1"/>
  <c r="X123" i="1"/>
  <c r="Z123" i="1" s="1"/>
  <c r="X131" i="1"/>
  <c r="Z131" i="1" s="1"/>
  <c r="X139" i="1"/>
  <c r="Z139" i="1" s="1"/>
  <c r="X119" i="1"/>
  <c r="Z119" i="1" s="1"/>
  <c r="X124" i="1"/>
  <c r="Z124" i="1" s="1"/>
  <c r="X132" i="1"/>
  <c r="Z132" i="1" s="1"/>
  <c r="X140" i="1"/>
  <c r="Z140" i="1" s="1"/>
  <c r="X127" i="1"/>
  <c r="Z127" i="1" s="1"/>
  <c r="X145" i="1"/>
  <c r="Z145" i="1" s="1"/>
  <c r="X125" i="1"/>
  <c r="Z125" i="1" s="1"/>
  <c r="X133" i="1"/>
  <c r="Z133" i="1" s="1"/>
  <c r="X141" i="1"/>
  <c r="Z141" i="1" s="1"/>
  <c r="X135" i="1"/>
  <c r="Z135" i="1" s="1"/>
  <c r="X126" i="1"/>
  <c r="Z126" i="1" s="1"/>
  <c r="X134" i="1"/>
  <c r="Z134" i="1" s="1"/>
  <c r="X142" i="1"/>
  <c r="Z142" i="1" s="1"/>
  <c r="X120" i="1"/>
  <c r="Z120" i="1" s="1"/>
  <c r="X128" i="1"/>
  <c r="Z128" i="1" s="1"/>
  <c r="X136" i="1"/>
  <c r="Z136" i="1" s="1"/>
  <c r="X144" i="1"/>
  <c r="Z144" i="1" s="1"/>
  <c r="X121" i="1"/>
  <c r="Z121" i="1" s="1"/>
  <c r="X129" i="1"/>
  <c r="Z129" i="1" s="1"/>
  <c r="AF56" i="1"/>
  <c r="AF118" i="1"/>
  <c r="AF117" i="1"/>
  <c r="AF116" i="1"/>
  <c r="AF110" i="1" l="1"/>
  <c r="AF113" i="1"/>
  <c r="AF112" i="1"/>
  <c r="AF111" i="1"/>
  <c r="AF119" i="1"/>
  <c r="AF139" i="1"/>
  <c r="AF129" i="1"/>
  <c r="AF126" i="1"/>
  <c r="AF132" i="1"/>
  <c r="AF146" i="1"/>
  <c r="AF144" i="1"/>
  <c r="AF122" i="1"/>
  <c r="AF121" i="1"/>
  <c r="AF135" i="1"/>
  <c r="AF124" i="1"/>
  <c r="AF138" i="1"/>
  <c r="AF130" i="1"/>
  <c r="AF136" i="1"/>
  <c r="AF128" i="1"/>
  <c r="AF125" i="1"/>
  <c r="AF131" i="1"/>
  <c r="AF145" i="1"/>
  <c r="AF142" i="1"/>
  <c r="AF127" i="1"/>
  <c r="AF137" i="1"/>
  <c r="AF141" i="1"/>
  <c r="AF133" i="1"/>
  <c r="AF120" i="1"/>
  <c r="AF123" i="1"/>
  <c r="AF134" i="1"/>
  <c r="AF140" i="1"/>
  <c r="AF143" i="1"/>
  <c r="E2" i="4" l="1"/>
  <c r="E3" i="4" s="1"/>
  <c r="E4" i="4" s="1"/>
  <c r="E5" i="4" s="1"/>
  <c r="E6" i="4" s="1"/>
  <c r="E7" i="4" s="1"/>
  <c r="E8" i="4" s="1"/>
  <c r="E9" i="4" s="1"/>
  <c r="E10" i="4" s="1"/>
  <c r="Y161" i="1" l="1"/>
  <c r="Z161" i="1" s="1"/>
  <c r="Y163" i="1"/>
  <c r="Z163" i="1" s="1"/>
  <c r="E11" i="4"/>
  <c r="E12" i="4" s="1"/>
  <c r="E13" i="4" l="1"/>
  <c r="E14" i="4" s="1"/>
  <c r="Y102" i="1"/>
  <c r="Z102" i="1" s="1"/>
  <c r="Y160" i="1"/>
  <c r="Z160" i="1" s="1"/>
  <c r="AF163" i="1"/>
  <c r="AF161" i="1"/>
  <c r="AF160" i="1" l="1"/>
  <c r="AF102" i="1"/>
  <c r="Y92" i="1"/>
  <c r="Z92" i="1" s="1"/>
  <c r="Y59" i="1"/>
  <c r="Z59" i="1" s="1"/>
  <c r="Y71" i="1"/>
  <c r="Z71" i="1" s="1"/>
  <c r="Y73" i="1"/>
  <c r="Z73" i="1" s="1"/>
  <c r="Y90" i="1"/>
  <c r="Z90" i="1" s="1"/>
  <c r="Y69" i="1"/>
  <c r="Z69" i="1" s="1"/>
  <c r="Y80" i="1"/>
  <c r="Z80" i="1" s="1"/>
  <c r="Y107" i="1"/>
  <c r="Z107" i="1" s="1"/>
  <c r="Y60" i="1"/>
  <c r="Z60" i="1" s="1"/>
  <c r="Y76" i="1"/>
  <c r="Z76" i="1" s="1"/>
  <c r="Y64" i="1"/>
  <c r="Z64" i="1" s="1"/>
  <c r="Y104" i="1"/>
  <c r="Z104" i="1" s="1"/>
  <c r="Y100" i="1"/>
  <c r="Z100" i="1" s="1"/>
  <c r="Y97" i="1"/>
  <c r="Z97" i="1" s="1"/>
  <c r="Y77" i="1"/>
  <c r="Z77" i="1" s="1"/>
  <c r="Y98" i="1"/>
  <c r="Z98" i="1" s="1"/>
  <c r="Y66" i="1"/>
  <c r="Z66" i="1" s="1"/>
  <c r="Y65" i="1"/>
  <c r="Z65" i="1" s="1"/>
  <c r="Y89" i="1"/>
  <c r="Z89" i="1" s="1"/>
  <c r="Y96" i="1"/>
  <c r="Z96" i="1" s="1"/>
  <c r="Y78" i="1"/>
  <c r="Z78" i="1" s="1"/>
  <c r="E15" i="4"/>
  <c r="E16" i="4" s="1"/>
  <c r="E17" i="4" s="1"/>
  <c r="E18" i="4" s="1"/>
  <c r="Y93" i="1"/>
  <c r="Z93" i="1" s="1"/>
  <c r="Y72" i="1"/>
  <c r="Z72" i="1" s="1"/>
  <c r="Y95" i="1"/>
  <c r="Z95" i="1" s="1"/>
  <c r="Y99" i="1"/>
  <c r="Z99" i="1" s="1"/>
  <c r="Y85" i="1"/>
  <c r="Z85" i="1" s="1"/>
  <c r="Y101" i="1"/>
  <c r="Z101" i="1" s="1"/>
  <c r="Y81" i="1"/>
  <c r="Z81" i="1" s="1"/>
  <c r="Y91" i="1"/>
  <c r="Z91" i="1" s="1"/>
  <c r="Y70" i="1"/>
  <c r="Z70" i="1" s="1"/>
  <c r="Y79" i="1"/>
  <c r="Z79" i="1" s="1"/>
  <c r="Y62" i="1"/>
  <c r="Z62" i="1" s="1"/>
  <c r="Y88" i="1"/>
  <c r="Z88" i="1" s="1"/>
  <c r="Y162" i="1"/>
  <c r="Z162" i="1" s="1"/>
  <c r="Y67" i="1"/>
  <c r="Z67" i="1" s="1"/>
  <c r="Y75" i="1"/>
  <c r="Z75" i="1" s="1"/>
  <c r="Y94" i="1"/>
  <c r="Z94" i="1" s="1"/>
  <c r="Y68" i="1"/>
  <c r="Z68" i="1" s="1"/>
  <c r="Y63" i="1"/>
  <c r="Z63" i="1" s="1"/>
  <c r="Y74" i="1"/>
  <c r="Z74" i="1" s="1"/>
  <c r="Y61" i="1"/>
  <c r="Z61" i="1" s="1"/>
  <c r="AF94" i="1" l="1"/>
  <c r="AF91" i="1"/>
  <c r="AF93" i="1"/>
  <c r="AF77" i="1"/>
  <c r="AF107" i="1"/>
  <c r="AF75" i="1"/>
  <c r="AF81" i="1"/>
  <c r="Y166" i="1"/>
  <c r="Z166" i="1" s="1"/>
  <c r="E19" i="4"/>
  <c r="E20" i="4" s="1"/>
  <c r="E21" i="4" s="1"/>
  <c r="E22" i="4" s="1"/>
  <c r="AF97" i="1"/>
  <c r="AF80" i="1"/>
  <c r="AF67" i="1"/>
  <c r="AF78" i="1"/>
  <c r="AF100" i="1"/>
  <c r="AF69" i="1"/>
  <c r="AF162" i="1"/>
  <c r="AF101" i="1"/>
  <c r="AF96" i="1"/>
  <c r="AF104" i="1"/>
  <c r="AF90" i="1"/>
  <c r="AF61" i="1"/>
  <c r="AF88" i="1"/>
  <c r="AF85" i="1"/>
  <c r="AF89" i="1"/>
  <c r="AF73" i="1"/>
  <c r="AF74" i="1"/>
  <c r="AF62" i="1"/>
  <c r="AF99" i="1"/>
  <c r="AF65" i="1"/>
  <c r="AF64" i="1"/>
  <c r="AF71" i="1"/>
  <c r="AF63" i="1"/>
  <c r="AF79" i="1"/>
  <c r="AF95" i="1"/>
  <c r="AF66" i="1"/>
  <c r="AF76" i="1"/>
  <c r="AF59" i="1"/>
  <c r="AF68" i="1"/>
  <c r="AF70" i="1"/>
  <c r="AF72" i="1"/>
  <c r="AF98" i="1"/>
  <c r="AF60" i="1"/>
  <c r="AF92" i="1"/>
  <c r="Y82" i="1" l="1"/>
  <c r="Z82" i="1" s="1"/>
  <c r="Y83" i="1"/>
  <c r="Z83" i="1" s="1"/>
  <c r="Y103" i="1"/>
  <c r="Z103" i="1" s="1"/>
  <c r="Y84" i="1"/>
  <c r="Z84" i="1" s="1"/>
  <c r="E23" i="4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AF166" i="1"/>
  <c r="AF84" i="1" l="1"/>
  <c r="AF103" i="1"/>
  <c r="AF83" i="1"/>
  <c r="AF82" i="1"/>
  <c r="S10" i="1" l="1"/>
  <c r="AD10" i="1" s="1"/>
  <c r="L10" i="1"/>
  <c r="V10" i="1" s="1"/>
  <c r="C4" i="5" l="1"/>
  <c r="C2" i="5" l="1"/>
  <c r="D2" i="2"/>
  <c r="D3" i="2" s="1"/>
  <c r="D4" i="2" s="1"/>
  <c r="D5" i="2" s="1"/>
  <c r="X106" i="1" l="1"/>
  <c r="Z106" i="1" s="1"/>
  <c r="D6" i="2"/>
  <c r="D7" i="2" s="1"/>
  <c r="X52" i="1" l="1"/>
  <c r="Z52" i="1" s="1"/>
  <c r="D8" i="2"/>
  <c r="D9" i="2" s="1"/>
  <c r="AF106" i="1"/>
  <c r="D10" i="2" l="1"/>
  <c r="D11" i="2" s="1"/>
  <c r="D12" i="2" s="1"/>
  <c r="D13" i="2" s="1"/>
  <c r="D14" i="2" s="1"/>
  <c r="X22" i="1"/>
  <c r="Z22" i="1" s="1"/>
  <c r="X2" i="1"/>
  <c r="Z2" i="1" s="1"/>
  <c r="X23" i="1"/>
  <c r="Z23" i="1" s="1"/>
  <c r="AF52" i="1"/>
  <c r="AF23" i="1" l="1"/>
  <c r="AF2" i="1"/>
  <c r="AF22" i="1"/>
  <c r="D15" i="2"/>
  <c r="X57" i="1"/>
  <c r="Z57" i="1" s="1"/>
  <c r="AF57" i="1" l="1"/>
  <c r="X55" i="1"/>
  <c r="Z55" i="1" s="1"/>
  <c r="D16" i="2"/>
  <c r="D17" i="2" s="1"/>
  <c r="X47" i="1" l="1"/>
  <c r="Z47" i="1" s="1"/>
  <c r="X40" i="1"/>
  <c r="Z40" i="1" s="1"/>
  <c r="D18" i="2"/>
  <c r="D19" i="2" s="1"/>
  <c r="D20" i="2" s="1"/>
  <c r="X21" i="1"/>
  <c r="Z21" i="1" s="1"/>
  <c r="X46" i="1"/>
  <c r="Z46" i="1" s="1"/>
  <c r="X37" i="1"/>
  <c r="Z37" i="1" s="1"/>
  <c r="X49" i="1"/>
  <c r="Z49" i="1" s="1"/>
  <c r="AF55" i="1"/>
  <c r="AF49" i="1" l="1"/>
  <c r="AF46" i="1"/>
  <c r="AF21" i="1"/>
  <c r="X20" i="1"/>
  <c r="Z20" i="1" s="1"/>
  <c r="D21" i="2"/>
  <c r="D22" i="2" s="1"/>
  <c r="AF37" i="1"/>
  <c r="AF40" i="1"/>
  <c r="AF47" i="1"/>
  <c r="AF20" i="1" l="1"/>
  <c r="X18" i="1"/>
  <c r="Z18" i="1" s="1"/>
  <c r="X33" i="1"/>
  <c r="Z33" i="1" s="1"/>
  <c r="X35" i="1"/>
  <c r="Z35" i="1" s="1"/>
  <c r="X34" i="1"/>
  <c r="Z34" i="1" s="1"/>
  <c r="X53" i="1"/>
  <c r="Z53" i="1" s="1"/>
  <c r="X38" i="1"/>
  <c r="Z38" i="1" s="1"/>
  <c r="X45" i="1"/>
  <c r="Z45" i="1" s="1"/>
  <c r="X36" i="1"/>
  <c r="Z36" i="1" s="1"/>
  <c r="X19" i="1"/>
  <c r="Z19" i="1" s="1"/>
  <c r="X54" i="1"/>
  <c r="Z54" i="1" s="1"/>
  <c r="D23" i="2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AF34" i="1" l="1"/>
  <c r="AF18" i="1"/>
  <c r="X13" i="1"/>
  <c r="Z13" i="1" s="1"/>
  <c r="D46" i="2"/>
  <c r="D47" i="2" s="1"/>
  <c r="AF33" i="1"/>
  <c r="AF36" i="1"/>
  <c r="AF54" i="1"/>
  <c r="AF45" i="1"/>
  <c r="AF38" i="1"/>
  <c r="AF35" i="1"/>
  <c r="AF19" i="1"/>
  <c r="AF53" i="1"/>
  <c r="X15" i="1" l="1"/>
  <c r="Z15" i="1" s="1"/>
  <c r="X28" i="1"/>
  <c r="Z28" i="1" s="1"/>
  <c r="X31" i="1"/>
  <c r="Z31" i="1" s="1"/>
  <c r="X16" i="1"/>
  <c r="Z16" i="1" s="1"/>
  <c r="X3" i="1"/>
  <c r="Z3" i="1" s="1"/>
  <c r="X41" i="1"/>
  <c r="Z41" i="1" s="1"/>
  <c r="X44" i="1"/>
  <c r="Z44" i="1" s="1"/>
  <c r="X17" i="1"/>
  <c r="Z17" i="1" s="1"/>
  <c r="X10" i="1"/>
  <c r="Z10" i="1" s="1"/>
  <c r="X39" i="1"/>
  <c r="Z39" i="1" s="1"/>
  <c r="X9" i="1"/>
  <c r="Z9" i="1" s="1"/>
  <c r="X8" i="1"/>
  <c r="Z8" i="1" s="1"/>
  <c r="X29" i="1"/>
  <c r="Z29" i="1" s="1"/>
  <c r="X14" i="1"/>
  <c r="Z14" i="1" s="1"/>
  <c r="X42" i="1"/>
  <c r="Z42" i="1" s="1"/>
  <c r="X43" i="1"/>
  <c r="Z43" i="1" s="1"/>
  <c r="X25" i="1"/>
  <c r="Z25" i="1" s="1"/>
  <c r="X30" i="1"/>
  <c r="Z30" i="1" s="1"/>
  <c r="X26" i="1"/>
  <c r="Z26" i="1" s="1"/>
  <c r="X32" i="1"/>
  <c r="Z32" i="1" s="1"/>
  <c r="X24" i="1"/>
  <c r="Z24" i="1" s="1"/>
  <c r="X11" i="1"/>
  <c r="Z11" i="1" s="1"/>
  <c r="X12" i="1"/>
  <c r="Z12" i="1" s="1"/>
  <c r="X27" i="1"/>
  <c r="Z27" i="1" s="1"/>
  <c r="AF13" i="1"/>
  <c r="AA12" i="1" l="1"/>
  <c r="AA14" i="1"/>
  <c r="AA3" i="1"/>
  <c r="AA22" i="1"/>
  <c r="AA168" i="1"/>
  <c r="AA152" i="1"/>
  <c r="AA150" i="1"/>
  <c r="AA165" i="1"/>
  <c r="AA118" i="1"/>
  <c r="AA111" i="1"/>
  <c r="AA123" i="1"/>
  <c r="AA130" i="1"/>
  <c r="AA112" i="1"/>
  <c r="AA80" i="1"/>
  <c r="AA99" i="1"/>
  <c r="AA65" i="1"/>
  <c r="AA66" i="1"/>
  <c r="AA60" i="1"/>
  <c r="AA83" i="1"/>
  <c r="AA63" i="1"/>
  <c r="AA84" i="1"/>
  <c r="AA149" i="1"/>
  <c r="AA115" i="1"/>
  <c r="AA128" i="1"/>
  <c r="AA74" i="1"/>
  <c r="AA101" i="1"/>
  <c r="AA52" i="1"/>
  <c r="AA164" i="1"/>
  <c r="AA143" i="1"/>
  <c r="AA77" i="1"/>
  <c r="AA23" i="1"/>
  <c r="AA167" i="1"/>
  <c r="AA50" i="1"/>
  <c r="AA148" i="1"/>
  <c r="AA155" i="1"/>
  <c r="AA140" i="1"/>
  <c r="AA110" i="1"/>
  <c r="AA131" i="1"/>
  <c r="AA122" i="1"/>
  <c r="AA163" i="1"/>
  <c r="AA69" i="1"/>
  <c r="AA62" i="1"/>
  <c r="AA95" i="1"/>
  <c r="AA70" i="1"/>
  <c r="AA170" i="1"/>
  <c r="AA116" i="1"/>
  <c r="AA126" i="1"/>
  <c r="AA102" i="1"/>
  <c r="AA71" i="1"/>
  <c r="AA75" i="1"/>
  <c r="AA106" i="1"/>
  <c r="AA105" i="1"/>
  <c r="AA132" i="1"/>
  <c r="AA120" i="1"/>
  <c r="AA61" i="1"/>
  <c r="AA92" i="1"/>
  <c r="AA151" i="1"/>
  <c r="AA138" i="1"/>
  <c r="AA59" i="1"/>
  <c r="AA2" i="1"/>
  <c r="AA169" i="1"/>
  <c r="AA6" i="1"/>
  <c r="AA158" i="1"/>
  <c r="AA153" i="1"/>
  <c r="AA144" i="1"/>
  <c r="AA141" i="1"/>
  <c r="AA135" i="1"/>
  <c r="AA129" i="1"/>
  <c r="AA161" i="1"/>
  <c r="AA90" i="1"/>
  <c r="AA104" i="1"/>
  <c r="AA64" i="1"/>
  <c r="AA68" i="1"/>
  <c r="AA94" i="1"/>
  <c r="AA82" i="1"/>
  <c r="AA147" i="1"/>
  <c r="AA114" i="1"/>
  <c r="AA5" i="1"/>
  <c r="AA134" i="1"/>
  <c r="AA133" i="1"/>
  <c r="AA136" i="1"/>
  <c r="AA89" i="1"/>
  <c r="AA79" i="1"/>
  <c r="AA81" i="1"/>
  <c r="AA108" i="1"/>
  <c r="AA58" i="1"/>
  <c r="AA139" i="1"/>
  <c r="AA160" i="1"/>
  <c r="AA72" i="1"/>
  <c r="AA4" i="1"/>
  <c r="AA145" i="1"/>
  <c r="AA73" i="1"/>
  <c r="AA103" i="1"/>
  <c r="AA48" i="1"/>
  <c r="AA157" i="1"/>
  <c r="AA159" i="1"/>
  <c r="AA109" i="1"/>
  <c r="AA117" i="1"/>
  <c r="AA127" i="1"/>
  <c r="AA119" i="1"/>
  <c r="AA125" i="1"/>
  <c r="AA137" i="1"/>
  <c r="AA67" i="1"/>
  <c r="AA107" i="1"/>
  <c r="AA93" i="1"/>
  <c r="AA91" i="1"/>
  <c r="AA85" i="1"/>
  <c r="AA96" i="1"/>
  <c r="AA87" i="1"/>
  <c r="AA156" i="1"/>
  <c r="AA7" i="1"/>
  <c r="AA154" i="1"/>
  <c r="AA56" i="1"/>
  <c r="AA113" i="1"/>
  <c r="AA142" i="1"/>
  <c r="AA124" i="1"/>
  <c r="AA146" i="1"/>
  <c r="AA88" i="1"/>
  <c r="AA162" i="1"/>
  <c r="AA78" i="1"/>
  <c r="AA97" i="1"/>
  <c r="AA100" i="1"/>
  <c r="AA166" i="1"/>
  <c r="AA86" i="1"/>
  <c r="AA51" i="1"/>
  <c r="AA121" i="1"/>
  <c r="AA98" i="1"/>
  <c r="AA76" i="1"/>
  <c r="AA57" i="1"/>
  <c r="AA55" i="1"/>
  <c r="AA46" i="1"/>
  <c r="AA37" i="1"/>
  <c r="AA47" i="1"/>
  <c r="AA21" i="1"/>
  <c r="AA49" i="1"/>
  <c r="AA40" i="1"/>
  <c r="AA20" i="1"/>
  <c r="AA34" i="1"/>
  <c r="AA19" i="1"/>
  <c r="AA18" i="1"/>
  <c r="AA53" i="1"/>
  <c r="AA33" i="1"/>
  <c r="AA45" i="1"/>
  <c r="AA38" i="1"/>
  <c r="AA36" i="1"/>
  <c r="AA35" i="1"/>
  <c r="AA54" i="1"/>
  <c r="AA26" i="1"/>
  <c r="AA9" i="1"/>
  <c r="AA31" i="1"/>
  <c r="AA11" i="1"/>
  <c r="AA29" i="1"/>
  <c r="AA8" i="1"/>
  <c r="AA30" i="1"/>
  <c r="AA39" i="1"/>
  <c r="AA28" i="1"/>
  <c r="AA42" i="1"/>
  <c r="AA41" i="1"/>
  <c r="AA32" i="1"/>
  <c r="AA25" i="1"/>
  <c r="AA10" i="1"/>
  <c r="AA15" i="1"/>
  <c r="AA44" i="1"/>
  <c r="AA24" i="1"/>
  <c r="AA16" i="1"/>
  <c r="AA27" i="1"/>
  <c r="AA43" i="1"/>
  <c r="AA17" i="1"/>
  <c r="AA13" i="1"/>
  <c r="AF44" i="1"/>
  <c r="AF32" i="1"/>
  <c r="AF29" i="1"/>
  <c r="AF41" i="1"/>
  <c r="AF11" i="1"/>
  <c r="AF26" i="1"/>
  <c r="AF3" i="1"/>
  <c r="AF42" i="1"/>
  <c r="AF8" i="1"/>
  <c r="AF16" i="1"/>
  <c r="AF14" i="1"/>
  <c r="AF30" i="1"/>
  <c r="AF9" i="1"/>
  <c r="AF31" i="1"/>
  <c r="AF24" i="1"/>
  <c r="AF27" i="1"/>
  <c r="AF25" i="1"/>
  <c r="AF39" i="1"/>
  <c r="AF28" i="1"/>
  <c r="AF17" i="1"/>
  <c r="AF12" i="1"/>
  <c r="AF43" i="1"/>
  <c r="AF10" i="1"/>
  <c r="AF15" i="1"/>
  <c r="N18" i="5" l="1"/>
  <c r="N19" i="5"/>
  <c r="J23" i="5"/>
  <c r="H5" i="5" s="1"/>
  <c r="K23" i="5"/>
  <c r="H6" i="5" s="1"/>
  <c r="J6" i="5" s="1"/>
  <c r="L23" i="5"/>
  <c r="H9" i="5" s="1"/>
  <c r="N21" i="5"/>
  <c r="M23" i="5"/>
  <c r="H10" i="5" s="1"/>
  <c r="J10" i="5" s="1"/>
  <c r="N23" i="5" l="1"/>
  <c r="H8" i="5"/>
  <c r="J9" i="5"/>
  <c r="H4" i="5"/>
  <c r="J4" i="5" s="1"/>
  <c r="J5" i="5"/>
  <c r="J24" i="5"/>
  <c r="H2" i="5" l="1"/>
  <c r="J2" i="5" s="1"/>
  <c r="J8" i="5"/>
  <c r="G16" i="5"/>
  <c r="G20" i="5" s="1"/>
  <c r="AB120" i="1" l="1"/>
  <c r="AG120" i="1"/>
  <c r="AC120" i="1"/>
  <c r="AG16" i="1"/>
  <c r="AC16" i="1"/>
  <c r="AB16" i="1"/>
  <c r="AB132" i="1"/>
  <c r="AG132" i="1"/>
  <c r="AC132" i="1"/>
  <c r="AC61" i="1"/>
  <c r="AB61" i="1"/>
  <c r="AG61" i="1"/>
  <c r="AG42" i="1"/>
  <c r="AB42" i="1"/>
  <c r="AC42" i="1"/>
  <c r="AC121" i="1"/>
  <c r="AG121" i="1"/>
  <c r="AB121" i="1"/>
  <c r="AC124" i="1"/>
  <c r="AB124" i="1"/>
  <c r="AG124" i="1"/>
  <c r="AG28" i="1"/>
  <c r="AC28" i="1"/>
  <c r="AB28" i="1"/>
  <c r="AC157" i="1"/>
  <c r="AB157" i="1"/>
  <c r="AG157" i="1"/>
  <c r="AB102" i="1"/>
  <c r="AC102" i="1"/>
  <c r="AG102" i="1"/>
  <c r="AC36" i="1"/>
  <c r="AB36" i="1"/>
  <c r="AG36" i="1"/>
  <c r="AC87" i="1"/>
  <c r="AB87" i="1"/>
  <c r="AG87" i="1"/>
  <c r="AC131" i="1"/>
  <c r="AB131" i="1"/>
  <c r="AG131" i="1"/>
  <c r="AG39" i="1"/>
  <c r="AB39" i="1"/>
  <c r="AC39" i="1"/>
  <c r="AB158" i="1"/>
  <c r="AG158" i="1"/>
  <c r="AC158" i="1"/>
  <c r="AC104" i="1"/>
  <c r="AG104" i="1"/>
  <c r="AB104" i="1"/>
  <c r="AG33" i="1"/>
  <c r="AB33" i="1"/>
  <c r="AC33" i="1"/>
  <c r="AG168" i="1"/>
  <c r="AB168" i="1"/>
  <c r="AC168" i="1"/>
  <c r="AG68" i="1"/>
  <c r="AB68" i="1"/>
  <c r="AC68" i="1"/>
  <c r="AG25" i="1"/>
  <c r="AB25" i="1"/>
  <c r="AC25" i="1"/>
  <c r="AC89" i="1"/>
  <c r="AB89" i="1"/>
  <c r="AG89" i="1"/>
  <c r="AB125" i="1"/>
  <c r="AG125" i="1"/>
  <c r="AC125" i="1"/>
  <c r="AC45" i="1"/>
  <c r="AG45" i="1"/>
  <c r="AB45" i="1"/>
  <c r="AB135" i="1"/>
  <c r="AC135" i="1"/>
  <c r="AG135" i="1"/>
  <c r="AB67" i="1"/>
  <c r="AG67" i="1"/>
  <c r="AC67" i="1"/>
  <c r="AC144" i="1"/>
  <c r="AG144" i="1"/>
  <c r="AB144" i="1"/>
  <c r="AG4" i="1"/>
  <c r="AB4" i="1"/>
  <c r="AC4" i="1"/>
  <c r="AG8" i="1"/>
  <c r="AC8" i="1"/>
  <c r="AB8" i="1"/>
  <c r="AC93" i="1"/>
  <c r="AG93" i="1"/>
  <c r="AB93" i="1"/>
  <c r="AC34" i="1"/>
  <c r="AG34" i="1"/>
  <c r="AB34" i="1"/>
  <c r="AG119" i="1"/>
  <c r="AB119" i="1"/>
  <c r="AC119" i="1"/>
  <c r="AB78" i="1"/>
  <c r="AC78" i="1"/>
  <c r="AG78" i="1"/>
  <c r="AG31" i="1"/>
  <c r="AC31" i="1"/>
  <c r="AB31" i="1"/>
  <c r="AB118" i="1"/>
  <c r="AC118" i="1"/>
  <c r="AG118" i="1"/>
  <c r="AB96" i="1"/>
  <c r="AG96" i="1"/>
  <c r="AC96" i="1"/>
  <c r="AG47" i="1"/>
  <c r="AC47" i="1"/>
  <c r="AB47" i="1"/>
  <c r="AB97" i="1"/>
  <c r="AC97" i="1"/>
  <c r="AG97" i="1"/>
  <c r="AC72" i="1"/>
  <c r="AB72" i="1"/>
  <c r="AG72" i="1"/>
  <c r="AG9" i="1"/>
  <c r="AC9" i="1"/>
  <c r="AB9" i="1"/>
  <c r="AC63" i="1"/>
  <c r="AG63" i="1"/>
  <c r="AB63" i="1"/>
  <c r="AG113" i="1"/>
  <c r="AB113" i="1"/>
  <c r="AC113" i="1"/>
  <c r="AG37" i="1"/>
  <c r="AC37" i="1"/>
  <c r="AB37" i="1"/>
  <c r="AG145" i="1"/>
  <c r="AB145" i="1"/>
  <c r="AC145" i="1"/>
  <c r="AB58" i="1"/>
  <c r="AG58" i="1"/>
  <c r="AC58" i="1"/>
  <c r="AG90" i="1"/>
  <c r="AB90" i="1"/>
  <c r="AC90" i="1"/>
  <c r="AB154" i="1"/>
  <c r="AC154" i="1"/>
  <c r="AG154" i="1"/>
  <c r="AG109" i="1"/>
  <c r="AC109" i="1"/>
  <c r="AB109" i="1"/>
  <c r="AG5" i="1"/>
  <c r="AC5" i="1"/>
  <c r="AB5" i="1"/>
  <c r="AG49" i="1"/>
  <c r="AB49" i="1"/>
  <c r="AC49" i="1"/>
  <c r="AG146" i="1"/>
  <c r="AC146" i="1"/>
  <c r="AB146" i="1"/>
  <c r="AG52" i="1"/>
  <c r="AB52" i="1"/>
  <c r="AC52" i="1"/>
  <c r="AG35" i="1"/>
  <c r="AB35" i="1"/>
  <c r="AC35" i="1"/>
  <c r="AG167" i="1"/>
  <c r="AC167" i="1"/>
  <c r="AB167" i="1"/>
  <c r="AC156" i="1"/>
  <c r="AB156" i="1"/>
  <c r="AG156" i="1"/>
  <c r="AG55" i="1"/>
  <c r="AC55" i="1"/>
  <c r="AB55" i="1"/>
  <c r="AC153" i="1"/>
  <c r="AB153" i="1"/>
  <c r="AG153" i="1"/>
  <c r="AG3" i="1"/>
  <c r="AC3" i="1"/>
  <c r="AB3" i="1"/>
  <c r="AC18" i="1"/>
  <c r="AB18" i="1"/>
  <c r="AG18" i="1"/>
  <c r="AB169" i="1"/>
  <c r="AC169" i="1"/>
  <c r="AG169" i="1"/>
  <c r="AB2" i="1"/>
  <c r="AC2" i="1"/>
  <c r="AG2" i="1"/>
  <c r="AG79" i="1"/>
  <c r="AB79" i="1"/>
  <c r="AC79" i="1"/>
  <c r="AC117" i="1"/>
  <c r="AG117" i="1"/>
  <c r="AB117" i="1"/>
  <c r="AG26" i="1"/>
  <c r="AB26" i="1"/>
  <c r="AC26" i="1"/>
  <c r="AG53" i="1"/>
  <c r="AB53" i="1"/>
  <c r="AC53" i="1"/>
  <c r="AC86" i="1"/>
  <c r="AG86" i="1"/>
  <c r="AB86" i="1"/>
  <c r="AB159" i="1"/>
  <c r="AC159" i="1"/>
  <c r="AG159" i="1"/>
  <c r="AB6" i="1"/>
  <c r="AG6" i="1"/>
  <c r="AC6" i="1"/>
  <c r="AC56" i="1"/>
  <c r="AG56" i="1"/>
  <c r="AB56" i="1"/>
  <c r="AG11" i="1"/>
  <c r="AC11" i="1"/>
  <c r="AB11" i="1"/>
  <c r="AB106" i="1"/>
  <c r="AC106" i="1"/>
  <c r="AG106" i="1"/>
  <c r="AG43" i="1"/>
  <c r="AC43" i="1"/>
  <c r="AB43" i="1"/>
  <c r="AG12" i="1"/>
  <c r="AB12" i="1"/>
  <c r="AC12" i="1"/>
  <c r="AG23" i="1"/>
  <c r="AB23" i="1"/>
  <c r="AC23" i="1"/>
  <c r="AG30" i="1"/>
  <c r="AC30" i="1"/>
  <c r="AB30" i="1"/>
  <c r="AG165" i="1"/>
  <c r="AB165" i="1"/>
  <c r="AC165" i="1"/>
  <c r="AC91" i="1"/>
  <c r="AB91" i="1"/>
  <c r="AG91" i="1"/>
  <c r="AG41" i="1"/>
  <c r="AB41" i="1"/>
  <c r="AC41" i="1"/>
  <c r="AB54" i="1"/>
  <c r="AC54" i="1"/>
  <c r="AG54" i="1"/>
  <c r="AC84" i="1"/>
  <c r="AG84" i="1"/>
  <c r="AB84" i="1"/>
  <c r="AC107" i="1"/>
  <c r="AB107" i="1"/>
  <c r="AG107" i="1"/>
  <c r="AB81" i="1"/>
  <c r="AG81" i="1"/>
  <c r="AC81" i="1"/>
  <c r="AC70" i="1"/>
  <c r="AB70" i="1"/>
  <c r="AG70" i="1"/>
  <c r="AG29" i="1"/>
  <c r="AC29" i="1"/>
  <c r="AB29" i="1"/>
  <c r="AG20" i="1"/>
  <c r="AB20" i="1"/>
  <c r="AC20" i="1"/>
  <c r="AG108" i="1"/>
  <c r="AB108" i="1"/>
  <c r="AC108" i="1"/>
  <c r="AC100" i="1"/>
  <c r="AB100" i="1"/>
  <c r="AG100" i="1"/>
  <c r="AB7" i="1"/>
  <c r="AC7" i="1"/>
  <c r="AG7" i="1"/>
  <c r="AG59" i="1"/>
  <c r="AC59" i="1"/>
  <c r="AB59" i="1"/>
  <c r="AG32" i="1"/>
  <c r="AC32" i="1"/>
  <c r="AB32" i="1"/>
  <c r="AG46" i="1"/>
  <c r="AB46" i="1"/>
  <c r="AC46" i="1"/>
  <c r="AC151" i="1"/>
  <c r="AG151" i="1"/>
  <c r="AB151" i="1"/>
  <c r="AC101" i="1"/>
  <c r="AB101" i="1"/>
  <c r="AG101" i="1"/>
  <c r="AB64" i="1"/>
  <c r="AG64" i="1"/>
  <c r="AC64" i="1"/>
  <c r="AG65" i="1"/>
  <c r="AC65" i="1"/>
  <c r="AB65" i="1"/>
  <c r="AG44" i="1"/>
  <c r="AB44" i="1"/>
  <c r="AC44" i="1"/>
  <c r="AG13" i="1"/>
  <c r="AB13" i="1"/>
  <c r="AC13" i="1"/>
  <c r="AG163" i="1"/>
  <c r="AB163" i="1"/>
  <c r="AC163" i="1"/>
  <c r="AB77" i="1"/>
  <c r="AG77" i="1"/>
  <c r="AC77" i="1"/>
  <c r="AC48" i="1"/>
  <c r="AG48" i="1"/>
  <c r="AB48" i="1"/>
  <c r="AB105" i="1"/>
  <c r="AC105" i="1"/>
  <c r="AG105" i="1"/>
  <c r="AC76" i="1"/>
  <c r="AB76" i="1"/>
  <c r="AG76" i="1"/>
  <c r="AC134" i="1"/>
  <c r="AG134" i="1"/>
  <c r="AB134" i="1"/>
  <c r="AG15" i="1"/>
  <c r="AB15" i="1"/>
  <c r="AC15" i="1"/>
  <c r="AC21" i="1"/>
  <c r="AG21" i="1"/>
  <c r="AB21" i="1"/>
  <c r="AB140" i="1"/>
  <c r="AG140" i="1"/>
  <c r="AC140" i="1"/>
  <c r="AG27" i="1"/>
  <c r="AB27" i="1"/>
  <c r="AC27" i="1"/>
  <c r="AC98" i="1"/>
  <c r="AB98" i="1"/>
  <c r="AG98" i="1"/>
  <c r="AC74" i="1"/>
  <c r="AB74" i="1"/>
  <c r="AG74" i="1"/>
  <c r="AG17" i="1"/>
  <c r="AC17" i="1"/>
  <c r="AB17" i="1"/>
  <c r="AG57" i="1"/>
  <c r="AC57" i="1"/>
  <c r="AB57" i="1"/>
  <c r="AG83" i="1"/>
  <c r="AC83" i="1"/>
  <c r="AB83" i="1"/>
  <c r="AG40" i="1"/>
  <c r="AB40" i="1"/>
  <c r="AC40" i="1"/>
  <c r="AG148" i="1"/>
  <c r="AB148" i="1"/>
  <c r="AC148" i="1"/>
  <c r="AG114" i="1"/>
  <c r="AC114" i="1"/>
  <c r="AB114" i="1"/>
  <c r="AC88" i="1"/>
  <c r="AG88" i="1"/>
  <c r="AB88" i="1"/>
  <c r="AC50" i="1"/>
  <c r="AB50" i="1"/>
  <c r="AG50" i="1"/>
  <c r="AC162" i="1"/>
  <c r="AB162" i="1"/>
  <c r="AG162" i="1"/>
  <c r="AG19" i="1"/>
  <c r="AB19" i="1"/>
  <c r="AC19" i="1"/>
  <c r="AC112" i="1"/>
  <c r="AB112" i="1"/>
  <c r="AG112" i="1"/>
  <c r="AG71" i="1"/>
  <c r="AC71" i="1"/>
  <c r="AB71" i="1"/>
  <c r="AG14" i="1"/>
  <c r="AC14" i="1"/>
  <c r="AB14" i="1"/>
  <c r="AC142" i="1"/>
  <c r="AB142" i="1"/>
  <c r="AG142" i="1"/>
  <c r="AC38" i="1"/>
  <c r="AG38" i="1"/>
  <c r="AB38" i="1"/>
  <c r="AC99" i="1"/>
  <c r="AG99" i="1"/>
  <c r="AB99" i="1"/>
  <c r="AB141" i="1"/>
  <c r="AC141" i="1"/>
  <c r="AG141" i="1"/>
  <c r="AG137" i="1"/>
  <c r="AB137" i="1"/>
  <c r="AC137" i="1"/>
  <c r="AG170" i="1"/>
  <c r="AB170" i="1"/>
  <c r="AC170" i="1"/>
  <c r="AB69" i="1"/>
  <c r="AG69" i="1"/>
  <c r="AC69" i="1"/>
  <c r="AC139" i="1"/>
  <c r="AB139" i="1"/>
  <c r="AG139" i="1"/>
  <c r="AB110" i="1"/>
  <c r="AC110" i="1"/>
  <c r="AG110" i="1"/>
  <c r="AC130" i="1"/>
  <c r="AB130" i="1"/>
  <c r="AG130" i="1"/>
  <c r="AC129" i="1"/>
  <c r="AG129" i="1"/>
  <c r="AB129" i="1"/>
  <c r="AG143" i="1"/>
  <c r="AB143" i="1"/>
  <c r="AC143" i="1"/>
  <c r="AB116" i="1"/>
  <c r="AG116" i="1"/>
  <c r="AC116" i="1"/>
  <c r="AG123" i="1"/>
  <c r="AC123" i="1"/>
  <c r="AB123" i="1"/>
  <c r="AC85" i="1"/>
  <c r="AG85" i="1"/>
  <c r="AB85" i="1"/>
  <c r="AB82" i="1"/>
  <c r="AG82" i="1"/>
  <c r="AC82" i="1"/>
  <c r="AC136" i="1"/>
  <c r="AB136" i="1"/>
  <c r="AG136" i="1"/>
  <c r="AB138" i="1"/>
  <c r="AC138" i="1"/>
  <c r="AG138" i="1"/>
  <c r="AG155" i="1"/>
  <c r="AB155" i="1"/>
  <c r="AC155" i="1"/>
  <c r="AG111" i="1"/>
  <c r="AC111" i="1"/>
  <c r="AB111" i="1"/>
  <c r="AB160" i="1"/>
  <c r="AG160" i="1"/>
  <c r="AC160" i="1"/>
  <c r="AG62" i="1"/>
  <c r="AB62" i="1"/>
  <c r="AC62" i="1"/>
  <c r="AG115" i="1"/>
  <c r="AC115" i="1"/>
  <c r="AB115" i="1"/>
  <c r="AB95" i="1"/>
  <c r="AC95" i="1"/>
  <c r="AG95" i="1"/>
  <c r="AG66" i="1"/>
  <c r="AC66" i="1"/>
  <c r="AB66" i="1"/>
  <c r="AC75" i="1"/>
  <c r="AG75" i="1"/>
  <c r="AB75" i="1"/>
  <c r="AG24" i="1"/>
  <c r="AB24" i="1"/>
  <c r="AC24" i="1"/>
  <c r="AG10" i="1"/>
  <c r="AB10" i="1"/>
  <c r="AC10" i="1"/>
  <c r="AC122" i="1"/>
  <c r="AB122" i="1"/>
  <c r="AG122" i="1"/>
  <c r="AB133" i="1"/>
  <c r="AC133" i="1"/>
  <c r="AG133" i="1"/>
  <c r="AG166" i="1"/>
  <c r="AB166" i="1"/>
  <c r="AC166" i="1"/>
  <c r="AB126" i="1"/>
  <c r="AC126" i="1"/>
  <c r="AG126" i="1"/>
  <c r="AG94" i="1"/>
  <c r="AC94" i="1"/>
  <c r="AB94" i="1"/>
  <c r="AC60" i="1"/>
  <c r="AG60" i="1"/>
  <c r="AB60" i="1"/>
  <c r="AG103" i="1"/>
  <c r="AB103" i="1"/>
  <c r="AC103" i="1"/>
  <c r="AG127" i="1"/>
  <c r="AB127" i="1"/>
  <c r="AC127" i="1"/>
  <c r="AC80" i="1"/>
  <c r="AG80" i="1"/>
  <c r="AB80" i="1"/>
  <c r="AC150" i="1"/>
  <c r="AB150" i="1"/>
  <c r="AG150" i="1"/>
  <c r="AG22" i="1"/>
  <c r="AB22" i="1"/>
  <c r="AC22" i="1"/>
  <c r="AC161" i="1"/>
  <c r="AB161" i="1"/>
  <c r="AG161" i="1"/>
  <c r="AG73" i="1"/>
  <c r="AB73" i="1"/>
  <c r="AC73" i="1"/>
  <c r="AB128" i="1"/>
  <c r="AC128" i="1"/>
  <c r="AG128" i="1"/>
  <c r="AG51" i="1"/>
  <c r="AB51" i="1"/>
  <c r="AC51" i="1"/>
  <c r="AB164" i="1"/>
  <c r="AC164" i="1"/>
  <c r="AG164" i="1"/>
  <c r="AB147" i="1"/>
  <c r="AC147" i="1"/>
  <c r="AG147" i="1"/>
  <c r="AB149" i="1"/>
  <c r="AG149" i="1"/>
  <c r="AC149" i="1"/>
  <c r="AG152" i="1"/>
  <c r="AB152" i="1"/>
  <c r="AC152" i="1"/>
  <c r="AB92" i="1"/>
  <c r="AG92" i="1"/>
  <c r="AC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tc={3A7BBBF7-CC50-4AD4-B3EC-AE662732991D}</author>
  </authors>
  <commentList>
    <comment ref="L1" authorId="0" shapeId="0" xr:uid="{3A7BBBF7-CC50-4AD4-B3EC-AE662732991D}">
      <text>
        <t>[Threaded comment]
Your version of Excel allows you to read this threaded comment; however, any edits to it will get removed if the file is opened in a newer version of Excel. Learn more: https://go.microsoft.com/fwlink/?linkid=870924
Comment:
    Each one is the product of a constant and the kWh savings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jp4047</author>
    <author>Avista Corp Employee</author>
  </authors>
  <commentList>
    <comment ref="K28" authorId="0" shapeId="0" xr:uid="{5B993105-907F-4378-A462-C30754E541ED}">
      <text>
        <r>
          <rPr>
            <sz val="9"/>
            <color indexed="81"/>
            <rFont val="Tahoma"/>
            <family val="2"/>
          </rPr>
          <t xml:space="preserve">For consumption greater than 500 therms per year.
</t>
        </r>
      </text>
    </comment>
    <comment ref="J30" authorId="1" shapeId="0" xr:uid="{DA7347D0-8155-44F4-A829-1C7FE8BE3153}">
      <text>
        <r>
          <rPr>
            <sz val="8"/>
            <color indexed="81"/>
            <rFont val="Tahoma"/>
            <family val="2"/>
          </rPr>
          <t xml:space="preserve">This rate does not qualify for gas DSM.  The rate is included only to recognize interactive effects on electric DSM projects.
</t>
        </r>
      </text>
    </comment>
    <comment ref="J31" authorId="1" shapeId="0" xr:uid="{5A2314FA-6011-4FF9-A5A1-05718F1174FD}">
      <text>
        <r>
          <rPr>
            <sz val="8"/>
            <color indexed="81"/>
            <rFont val="Tahoma"/>
            <family val="2"/>
          </rPr>
          <t xml:space="preserve">This rate does not qualify for gas DSM.  The rate is included only to recognize interactive effects on electric DSM projects.
</t>
        </r>
      </text>
    </comment>
    <comment ref="K31" authorId="0" shapeId="0" xr:uid="{EBF4447A-2D37-4957-83C1-1EC5E597BDC6}">
      <text>
        <r>
          <rPr>
            <sz val="9"/>
            <color indexed="81"/>
            <rFont val="Tahoma"/>
            <family val="2"/>
          </rPr>
          <t xml:space="preserve">The shortcuts listed on 1/2/15 (and effective 1/1/15) didn't list anything beyond the $200 monthly charge.  This may have been an omission in the shortcut sheet.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tc={1B7388A6-9079-4166-9BB6-062A3F45E79D}</author>
  </authors>
  <commentList>
    <comment ref="D17" authorId="0" shapeId="0" xr:uid="{1B7388A6-9079-4166-9BB6-062A3F45E79D}">
      <text>
        <t>[Threaded comment]
Your version of Excel allows you to read this threaded comment; however, any edits to it will get removed if the file is opened in a newer version of Excel. Learn more: https://go.microsoft.com/fwlink/?linkid=870924
Comment:
    I think this has to be $2 million flat per the CEIP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<sst xmlns="http://schemas.openxmlformats.org/spreadsheetml/2006/main" count="1848" uniqueCount="485">
  <si>
    <t>Elec Measure Type</t>
  </si>
  <si>
    <t>Therm Savings Type</t>
  </si>
  <si>
    <t>Customer Incremental Cost</t>
  </si>
  <si>
    <t>Y1 KWh Savings</t>
  </si>
  <si>
    <t>Y1 Therm Savings</t>
  </si>
  <si>
    <t>Measure Life</t>
  </si>
  <si>
    <t>Total Incentive</t>
  </si>
  <si>
    <t>Y1 PV NEIs</t>
  </si>
  <si>
    <t>Recurring NEIs</t>
  </si>
  <si>
    <t>UOM</t>
  </si>
  <si>
    <t>Savings Source</t>
  </si>
  <si>
    <t>Third Party Costs</t>
  </si>
  <si>
    <t>Res Space Heat</t>
  </si>
  <si>
    <t>Unit</t>
  </si>
  <si>
    <t>ResConnectedTstats_v3_1</t>
  </si>
  <si>
    <t>ResMHNewHomesHVAC_v5_1</t>
  </si>
  <si>
    <t>Res Refrigeration</t>
  </si>
  <si>
    <t>ResRefrigeratorsAndFreezers_v6_1</t>
  </si>
  <si>
    <t>Res Washer Dryer</t>
  </si>
  <si>
    <t>ResClothesWashers_v8_1</t>
  </si>
  <si>
    <t>ResClothesDryer_v5_1</t>
  </si>
  <si>
    <t>SQFT</t>
  </si>
  <si>
    <t>Measure Description</t>
  </si>
  <si>
    <t>Est Units</t>
  </si>
  <si>
    <t>Smart Thermostats - DIY</t>
  </si>
  <si>
    <t>Energy Star Homes - Manufactured, Electric, Dual Fuel</t>
  </si>
  <si>
    <t>Standard Size Refrigerator and Refrigerator-Freezer - Side-mounted Freezer - Energy Star</t>
  </si>
  <si>
    <t>Standard Size Freezer - Upright - Energy Star</t>
  </si>
  <si>
    <t>Energy Star Washer</t>
  </si>
  <si>
    <t>Energy Star Dryer</t>
  </si>
  <si>
    <t>Insulated Door R2.5-R5 HZ2 Zonal (ENERGY STAR Rated or Insulated R5)</t>
  </si>
  <si>
    <t>Wall Insulation</t>
  </si>
  <si>
    <t>Attic &lt;R11-R49/R38</t>
  </si>
  <si>
    <t>Floor &lt;R11-R19</t>
  </si>
  <si>
    <t>Floor &lt;R11 to R30</t>
  </si>
  <si>
    <t>NEEM Certified Home</t>
  </si>
  <si>
    <t>Windows</t>
  </si>
  <si>
    <t>Windows - DIY</t>
  </si>
  <si>
    <t>Storm Windows</t>
  </si>
  <si>
    <t>Storm Windows - DIY</t>
  </si>
  <si>
    <t>Sub-Sector</t>
  </si>
  <si>
    <t>Residential</t>
  </si>
  <si>
    <t>Duct Sealing - MH_AnyHZ_ElectricHVAC</t>
  </si>
  <si>
    <t>ResDuctSealingMH_v4_1</t>
  </si>
  <si>
    <t>Line Voltage Communicating Thermostat</t>
  </si>
  <si>
    <t>ResElectronicLineVoltageTStats_v5_3</t>
  </si>
  <si>
    <t>Smart Thermostats - Contractor Installed</t>
  </si>
  <si>
    <t>Airsource Heat Pump</t>
  </si>
  <si>
    <t>NonRes Water Heating</t>
  </si>
  <si>
    <t>Sq Ft</t>
  </si>
  <si>
    <t>Floor R0-R19</t>
  </si>
  <si>
    <t>Floor R0 to R30</t>
  </si>
  <si>
    <t>Multi-Family Weatherization</t>
  </si>
  <si>
    <t>Air Infiltration - Electric</t>
  </si>
  <si>
    <t>Avista</t>
  </si>
  <si>
    <t>Energy Star Rated Refrigerator</t>
  </si>
  <si>
    <t>Attic Insulation</t>
  </si>
  <si>
    <t>Duct Insulation</t>
  </si>
  <si>
    <t>Floor Insulation</t>
  </si>
  <si>
    <t>Duct Sealing</t>
  </si>
  <si>
    <t>Ductless Heat Pump (single Head) (w FAF)</t>
  </si>
  <si>
    <t>Ductless Heat Pump (single head) (displace zonal)</t>
  </si>
  <si>
    <t>Tier2-3 HPWH</t>
  </si>
  <si>
    <t>Res Water Heating</t>
  </si>
  <si>
    <t>Conversion to Airsource Heat Pump</t>
  </si>
  <si>
    <t>HHS</t>
  </si>
  <si>
    <t>Res Misc</t>
  </si>
  <si>
    <t>Outreach LEDs</t>
  </si>
  <si>
    <t>Res Lighting</t>
  </si>
  <si>
    <t>DoorSweep - CFM50 reduction - Leave Behind</t>
  </si>
  <si>
    <t>Low Income</t>
  </si>
  <si>
    <t>Sector</t>
  </si>
  <si>
    <t>Heat Pump Water Heaters</t>
  </si>
  <si>
    <t>Residential Midstream</t>
  </si>
  <si>
    <t>Named Community Projects</t>
  </si>
  <si>
    <t>On Bill Repayment</t>
  </si>
  <si>
    <t>unit</t>
  </si>
  <si>
    <t>On-Bill Repayment</t>
  </si>
  <si>
    <t>Non-Residential</t>
  </si>
  <si>
    <t>NCIF</t>
  </si>
  <si>
    <t>NonRes Interior Lighting</t>
  </si>
  <si>
    <t>Interior Lighting</t>
  </si>
  <si>
    <t>NonRes Exterior Lighting</t>
  </si>
  <si>
    <t>Sign Lighting</t>
  </si>
  <si>
    <t>Exterior Lighting</t>
  </si>
  <si>
    <t>Home Energy Audit</t>
  </si>
  <si>
    <t>Direct Install Lighting</t>
  </si>
  <si>
    <t>Site Specific</t>
  </si>
  <si>
    <t>Less than R11 attic insulation (E/E) to R30-R44 Attic Insulation</t>
  </si>
  <si>
    <t>NonRes Space Heating</t>
  </si>
  <si>
    <t>Less than R11 roof insulation (E/E) to R30+ Roof Insulation</t>
  </si>
  <si>
    <t>Less than R4 wall insulation (E/E) to R11-R18 Wall Insulation</t>
  </si>
  <si>
    <t>Less than R4 wall insulation (E/E) to R19+ Wall Insulation</t>
  </si>
  <si>
    <t>Non-Residential Shell</t>
  </si>
  <si>
    <t>Green Motors Program Rewind:  Motor size 15HP, Industrial</t>
  </si>
  <si>
    <t>NonRes Motors</t>
  </si>
  <si>
    <t>Ind_and_AG_GreenMotorRewind_v5_2</t>
  </si>
  <si>
    <t>Green Motors Program Rewind:  Motor size 25HP, Industrial</t>
  </si>
  <si>
    <t>Green Motors Program Rewind:  Motor size 30HP, Industrial</t>
  </si>
  <si>
    <t>Green Motors Program Rewind:  Motor size 40HP, Industrial</t>
  </si>
  <si>
    <t>Green Motors Program Rewind:  Motor size 50HP, Industrial</t>
  </si>
  <si>
    <t>Green Motors Program Rewind:  Motor size 60HP, Industrial</t>
  </si>
  <si>
    <t>Green Motors Program Rewind:  Motor size 75HP, Industrial</t>
  </si>
  <si>
    <t>Green Motors Program Rewind:  Motor size 100HP, Industrial</t>
  </si>
  <si>
    <t>Green Motors Program Rewind:  Motor size 125HP, Industrial</t>
  </si>
  <si>
    <t>Green Motors Program Rewind:  Motor size 150HP, Industrial</t>
  </si>
  <si>
    <t>Green Motors Program Rewind:  Motor size 200HP, Industrial</t>
  </si>
  <si>
    <t>Green Motors Program Rewind:  Motor size 250HP, Industrial</t>
  </si>
  <si>
    <t>Green Motors Program Rewind:  Motor size 300HP, Industrial</t>
  </si>
  <si>
    <t>Green Motors Program Rewind:  Motor size 350HP, Industrial</t>
  </si>
  <si>
    <t>Green Motors Program Rewind:  Motor size 400HP, Industrial</t>
  </si>
  <si>
    <t>Green Motors Program Rewind:  Motor size 450HP, Industrial</t>
  </si>
  <si>
    <t>Green Motors Program Rewind:  Motor size 500HP, Industrial</t>
  </si>
  <si>
    <t>Green Motors Program Rewind:  Motor size 600HP, Industrial</t>
  </si>
  <si>
    <t>Green Motors Program Rewind:  Motor size 700HP, Industrial</t>
  </si>
  <si>
    <t>Green Motors Program Rewind:  Motor size 800HP, Industrial</t>
  </si>
  <si>
    <t>Green Motors Program Rewind:  Motor size 900HP, Industrial</t>
  </si>
  <si>
    <t>Green Motors Program Rewind:  Motor size 1000HP, Industrial</t>
  </si>
  <si>
    <t>Green Motors Program Rewind:  Motor size 1250HP, Industrial</t>
  </si>
  <si>
    <t>Green Motors Program Rewind:  Motor size 1500HP, Industrial</t>
  </si>
  <si>
    <t>Green Motors Program Rewind:  Motor size 1750HP, Industrial</t>
  </si>
  <si>
    <t>Green Motors Program Rewind:  Motor size 2000HP, Industrial</t>
  </si>
  <si>
    <t>Green Motors Program Rewind:  Motor size 2250HP, Industrial</t>
  </si>
  <si>
    <t>Green Motors Program Rewind:  Motor size 2500HP, Industrial</t>
  </si>
  <si>
    <t>Green Motors Program Rewind:  Motor size 3000HP, Industrial</t>
  </si>
  <si>
    <t>Green Motors Program Rewind:  Motor size 3500HP, Industrial</t>
  </si>
  <si>
    <t>Green Motors Program Rewind:  Motor size 4000HP, Industrial</t>
  </si>
  <si>
    <t>Green Motors Program Rewind:  Motor size 4500HP, Industrial</t>
  </si>
  <si>
    <t>Green Motors Program Rewind:  Motor size 5000HP, Industrial</t>
  </si>
  <si>
    <t>Green Motors</t>
  </si>
  <si>
    <t>Compressed Air</t>
  </si>
  <si>
    <t>NonRes Compressed Air</t>
  </si>
  <si>
    <t>Prescriptive VFDs - HVAC Cooling Pump</t>
  </si>
  <si>
    <t>NonRes Ventilation</t>
  </si>
  <si>
    <t>Prescriptive VFDS - HVAC Heating Pump or combo</t>
  </si>
  <si>
    <t>Variable Frequency Drive</t>
  </si>
  <si>
    <t>nongrocery_HZ2_resistanceheat_yescooling_Installation and initial programming</t>
  </si>
  <si>
    <t>nongrocery_HZ2_heatpumpheat_yescooling_Installation and initial programming</t>
  </si>
  <si>
    <t>nongrocery_HZ2_resistanceheat_nocooling_Installation and initial programming</t>
  </si>
  <si>
    <t>nongrocery_HZ2_heatpumpheat_nocooling_Installation and initial programming</t>
  </si>
  <si>
    <t>Multi-family_Electric Dryer_Electric Hot Water_Front-load_ENERGY STAR</t>
  </si>
  <si>
    <t>Multi-family_Electric Dryer_Gas Hot Water_Front-load_ENERGY STAR</t>
  </si>
  <si>
    <t>Multi-family_Any Dryer and Hot Water Fuels_Front-load_ENERGY STAR</t>
  </si>
  <si>
    <t>NonRes Misc</t>
  </si>
  <si>
    <t>ComConnectedThermostas_v2.1</t>
  </si>
  <si>
    <t>ComClothesWashers_v7_1</t>
  </si>
  <si>
    <t>Appliance</t>
  </si>
  <si>
    <t>Pay for Performance</t>
  </si>
  <si>
    <t>Edo Estimate</t>
  </si>
  <si>
    <t>Active Energy Management</t>
  </si>
  <si>
    <t>Clean Buildings Accelerator</t>
  </si>
  <si>
    <t>Non-Residential Midstream</t>
  </si>
  <si>
    <t>Recurring NEI Constant</t>
  </si>
  <si>
    <t>Res Winter</t>
  </si>
  <si>
    <t>Res Annual</t>
  </si>
  <si>
    <t>Com Winter</t>
  </si>
  <si>
    <t>Com Annual</t>
  </si>
  <si>
    <t>Year</t>
  </si>
  <si>
    <t>RSH Ref</t>
  </si>
  <si>
    <t>RAC Ref</t>
  </si>
  <si>
    <t>Res AC</t>
  </si>
  <si>
    <t>RL Ref</t>
  </si>
  <si>
    <t>RR Ref</t>
  </si>
  <si>
    <t>RWH Ref</t>
  </si>
  <si>
    <t>RDW Ref</t>
  </si>
  <si>
    <t>Res Dishwasher</t>
  </si>
  <si>
    <t>RWD Ref</t>
  </si>
  <si>
    <t>RM Ref</t>
  </si>
  <si>
    <t>RFF Ref</t>
  </si>
  <si>
    <t>Res Furnace Fan</t>
  </si>
  <si>
    <t>NCA Ref</t>
  </si>
  <si>
    <t>NC Ref</t>
  </si>
  <si>
    <t>NonRes Cooking</t>
  </si>
  <si>
    <t>NSC Ref</t>
  </si>
  <si>
    <t>NonRes Space Cooling</t>
  </si>
  <si>
    <t>NEL Ref</t>
  </si>
  <si>
    <t>NSH Ref</t>
  </si>
  <si>
    <t>NWH Ref</t>
  </si>
  <si>
    <t>NIL Ref</t>
  </si>
  <si>
    <t>NM Ref</t>
  </si>
  <si>
    <t>Nmotor Ref</t>
  </si>
  <si>
    <t>NOE Ref</t>
  </si>
  <si>
    <t>NonRes Office Equipment</t>
  </si>
  <si>
    <t>Npro Ref</t>
  </si>
  <si>
    <t>NonRes Process</t>
  </si>
  <si>
    <t>NRef Ref</t>
  </si>
  <si>
    <t>NonRes Refrigeration</t>
  </si>
  <si>
    <t>NV Ref</t>
  </si>
  <si>
    <t>Row Labels</t>
  </si>
  <si>
    <t>Grand Total</t>
  </si>
  <si>
    <t>Workbooks Used</t>
  </si>
  <si>
    <t>Workbooks Used - By Sector</t>
  </si>
  <si>
    <t>Elec AC Constant</t>
  </si>
  <si>
    <t>Gas AC Constant</t>
  </si>
  <si>
    <t>Com Ann</t>
  </si>
  <si>
    <t>Com Win</t>
  </si>
  <si>
    <t>Res Ann</t>
  </si>
  <si>
    <t>Res Win</t>
  </si>
  <si>
    <t>Total AC</t>
  </si>
  <si>
    <t>NIUC</t>
  </si>
  <si>
    <t>Total kWh</t>
  </si>
  <si>
    <t>Total Therms</t>
  </si>
  <si>
    <t>Sub TRC</t>
  </si>
  <si>
    <t>Sub UCT</t>
  </si>
  <si>
    <t>Total CIC</t>
  </si>
  <si>
    <t>Total NEI</t>
  </si>
  <si>
    <t>Electric Discount Rate</t>
  </si>
  <si>
    <t>Gas Discount Rate</t>
  </si>
  <si>
    <t>Electric Savings Total</t>
  </si>
  <si>
    <t>Gas Savings Total</t>
  </si>
  <si>
    <t>Energy Savings Total</t>
  </si>
  <si>
    <t>PCT Electric Constant</t>
  </si>
  <si>
    <t xml:space="preserve"> </t>
  </si>
  <si>
    <t>WA</t>
  </si>
  <si>
    <t>ID</t>
  </si>
  <si>
    <t>SCH</t>
  </si>
  <si>
    <t>kWh</t>
  </si>
  <si>
    <t>kW</t>
  </si>
  <si>
    <t>1 T1</t>
  </si>
  <si>
    <t>11 T1</t>
  </si>
  <si>
    <t>11 T2</t>
  </si>
  <si>
    <t>12 T1</t>
  </si>
  <si>
    <t>12 T2</t>
  </si>
  <si>
    <t>21 T1</t>
  </si>
  <si>
    <t>21 T2</t>
  </si>
  <si>
    <t>22 T1</t>
  </si>
  <si>
    <t>22 T2</t>
  </si>
  <si>
    <t>25 T1</t>
  </si>
  <si>
    <t>25 T2</t>
  </si>
  <si>
    <t>25CWP</t>
  </si>
  <si>
    <t>30 T1</t>
  </si>
  <si>
    <t>31 T1</t>
  </si>
  <si>
    <t>32 T1</t>
  </si>
  <si>
    <t>99 T1</t>
  </si>
  <si>
    <t xml:space="preserve"> WA </t>
  </si>
  <si>
    <t xml:space="preserve"> ID </t>
  </si>
  <si>
    <t xml:space="preserve"> Therm </t>
  </si>
  <si>
    <t>101 T1</t>
  </si>
  <si>
    <t>111 T1</t>
  </si>
  <si>
    <t>112 T1</t>
  </si>
  <si>
    <t>121 T1</t>
  </si>
  <si>
    <t>rate discontinued</t>
  </si>
  <si>
    <t>122 T1</t>
  </si>
  <si>
    <t>131 T1</t>
  </si>
  <si>
    <t>132 T1</t>
  </si>
  <si>
    <t>146 T1</t>
  </si>
  <si>
    <t>148 T1</t>
  </si>
  <si>
    <t>199 T1</t>
  </si>
  <si>
    <t>PCT Gas Constant</t>
  </si>
  <si>
    <t>Total Budget</t>
  </si>
  <si>
    <t>TRC</t>
  </si>
  <si>
    <t>UCT</t>
  </si>
  <si>
    <t>PCT</t>
  </si>
  <si>
    <t>RIM</t>
  </si>
  <si>
    <t>Programs</t>
  </si>
  <si>
    <t>Total Program Incentive</t>
  </si>
  <si>
    <t>Total Program CIC</t>
  </si>
  <si>
    <t>Total NIUC</t>
  </si>
  <si>
    <t>Total Program NEI</t>
  </si>
  <si>
    <t>Total Program AC</t>
  </si>
  <si>
    <t>Total Energy Savings</t>
  </si>
  <si>
    <t>Total Program Budget</t>
  </si>
  <si>
    <t>Total</t>
  </si>
  <si>
    <t>Total kWh Savings</t>
  </si>
  <si>
    <t>Total Therms Savings</t>
  </si>
  <si>
    <t>Incentive</t>
  </si>
  <si>
    <t>Program Total kWh</t>
  </si>
  <si>
    <t>Program Total Therms</t>
  </si>
  <si>
    <t>Program Total AC</t>
  </si>
  <si>
    <t>Program Total NEI</t>
  </si>
  <si>
    <t>Program Total Incentive</t>
  </si>
  <si>
    <t>Units</t>
  </si>
  <si>
    <t>Year 1 KWh Savings</t>
  </si>
  <si>
    <t>Year 1 Therm Savings</t>
  </si>
  <si>
    <t>Customer Incremental Cost (CIC)</t>
  </si>
  <si>
    <t>Incentive ($)</t>
  </si>
  <si>
    <t>Program NIUC</t>
  </si>
  <si>
    <t>Program Total Budget</t>
  </si>
  <si>
    <t>Total Therms - Summary</t>
  </si>
  <si>
    <t>Program Budget - Summary</t>
  </si>
  <si>
    <t>Total kWh - Summary</t>
  </si>
  <si>
    <t>Incentive Spend</t>
  </si>
  <si>
    <t>Admin Costs plus 3rd-Party</t>
  </si>
  <si>
    <t>Split Unitary Equipment</t>
  </si>
  <si>
    <t>Convection Oven</t>
  </si>
  <si>
    <t>Dishwasher</t>
  </si>
  <si>
    <t>Ice Machine</t>
  </si>
  <si>
    <t>Mini/Multi Split</t>
  </si>
  <si>
    <t>Packaged Unitary Equipment</t>
  </si>
  <si>
    <t>Water Source Heat Pump</t>
  </si>
  <si>
    <t>NEEA</t>
  </si>
  <si>
    <t>Washington (70%)</t>
  </si>
  <si>
    <t>Electric (90%)</t>
  </si>
  <si>
    <t>Gas (10%)</t>
  </si>
  <si>
    <t>Idaho (30%)</t>
  </si>
  <si>
    <t>Spend</t>
  </si>
  <si>
    <t>Total (W/O LI)</t>
  </si>
  <si>
    <t>Labor Costs</t>
  </si>
  <si>
    <t>Marketing and Outreach</t>
  </si>
  <si>
    <t>Third Party Implimentation</t>
  </si>
  <si>
    <t>Pilot Programs</t>
  </si>
  <si>
    <t>EM&amp;V/CPA</t>
  </si>
  <si>
    <t>Last Updated</t>
  </si>
  <si>
    <t>2023 Evaluation Results</t>
  </si>
  <si>
    <t>N/A</t>
  </si>
  <si>
    <t>RTF Workbook Row Name</t>
  </si>
  <si>
    <t>DoorSweep - CFM50 reduction - Heating Zone 2/3 (Zonal or DHP) - Leave Behind</t>
  </si>
  <si>
    <t>ResDoorSweep_v2_1</t>
  </si>
  <si>
    <t>ResSFWx_v6_2</t>
  </si>
  <si>
    <t>Single Family Weatherization - Insulate Attic - R11 to R49 - Heating Zone 2/3 (Zonal or DHP)</t>
  </si>
  <si>
    <t>Sliding Glass Door</t>
  </si>
  <si>
    <t>Sliding Glass Door - DIY</t>
  </si>
  <si>
    <t>Building Operator Certification</t>
  </si>
  <si>
    <t>https://www.theboc.info/why-boc/energy-savings-evaluation-reports/</t>
  </si>
  <si>
    <t>T12/T8 (2') Lamp to 1-Lamp less than 13 watt T8 TLED</t>
  </si>
  <si>
    <t>T12/T8 (3') Lamp to 1-Lamp less than 17 watt T8 TLED</t>
  </si>
  <si>
    <t>T12/T8 (4') Lamp to 1-Lamp less than 23 watt T8 TLED</t>
  </si>
  <si>
    <t>T12/T8 Eight-Foot to LED</t>
  </si>
  <si>
    <t>T12/T8 U-Bend to less than 23 watt T8 LED</t>
  </si>
  <si>
    <t>T5 Lamp to 1-Lamp less than 18 watt T5 TLED</t>
  </si>
  <si>
    <t>T5HO Lamp to 1-Lamp less than 29 watt T5HO TLED</t>
  </si>
  <si>
    <t>TLED (4') Lamp to TLED (4') Lamp with 5 watt or more reduction</t>
  </si>
  <si>
    <t>TLED (4') Lamp to TLED (4') Lamp with 3-4 watt reduction</t>
  </si>
  <si>
    <t>Four Pin Base CFL to 17 watt or less Plug in LED</t>
  </si>
  <si>
    <t>20-50 watt MR16 to MR16 LED 2-9 watt</t>
  </si>
  <si>
    <t>2-Lamp T12/T8 Fixture to LED Qualified 1x4 Fixture</t>
  </si>
  <si>
    <t>2-Lamp T12/T8 Fixture to LED Qualified 2x2 Fixture</t>
  </si>
  <si>
    <t>2, 3, 4-Lamp T12/T8 Fixture to LED Qualified 2x4 Fixture</t>
  </si>
  <si>
    <t>T12/T8 8' Fixture to 90 watt or less 8' LED fixture</t>
  </si>
  <si>
    <t>T5HO (4') 4-Lamp to 135 watt of less LED Fixture</t>
  </si>
  <si>
    <t>T5HO (4') 6-Lamp to 165 watt of less LED Fixture</t>
  </si>
  <si>
    <t>T5HO (4') 8-Lamp to 250 watt of less LED Fixture NEW</t>
  </si>
  <si>
    <t>&gt;= 42W CFL to &lt;= 20W LED Fixture</t>
  </si>
  <si>
    <t>65W Incadescent to &lt;= 10 watt LED Fixture</t>
  </si>
  <si>
    <t>75-100 watt Incandescent Can to less than 20 watt LED Fixture Retrofit</t>
  </si>
  <si>
    <t>&gt;= 150W Incandescent to &lt;= 30W LED Fixture</t>
  </si>
  <si>
    <t>175-watt HID Fixture to 75-watt or less LED Fixture</t>
  </si>
  <si>
    <t>250-watt HID Fixture to 140-watt or less LED Fixture</t>
  </si>
  <si>
    <t>400 watt HID Fixture to 175 watt or less LED Fixture</t>
  </si>
  <si>
    <t>1000 watt HID Fixture to 400 watt or less LED Fixture</t>
  </si>
  <si>
    <t>Wall Switch Occupancy Sensor</t>
  </si>
  <si>
    <t>Ceiling or Fixture Occupancy sensor with built-in relays</t>
  </si>
  <si>
    <t>DLC Qualified LLLC Fixture</t>
  </si>
  <si>
    <t>70-89 watt HID Fixture to 25 watt or less LED Fixture or Retrofit (Ext)</t>
  </si>
  <si>
    <t>90-100 watt HID Fixture to 30 watt or less LED Fixture or Retrofit (Ext)</t>
  </si>
  <si>
    <t>150 watt HID Fixture to 50 watt or less LED Fixture or Retrofit (Ext)</t>
  </si>
  <si>
    <t>175 watt HID Fixture to 100 watt or less LED Fixture or Retrofit (Ext)</t>
  </si>
  <si>
    <t>200 watt HID Fixture to 140 watt or less LED Fixture or Retrofit (Ext)</t>
  </si>
  <si>
    <t>250 watt HID Fixture to 140 watt or less LED Fixture or Retrofit (Ext)</t>
  </si>
  <si>
    <t>320 watt HID Fixture to 160 watt or less LED Fixture or Retrofit (Ext)</t>
  </si>
  <si>
    <t>400 watt HID Fixture to 175 watt or less LED Fixture or Retrofit (Ext)</t>
  </si>
  <si>
    <t>575 watt HID Fixture to 300 watt or less LED Fixture or Retrofit (Ext)</t>
  </si>
  <si>
    <t>750 watt HID Fixture to 300 watt or less LED Fixture or Retrofit (Ext)</t>
  </si>
  <si>
    <t>1000 watt HID Fixture to 400 watt or less LED Fixture or Retrofit (Ext)</t>
  </si>
  <si>
    <t>1500 watt HID Fixture to 600 watt or less LED Fixture or Retrofit (Ext)</t>
  </si>
  <si>
    <t>175 watt HID Fixture to 100 watt or less LED Fixture (Ext, NC)</t>
  </si>
  <si>
    <t>250 watt HID Fixture to 140 watt or less LED Fixture (Ext, NC)</t>
  </si>
  <si>
    <t>320 and 400 watt HID Fixture to 160 or less watt LED Fixture (Ext, NC)</t>
  </si>
  <si>
    <t xml:space="preserve">T12/T8 Fluorescent to TLED </t>
  </si>
  <si>
    <t>HERs</t>
  </si>
  <si>
    <t>Bidgely</t>
  </si>
  <si>
    <t>Single Family Weatherization - Insulate Wall - R0 to R11 - Heating Zone 2/3 (Zonal or DHP)</t>
  </si>
  <si>
    <t>Single Family Weatherization - Insulate Floor - R19 to R30 - Heating Zone 2/3 (Electric FAF)</t>
  </si>
  <si>
    <t>Windows - Add a Low-e Storm Window to an existing Double Paned Window - Heating Zone 2/3 (Zonal or DHP)</t>
  </si>
  <si>
    <t xml:space="preserve">Windows - Single Pane to </t>
  </si>
  <si>
    <t>Floor Insulation_R0 - R30_HZ2_Zonal</t>
  </si>
  <si>
    <t>Floor Insulation_R0 - R19_HZ2_Zonal</t>
  </si>
  <si>
    <t xml:space="preserve">Windows - Double to U30 </t>
  </si>
  <si>
    <t xml:space="preserve">Windows - Single to U30 </t>
  </si>
  <si>
    <t>Windows - Single to U30 - DIY</t>
  </si>
  <si>
    <t>Windows - Double to U30 - DIY</t>
  </si>
  <si>
    <t>Windows_Single Pane - U30_HZ2_Zonal</t>
  </si>
  <si>
    <t>Windows_Double Pane - U30_HZ2_Zonal</t>
  </si>
  <si>
    <t>Storm Windows - Single to U22 - DIY</t>
  </si>
  <si>
    <t>Storm Windows - Double to U22 - DIY</t>
  </si>
  <si>
    <t>Storm Windows - Single to U22</t>
  </si>
  <si>
    <t>Storm Windows - Double to U22</t>
  </si>
  <si>
    <t>Low E Storm Window_Single Pane Metal Frame_HZ2_Zonal</t>
  </si>
  <si>
    <t>Low E Storm Window_Double Pane Metal Frame_HZ2_Zonal</t>
  </si>
  <si>
    <t>ResMFWeatherization_v6_1</t>
  </si>
  <si>
    <t>2023 Evlauation</t>
  </si>
  <si>
    <t>Sliding Glass Door DIY</t>
  </si>
  <si>
    <t>MEEP Program</t>
  </si>
  <si>
    <t>Appliances</t>
  </si>
  <si>
    <t>ENERGY Star Homes</t>
  </si>
  <si>
    <t>HVAC</t>
  </si>
  <si>
    <t>Shell</t>
  </si>
  <si>
    <t>Site Specific Lighting</t>
  </si>
  <si>
    <t>Site Specific Other</t>
  </si>
  <si>
    <t>Grocer</t>
  </si>
  <si>
    <t>MT Case: 2 T8 to 1 High Power LED Inside Lamp</t>
  </si>
  <si>
    <t>MT Case: 2 T12 to 1 High Power LED Inside Lamp</t>
  </si>
  <si>
    <t>LT Case: 2 T8 to 1 High Power LED Inside Lamp</t>
  </si>
  <si>
    <t>LT Case: 2 T12 to 1 High Power LED Inside Lamp</t>
  </si>
  <si>
    <t>ComGroceryDisplayCaseLighting_v4_2</t>
  </si>
  <si>
    <t>WA_Double Row T12_Low Power LED_Low Temp Closed Case_Remote Condensing</t>
  </si>
  <si>
    <t>WA_Double Row T8_High Power LED_Low Temp Open Case_Remote Condensing</t>
  </si>
  <si>
    <t>WA_Double Row T8_High Power LED_Med Temp Open Case_Self-Contained</t>
  </si>
  <si>
    <t>WA_Double Row T12_High Power LED_Med Temp Open Case_Self-Contained</t>
  </si>
  <si>
    <r>
      <t>Low</t>
    </r>
    <r>
      <rPr>
        <sz val="8"/>
        <color rgb="FF000000"/>
        <rFont val="Calibri"/>
        <family val="2"/>
        <scheme val="minor"/>
      </rPr>
      <t> </t>
    </r>
    <r>
      <rPr>
        <b/>
        <sz val="8"/>
        <color rgb="FFFFFFFF"/>
        <rFont val="Arial"/>
        <family val="2"/>
      </rPr>
      <t>-Income/</t>
    </r>
  </si>
  <si>
    <t>Named Communities</t>
  </si>
  <si>
    <t>Commercial/ Industrial</t>
  </si>
  <si>
    <t>Total Resource Cost</t>
  </si>
  <si>
    <t>Utility Cost Test</t>
  </si>
  <si>
    <t>Utility-specific conservation goal</t>
  </si>
  <si>
    <t>Planned 2024</t>
  </si>
  <si>
    <t>Planned 2025</t>
  </si>
  <si>
    <t>MWH Conservation (estimate)</t>
  </si>
  <si>
    <t>WA gas per year share</t>
  </si>
  <si>
    <t>ID gas per year share</t>
  </si>
  <si>
    <t>ID electric</t>
  </si>
  <si>
    <t>Figure 3 LI Efficiency Programs</t>
  </si>
  <si>
    <t xml:space="preserve">NEEA per year costs </t>
  </si>
  <si>
    <t>Total minus NEEA</t>
  </si>
  <si>
    <t>difference from 2024 with NEEA included</t>
  </si>
  <si>
    <t>2024 NEEA</t>
  </si>
  <si>
    <t>2025 NEEA</t>
  </si>
  <si>
    <t>2024 minus NEEA</t>
  </si>
  <si>
    <t>difference</t>
  </si>
  <si>
    <t>Res prescrip</t>
  </si>
  <si>
    <t>res prescrip</t>
  </si>
  <si>
    <t>Commercial programs</t>
  </si>
  <si>
    <t>Commercial Interior Lighting</t>
  </si>
  <si>
    <t>Commercial Exterior Lighting</t>
  </si>
  <si>
    <t>Commercial Site Specific non-lighting</t>
  </si>
  <si>
    <t>Commercial Midstream</t>
  </si>
  <si>
    <t>Residential Shell</t>
  </si>
  <si>
    <t>Commercial Shell</t>
  </si>
  <si>
    <t>Residential Prescriptive</t>
  </si>
  <si>
    <t>Commercial Prescriptive</t>
  </si>
  <si>
    <t>Supplemental funding</t>
  </si>
  <si>
    <t>704,</t>
  </si>
  <si>
    <t>Hybrid Heat Pump pilot</t>
  </si>
  <si>
    <t>HERS as information only</t>
  </si>
  <si>
    <t>BEIQ program</t>
  </si>
  <si>
    <t>Compressed air</t>
  </si>
  <si>
    <t>TOU/PTR</t>
  </si>
  <si>
    <t>% of Budget</t>
  </si>
  <si>
    <t>WA Electric Spend</t>
  </si>
  <si>
    <t>WA Gas Spend</t>
  </si>
  <si>
    <t>ID Electric Spend</t>
  </si>
  <si>
    <t>ID Gas Spend</t>
  </si>
  <si>
    <t>Residential Appliances</t>
  </si>
  <si>
    <t>Program Group</t>
  </si>
  <si>
    <t>Savings</t>
  </si>
  <si>
    <r>
      <t>Program</t>
    </r>
    <r>
      <rPr>
        <sz val="8"/>
        <color rgb="FFFFFFFF"/>
        <rFont val="Arial"/>
        <family val="2"/>
      </rPr>
      <t> </t>
    </r>
  </si>
  <si>
    <r>
      <t>Estimated Budget</t>
    </r>
    <r>
      <rPr>
        <sz val="8"/>
        <color rgb="FFFFFFFF"/>
        <rFont val="Arial"/>
        <family val="2"/>
      </rPr>
      <t> </t>
    </r>
  </si>
  <si>
    <r>
      <t>Low-Income Programs</t>
    </r>
    <r>
      <rPr>
        <sz val="8"/>
        <color rgb="FFFFFFFF"/>
        <rFont val="Arial"/>
        <family val="2"/>
      </rPr>
      <t> </t>
    </r>
  </si>
  <si>
    <t>Low-Income Programs </t>
  </si>
  <si>
    <r>
      <t>Low-Income Programs Total</t>
    </r>
    <r>
      <rPr>
        <sz val="8"/>
        <color rgb="FF000000"/>
        <rFont val="Arial"/>
        <family val="2"/>
      </rPr>
      <t> </t>
    </r>
  </si>
  <si>
    <r>
      <t>Residential Programs</t>
    </r>
    <r>
      <rPr>
        <sz val="8"/>
        <color rgb="FFFFFFFF"/>
        <rFont val="Arial"/>
        <family val="2"/>
      </rPr>
      <t> </t>
    </r>
  </si>
  <si>
    <t>Midstream </t>
  </si>
  <si>
    <r>
      <t>Residential Programs Total</t>
    </r>
    <r>
      <rPr>
        <sz val="8"/>
        <color rgb="FF000000"/>
        <rFont val="Arial"/>
        <family val="2"/>
      </rPr>
      <t> </t>
    </r>
  </si>
  <si>
    <r>
      <t>Commercial/Industrial Programs</t>
    </r>
    <r>
      <rPr>
        <sz val="8"/>
        <color rgb="FFFFFFFF"/>
        <rFont val="Arial"/>
        <family val="2"/>
      </rPr>
      <t> </t>
    </r>
  </si>
  <si>
    <r>
      <t>Commercial/Industrial Programs Total</t>
    </r>
    <r>
      <rPr>
        <sz val="8"/>
        <color rgb="FF000000"/>
        <rFont val="Arial"/>
        <family val="2"/>
      </rPr>
      <t> </t>
    </r>
  </si>
  <si>
    <r>
      <t>Other Program and Administrative</t>
    </r>
    <r>
      <rPr>
        <sz val="8"/>
        <color rgb="FFFFFFFF"/>
        <rFont val="Arial"/>
        <family val="2"/>
      </rPr>
      <t> </t>
    </r>
  </si>
  <si>
    <r>
      <t>Total Other Program and Administrative</t>
    </r>
    <r>
      <rPr>
        <sz val="8"/>
        <color rgb="FF000000"/>
        <rFont val="Arial"/>
        <family val="2"/>
      </rPr>
      <t> </t>
    </r>
  </si>
  <si>
    <t>Residential Prescriptive </t>
  </si>
  <si>
    <t>CPA, EM&amp;V </t>
  </si>
  <si>
    <t>Third Party Implementation </t>
  </si>
  <si>
    <t>Labor, Marketing, General Implementation </t>
  </si>
  <si>
    <t>Pilot Programs  </t>
  </si>
  <si>
    <t>non labor non incentiv enon supplemental</t>
  </si>
  <si>
    <t>including supplemental</t>
  </si>
  <si>
    <t>total minus supplemental</t>
  </si>
  <si>
    <t>Commercial prescrip</t>
  </si>
  <si>
    <t>NIUC without supplemental</t>
  </si>
  <si>
    <t>Named Communities Investment Fund</t>
  </si>
  <si>
    <r>
      <t>Total Electric Budget</t>
    </r>
    <r>
      <rPr>
        <sz val="8"/>
        <color rgb="FF000000"/>
        <rFont val="Arial"/>
        <family val="2"/>
      </rPr>
      <t> </t>
    </r>
  </si>
  <si>
    <t>MEEP</t>
  </si>
  <si>
    <t>Sum of Third Party Costs</t>
  </si>
  <si>
    <t>Prescriptive</t>
  </si>
  <si>
    <t>(Multiple Items)</t>
  </si>
  <si>
    <r>
      <t>MWh</t>
    </r>
    <r>
      <rPr>
        <sz val="8"/>
        <color rgb="FFFFFFFF"/>
        <rFont val="Arial"/>
        <family val="2"/>
      </rPr>
      <t> </t>
    </r>
  </si>
  <si>
    <r>
      <t>Budget</t>
    </r>
    <r>
      <rPr>
        <sz val="8"/>
        <color rgb="FFFFFFFF"/>
        <rFont val="Arial"/>
        <family val="2"/>
      </rPr>
      <t> </t>
    </r>
  </si>
  <si>
    <t>Residential Programs </t>
  </si>
  <si>
    <t>Commercial/Industrial Programs </t>
  </si>
  <si>
    <t>Energy-Efficiency Pilot Programs </t>
  </si>
  <si>
    <t>NEEA </t>
  </si>
  <si>
    <r>
      <t>Total</t>
    </r>
    <r>
      <rPr>
        <sz val="8"/>
        <color rgb="FF000000"/>
        <rFont val="Arial"/>
        <family val="2"/>
      </rPr>
      <t> </t>
    </r>
  </si>
  <si>
    <t>Named Communities Investment Fund </t>
  </si>
  <si>
    <t>General implementation, labor, marketing and outreach </t>
  </si>
  <si>
    <t>TBD</t>
  </si>
  <si>
    <t>table 1</t>
  </si>
  <si>
    <t>General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</si>
</sst>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#,##0.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indexed="17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6302"/>
      <name val="Arial"/>
      <family val="2"/>
    </font>
    <font>
      <sz val="8"/>
      <color theme="1"/>
      <name val="Calibri"/>
      <family val="2"/>
      <scheme val="minor"/>
    </font>
    <font>
      <sz val="8"/>
      <color rgb="FFFFFFFF"/>
      <name val="Arial"/>
      <family val="2"/>
    </font>
    <font>
      <sz val="8"/>
      <color rgb="FF0078D4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/>
      <top/>
      <bottom/>
      <diagonal/>
    </border>
    <border>
      <left/>
      <right style="medium">
        <color theme="2" tint="-0.749961851863155"/>
      </right>
      <top/>
      <bottom/>
      <diagonal/>
    </border>
    <border>
      <left style="medium">
        <color theme="2" tint="-0.749961851863155"/>
      </left>
      <right/>
      <top/>
      <bottom style="medium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/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000000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/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medium">
        <color rgb="FFFFFFFF"/>
      </bottom>
      <diagonal/>
    </border>
    <border>
      <left style="thin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000000"/>
      </top>
      <bottom style="medium">
        <color rgb="FFFFFFF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0" borderId="0" xfId="3" applyFont="1"/>
    <xf numFmtId="44" fontId="0" fillId="2" borderId="0" xfId="3" applyFont="1" applyFill="1"/>
    <xf numFmtId="44" fontId="0" fillId="3" borderId="0" xfId="3" applyFont="1" applyFill="1"/>
    <xf numFmtId="44" fontId="0" fillId="0" borderId="0" xfId="2" applyFont="1"/>
    <xf numFmtId="0" fontId="0" fillId="4" borderId="0" xfId="0" applyFill="1"/>
    <xf numFmtId="44" fontId="0" fillId="4" borderId="0" xfId="3" applyFont="1" applyFill="1"/>
    <xf numFmtId="44" fontId="0" fillId="0" borderId="0" xfId="3" applyFont="1" applyBorder="1"/>
    <xf numFmtId="44" fontId="0" fillId="4" borderId="0" xfId="3" applyFont="1" applyFill="1" applyBorder="1"/>
    <xf numFmtId="44" fontId="0" fillId="0" borderId="0" xfId="2" applyFont="1" applyBorder="1"/>
    <xf numFmtId="0" fontId="0" fillId="0" borderId="1" xfId="0" applyBorder="1"/>
    <xf numFmtId="44" fontId="0" fillId="0" borderId="1" xfId="3" applyFont="1" applyBorder="1"/>
    <xf numFmtId="44" fontId="0" fillId="0" borderId="1" xfId="2" applyFont="1" applyBorder="1"/>
    <xf numFmtId="44" fontId="0" fillId="0" borderId="0" xfId="0" applyNumberFormat="1"/>
    <xf numFmtId="44" fontId="2" fillId="0" borderId="0" xfId="3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5" borderId="3" xfId="0" applyFill="1" applyBorder="1"/>
    <xf numFmtId="0" fontId="0" fillId="2" borderId="2" xfId="0" applyFill="1" applyBorder="1"/>
    <xf numFmtId="44" fontId="0" fillId="0" borderId="2" xfId="3" applyFont="1" applyBorder="1"/>
    <xf numFmtId="44" fontId="0" fillId="5" borderId="2" xfId="3" applyFont="1" applyFill="1" applyBorder="1"/>
    <xf numFmtId="44" fontId="0" fillId="2" borderId="2" xfId="3" applyFont="1" applyFill="1" applyBorder="1"/>
    <xf numFmtId="44" fontId="0" fillId="0" borderId="3" xfId="3" applyFont="1" applyBorder="1"/>
    <xf numFmtId="0" fontId="0" fillId="6" borderId="2" xfId="0" applyFill="1" applyBorder="1" applyAlignment="1">
      <alignment horizontal="center"/>
    </xf>
    <xf numFmtId="44" fontId="0" fillId="6" borderId="2" xfId="3" applyFont="1" applyFill="1" applyBorder="1"/>
    <xf numFmtId="44" fontId="0" fillId="6" borderId="3" xfId="3" applyFont="1" applyFill="1" applyBorder="1"/>
    <xf numFmtId="44" fontId="0" fillId="0" borderId="4" xfId="3" applyFont="1" applyBorder="1"/>
    <xf numFmtId="44" fontId="0" fillId="0" borderId="5" xfId="3" applyFont="1" applyBorder="1"/>
    <xf numFmtId="0" fontId="0" fillId="0" borderId="6" xfId="0" applyBorder="1" applyAlignment="1">
      <alignment horizontal="center"/>
    </xf>
    <xf numFmtId="44" fontId="0" fillId="0" borderId="6" xfId="3" applyFont="1" applyFill="1" applyBorder="1"/>
    <xf numFmtId="44" fontId="0" fillId="0" borderId="7" xfId="3" applyFont="1" applyBorder="1"/>
    <xf numFmtId="44" fontId="0" fillId="0" borderId="6" xfId="3" applyFont="1" applyBorder="1"/>
    <xf numFmtId="0" fontId="0" fillId="0" borderId="4" xfId="0" applyBorder="1" applyAlignment="1">
      <alignment horizontal="center"/>
    </xf>
    <xf numFmtId="165" fontId="0" fillId="0" borderId="0" xfId="3" applyNumberFormat="1" applyFont="1"/>
    <xf numFmtId="164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4" fontId="0" fillId="2" borderId="0" xfId="0" applyNumberFormat="1" applyFill="1"/>
    <xf numFmtId="43" fontId="0" fillId="0" borderId="0" xfId="1" applyFont="1"/>
    <xf numFmtId="166" fontId="0" fillId="0" borderId="0" xfId="1" applyNumberFormat="1" applyFont="1"/>
    <xf numFmtId="3" fontId="0" fillId="2" borderId="0" xfId="0" applyNumberFormat="1" applyFill="1"/>
    <xf numFmtId="9" fontId="0" fillId="0" borderId="0" xfId="4" applyFont="1"/>
    <xf numFmtId="10" fontId="0" fillId="0" borderId="0" xfId="4" applyNumberFormat="1" applyFont="1"/>
    <xf numFmtId="166" fontId="0" fillId="0" borderId="0" xfId="0" applyNumberFormat="1"/>
    <xf numFmtId="43" fontId="0" fillId="0" borderId="0" xfId="0" applyNumberFormat="1"/>
    <xf numFmtId="0" fontId="5" fillId="7" borderId="8" xfId="0" applyFont="1" applyFill="1" applyBorder="1"/>
    <xf numFmtId="0" fontId="5" fillId="7" borderId="9" xfId="0" applyFont="1" applyFill="1" applyBorder="1"/>
    <xf numFmtId="0" fontId="5" fillId="7" borderId="10" xfId="0" applyFont="1" applyFill="1" applyBorder="1"/>
    <xf numFmtId="0" fontId="5" fillId="7" borderId="11" xfId="0" applyFont="1" applyFill="1" applyBorder="1"/>
    <xf numFmtId="0" fontId="5" fillId="7" borderId="0" xfId="0" applyFont="1" applyFill="1"/>
    <xf numFmtId="0" fontId="5" fillId="7" borderId="12" xfId="0" applyFont="1" applyFill="1" applyBorder="1"/>
    <xf numFmtId="0" fontId="5" fillId="7" borderId="11" xfId="0" applyFont="1" applyFill="1" applyBorder="1" applyAlignment="1">
      <alignment horizontal="right"/>
    </xf>
    <xf numFmtId="167" fontId="6" fillId="7" borderId="0" xfId="3" applyNumberFormat="1" applyFont="1" applyFill="1" applyBorder="1"/>
    <xf numFmtId="44" fontId="6" fillId="7" borderId="0" xfId="3" applyFont="1" applyFill="1" applyBorder="1"/>
    <xf numFmtId="44" fontId="6" fillId="7" borderId="12" xfId="3" applyFont="1" applyFill="1" applyBorder="1"/>
    <xf numFmtId="44" fontId="5" fillId="7" borderId="0" xfId="3" applyFont="1" applyFill="1" applyBorder="1"/>
    <xf numFmtId="44" fontId="5" fillId="7" borderId="12" xfId="3" applyFont="1" applyFill="1" applyBorder="1"/>
    <xf numFmtId="0" fontId="6" fillId="7" borderId="0" xfId="0" applyFont="1" applyFill="1"/>
    <xf numFmtId="167" fontId="6" fillId="8" borderId="0" xfId="3" applyNumberFormat="1" applyFont="1" applyFill="1" applyBorder="1"/>
    <xf numFmtId="0" fontId="5" fillId="7" borderId="13" xfId="0" applyFont="1" applyFill="1" applyBorder="1"/>
    <xf numFmtId="167" fontId="6" fillId="7" borderId="14" xfId="3" applyNumberFormat="1" applyFont="1" applyFill="1" applyBorder="1"/>
    <xf numFmtId="0" fontId="6" fillId="7" borderId="14" xfId="0" applyFont="1" applyFill="1" applyBorder="1"/>
    <xf numFmtId="0" fontId="5" fillId="7" borderId="15" xfId="0" applyFont="1" applyFill="1" applyBorder="1"/>
    <xf numFmtId="0" fontId="2" fillId="0" borderId="0" xfId="0" applyFont="1" applyAlignment="1">
      <alignment horizontal="center"/>
    </xf>
    <xf numFmtId="0" fontId="0" fillId="0" borderId="0" xfId="0" pivotButton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43" fontId="2" fillId="0" borderId="0" xfId="0" applyNumberFormat="1" applyFont="1"/>
    <xf numFmtId="44" fontId="2" fillId="0" borderId="0" xfId="0" applyNumberFormat="1" applyFont="1"/>
    <xf numFmtId="0" fontId="2" fillId="0" borderId="2" xfId="0" applyFont="1" applyBorder="1"/>
    <xf numFmtId="3" fontId="2" fillId="2" borderId="2" xfId="1" applyNumberFormat="1" applyFont="1" applyFill="1" applyBorder="1"/>
    <xf numFmtId="164" fontId="2" fillId="2" borderId="2" xfId="1" applyNumberFormat="1" applyFont="1" applyFill="1" applyBorder="1"/>
    <xf numFmtId="4" fontId="2" fillId="2" borderId="2" xfId="1" applyNumberFormat="1" applyFont="1" applyFill="1" applyBorder="1"/>
    <xf numFmtId="4" fontId="2" fillId="2" borderId="2" xfId="0" applyNumberFormat="1" applyFont="1" applyFill="1" applyBorder="1"/>
    <xf numFmtId="1" fontId="2" fillId="2" borderId="2" xfId="0" applyNumberFormat="1" applyFont="1" applyFill="1" applyBorder="1"/>
    <xf numFmtId="164" fontId="2" fillId="0" borderId="2" xfId="0" applyNumberFormat="1" applyFont="1" applyBorder="1"/>
    <xf numFmtId="164" fontId="2" fillId="0" borderId="2" xfId="1" applyNumberFormat="1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5" fontId="2" fillId="0" borderId="2" xfId="3" applyNumberFormat="1" applyFont="1" applyBorder="1"/>
    <xf numFmtId="44" fontId="2" fillId="0" borderId="2" xfId="3" applyFont="1" applyBorder="1"/>
    <xf numFmtId="43" fontId="2" fillId="0" borderId="2" xfId="1" applyFont="1" applyBorder="1"/>
    <xf numFmtId="3" fontId="0" fillId="2" borderId="2" xfId="0" applyNumberFormat="1" applyFill="1" applyBorder="1"/>
    <xf numFmtId="164" fontId="0" fillId="2" borderId="2" xfId="0" applyNumberFormat="1" applyFill="1" applyBorder="1"/>
    <xf numFmtId="4" fontId="0" fillId="2" borderId="2" xfId="1" applyNumberFormat="1" applyFont="1" applyFill="1" applyBorder="1"/>
    <xf numFmtId="1" fontId="0" fillId="2" borderId="2" xfId="0" applyNumberFormat="1" applyFill="1" applyBorder="1"/>
    <xf numFmtId="164" fontId="0" fillId="0" borderId="2" xfId="0" applyNumberFormat="1" applyBorder="1"/>
    <xf numFmtId="164" fontId="0" fillId="0" borderId="2" xfId="1" applyNumberFormat="1" applyFont="1" applyBorder="1"/>
    <xf numFmtId="164" fontId="0" fillId="2" borderId="2" xfId="1" applyNumberFormat="1" applyFont="1" applyFill="1" applyBorder="1"/>
    <xf numFmtId="166" fontId="0" fillId="0" borderId="2" xfId="1" applyNumberFormat="1" applyFont="1" applyBorder="1"/>
    <xf numFmtId="165" fontId="0" fillId="0" borderId="2" xfId="3" applyNumberFormat="1" applyFont="1" applyBorder="1"/>
    <xf numFmtId="44" fontId="0" fillId="0" borderId="2" xfId="0" applyNumberFormat="1" applyBorder="1"/>
    <xf numFmtId="43" fontId="0" fillId="0" borderId="2" xfId="1" applyFont="1" applyBorder="1"/>
    <xf numFmtId="4" fontId="0" fillId="2" borderId="2" xfId="0" applyNumberFormat="1" applyFill="1" applyBorder="1"/>
    <xf numFmtId="0" fontId="2" fillId="4" borderId="2" xfId="0" applyFont="1" applyFill="1" applyBorder="1"/>
    <xf numFmtId="165" fontId="2" fillId="4" borderId="2" xfId="3" applyNumberFormat="1" applyFont="1" applyFill="1" applyBorder="1"/>
    <xf numFmtId="165" fontId="2" fillId="2" borderId="2" xfId="0" applyNumberFormat="1" applyFont="1" applyFill="1" applyBorder="1"/>
    <xf numFmtId="165" fontId="2" fillId="2" borderId="2" xfId="3" applyNumberFormat="1" applyFont="1" applyFill="1" applyBorder="1"/>
    <xf numFmtId="0" fontId="0" fillId="5" borderId="2" xfId="0" applyFill="1" applyBorder="1"/>
    <xf numFmtId="165" fontId="0" fillId="5" borderId="2" xfId="3" applyNumberFormat="1" applyFont="1" applyFill="1" applyBorder="1"/>
    <xf numFmtId="165" fontId="2" fillId="5" borderId="2" xfId="3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43" fontId="2" fillId="0" borderId="2" xfId="0" applyNumberFormat="1" applyFont="1" applyBorder="1"/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44" fontId="0" fillId="0" borderId="0" xfId="3" applyFont="1" applyProtection="1">
      <protection locked="0"/>
    </xf>
    <xf numFmtId="44" fontId="2" fillId="0" borderId="0" xfId="3" applyFont="1" applyProtection="1">
      <protection locked="0"/>
    </xf>
    <xf numFmtId="166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44" fontId="2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166" fontId="0" fillId="0" borderId="0" xfId="1" applyNumberFormat="1" applyFont="1" applyProtection="1">
      <protection locked="0"/>
    </xf>
    <xf numFmtId="0" fontId="0" fillId="0" borderId="0" xfId="0" applyProtection="1"/>
    <xf numFmtId="43" fontId="0" fillId="0" borderId="0" xfId="1" applyFont="1" applyProtection="1"/>
    <xf numFmtId="44" fontId="0" fillId="0" borderId="0" xfId="3" applyFont="1" applyProtection="1"/>
    <xf numFmtId="44" fontId="2" fillId="0" borderId="0" xfId="3" applyFont="1" applyProtection="1"/>
    <xf numFmtId="44" fontId="0" fillId="2" borderId="1" xfId="3" applyFont="1" applyFill="1" applyBorder="1"/>
    <xf numFmtId="44" fontId="0" fillId="3" borderId="1" xfId="3" applyFont="1" applyFill="1" applyBorder="1"/>
    <xf numFmtId="44" fontId="0" fillId="5" borderId="4" xfId="3" applyFont="1" applyFill="1" applyBorder="1"/>
    <xf numFmtId="44" fontId="0" fillId="2" borderId="4" xfId="3" applyFont="1" applyFill="1" applyBorder="1"/>
    <xf numFmtId="44" fontId="0" fillId="5" borderId="6" xfId="3" applyFont="1" applyFill="1" applyBorder="1"/>
    <xf numFmtId="44" fontId="0" fillId="2" borderId="6" xfId="3" applyFont="1" applyFill="1" applyBorder="1"/>
    <xf numFmtId="14" fontId="0" fillId="0" borderId="0" xfId="0" applyNumberFormat="1"/>
    <xf numFmtId="165" fontId="0" fillId="0" borderId="0" xfId="0" applyNumberFormat="1"/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0" fillId="0" borderId="0" xfId="0" applyNumberFormat="1"/>
    <xf numFmtId="0" fontId="0" fillId="0" borderId="2" xfId="0" applyFill="1" applyBorder="1"/>
    <xf numFmtId="43" fontId="1" fillId="0" borderId="0" xfId="1" applyFont="1" applyBorder="1"/>
    <xf numFmtId="43" fontId="12" fillId="0" borderId="21" xfId="0" applyNumberFormat="1" applyFont="1" applyBorder="1" applyAlignment="1">
      <alignment horizontal="right" vertical="center" wrapText="1"/>
    </xf>
    <xf numFmtId="168" fontId="0" fillId="0" borderId="0" xfId="0" applyNumberFormat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9" fontId="2" fillId="0" borderId="2" xfId="4" applyFont="1" applyBorder="1"/>
    <xf numFmtId="0" fontId="2" fillId="0" borderId="2" xfId="0" applyFont="1" applyFill="1" applyBorder="1"/>
    <xf numFmtId="44" fontId="2" fillId="0" borderId="2" xfId="0" applyNumberFormat="1" applyFont="1" applyFill="1" applyBorder="1"/>
    <xf numFmtId="0" fontId="16" fillId="0" borderId="31" xfId="0" applyFont="1" applyBorder="1" applyAlignment="1">
      <alignment horizontal="right" vertical="center" wrapText="1"/>
    </xf>
    <xf numFmtId="0" fontId="10" fillId="9" borderId="32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17" fillId="11" borderId="41" xfId="0" applyFont="1" applyFill="1" applyBorder="1" applyAlignment="1">
      <alignment horizontal="left" vertical="center" wrapText="1"/>
    </xf>
    <xf numFmtId="0" fontId="17" fillId="11" borderId="45" xfId="0" applyFont="1" applyFill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right" vertical="center" wrapText="1"/>
    </xf>
    <xf numFmtId="0" fontId="17" fillId="11" borderId="47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44" fontId="18" fillId="11" borderId="31" xfId="3" applyFont="1" applyFill="1" applyBorder="1" applyAlignment="1">
      <alignment horizontal="right" vertical="center" wrapText="1"/>
    </xf>
    <xf numFmtId="44" fontId="17" fillId="11" borderId="46" xfId="3" applyFont="1" applyFill="1" applyBorder="1" applyAlignment="1">
      <alignment horizontal="right" vertical="center" wrapText="1"/>
    </xf>
    <xf numFmtId="44" fontId="17" fillId="11" borderId="42" xfId="3" applyFont="1" applyFill="1" applyBorder="1" applyAlignment="1">
      <alignment horizontal="right" vertical="center" wrapText="1"/>
    </xf>
    <xf numFmtId="44" fontId="17" fillId="11" borderId="49" xfId="0" applyNumberFormat="1" applyFont="1" applyFill="1" applyBorder="1" applyAlignment="1">
      <alignment horizontal="right" vertical="center" wrapText="1"/>
    </xf>
    <xf numFmtId="44" fontId="5" fillId="0" borderId="38" xfId="3" applyFont="1" applyBorder="1" applyAlignment="1">
      <alignment horizontal="right" vertical="center" wrapText="1"/>
    </xf>
    <xf numFmtId="44" fontId="5" fillId="0" borderId="40" xfId="3" applyFont="1" applyBorder="1" applyAlignment="1">
      <alignment horizontal="right" vertical="center" wrapText="1"/>
    </xf>
    <xf numFmtId="44" fontId="5" fillId="0" borderId="44" xfId="3" applyFont="1" applyBorder="1" applyAlignment="1">
      <alignment horizontal="right" vertical="center" wrapText="1"/>
    </xf>
    <xf numFmtId="0" fontId="5" fillId="0" borderId="43" xfId="0" applyFont="1" applyBorder="1" applyAlignment="1">
      <alignment horizontal="left" vertical="center" wrapText="1"/>
    </xf>
    <xf numFmtId="166" fontId="17" fillId="11" borderId="48" xfId="1" applyNumberFormat="1" applyFont="1" applyFill="1" applyBorder="1" applyAlignment="1">
      <alignment horizontal="right" vertical="center" wrapText="1"/>
    </xf>
    <xf numFmtId="166" fontId="18" fillId="11" borderId="31" xfId="1" applyNumberFormat="1" applyFont="1" applyFill="1" applyBorder="1" applyAlignment="1">
      <alignment horizontal="right" vertical="center" wrapText="1"/>
    </xf>
    <xf numFmtId="166" fontId="5" fillId="0" borderId="29" xfId="1" applyNumberFormat="1" applyFont="1" applyBorder="1" applyAlignment="1">
      <alignment horizontal="right" vertical="center" wrapText="1"/>
    </xf>
    <xf numFmtId="166" fontId="5" fillId="0" borderId="30" xfId="1" applyNumberFormat="1" applyFont="1" applyBorder="1" applyAlignment="1">
      <alignment horizontal="right" vertical="center" wrapText="1"/>
    </xf>
    <xf numFmtId="166" fontId="17" fillId="11" borderId="31" xfId="1" applyNumberFormat="1" applyFont="1" applyFill="1" applyBorder="1" applyAlignment="1">
      <alignment horizontal="right" vertical="center" wrapText="1"/>
    </xf>
    <xf numFmtId="166" fontId="17" fillId="11" borderId="26" xfId="1" applyNumberFormat="1" applyFont="1" applyFill="1" applyBorder="1" applyAlignment="1">
      <alignment horizontal="right" vertical="center" wrapText="1"/>
    </xf>
    <xf numFmtId="166" fontId="5" fillId="0" borderId="38" xfId="1" applyNumberFormat="1" applyFont="1" applyBorder="1" applyAlignment="1">
      <alignment horizontal="right" vertical="center" wrapText="1"/>
    </xf>
    <xf numFmtId="166" fontId="5" fillId="0" borderId="28" xfId="1" applyNumberFormat="1" applyFont="1" applyBorder="1" applyAlignment="1">
      <alignment horizontal="right" vertical="center" wrapText="1"/>
    </xf>
    <xf numFmtId="0" fontId="0" fillId="0" borderId="0" xfId="0" applyNumberFormat="1"/>
    <xf numFmtId="0" fontId="15" fillId="9" borderId="32" xfId="0" applyFont="1" applyFill="1" applyBorder="1" applyAlignment="1">
      <alignment horizontal="center" vertical="center" wrapText="1"/>
    </xf>
    <xf numFmtId="166" fontId="18" fillId="11" borderId="49" xfId="1" applyNumberFormat="1" applyFont="1" applyFill="1" applyBorder="1" applyAlignment="1">
      <alignment horizontal="right" vertical="center" wrapText="1"/>
    </xf>
    <xf numFmtId="165" fontId="5" fillId="0" borderId="38" xfId="3" applyNumberFormat="1" applyFont="1" applyBorder="1" applyAlignment="1">
      <alignment horizontal="right" vertical="center" wrapText="1"/>
    </xf>
    <xf numFmtId="165" fontId="5" fillId="0" borderId="40" xfId="3" applyNumberFormat="1" applyFont="1" applyBorder="1" applyAlignment="1">
      <alignment horizontal="right" vertical="center" wrapText="1"/>
    </xf>
    <xf numFmtId="165" fontId="5" fillId="0" borderId="44" xfId="3" applyNumberFormat="1" applyFont="1" applyBorder="1" applyAlignment="1">
      <alignment horizontal="right" vertical="center" wrapText="1"/>
    </xf>
    <xf numFmtId="165" fontId="18" fillId="11" borderId="49" xfId="3" applyNumberFormat="1" applyFont="1" applyFill="1" applyBorder="1" applyAlignment="1">
      <alignment horizontal="right" vertical="center" wrapText="1"/>
    </xf>
    <xf numFmtId="0" fontId="9" fillId="9" borderId="16" xfId="0" applyFont="1" applyFill="1" applyBorder="1" applyAlignment="1">
      <alignment vertical="center" wrapText="1"/>
    </xf>
    <xf numFmtId="0" fontId="9" fillId="9" borderId="17" xfId="0" applyFont="1" applyFill="1" applyBorder="1" applyAlignment="1">
      <alignment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left" vertical="center" wrapText="1"/>
    </xf>
    <xf numFmtId="0" fontId="10" fillId="10" borderId="27" xfId="0" applyFont="1" applyFill="1" applyBorder="1" applyAlignment="1">
      <alignment horizontal="left" vertical="center" wrapText="1"/>
    </xf>
    <xf numFmtId="0" fontId="10" fillId="10" borderId="36" xfId="0" applyFont="1" applyFill="1" applyBorder="1" applyAlignment="1">
      <alignment horizontal="left" vertical="center" wrapText="1"/>
    </xf>
  </cellXfs>
  <cellStyles count="5">
    <cellStyle name="Comma" xfId="1" builtinId="3"/>
    <cellStyle name="Currency" xfId="3" builtinId="4"/>
    <cellStyle name="Currency 2" xfId="2" xr:uid="{41C1473A-C35E-4B36-AEC1-3129DF05984F}"/>
    <cellStyle name="Normal" xfId="0" builtinId="0"/>
    <cellStyle name="Percent" xfId="4" builtinId="5"/>
  </cellStyles>
  <dxfs count="75"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general"/>
    </dxf>
    <dxf>
      <alignment horizontal="general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4" formatCode="_(&quot;$&quot;* #,##0.00_);_(&quot;$&quot;* \(#,##0.00\);_(&quot;$&quot;* &quot;-&quot;??_);_(@_)"/>
    </dxf>
    <dxf>
      <alignment horizontal="general"/>
    </dxf>
    <dxf>
      <alignment horizontal="general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35" formatCode="_(* #,##0.00_);_(* \(#,##0.00\);_(* &quot;-&quot;??_);_(@_)"/>
    </dxf>
    <dxf>
      <font>
        <b/>
      </fon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6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numFmt numFmtId="166" formatCode="_(* #,##0_);_(* \(#,##0\);_(* &quot;-&quot;??_);_(@_)"/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font>
        <b/>
      </fon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6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numFmt numFmtId="166" formatCode="_(* #,##0_);_(* \(#,##0\);_(* &quot;-&quot;??_);_(@_)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35" formatCode="_(* #,##0.00_);_(* \(#,##0.00\);_(* &quot;-&quot;??_);_(@_)"/>
    </dxf>
    <dxf>
      <font>
        <b/>
      </fon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6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numFmt numFmtId="166" formatCode="_(* #,##0_);_(* \(#,##0\);_(* &quot;-&quot;??_);_(@_)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eetMetadata" Target="metadata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- MP'!$A$3</c:f>
              <c:strCache>
                <c:ptCount val="1"/>
                <c:pt idx="0">
                  <c:v>Total Resource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'Figures - MP'!$B$1:$E$2</c15:sqref>
                  </c15:fullRef>
                  <c15:levelRef>
                    <c15:sqref>'Figures - MP'!$B$1:$E$1</c15:sqref>
                  </c15:levelRef>
                </c:ext>
              </c:extLst>
              <c:f>'Figures - MP'!$B$1:$E$1</c:f>
              <c:strCache>
                <c:ptCount val="4"/>
                <c:pt idx="0">
                  <c:v>Low -Income/</c:v>
                </c:pt>
                <c:pt idx="1">
                  <c:v>Residential</c:v>
                </c:pt>
                <c:pt idx="2">
                  <c:v>Commercial/ Industrial</c:v>
                </c:pt>
                <c:pt idx="3">
                  <c:v>Total</c:v>
                </c:pt>
              </c:strCache>
            </c:strRef>
          </c:cat>
          <c:val>
            <c:numRef>
              <c:f>'Figures - MP'!$B$3:$E$3</c:f>
              <c:numCache>
                <c:formatCode>_(* #,##0.00_);_(* \(#,##0.00\);_(* "-"??_);_(@_)</c:formatCode>
                <c:ptCount val="4"/>
                <c:pt idx="0">
                  <c:v>2.7986351055984282</c:v>
                </c:pt>
                <c:pt idx="1">
                  <c:v>2.4987781289395827</c:v>
                </c:pt>
                <c:pt idx="2">
                  <c:v>1.7335531786356173</c:v>
                </c:pt>
                <c:pt idx="3">
                  <c:v>1.826931584207651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E-40DF-B637-4FE059E58A6D}"/>
            </c:ext>
          </c:extLst>
        </c:ser>
        <c:ser>
          <c:idx val="1"/>
          <c:order val="1"/>
          <c:tx>
            <c:strRef>
              <c:f>'Figures - MP'!$A$4</c:f>
              <c:strCache>
                <c:ptCount val="1"/>
                <c:pt idx="0">
                  <c:v>Utility Cost Test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'Figures - MP'!$B$1:$E$2</c15:sqref>
                  </c15:fullRef>
                  <c15:levelRef>
                    <c15:sqref>'Figures - MP'!$B$1:$E$1</c15:sqref>
                  </c15:levelRef>
                </c:ext>
              </c:extLst>
              <c:f>'Figures - MP'!$B$1:$E$1</c:f>
              <c:strCache>
                <c:ptCount val="4"/>
                <c:pt idx="0">
                  <c:v>Low -Income/</c:v>
                </c:pt>
                <c:pt idx="1">
                  <c:v>Residential</c:v>
                </c:pt>
                <c:pt idx="2">
                  <c:v>Commercial/ Industrial</c:v>
                </c:pt>
                <c:pt idx="3">
                  <c:v>Total</c:v>
                </c:pt>
              </c:strCache>
            </c:strRef>
          </c:cat>
          <c:val>
            <c:numRef>
              <c:f>'Figures - MP'!$B$4:$E$4</c:f>
              <c:numCache>
                <c:formatCode>_(* #,##0.00_);_(* \(#,##0.00\);_(* "-"??_);_(@_)</c:formatCode>
                <c:ptCount val="4"/>
                <c:pt idx="0">
                  <c:v>0.52475691012305037</c:v>
                </c:pt>
                <c:pt idx="1">
                  <c:v>1.9756096062733992</c:v>
                </c:pt>
                <c:pt idx="2">
                  <c:v>1.4945134680298473</c:v>
                </c:pt>
                <c:pt idx="3">
                  <c:v>1.330374511865837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E-40DF-B637-4FE059E5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4304015"/>
        <c:axId val="1894303055"/>
      </c:barChart>
      <c:catAx>
        <c:axId val="18943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303055"/>
        <c:crosses val="autoZero"/>
        <c:auto val="1"/>
        <c:lblAlgn val="ctr"/>
        <c:lblOffset val="100"/>
        <c:noMultiLvlLbl val="0"/>
      </c:catAx>
      <c:valAx>
        <c:axId val="189430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30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'Figures - MP'!$B$35</c:f>
              <c:strCache>
                <c:ptCount val="1"/>
                <c:pt idx="0">
                  <c:v>Planned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- MP'!$A$36:$A$37</c:f>
              <c:strCache>
                <c:ptCount val="2"/>
                <c:pt idx="0">
                  <c:v>MWH Conservation (estimate)</c:v>
                </c:pt>
                <c:pt idx="1">
                  <c:v>Utility-specific conservation goal</c:v>
                </c:pt>
              </c:strCache>
            </c:strRef>
          </c:cat>
          <c:val>
            <c:numRef>
              <c:f>'Figures - MP'!$B$36:$B$37</c:f>
              <c:numCache>
                <c:formatCode>#,##0</c:formatCode>
                <c:ptCount val="2"/>
                <c:pt idx="0">
                  <c:v>31717</c:v>
                </c:pt>
                <c:pt idx="1">
                  <c:v>50804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4-404D-B9ED-4B83D391EA31}"/>
            </c:ext>
          </c:extLst>
        </c:ser>
        <c:ser>
          <c:idx val="1"/>
          <c:order val="1"/>
          <c:tx>
            <c:strRef>
              <c:f>'Figures - MP'!$C$35</c:f>
              <c:strCache>
                <c:ptCount val="1"/>
                <c:pt idx="0">
                  <c:v>Planned 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- MP'!$A$36:$A$37</c:f>
              <c:strCache>
                <c:ptCount val="2"/>
                <c:pt idx="0">
                  <c:v>MWH Conservation (estimate)</c:v>
                </c:pt>
                <c:pt idx="1">
                  <c:v>Utility-specific conservation goal</c:v>
                </c:pt>
              </c:strCache>
            </c:strRef>
          </c:cat>
          <c:val>
            <c:numRef>
              <c:f>'Figures - MP'!$C$36:$C$37</c:f>
              <c:numCache>
                <c:formatCode>General</c:formatCode>
                <c:ptCount val="2"/>
                <c:pt idx="0" formatCode="#,##0">
                  <c:v>37649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4-404D-B9ED-4B83D391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9768847"/>
        <c:axId val="2049766927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'Figures - MP'!$D$36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'Figures - MP'!$A$36:$A$37</c15:sqref>
                        </c15:formulaRef>
                      </c:ext>
                    </c:extLst>
                    <c:strCache>
                      <c:ptCount val="2"/>
                      <c:pt idx="0">
                        <c:v>MWH Conservation (estimate)</c:v>
                      </c:pt>
                      <c:pt idx="1">
                        <c:v>Utility-specific conservation goal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'Figures - MP'!$D$37:$D$38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994-404D-B9ED-4B83D391EA31}"/>
                  </c:ext>
                </c:extLst>
              </c15:ser>
            </c15:filteredBarSeries>
          </c:ext>
        </c:extLst>
      </c:barChart>
      <c:catAx>
        <c:axId val="204976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766927"/>
        <c:crosses val="autoZero"/>
        <c:auto val="1"/>
        <c:lblAlgn val="ctr"/>
        <c:lblOffset val="100"/>
        <c:noMultiLvlLbl val="0"/>
      </c:catAx>
      <c:valAx>
        <c:axId val="2049766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768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'Figures - MP'!$A$69:$A$77</c:f>
              <c:strCache>
                <c:ptCount val="9"/>
                <c:pt idx="0">
                  <c:v>Commercial Prescriptive</c:v>
                </c:pt>
                <c:pt idx="1">
                  <c:v>Commercial Midstream</c:v>
                </c:pt>
                <c:pt idx="2">
                  <c:v>Residential Prescriptive</c:v>
                </c:pt>
                <c:pt idx="3">
                  <c:v>Low Income</c:v>
                </c:pt>
                <c:pt idx="4">
                  <c:v>Commercial Exterior Lighting</c:v>
                </c:pt>
                <c:pt idx="5">
                  <c:v>Commercial Interior Lighting</c:v>
                </c:pt>
                <c:pt idx="6">
                  <c:v>Residential Midstream</c:v>
                </c:pt>
                <c:pt idx="7">
                  <c:v>Direct Install Lighting</c:v>
                </c:pt>
                <c:pt idx="8">
                  <c:v>Commercial Site Specific non-lighting</c:v>
                </c:pt>
              </c:strCache>
            </c:strRef>
          </c:cat>
          <c:val>
            <c:numRef>
              <c:f>'Figures - MP'!$B$69:$B$77</c:f>
              <c:numCache>
                <c:formatCode>_(* #,##0.00_);_(* \(#,##0.00\);_(* "-"??_);_(@_)</c:formatCode>
                <c:ptCount val="9"/>
                <c:pt idx="0">
                  <c:v>253940.50240891048</c:v>
                </c:pt>
                <c:pt idx="1">
                  <c:v>376653.55</c:v>
                </c:pt>
                <c:pt idx="2">
                  <c:v>414334.49536987155</c:v>
                </c:pt>
                <c:pt idx="3">
                  <c:v>723224.62625609536</c:v>
                </c:pt>
                <c:pt idx="4">
                  <c:v>1409918.7880540357</c:v>
                </c:pt>
                <c:pt idx="5">
                  <c:v>2660043.1162379161</c:v>
                </c:pt>
                <c:pt idx="6">
                  <c:v>5677081.9850312946</c:v>
                </c:pt>
                <c:pt idx="7">
                  <c:v>8992267</c:v>
                </c:pt>
                <c:pt idx="8">
                  <c:v>17037979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7-4B3A-983D-9441ED041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501055"/>
        <c:axId val="81502975"/>
      </c:barChart>
      <c:catAx>
        <c:axId val="81501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02975"/>
        <c:crosses val="autoZero"/>
        <c:auto val="1"/>
        <c:lblAlgn val="ctr"/>
        <c:lblOffset val="100"/>
        <c:noMultiLvlLbl val="0"/>
      </c:catAx>
      <c:valAx>
        <c:axId val="8150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01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195262</xdr:rowOff>
    </xdr:from>
    <xdr:to>
      <xdr:col>13</xdr:col>
      <xdr:colOff>57150</xdr:colOff>
      <xdr:row>31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A0C524-6C1C-C3C9-916D-6D2FB1CF7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37</xdr:row>
      <xdr:rowOff>166686</xdr:rowOff>
    </xdr:from>
    <xdr:to>
      <xdr:col>16</xdr:col>
      <xdr:colOff>533400</xdr:colOff>
      <xdr:row>52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7B6428-BDD3-9DFD-D976-B7B193C5D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55</xdr:row>
      <xdr:rowOff>71437</xdr:rowOff>
    </xdr:from>
    <xdr:to>
      <xdr:col>15</xdr:col>
      <xdr:colOff>295275</xdr:colOff>
      <xdr:row>80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9882EE-7FCA-0071-14D0-11E3FBB08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istacorp.sharepoint.com/sites/2023ACP/Shared%20Documents/General/ACP%20Files/2024%20Washington%20Electric%20BP%20-%20Updated%20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1.0 - NG AC"/>
      <sheetName val="2.0 - Source"/>
      <sheetName val="1.1 - Electric AC"/>
      <sheetName val="2.0 - NEBs"/>
      <sheetName val="3.2 - MF Direct Install"/>
      <sheetName val="3.1 - Res Pres"/>
      <sheetName val="3.3 - MF Wx"/>
      <sheetName val="3.3 - MF Program"/>
      <sheetName val="3.4 - Res Midstream"/>
      <sheetName val="3.4 - Open"/>
      <sheetName val="3.6 - Open"/>
      <sheetName val="3.5 - WA NCIF"/>
      <sheetName val="3.6 - Always On"/>
      <sheetName val="3.6.1 - On Bill Repayment"/>
      <sheetName val="3.7 - Int Ltg"/>
      <sheetName val="3.8 - Ext Ltg"/>
      <sheetName val="3.62 - Audit "/>
      <sheetName val="3.8 - Direct Install Lighting"/>
      <sheetName val="3.9 - SS"/>
      <sheetName val="3.10 - NRShell"/>
      <sheetName val="3.13 - GreenMotor"/>
      <sheetName val="3.15 - Air Compression"/>
      <sheetName val="3.14 - VFD"/>
      <sheetName val="3.19 - Grocer"/>
      <sheetName val="3.19 - Food"/>
      <sheetName val="3.20 - Appliance"/>
      <sheetName val="3.30 - Pay for Performance"/>
      <sheetName val="3.30 - AEM"/>
      <sheetName val="Non-Energy Impacts"/>
      <sheetName val="3.11 - Clean Buildings Acc"/>
      <sheetName val="3.61 - NR Midstream"/>
      <sheetName val="3.5 - WA LI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App C"/>
      <sheetName val="Executive Summary"/>
      <sheetName val="1 - Introduction"/>
      <sheetName val="2 - CETA"/>
      <sheetName val="3 - Energy Efficiency Portfolio"/>
      <sheetName val="App D"/>
      <sheetName val="Sheet1"/>
      <sheetName val="Sector Tables"/>
      <sheetName val="Program Tables"/>
      <sheetName val="Sheet3"/>
      <sheetName val="Low Income Tables"/>
      <sheetName val="NR Sector Table"/>
      <sheetName val="CEIP Table"/>
      <sheetName val="Sheet2"/>
      <sheetName val="Biennial Target"/>
      <sheetName val="NR NEI"/>
      <sheetName val="Pilots"/>
      <sheetName val="Midstream"/>
      <sheetName val="NEI S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K1" t="str">
            <v>Res Space Heat</v>
          </cell>
        </row>
        <row r="2">
          <cell r="BK2" t="str">
            <v>Res AC</v>
          </cell>
        </row>
        <row r="3">
          <cell r="BK3" t="str">
            <v>Res Lighting</v>
          </cell>
        </row>
        <row r="4">
          <cell r="BK4" t="str">
            <v>NonRes Compressed Air</v>
          </cell>
        </row>
        <row r="5">
          <cell r="BK5" t="str">
            <v>NonRes Exterior Lighting</v>
          </cell>
        </row>
        <row r="6">
          <cell r="BK6" t="str">
            <v>NonRes Water Heating</v>
          </cell>
        </row>
        <row r="7">
          <cell r="BK7" t="str">
            <v>NonRes Misc</v>
          </cell>
        </row>
        <row r="8">
          <cell r="BK8" t="str">
            <v>NonRes Office Equipment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B4">
            <v>853008.17952000001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inch, Meghan" id="{15519DBA-DF45-4F57-8C22-86F0F06CED45}" userId="S::Meghan.Pinch@avistacorp.com::11fa14fe-a571-4cde-bc22-d3567569c2e4" providerId="AD"/>
  <person displayName="Oglesby, Austin" id="{74825F95-94DF-4D9F-AAA2-AB4D17B8AF7A}" userId="S::Austin.Oglesby@avistacorp.com::265b17c6-0720-4a3b-abc0-bb9cbdc4c9cd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glesby, Austin" refreshedDate="45590.59946435185" createdVersion="8" refreshedVersion="8" minRefreshableVersion="3" recordCount="178" xr:uid="{798E1893-898B-45E6-9657-00BE93026C18}">
  <cacheSource type="worksheet">
    <worksheetSource ref="A1:N1048576" sheet="Core Data"/>
  </cacheSource>
  <cacheFields count="14">
    <cacheField name="Measure Description" numFmtId="0">
      <sharedItems containsBlank="1"/>
    </cacheField>
    <cacheField name="Est Units" numFmtId="3">
      <sharedItems containsString="0" containsBlank="1" containsNumber="1" containsInteger="1" minValue="0" maxValue="65843"/>
    </cacheField>
    <cacheField name="Elec Measure Type" numFmtId="0">
      <sharedItems containsBlank="1"/>
    </cacheField>
    <cacheField name="Therm Savings Type" numFmtId="0">
      <sharedItems containsBlank="1"/>
    </cacheField>
    <cacheField name="Customer Incremental Cost" numFmtId="164">
      <sharedItems containsString="0" containsBlank="1" containsNumber="1" minValue="0" maxValue="4990992.1282000002"/>
    </cacheField>
    <cacheField name="Y1 KWh Savings" numFmtId="4">
      <sharedItems containsString="0" containsBlank="1" containsNumber="1" minValue="0" maxValue="11358653"/>
    </cacheField>
    <cacheField name="Y1 Therm Savings" numFmtId="4">
      <sharedItems containsString="0" containsBlank="1" containsNumber="1" minValue="0" maxValue="150"/>
    </cacheField>
    <cacheField name="Measure Life" numFmtId="1">
      <sharedItems containsString="0" containsBlank="1" containsNumber="1" containsInteger="1" minValue="1" maxValue="45"/>
    </cacheField>
    <cacheField name="Incentive" numFmtId="164">
      <sharedItems containsString="0" containsBlank="1" containsNumber="1" minValue="0" maxValue="4496133.5"/>
    </cacheField>
    <cacheField name="Y1 PV NEIs" numFmtId="164">
      <sharedItems containsString="0" containsBlank="1" containsNumber="1" containsInteger="1" minValue="0" maxValue="250000"/>
    </cacheField>
    <cacheField name="Recurring NEI Constant" numFmtId="164">
      <sharedItems containsString="0" containsBlank="1" containsNumber="1" minValue="0" maxValue="2.1752617543823201"/>
    </cacheField>
    <cacheField name="Recurring NEIs" numFmtId="164">
      <sharedItems containsString="0" containsBlank="1" containsNumber="1" minValue="0" maxValue="286809.25896166638"/>
    </cacheField>
    <cacheField name="UOM" numFmtId="0">
      <sharedItems containsBlank="1"/>
    </cacheField>
    <cacheField name="Savings Source" numFmtId="0">
      <sharedItems containsBlank="1" count="29">
        <s v="ResConnectedTstats_v3_1"/>
        <s v="ResMHNewHomesHVAC_v5_1"/>
        <s v="ResRefrigeratorsAndFreezers_v6_1"/>
        <s v="ResClothesWashers_v8_1"/>
        <s v="ResClothesDryer_v5_1"/>
        <s v="2023 Evlauation"/>
        <s v="ResSFWx_v6_2"/>
        <s v="Avista"/>
        <s v="ResDuctSealingMH_v4_1"/>
        <s v="ResElectronicLineVoltageTStats_v5_3"/>
        <s v="ResMFWeatherization_v6_1"/>
        <s v="ResDoorSweep_v2_1"/>
        <s v="2023 Evaluation Results"/>
        <s v="Bidgely"/>
        <s v="Ind_and_AG_GreenMotorRewind_v5_2"/>
        <s v="https://www.theboc.info/why-boc/energy-savings-evaluation-reports/"/>
        <s v="ComConnectedThermostas_v2.1"/>
        <s v="ComClothesWashers_v7_1"/>
        <s v="Edo Estimate"/>
        <s v="ComGroceryDisplayCaseLighting_v4_2"/>
        <m/>
        <s v="ResMFWeatherization_v5_0" u="1"/>
        <s v="ResMHWeatherization_v_7_1" u="1"/>
        <s v="ResSFWx_v6_1" u="1"/>
        <s v="ResDoorSweep_v2_0" u="1"/>
        <s v="ResMFExistingDHP_v2_0" u="1"/>
        <s v="ResSF&amp;MHExistingHVAC_v7_1" u="1"/>
        <s v="ResHPWH_v6_3" u="1"/>
        <s v="Energy Solution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glesby, Austin" refreshedDate="45590.59946435185" createdVersion="8" refreshedVersion="8" minRefreshableVersion="3" recordCount="178" xr:uid="{5405B954-D36A-44FC-9B5F-4D004330AFAF}">
  <cacheSource type="worksheet">
    <worksheetSource ref="A1:R1048576" sheet="Core Data"/>
  </cacheSource>
  <cacheFields count="18">
    <cacheField name="Measure Description" numFmtId="0">
      <sharedItems containsBlank="1"/>
    </cacheField>
    <cacheField name="Est Units" numFmtId="3">
      <sharedItems containsString="0" containsBlank="1" containsNumber="1" containsInteger="1" minValue="0" maxValue="65843"/>
    </cacheField>
    <cacheField name="Elec Measure Type" numFmtId="0">
      <sharedItems containsBlank="1"/>
    </cacheField>
    <cacheField name="Therm Savings Type" numFmtId="0">
      <sharedItems containsBlank="1"/>
    </cacheField>
    <cacheField name="Customer Incremental Cost" numFmtId="164">
      <sharedItems containsString="0" containsBlank="1" containsNumber="1" minValue="0" maxValue="4990992.1282000002"/>
    </cacheField>
    <cacheField name="Y1 KWh Savings" numFmtId="4">
      <sharedItems containsString="0" containsBlank="1" containsNumber="1" minValue="0" maxValue="11358653"/>
    </cacheField>
    <cacheField name="Y1 Therm Savings" numFmtId="4">
      <sharedItems containsString="0" containsBlank="1" containsNumber="1" minValue="0" maxValue="150"/>
    </cacheField>
    <cacheField name="Measure Life" numFmtId="1">
      <sharedItems containsString="0" containsBlank="1" containsNumber="1" containsInteger="1" minValue="1" maxValue="45"/>
    </cacheField>
    <cacheField name="Incentive" numFmtId="164">
      <sharedItems containsString="0" containsBlank="1" containsNumber="1" minValue="0" maxValue="4496133.5"/>
    </cacheField>
    <cacheField name="Y1 PV NEIs" numFmtId="164">
      <sharedItems containsString="0" containsBlank="1" containsNumber="1" containsInteger="1" minValue="0" maxValue="250000"/>
    </cacheField>
    <cacheField name="Recurring NEI Constant" numFmtId="164">
      <sharedItems containsString="0" containsBlank="1" containsNumber="1" minValue="0" maxValue="2.1752617543823201"/>
    </cacheField>
    <cacheField name="Recurring NEIs" numFmtId="164">
      <sharedItems containsString="0" containsBlank="1" containsNumber="1" minValue="0" maxValue="286809.25896166638"/>
    </cacheField>
    <cacheField name="UOM" numFmtId="0">
      <sharedItems containsBlank="1"/>
    </cacheField>
    <cacheField name="Savings Source" numFmtId="0">
      <sharedItems containsBlank="1" count="29">
        <s v="ResConnectedTstats_v3_1"/>
        <s v="ResMHNewHomesHVAC_v5_1"/>
        <s v="ResRefrigeratorsAndFreezers_v6_1"/>
        <s v="ResClothesWashers_v8_1"/>
        <s v="ResClothesDryer_v5_1"/>
        <s v="2023 Evlauation"/>
        <s v="ResSFWx_v6_2"/>
        <s v="Avista"/>
        <s v="ResDuctSealingMH_v4_1"/>
        <s v="ResElectronicLineVoltageTStats_v5_3"/>
        <s v="ResMFWeatherization_v6_1"/>
        <s v="ResDoorSweep_v2_1"/>
        <s v="2023 Evaluation Results"/>
        <s v="Bidgely"/>
        <s v="Ind_and_AG_GreenMotorRewind_v5_2"/>
        <s v="https://www.theboc.info/why-boc/energy-savings-evaluation-reports/"/>
        <s v="ComConnectedThermostas_v2.1"/>
        <s v="ComClothesWashers_v7_1"/>
        <s v="Edo Estimate"/>
        <s v="ComGroceryDisplayCaseLighting_v4_2"/>
        <m/>
        <s v="ResMFWeatherization_v5_0" u="1"/>
        <s v="ResMHWeatherization_v_7_1" u="1"/>
        <s v="ResSFWx_v6_1" u="1"/>
        <s v="ResDoorSweep_v2_0" u="1"/>
        <s v="ResMFExistingDHP_v2_0" u="1"/>
        <s v="ResSF&amp;MHExistingHVAC_v7_1" u="1"/>
        <s v="ResHPWH_v6_3" u="1"/>
        <s v="Energy Solutions" u="1"/>
      </sharedItems>
    </cacheField>
    <cacheField name="RTF Workbook Row Name" numFmtId="0">
      <sharedItems containsBlank="1"/>
    </cacheField>
    <cacheField name="Third Party Costs" numFmtId="164">
      <sharedItems containsString="0" containsBlank="1" containsNumber="1" minValue="0" maxValue="674353.06499999994"/>
    </cacheField>
    <cacheField name="Sector" numFmtId="0">
      <sharedItems containsBlank="1" count="5">
        <s v="Residential"/>
        <s v="Low Income"/>
        <s v="NCIF"/>
        <s v="Non-Residential"/>
        <m/>
      </sharedItems>
    </cacheField>
    <cacheField name="Sub-Sec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glesby, Austin" refreshedDate="45590.599464467596" createdVersion="8" refreshedVersion="8" minRefreshableVersion="3" recordCount="165" xr:uid="{A6524CEE-FAFC-4F40-AD47-C82CD7F831F7}">
  <cacheSource type="worksheet">
    <worksheetSource ref="A1:AG166" sheet="Core Data"/>
  </cacheSource>
  <cacheFields count="33">
    <cacheField name="Measure Description" numFmtId="0">
      <sharedItems/>
    </cacheField>
    <cacheField name="Est Units" numFmtId="3">
      <sharedItems containsSemiMixedTypes="0" containsString="0" containsNumber="1" containsInteger="1" minValue="0" maxValue="65843"/>
    </cacheField>
    <cacheField name="Elec Measure Type" numFmtId="0">
      <sharedItems/>
    </cacheField>
    <cacheField name="Therm Savings Type" numFmtId="0">
      <sharedItems/>
    </cacheField>
    <cacheField name="Customer Incremental Cost" numFmtId="164">
      <sharedItems containsSemiMixedTypes="0" containsString="0" containsNumber="1" minValue="0" maxValue="4990992.1282000002"/>
    </cacheField>
    <cacheField name="Y1 KWh Savings" numFmtId="4">
      <sharedItems containsSemiMixedTypes="0" containsString="0" containsNumber="1" minValue="0" maxValue="11358653"/>
    </cacheField>
    <cacheField name="Y1 Therm Savings" numFmtId="4">
      <sharedItems containsSemiMixedTypes="0" containsString="0" containsNumber="1" minValue="0" maxValue="150"/>
    </cacheField>
    <cacheField name="Measure Life" numFmtId="1">
      <sharedItems containsSemiMixedTypes="0" containsString="0" containsNumber="1" containsInteger="1" minValue="1" maxValue="45"/>
    </cacheField>
    <cacheField name="Incentive" numFmtId="164">
      <sharedItems containsSemiMixedTypes="0" containsString="0" containsNumber="1" minValue="0" maxValue="4496133.5"/>
    </cacheField>
    <cacheField name="Y1 PV NEIs" numFmtId="164">
      <sharedItems containsSemiMixedTypes="0" containsString="0" containsNumber="1" containsInteger="1" minValue="0" maxValue="250000"/>
    </cacheField>
    <cacheField name="Recurring NEI Constant" numFmtId="164">
      <sharedItems containsSemiMixedTypes="0" containsString="0" containsNumber="1" minValue="0" maxValue="2.1752617543823201"/>
    </cacheField>
    <cacheField name="Recurring NEIs" numFmtId="164">
      <sharedItems containsSemiMixedTypes="0" containsString="0" containsNumber="1" minValue="0" maxValue="286809.25896166638"/>
    </cacheField>
    <cacheField name="UOM" numFmtId="0">
      <sharedItems/>
    </cacheField>
    <cacheField name="Savings Source" numFmtId="0">
      <sharedItems/>
    </cacheField>
    <cacheField name="RTF Workbook Row Name" numFmtId="0">
      <sharedItems containsBlank="1"/>
    </cacheField>
    <cacheField name="Third Party Costs" numFmtId="164">
      <sharedItems containsSemiMixedTypes="0" containsString="0" containsNumber="1" minValue="0" maxValue="674353.06499999994"/>
    </cacheField>
    <cacheField name="Sector" numFmtId="0">
      <sharedItems count="4">
        <s v="Residential"/>
        <s v="Low Income"/>
        <s v="NCIF"/>
        <s v="Non-Residential"/>
      </sharedItems>
    </cacheField>
    <cacheField name="Sub-Sector" numFmtId="0">
      <sharedItems count="29">
        <s v="HVAC"/>
        <s v="ENERGY Star Homes"/>
        <s v="Appliances"/>
        <s v="Shell"/>
        <s v="Multi-Family Weatherization"/>
        <s v="Low Income"/>
        <s v="MEEP Program"/>
        <s v="Residential Midstream"/>
        <s v="NCIF"/>
        <s v="On-Bill Repayment"/>
        <s v="Interior Lighting"/>
        <s v="Exterior Lighting"/>
        <s v="HERs"/>
        <s v="Home Energy Audit"/>
        <s v="Direct Install Lighting"/>
        <s v="Site Specific"/>
        <s v="Non-Residential Shell"/>
        <s v="Green Motors"/>
        <s v="Building Operator Certification"/>
        <s v="Compressed Air"/>
        <s v="Variable Frequency Drive"/>
        <s v="Appliance"/>
        <s v="Pay for Performance"/>
        <s v="Active Energy Management"/>
        <s v="Clean Buildings Accelerator"/>
        <s v="Non-Residential Midstream"/>
        <s v="Residential Precriptive" u="1"/>
        <s v="Always On" u="1"/>
        <s v="Multi-Family Program" u="1"/>
      </sharedItems>
    </cacheField>
    <cacheField name="Total kWh" numFmtId="166">
      <sharedItems containsSemiMixedTypes="0" containsString="0" containsNumber="1" minValue="0" maxValue="11358653"/>
    </cacheField>
    <cacheField name="Total Therms" numFmtId="166">
      <sharedItems containsSemiMixedTypes="0" containsString="0" containsNumber="1" minValue="0" maxValue="1500"/>
    </cacheField>
    <cacheField name="Total CIC" numFmtId="165">
      <sharedItems containsSemiMixedTypes="0" containsString="0" containsNumber="1" minValue="0" maxValue="4990992.1282000002"/>
    </cacheField>
    <cacheField name="Total NEI" numFmtId="165">
      <sharedItems containsSemiMixedTypes="0" containsString="0" containsNumber="1" minValue="0" maxValue="3552406.6356843244"/>
    </cacheField>
    <cacheField name="Total Incentive" numFmtId="165">
      <sharedItems containsSemiMixedTypes="0" containsString="0" containsNumber="1" minValue="0" maxValue="4496133.5"/>
    </cacheField>
    <cacheField name="Elec AC Constant" numFmtId="44">
      <sharedItems containsSemiMixedTypes="0" containsString="0" containsNumber="1" minValue="0.13034168090927176" maxValue="2.613850243840278"/>
    </cacheField>
    <cacheField name="Gas AC Constant" numFmtId="44">
      <sharedItems containsSemiMixedTypes="0" containsString="0" containsNumber="1" minValue="2.0751542657607067" maxValue="21.866298478700472"/>
    </cacheField>
    <cacheField name="Total AC" numFmtId="44">
      <sharedItems containsSemiMixedTypes="0" containsString="0" containsNumber="1" minValue="0" maxValue="11314689.950973511"/>
    </cacheField>
    <cacheField name="NIUC" numFmtId="44">
      <sharedItems containsSemiMixedTypes="0" containsString="0" containsNumber="1" minValue="0" maxValue="3308286.8641571756"/>
    </cacheField>
    <cacheField name="Sub TRC" numFmtId="43">
      <sharedItems containsSemiMixedTypes="0" containsString="0" containsNumber="1" minValue="0" maxValue="205513.80883082363"/>
    </cacheField>
    <cacheField name="Sub UCT" numFmtId="43">
      <sharedItems containsSemiMixedTypes="0" containsString="0" containsNumber="1" minValue="0" maxValue="3.352165459625529"/>
    </cacheField>
    <cacheField name="Electric Savings Total" numFmtId="44">
      <sharedItems containsSemiMixedTypes="0" containsString="0" containsNumber="1" minValue="0" maxValue="11356572.373902658"/>
    </cacheField>
    <cacheField name="Gas Savings Total" numFmtId="44">
      <sharedItems containsSemiMixedTypes="0" containsString="0" containsNumber="1" minValue="0" maxValue="17607.779224582187"/>
    </cacheField>
    <cacheField name="Energy Savings Total" numFmtId="44">
      <sharedItems containsSemiMixedTypes="0" containsString="0" containsNumber="1" minValue="0" maxValue="11356572.373902658"/>
    </cacheField>
    <cacheField name="Total Budget" numFmtId="44">
      <sharedItems containsSemiMixedTypes="0" containsString="0" containsNumber="1" minValue="0" maxValue="6450973.37617761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glesby, Austin" refreshedDate="45590.599464583334" createdVersion="8" refreshedVersion="8" minRefreshableVersion="3" recordCount="178" xr:uid="{1FFB09C4-8F3B-443E-AC3D-E6B68EE51FBD}">
  <cacheSource type="worksheet">
    <worksheetSource ref="A1:AG1048576" sheet="Core Data"/>
  </cacheSource>
  <cacheFields count="33">
    <cacheField name="Measure Description" numFmtId="0">
      <sharedItems containsBlank="1" count="260">
        <s v="Smart Thermostats - DIY"/>
        <s v="Energy Star Homes - Manufactured, Electric, Dual Fuel"/>
        <s v="Standard Size Refrigerator and Refrigerator-Freezer - Side-mounted Freezer - Energy Star"/>
        <s v="Standard Size Freezer - Upright - Energy Star"/>
        <s v="Energy Star Washer"/>
        <s v="Energy Star Dryer"/>
        <s v="Insulated Door R2.5-R5 HZ2 Zonal (ENERGY STAR Rated or Insulated R5)"/>
        <s v="Wall Insulation"/>
        <s v="Attic &lt;R11-R49/R38"/>
        <s v="Floor &lt;R11-R19"/>
        <s v="Floor &lt;R11 to R30"/>
        <s v="NEEM Certified Home"/>
        <s v="Windows - Single Pane to "/>
        <s v="Sliding Glass Door"/>
        <s v="Windows - DIY"/>
        <s v="Sliding Glass Door - DIY"/>
        <s v="Storm Windows"/>
        <s v="Storm Windows - DIY"/>
        <s v="Duct Sealing - MH_AnyHZ_ElectricHVAC"/>
        <s v="Line Voltage Communicating Thermostat"/>
        <s v="Smart Thermostats - Contractor Installed"/>
        <s v="Floor R0-R19"/>
        <s v="Floor R0 to R30"/>
        <s v="Windows - Single to U30 "/>
        <s v="Windows - Double to U30 "/>
        <s v="Windows - Single to U30 - DIY"/>
        <s v="Windows - Double to U30 - DIY"/>
        <s v="Sliding Glass Door DIY"/>
        <s v="Storm Windows - Single to U22"/>
        <s v="Storm Windows - Double to U22"/>
        <s v="Storm Windows - Single to U22 - DIY"/>
        <s v="Storm Windows - Double to U22 - DIY"/>
        <s v="Air Infiltration - Electric"/>
        <s v="Energy Star Rated Refrigerator"/>
        <s v="Windows"/>
        <s v="Airsource Heat Pump"/>
        <s v="Attic Insulation"/>
        <s v="Duct Insulation"/>
        <s v="Floor Insulation"/>
        <s v="Duct Sealing"/>
        <s v="Ductless Heat Pump (single Head) (w FAF)"/>
        <s v="Ductless Heat Pump (single head) (displace zonal)"/>
        <s v="Tier2-3 HPWH"/>
        <s v="Conversion to Airsource Heat Pump"/>
        <s v="HHS"/>
        <s v="Outreach LEDs"/>
        <s v="DoorSweep - CFM50 reduction - Leave Behind"/>
        <s v="MEEP Program"/>
        <s v="Heat Pump Water Heaters"/>
        <s v="Split Unitary Equipment"/>
        <s v="Named Community Projects"/>
        <s v="On Bill Repayment"/>
        <s v="T12/T8 (2') Lamp to 1-Lamp less than 13 watt T8 TLED"/>
        <s v="T12/T8 (3') Lamp to 1-Lamp less than 17 watt T8 TLED"/>
        <s v="T12/T8 (4') Lamp to 1-Lamp less than 23 watt T8 TLED"/>
        <s v="T12/T8 Eight-Foot to LED"/>
        <s v="T12/T8 U-Bend to less than 23 watt T8 LED"/>
        <s v="T5 Lamp to 1-Lamp less than 18 watt T5 TLED"/>
        <s v="T5HO Lamp to 1-Lamp less than 29 watt T5HO TLED"/>
        <s v="TLED (4') Lamp to TLED (4') Lamp with 5 watt or more reduction"/>
        <s v="TLED (4') Lamp to TLED (4') Lamp with 3-4 watt reduction"/>
        <s v="Four Pin Base CFL to 17 watt or less Plug in LED"/>
        <s v="20-50 watt MR16 to MR16 LED 2-9 watt"/>
        <s v="2-Lamp T12/T8 Fixture to LED Qualified 1x4 Fixture"/>
        <s v="2-Lamp T12/T8 Fixture to LED Qualified 2x2 Fixture"/>
        <s v="2, 3, 4-Lamp T12/T8 Fixture to LED Qualified 2x4 Fixture"/>
        <s v="T12/T8 8' Fixture to 90 watt or less 8' LED fixture"/>
        <s v="T5HO (4') 4-Lamp to 135 watt of less LED Fixture"/>
        <s v="T5HO (4') 6-Lamp to 165 watt of less LED Fixture"/>
        <s v="T5HO (4') 8-Lamp to 250 watt of less LED Fixture NEW"/>
        <s v="&gt;= 42W CFL to &lt;= 20W LED Fixture"/>
        <s v="65W Incadescent to &lt;= 10 watt LED Fixture"/>
        <s v="75-100 watt Incandescent Can to less than 20 watt LED Fixture Retrofit"/>
        <s v="&gt;= 150W Incandescent to &lt;= 30W LED Fixture"/>
        <s v="175-watt HID Fixture to 75-watt or less LED Fixture"/>
        <s v="250-watt HID Fixture to 140-watt or less LED Fixture"/>
        <s v="400 watt HID Fixture to 175 watt or less LED Fixture"/>
        <s v="1000 watt HID Fixture to 400 watt or less LED Fixture"/>
        <s v="Wall Switch Occupancy Sensor"/>
        <s v="Ceiling or Fixture Occupancy sensor with built-in relays"/>
        <s v="DLC Qualified LLLC Fixture"/>
        <s v="70-89 watt HID Fixture to 25 watt or less LED Fixture or Retrofit (Ext)"/>
        <s v="90-100 watt HID Fixture to 30 watt or less LED Fixture or Retrofit (Ext)"/>
        <s v="150 watt HID Fixture to 50 watt or less LED Fixture or Retrofit (Ext)"/>
        <s v="175 watt HID Fixture to 100 watt or less LED Fixture or Retrofit (Ext)"/>
        <s v="200 watt HID Fixture to 140 watt or less LED Fixture or Retrofit (Ext)"/>
        <s v="250 watt HID Fixture to 140 watt or less LED Fixture or Retrofit (Ext)"/>
        <s v="320 watt HID Fixture to 160 watt or less LED Fixture or Retrofit (Ext)"/>
        <s v="400 watt HID Fixture to 175 watt or less LED Fixture or Retrofit (Ext)"/>
        <s v="575 watt HID Fixture to 300 watt or less LED Fixture or Retrofit (Ext)"/>
        <s v="750 watt HID Fixture to 300 watt or less LED Fixture or Retrofit (Ext)"/>
        <s v="1000 watt HID Fixture to 400 watt or less LED Fixture or Retrofit (Ext)"/>
        <s v="1500 watt HID Fixture to 600 watt or less LED Fixture or Retrofit (Ext)"/>
        <s v="175 watt HID Fixture to 100 watt or less LED Fixture (Ext, NC)"/>
        <s v="250 watt HID Fixture to 140 watt or less LED Fixture (Ext, NC)"/>
        <s v="320 and 400 watt HID Fixture to 160 or less watt LED Fixture (Ext, NC)"/>
        <s v="Sign Lighting"/>
        <s v="T12/T8 Fluorescent to TLED "/>
        <s v="HERs"/>
        <s v="Home Energy Audit"/>
        <s v="Direct Install Lighting"/>
        <s v="Site Specific Other"/>
        <s v="Site Specific Lighting"/>
        <s v="Less than R11 attic insulation (E/E) to R30-R44 Attic Insulation"/>
        <s v="Less than R11 roof insulation (E/E) to R30+ Roof Insulation"/>
        <s v="Less than R4 wall insulation (E/E) to R11-R18 Wall Insulation"/>
        <s v="Less than R4 wall insulation (E/E) to R19+ Wall Insulation"/>
        <s v="Green Motors Program Rewind:  Motor size 15HP, Industrial"/>
        <s v="Green Motors Program Rewind:  Motor size 25HP, Industrial"/>
        <s v="Green Motors Program Rewind:  Motor size 30HP, Industrial"/>
        <s v="Green Motors Program Rewind:  Motor size 40HP, Industrial"/>
        <s v="Green Motors Program Rewind:  Motor size 50HP, Industrial"/>
        <s v="Green Motors Program Rewind:  Motor size 60HP, Industrial"/>
        <s v="Green Motors Program Rewind:  Motor size 75HP, Industrial"/>
        <s v="Green Motors Program Rewind:  Motor size 100HP, Industrial"/>
        <s v="Green Motors Program Rewind:  Motor size 125HP, Industrial"/>
        <s v="Green Motors Program Rewind:  Motor size 150HP, Industrial"/>
        <s v="Green Motors Program Rewind:  Motor size 200HP, Industrial"/>
        <s v="Green Motors Program Rewind:  Motor size 250HP, Industrial"/>
        <s v="Green Motors Program Rewind:  Motor size 300HP, Industrial"/>
        <s v="Green Motors Program Rewind:  Motor size 350HP, Industrial"/>
        <s v="Green Motors Program Rewind:  Motor size 400HP, Industrial"/>
        <s v="Green Motors Program Rewind:  Motor size 450HP, Industrial"/>
        <s v="Green Motors Program Rewind:  Motor size 500HP, Industrial"/>
        <s v="Green Motors Program Rewind:  Motor size 600HP, Industrial"/>
        <s v="Green Motors Program Rewind:  Motor size 700HP, Industrial"/>
        <s v="Green Motors Program Rewind:  Motor size 800HP, Industrial"/>
        <s v="Green Motors Program Rewind:  Motor size 900HP, Industrial"/>
        <s v="Green Motors Program Rewind:  Motor size 1000HP, Industrial"/>
        <s v="Green Motors Program Rewind:  Motor size 1250HP, Industrial"/>
        <s v="Green Motors Program Rewind:  Motor size 1500HP, Industrial"/>
        <s v="Green Motors Program Rewind:  Motor size 1750HP, Industrial"/>
        <s v="Green Motors Program Rewind:  Motor size 2000HP, Industrial"/>
        <s v="Green Motors Program Rewind:  Motor size 2250HP, Industrial"/>
        <s v="Green Motors Program Rewind:  Motor size 2500HP, Industrial"/>
        <s v="Green Motors Program Rewind:  Motor size 3000HP, Industrial"/>
        <s v="Green Motors Program Rewind:  Motor size 3500HP, Industrial"/>
        <s v="Green Motors Program Rewind:  Motor size 4000HP, Industrial"/>
        <s v="Green Motors Program Rewind:  Motor size 4500HP, Industrial"/>
        <s v="Green Motors Program Rewind:  Motor size 5000HP, Industrial"/>
        <s v="Building Operator Certification"/>
        <s v="Compressed Air"/>
        <s v="Prescriptive VFDs - HVAC Cooling Pump"/>
        <s v="Prescriptive VFDS - HVAC Heating Pump or combo"/>
        <s v="nongrocery_HZ2_resistanceheat_yescooling_Installation and initial programming"/>
        <s v="nongrocery_HZ2_heatpumpheat_yescooling_Installation and initial programming"/>
        <s v="nongrocery_HZ2_resistanceheat_nocooling_Installation and initial programming"/>
        <s v="nongrocery_HZ2_heatpumpheat_nocooling_Installation and initial programming"/>
        <s v="Multi-family_Electric Dryer_Electric Hot Water_Front-load_ENERGY STAR"/>
        <s v="Multi-family_Electric Dryer_Gas Hot Water_Front-load_ENERGY STAR"/>
        <s v="Multi-family_Any Dryer and Hot Water Fuels_Front-load_ENERGY STAR"/>
        <s v="Pay for Performance"/>
        <s v="Active Energy Management"/>
        <s v="Clean Buildings Accelerator"/>
        <s v="Convection Oven"/>
        <s v="Dishwasher"/>
        <s v="Ice Machine"/>
        <s v="Mini/Multi Split"/>
        <s v="Packaged Unitary Equipment"/>
        <s v="Water Source Heat Pump"/>
        <s v="MT Case: 2 T8 to 1 High Power LED Inside Lamp"/>
        <s v="MT Case: 2 T12 to 1 High Power LED Inside Lamp"/>
        <s v="LT Case: 2 T8 to 1 High Power LED Inside Lamp"/>
        <s v="LT Case: 2 T12 to 1 High Power LED Inside Lamp"/>
        <m/>
        <s v="Site Specific" u="1"/>
        <s v="Always on" u="1"/>
        <s v="Multifamily Program" u="1"/>
        <s v="Electrical Resistance_HZ2/3_Windows - Single Pane to Class 22 (per sf)" u="1"/>
        <s v="Electrical Resistance_HZ2/3_Windows - Double Pane to Class 22 (per sf)" u="1"/>
        <s v="Electrical Resistance_HZ2/3_Windows - Single Pane to Class 30 (per sf)" u="1"/>
        <s v="Electrical Resistance_HZ2/3_Windows - Double Pane to Class 30 (per sf)" u="1"/>
        <s v="Insulated Door_R2.5 - R5_HZ2_Zonal (Energy Star Rated or Insulated R5)" u="1"/>
        <s v="Windows - Single/Double to U30 " u="1"/>
        <s v="Windows - Single/Double to U30 - DIY" u="1"/>
        <s v="Storm Windows - Single/Double to U22" u="1"/>
        <s v="Storm Windows - Single/Double to U22 - DIY" u="1"/>
        <s v="89 to 25 watt fixture/lamp" u="1"/>
        <s v="90 to 30 watt fixture/lamp" u="1"/>
        <s v="150 to 50 watt fixture/lamp" u="1"/>
        <s v="175 to 100 watt fixture/lamp" u="1"/>
        <s v="250 to 140 watt fixture/lamp" u="1"/>
        <s v="320 to 160 watt fixture/lamp" u="1"/>
        <s v="400 to 175 watt fixture/lamp" u="1"/>
        <s v="575 to 300 watt fixture/lamp" u="1"/>
        <s v="750 to 300 watt fixture/lamp" u="1"/>
        <s v="1000 to 400 watt fixture/lamp" u="1"/>
        <s v="1500 to 600 watt fixture/lamp" u="1"/>
        <s v="100 watt NC fixture " u="1"/>
        <s v="140 watt NC fixture" u="1"/>
        <s v="160 watt NC fixture" u="1"/>
        <s v="Networked Lighting Controls " u="1"/>
        <s v="T12/T8 Tubular Fluorescent " u="1"/>
        <s v="200W Dig HID" u="1"/>
        <s v="T8 TLED 2'" u="1"/>
        <s v="T8 TLED 3'" u="1"/>
        <s v="T8 TLED 4'" u="1"/>
        <s v="T8 TLED 8' " u="1"/>
        <s v="U-Bend" u="1"/>
        <s v="T5 TLED 4'" u="1"/>
        <s v="T5HO TLED" u="1"/>
        <s v="TLED to TLED " u="1"/>
        <s v="CFL to CFLED" u="1"/>
        <s v="1x4 fixture" u="1"/>
        <s v="2x2 fixtures" u="1"/>
        <s v="2x4 fixtures" u="1"/>
        <s v="T8 8' strip fixture " u="1"/>
        <s v="4LT5HO to 135W fixture " u="1"/>
        <s v="6LT5HO to 160W fixture " u="1"/>
        <s v="42W CFL to 20W LED Fixture retrofit" u="1"/>
        <s v="65W Incan to 20W LED Fixture Retrofit" u="1"/>
        <s v="75-100W Incan to 20W LED Fixture Retrofit" u="1"/>
        <s v="150W Incan to 30W LED Fixture Retrofit" u="1"/>
        <s v="175W to 75W fixture/Lamp" u="1"/>
        <s v="250W to 140W fixture/Lamp" u="1"/>
        <s v="400W to 175W fixture/Lamp" u="1"/>
        <s v="1000W to 400W fixture/Lamp" u="1"/>
        <s v="Occ Sensor Wall Switch " u="1"/>
        <s v="Occ Sensors Ceiling/Fixture Mount" u="1"/>
        <s v="LLLC Fixture - NLC" u="1"/>
        <s v="≤ 9 watt MR16 LED " u="1"/>
        <s v="TLED to TLED (&lt; 5W reduction)" u="1"/>
        <s v="Ductless Heat Pump 9.0 or greater with resistance Heat" u="1"/>
        <s v="Heat Pump Water Heater" u="1"/>
        <s v="grocery_HZ2_resistanceheat_yescooling_Installation and initial programming" u="1"/>
        <s v="grocery_HZ2_heatpumpheat_yescooling_Installation and initial programming" u="1"/>
        <s v="grocery_HZ2_resistanceheat_nocooling_Installation and initial programming" u="1"/>
        <s v="grocery_HZ2_heatpumpheat_nocooling_Installation and initial programming" u="1"/>
        <s v="Air-Cooled Heat Pump (Retrofit, AAHP065.1, Package)" u="1"/>
        <s v="Air-Cooled Heat Pump (Retrofit, AAHP065.2, Package)" u="1"/>
        <s v="Air-Cooled Heat Pump (Retrofit, AAHP065.3, Package)" u="1"/>
        <s v="Air-Cooled Heat Pump (Retrofit, APHP065.1, Package)" u="1"/>
        <s v="Air-Cooled Heat Pump (Retrofit, APHP065.2, Package)" u="1"/>
        <s v="Ductless Heat Pump (Retrofit, AAHP065.3)" u="1"/>
        <s v="Air-Cooled Heat Pump (New Construction, AAHP065.1, Package)" u="1"/>
        <s v="Air-Cooled Heat Pump (New Construction, AAHP065.2, Package)" u="1"/>
        <s v="Air-Cooled Heat Pump (New Construction, AAHP065.3, Package)" u="1"/>
        <s v="Air-Cooled Heat Pump (New Construction, APHP065.2, Package)" u="1"/>
        <s v="Air-Cooled Heat Pump (Retrofit, AASHP065.1, Split)" u="1"/>
        <s v="Air-Cooled Heat Pump (New Construction, ASHP065.2, Split)" u="1"/>
        <s v="Ductless Heat Pump (Retrofit, ADHP065.2)" u="1"/>
        <s v="Ductless Heat Pump (New Construction, AAHP065.3)" u="1"/>
        <s v="Ductless Heat Pump (New Construction, AAHP065.2)" u="1"/>
        <s v="Res Ductless Heat Pump" u="1"/>
        <s v="Heat Pump Water Heater (Retrofit)" u="1"/>
        <s v="Ductless Heat Pump (Retrofit, AAHP065.2)" u="1"/>
        <s v="Air-Cooled Heat Pump (Retrofit, AASHP065.2, Split)" u="1"/>
        <s v="Air-Cooled Heat Pump (Retrofit, ASHP065.1, Split)" u="1"/>
        <s v="Air-Cooled Heat Pump (Retrofit, ASHP065.2, Split)" u="1"/>
        <s v="Heat Pump Water Heater (New Constuction)" u="1"/>
        <s v="Ductless Heat Pump (Retrofit, ADHP065.1)" u="1"/>
        <s v="Air-Cooled Heat Pump (Retrofit, AASHP065.3, Split)" u="1"/>
        <s v="Commercial HVAC" u="1"/>
        <s v="Commercial HPWH" u="1"/>
        <s v="Ductless Heat Pump (Retrofit, AAHP065.1)" u="1"/>
        <s v="Air-Cooled Heat Pump (New Construction, AASHP065.2, Split)" u="1"/>
        <s v="Ductless Heat Pump (New Construction, ADHP065.2)" u="1"/>
        <s v="Commercial Foodservice" u="1"/>
        <s v="Ductless Heat Pump (New Construction, ADHP065.1)" u="1"/>
        <s v="Res HVAC" u="1"/>
      </sharedItems>
    </cacheField>
    <cacheField name="Est Units" numFmtId="3">
      <sharedItems containsString="0" containsBlank="1" containsNumber="1" containsInteger="1" minValue="0" maxValue="65843"/>
    </cacheField>
    <cacheField name="Elec Measure Type" numFmtId="0">
      <sharedItems containsBlank="1"/>
    </cacheField>
    <cacheField name="Therm Savings Type" numFmtId="0">
      <sharedItems containsBlank="1"/>
    </cacheField>
    <cacheField name="Customer Incremental Cost" numFmtId="164">
      <sharedItems containsString="0" containsBlank="1" containsNumber="1" minValue="0" maxValue="4990992.1282000002"/>
    </cacheField>
    <cacheField name="Y1 KWh Savings" numFmtId="4">
      <sharedItems containsString="0" containsBlank="1" containsNumber="1" minValue="0" maxValue="11358653"/>
    </cacheField>
    <cacheField name="Y1 Therm Savings" numFmtId="4">
      <sharedItems containsString="0" containsBlank="1" containsNumber="1" minValue="0" maxValue="150"/>
    </cacheField>
    <cacheField name="Measure Life" numFmtId="1">
      <sharedItems containsString="0" containsBlank="1" containsNumber="1" containsInteger="1" minValue="1" maxValue="45"/>
    </cacheField>
    <cacheField name="Incentive" numFmtId="164">
      <sharedItems containsString="0" containsBlank="1" containsNumber="1" minValue="0" maxValue="4496133.5"/>
    </cacheField>
    <cacheField name="Y1 PV NEIs" numFmtId="164">
      <sharedItems containsString="0" containsBlank="1" containsNumber="1" containsInteger="1" minValue="0" maxValue="250000"/>
    </cacheField>
    <cacheField name="Recurring NEI Constant" numFmtId="164">
      <sharedItems containsString="0" containsBlank="1" containsNumber="1" minValue="0" maxValue="2.1752617543823201"/>
    </cacheField>
    <cacheField name="Recurring NEIs" numFmtId="164">
      <sharedItems containsString="0" containsBlank="1" containsNumber="1" minValue="0" maxValue="286809.25896166638"/>
    </cacheField>
    <cacheField name="UOM" numFmtId="0">
      <sharedItems containsBlank="1"/>
    </cacheField>
    <cacheField name="Savings Source" numFmtId="0">
      <sharedItems containsBlank="1"/>
    </cacheField>
    <cacheField name="RTF Workbook Row Name" numFmtId="0">
      <sharedItems containsBlank="1"/>
    </cacheField>
    <cacheField name="Third Party Costs" numFmtId="164">
      <sharedItems containsString="0" containsBlank="1" containsNumber="1" minValue="0" maxValue="674353.06499999994"/>
    </cacheField>
    <cacheField name="Sector" numFmtId="0">
      <sharedItems containsBlank="1" count="5">
        <s v="Residential"/>
        <s v="Low Income"/>
        <s v="NCIF"/>
        <s v="Non-Residential"/>
        <m/>
      </sharedItems>
    </cacheField>
    <cacheField name="Sub-Sector" numFmtId="0">
      <sharedItems containsBlank="1" count="31">
        <s v="HVAC"/>
        <s v="ENERGY Star Homes"/>
        <s v="Appliances"/>
        <s v="Shell"/>
        <s v="Multi-Family Weatherization"/>
        <s v="Low Income"/>
        <s v="MEEP Program"/>
        <s v="Residential Midstream"/>
        <s v="NCIF"/>
        <s v="On-Bill Repayment"/>
        <s v="Interior Lighting"/>
        <s v="Exterior Lighting"/>
        <s v="HERs"/>
        <s v="Home Energy Audit"/>
        <s v="Direct Install Lighting"/>
        <s v="Site Specific"/>
        <s v="Non-Residential Shell"/>
        <s v="Green Motors"/>
        <s v="Building Operator Certification"/>
        <s v="Compressed Air"/>
        <s v="Variable Frequency Drive"/>
        <s v="Appliance"/>
        <s v="Pay for Performance"/>
        <s v="Active Energy Management"/>
        <s v="Clean Buildings Accelerator"/>
        <s v="Non-Residential Midstream"/>
        <s v="Grocer"/>
        <m/>
        <s v="Residential Precriptive" u="1"/>
        <s v="Always On" u="1"/>
        <s v="Multi-Family Program" u="1"/>
      </sharedItems>
    </cacheField>
    <cacheField name="Total kWh" numFmtId="0">
      <sharedItems containsString="0" containsBlank="1" containsNumber="1" minValue="0" maxValue="11358653"/>
    </cacheField>
    <cacheField name="Total Therms" numFmtId="0">
      <sharedItems containsString="0" containsBlank="1" containsNumber="1" minValue="0" maxValue="1500"/>
    </cacheField>
    <cacheField name="Total CIC" numFmtId="165">
      <sharedItems containsString="0" containsBlank="1" containsNumber="1" minValue="0" maxValue="4990992.1282000002"/>
    </cacheField>
    <cacheField name="Total NEI" numFmtId="165">
      <sharedItems containsString="0" containsBlank="1" containsNumber="1" minValue="0" maxValue="3552406.6356843244"/>
    </cacheField>
    <cacheField name="Total Incentive" numFmtId="165">
      <sharedItems containsString="0" containsBlank="1" containsNumber="1" minValue="0" maxValue="4496133.5"/>
    </cacheField>
    <cacheField name="Elec AC Constant" numFmtId="44">
      <sharedItems containsString="0" containsBlank="1" containsNumber="1" minValue="0.13034168090927176" maxValue="2.613850243840278"/>
    </cacheField>
    <cacheField name="Gas AC Constant" numFmtId="44">
      <sharedItems containsString="0" containsBlank="1" containsNumber="1" minValue="2.0751542657607067" maxValue="21.866298478700472"/>
    </cacheField>
    <cacheField name="Total AC" numFmtId="0">
      <sharedItems containsString="0" containsBlank="1" containsNumber="1" minValue="0" maxValue="11314689.950973511"/>
    </cacheField>
    <cacheField name="NIUC" numFmtId="0">
      <sharedItems containsString="0" containsBlank="1" containsNumber="1" minValue="0" maxValue="3308286.8641571756"/>
    </cacheField>
    <cacheField name="Sub TRC" numFmtId="43">
      <sharedItems containsString="0" containsBlank="1" containsNumber="1" minValue="0" maxValue="205513.80883082363"/>
    </cacheField>
    <cacheField name="Sub UCT" numFmtId="43">
      <sharedItems containsString="0" containsBlank="1" containsNumber="1" minValue="0" maxValue="3.352165459625529"/>
    </cacheField>
    <cacheField name="Electric Savings Total" numFmtId="0">
      <sharedItems containsString="0" containsBlank="1" containsNumber="1" minValue="0" maxValue="11356572.373902658"/>
    </cacheField>
    <cacheField name="Gas Savings Total" numFmtId="0">
      <sharedItems containsString="0" containsBlank="1" containsNumber="1" minValue="0" maxValue="17607.779224582187"/>
    </cacheField>
    <cacheField name="Energy Savings Total" numFmtId="0">
      <sharedItems containsString="0" containsBlank="1" containsNumber="1" minValue="0" maxValue="11356572.373902658"/>
    </cacheField>
    <cacheField name="Total Budget" numFmtId="0">
      <sharedItems containsString="0" containsBlank="1" containsNumber="1" minValue="0" maxValue="6450973.37617761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Smart Thermostats - DIY"/>
    <n v="0"/>
    <s v="Res Space Heat"/>
    <s v="Res Winter"/>
    <n v="222.03"/>
    <n v="474.10112359550561"/>
    <n v="0.20030713761100352"/>
    <n v="7"/>
    <n v="150"/>
    <n v="0"/>
    <n v="3.6176761872079799E-2"/>
    <n v="17.15144345160008"/>
    <s v="Unit"/>
    <x v="0"/>
  </r>
  <r>
    <s v="Energy Star Homes - Manufactured, Electric, Dual Fuel"/>
    <n v="10"/>
    <s v="Res Space Heat"/>
    <s v="Res Annual"/>
    <n v="2675.93"/>
    <n v="43"/>
    <n v="150"/>
    <n v="45"/>
    <n v="1000"/>
    <n v="0"/>
    <n v="0"/>
    <n v="0"/>
    <s v="Unit"/>
    <x v="1"/>
  </r>
  <r>
    <s v="Standard Size Refrigerator and Refrigerator-Freezer - Side-mounted Freezer - Energy Star"/>
    <n v="694"/>
    <s v="Res Refrigeration"/>
    <s v="Res Annual"/>
    <n v="106.88"/>
    <n v="49"/>
    <n v="2.0408163265306123"/>
    <n v="15"/>
    <n v="100"/>
    <n v="0"/>
    <n v="1.5603527910890102E-5"/>
    <n v="7.6457286763361495E-4"/>
    <s v="Unit"/>
    <x v="2"/>
  </r>
  <r>
    <s v="Standard Size Freezer - Upright - Energy Star"/>
    <n v="63"/>
    <s v="Res Refrigeration"/>
    <s v="Res Annual"/>
    <n v="72.239999999999995"/>
    <n v="20"/>
    <n v="2.5"/>
    <n v="22"/>
    <n v="50"/>
    <n v="0"/>
    <n v="1.5603527910890102E-5"/>
    <n v="3.1207055821780202E-4"/>
    <s v="Unit"/>
    <x v="2"/>
  </r>
  <r>
    <s v="Energy Star Washer"/>
    <n v="235"/>
    <s v="Res Washer Dryer"/>
    <s v="Res Annual"/>
    <n v="59"/>
    <n v="171.29"/>
    <n v="0.29190262128553918"/>
    <n v="14"/>
    <n v="50"/>
    <n v="0"/>
    <n v="0.13900000000000001"/>
    <n v="23.80931"/>
    <s v="Unit"/>
    <x v="3"/>
  </r>
  <r>
    <s v="Energy Star Dryer"/>
    <n v="435"/>
    <s v="Res Washer Dryer"/>
    <s v="Res Annual"/>
    <n v="411.53"/>
    <n v="318"/>
    <n v="0.15723270440251572"/>
    <n v="12"/>
    <n v="50"/>
    <n v="0"/>
    <n v="0.13900000000000001"/>
    <n v="44.202000000000005"/>
    <s v="Unit"/>
    <x v="4"/>
  </r>
  <r>
    <s v="Insulated Door R2.5-R5 HZ2 Zonal (ENERGY STAR Rated or Insulated R5)"/>
    <n v="2"/>
    <s v="Res Space Heat"/>
    <s v="Res Winter"/>
    <n v="371"/>
    <n v="800"/>
    <n v="0"/>
    <n v="45"/>
    <n v="100"/>
    <n v="0"/>
    <n v="0"/>
    <n v="0"/>
    <s v="Unit"/>
    <x v="5"/>
  </r>
  <r>
    <s v="Wall Insulation"/>
    <n v="19586"/>
    <s v="Res Space Heat"/>
    <s v="Res Winter"/>
    <n v="2.5168065892018188"/>
    <n v="1.4896786060150637"/>
    <n v="0"/>
    <n v="45"/>
    <n v="1.5"/>
    <n v="0"/>
    <n v="1.1851238867931199E-2"/>
    <n v="1.765453699633129E-2"/>
    <s v="SQFT"/>
    <x v="6"/>
  </r>
  <r>
    <s v="Attic &lt;R11-R49/R38"/>
    <n v="35242"/>
    <s v="Res Space Heat"/>
    <s v="Res Winter"/>
    <n v="1.3737162511552601"/>
    <n v="0.70954110122347303"/>
    <n v="0"/>
    <n v="45"/>
    <n v="1.5"/>
    <n v="0"/>
    <n v="1.0582984355072E-2"/>
    <n v="7.509062373528573E-3"/>
    <s v="SQFT"/>
    <x v="6"/>
  </r>
  <r>
    <s v="Floor &lt;R11-R19"/>
    <n v="800"/>
    <s v="Res Space Heat"/>
    <s v="Res Winter"/>
    <n v="1.86"/>
    <n v="0.46904069199999998"/>
    <n v="0"/>
    <n v="45"/>
    <n v="1"/>
    <n v="0"/>
    <n v="1.0582984355072E-2"/>
    <n v="4.9638503053281444E-3"/>
    <s v="SQFT"/>
    <x v="7"/>
  </r>
  <r>
    <s v="Floor &lt;R11 to R30"/>
    <n v="6000"/>
    <s v="Res Space Heat"/>
    <s v="Res Winter"/>
    <n v="1.68"/>
    <n v="0.161409779"/>
    <n v="0"/>
    <n v="45"/>
    <n v="1.5"/>
    <n v="0"/>
    <n v="1.0582984355072E-2"/>
    <n v="1.708197165912629E-3"/>
    <s v="SQFT"/>
    <x v="6"/>
  </r>
  <r>
    <s v="NEEM Certified Home"/>
    <n v="28"/>
    <s v="Res Space Heat"/>
    <s v="Res Annual"/>
    <n v="4428.42"/>
    <n v="3735.6"/>
    <n v="0.26769461398436661"/>
    <n v="43"/>
    <n v="1000"/>
    <n v="0"/>
    <n v="1.0582984355072E-2"/>
    <n v="39.53379635680696"/>
    <s v="Unit"/>
    <x v="1"/>
  </r>
  <r>
    <s v="Windows - Single Pane to "/>
    <n v="0"/>
    <s v="Res Space Heat"/>
    <s v="Res Winter"/>
    <n v="31.8"/>
    <n v="4.7300000000000004"/>
    <n v="0"/>
    <n v="45"/>
    <n v="10"/>
    <n v="0"/>
    <n v="1.8394725536443701E-4"/>
    <n v="8.7007051787378717E-4"/>
    <s v="SQFT"/>
    <x v="6"/>
  </r>
  <r>
    <s v="Sliding Glass Door"/>
    <n v="0"/>
    <s v="Res Space Heat"/>
    <s v="Res Winter"/>
    <n v="1272"/>
    <n v="189.20000000000002"/>
    <n v="0"/>
    <n v="45"/>
    <n v="400"/>
    <n v="0"/>
    <n v="1.8394725536443701E-4"/>
    <n v="3.4802820714951485E-2"/>
    <s v="SQFT"/>
    <x v="6"/>
  </r>
  <r>
    <s v="Windows - DIY"/>
    <n v="0"/>
    <s v="Res Space Heat"/>
    <s v="Res Winter"/>
    <n v="31.8"/>
    <n v="4.7300000000000004"/>
    <n v="0"/>
    <n v="45"/>
    <n v="5"/>
    <n v="0"/>
    <n v="5.5177029496346806E-2"/>
    <n v="0.2609873495177204"/>
    <s v="SQFT"/>
    <x v="6"/>
  </r>
  <r>
    <s v="Sliding Glass Door - DIY"/>
    <n v="0"/>
    <s v="Res Space Heat"/>
    <s v="Res Winter"/>
    <n v="1272"/>
    <n v="189.20000000000002"/>
    <n v="0"/>
    <n v="45"/>
    <n v="200"/>
    <n v="0"/>
    <n v="5.5177029496346806E-2"/>
    <n v="10.439493980708816"/>
    <s v="SQFT"/>
    <x v="6"/>
  </r>
  <r>
    <s v="Storm Windows"/>
    <n v="0"/>
    <s v="Res Space Heat"/>
    <s v="Res Winter"/>
    <n v="13.7938417954024"/>
    <n v="5.4661370093530302"/>
    <n v="0"/>
    <n v="20"/>
    <n v="5"/>
    <n v="0"/>
    <n v="1.8394725536443701E-4"/>
    <n v="1.0054809003164618E-3"/>
    <s v="SQFT"/>
    <x v="6"/>
  </r>
  <r>
    <s v="Storm Windows - DIY"/>
    <n v="0"/>
    <s v="Res Space Heat"/>
    <s v="Res Winter"/>
    <n v="13.7938417954024"/>
    <n v="5.4661370093530302"/>
    <n v="0"/>
    <n v="20"/>
    <n v="4"/>
    <n v="0"/>
    <n v="1.6572221127298301E-4"/>
    <n v="9.0586031231107433E-4"/>
    <s v="SQFT"/>
    <x v="6"/>
  </r>
  <r>
    <s v="Duct Sealing - MH_AnyHZ_ElectricHVAC"/>
    <n v="3"/>
    <s v="Res Space Heat"/>
    <s v="Res Winter"/>
    <n v="488.7"/>
    <n v="488.7"/>
    <n v="0"/>
    <n v="18"/>
    <n v="230.88884000000002"/>
    <n v="0"/>
    <n v="0"/>
    <n v="0"/>
    <s v="Unit"/>
    <x v="8"/>
  </r>
  <r>
    <s v="Line Voltage Communicating Thermostat"/>
    <n v="0"/>
    <s v="Res Space Heat"/>
    <s v="Res Winter"/>
    <n v="142.63"/>
    <n v="142.63"/>
    <n v="0"/>
    <n v="15"/>
    <n v="20"/>
    <n v="0"/>
    <n v="7.9687098923800298E-2"/>
    <n v="11.365770919501637"/>
    <s v="Unit"/>
    <x v="9"/>
  </r>
  <r>
    <s v="Smart Thermostats - DIY"/>
    <n v="0"/>
    <s v="Res Space Heat"/>
    <s v="Res Winter"/>
    <n v="222.03"/>
    <n v="222.03"/>
    <n v="0"/>
    <n v="7"/>
    <n v="150"/>
    <n v="0"/>
    <n v="3.6176761872079799E-2"/>
    <n v="8.0323264384578774"/>
    <s v="Unit"/>
    <x v="0"/>
  </r>
  <r>
    <s v="Smart Thermostats - Contractor Installed"/>
    <n v="0"/>
    <s v="Res Space Heat"/>
    <s v="Res Winter"/>
    <n v="222.03"/>
    <n v="222.03"/>
    <n v="0"/>
    <n v="7"/>
    <n v="200"/>
    <n v="0"/>
    <n v="3.5676488966641801E-2"/>
    <n v="7.9212508452634793"/>
    <s v="Unit"/>
    <x v="0"/>
  </r>
  <r>
    <s v="Attic &lt;R11-R49/R38"/>
    <n v="14261"/>
    <s v="Res Space Heat"/>
    <s v="Res Winter"/>
    <n v="1.19"/>
    <n v="1.19"/>
    <n v="0"/>
    <n v="45"/>
    <n v="1.5"/>
    <n v="0"/>
    <n v="0.17126164400424687"/>
    <n v="0.20380135636505375"/>
    <s v="Sq Ft"/>
    <x v="7"/>
  </r>
  <r>
    <s v="Floor R0-R19"/>
    <n v="0"/>
    <s v="Res Space Heat"/>
    <s v="Res Winter"/>
    <n v="1.9478912018971424"/>
    <n v="1.3023854988102705"/>
    <n v="0"/>
    <n v="45"/>
    <n v="1"/>
    <n v="0"/>
    <n v="0.26171897953706269"/>
    <n v="0.34085900371249239"/>
    <s v="Sq Ft"/>
    <x v="10"/>
  </r>
  <r>
    <s v="Floor R0 to R30"/>
    <n v="0"/>
    <s v="Res Space Heat"/>
    <s v="Res Winter"/>
    <n v="2.7493375167722496"/>
    <n v="1.7387289490161653"/>
    <n v="0"/>
    <n v="45"/>
    <n v="1.5"/>
    <n v="0"/>
    <n v="0.1941131841018737"/>
    <n v="0.33751021258363223"/>
    <s v="Sq Ft"/>
    <x v="10"/>
  </r>
  <r>
    <s v="Windows - Single to U30 "/>
    <n v="260"/>
    <s v="Res Space Heat"/>
    <s v="Res Winter"/>
    <n v="31.803566470010896"/>
    <n v="31.568913523447165"/>
    <n v="0"/>
    <n v="45"/>
    <n v="10"/>
    <n v="0"/>
    <n v="0.4567079784668403"/>
    <n v="14.417774677688051"/>
    <s v="Sq Ft"/>
    <x v="10"/>
  </r>
  <r>
    <s v="Windows - Double to U30 "/>
    <n v="187"/>
    <s v="Res Space Heat"/>
    <s v="Res Winter"/>
    <n v="31.803566470010896"/>
    <n v="17.313866707026396"/>
    <n v="0"/>
    <n v="45"/>
    <n v="10"/>
    <n v="0"/>
    <n v="0.4567079784668403"/>
    <n v="7.9073810632103543"/>
    <s v="Sq Ft"/>
    <x v="10"/>
  </r>
  <r>
    <s v="Sliding Glass Door"/>
    <n v="2"/>
    <s v="Res Space Heat"/>
    <s v="Res Winter"/>
    <n v="1272.1426588004358"/>
    <n v="692.5546682810558"/>
    <n v="0"/>
    <n v="45"/>
    <n v="400"/>
    <n v="0"/>
    <n v="0.4567079784668403"/>
    <n v="316.29524252841418"/>
    <s v="Sq Ft"/>
    <x v="7"/>
  </r>
  <r>
    <s v="Windows - Single to U30 - DIY"/>
    <n v="98"/>
    <s v="Res Space Heat"/>
    <s v="Res Winter"/>
    <n v="31.803566470010896"/>
    <n v="31.568913523447165"/>
    <n v="0"/>
    <n v="45"/>
    <n v="5"/>
    <n v="0"/>
    <n v="0.4567079784668403"/>
    <n v="14.417774677688051"/>
    <s v="Sq Ft"/>
    <x v="10"/>
  </r>
  <r>
    <s v="Windows - Double to U30 - DIY"/>
    <n v="103"/>
    <s v="Res Space Heat"/>
    <s v="Res Winter"/>
    <n v="31.803566470010896"/>
    <n v="17.313866707026396"/>
    <n v="0"/>
    <n v="45"/>
    <n v="5"/>
    <n v="0"/>
    <n v="0.4567079784668403"/>
    <n v="7.9073810632103543"/>
    <s v="Sq Ft"/>
    <x v="10"/>
  </r>
  <r>
    <s v="Sliding Glass Door DIY"/>
    <n v="2"/>
    <s v="Res Space Heat"/>
    <s v="Res Winter"/>
    <n v="1272.1426588004358"/>
    <n v="692.5546682810558"/>
    <n v="0"/>
    <n v="45"/>
    <n v="200"/>
    <n v="0"/>
    <n v="0.4567079784668403"/>
    <n v="316.29524252841418"/>
    <s v="Sq Ft"/>
    <x v="7"/>
  </r>
  <r>
    <s v="Storm Windows - Single to U22"/>
    <n v="0"/>
    <s v="Res Space Heat"/>
    <s v="Res Winter"/>
    <n v="13.793841795402404"/>
    <n v="31.900576478228739"/>
    <n v="0"/>
    <n v="20"/>
    <n v="5"/>
    <n v="0"/>
    <n v="1.0802246396835806"/>
    <n v="34.459788731893148"/>
    <s v="Sq Ft"/>
    <x v="10"/>
  </r>
  <r>
    <s v="Storm Windows - Double to U22"/>
    <n v="0"/>
    <s v="Res Space Heat"/>
    <s v="Res Winter"/>
    <n v="13.793841795402404"/>
    <n v="16.474888642234884"/>
    <n v="0"/>
    <n v="20"/>
    <n v="5"/>
    <n v="0"/>
    <n v="1.0802246396835806"/>
    <n v="17.796580647385291"/>
    <s v="Sq Ft"/>
    <x v="10"/>
  </r>
  <r>
    <s v="Storm Windows - Single to U22 - DIY"/>
    <n v="20"/>
    <s v="Res Space Heat"/>
    <s v="Res Winter"/>
    <n v="13.793841795402404"/>
    <n v="31.900576478228739"/>
    <n v="0"/>
    <n v="20"/>
    <n v="4"/>
    <n v="0"/>
    <n v="1.0802246396835806"/>
    <n v="34.459788731893148"/>
    <s v="Sq Ft"/>
    <x v="10"/>
  </r>
  <r>
    <s v="Storm Windows - Double to U22 - DIY"/>
    <n v="10"/>
    <s v="Res Space Heat"/>
    <s v="Res Winter"/>
    <n v="13.793841795402404"/>
    <n v="16.474888642234884"/>
    <n v="0"/>
    <n v="20"/>
    <n v="4"/>
    <n v="0"/>
    <n v="1.0802246396835806"/>
    <n v="17.796580647385291"/>
    <s v="Sq Ft"/>
    <x v="10"/>
  </r>
  <r>
    <s v="Air Infiltration - Electric"/>
    <n v="62"/>
    <s v="Res Space Heat"/>
    <s v="Res Winter"/>
    <n v="1612.9"/>
    <n v="802.88440000000003"/>
    <n v="0"/>
    <n v="15"/>
    <n v="1612.9"/>
    <n v="0"/>
    <n v="0.18999932132924399"/>
    <n v="152.54749110583728"/>
    <s v="Unit"/>
    <x v="7"/>
  </r>
  <r>
    <s v="Energy Star Rated Refrigerator"/>
    <n v="12"/>
    <s v="Res Space Heat"/>
    <s v="Res Winter"/>
    <n v="100.23"/>
    <n v="39"/>
    <n v="0"/>
    <n v="20"/>
    <n v="640.54999999999995"/>
    <n v="55"/>
    <n v="1.90514519585486E-5"/>
    <n v="7.430066263833954E-4"/>
    <s v="Unit"/>
    <x v="7"/>
  </r>
  <r>
    <s v="Windows"/>
    <n v="65843"/>
    <s v="Res Space Heat"/>
    <s v="Res Winter"/>
    <n v="9.9"/>
    <n v="6.04"/>
    <n v="0"/>
    <n v="45"/>
    <n v="20.45"/>
    <n v="0"/>
    <n v="0.12455658742864401"/>
    <n v="0.75232178806900984"/>
    <s v="SQFT"/>
    <x v="7"/>
  </r>
  <r>
    <s v="Airsource Heat Pump"/>
    <n v="41"/>
    <s v="Res Space Heat"/>
    <s v="Res Winter"/>
    <n v="7819.5"/>
    <n v="878.44"/>
    <n v="0"/>
    <n v="15"/>
    <n v="483.28384132419274"/>
    <n v="0"/>
    <n v="0.152990537929272"/>
    <n v="134.39300813858969"/>
    <s v="Unit"/>
    <x v="7"/>
  </r>
  <r>
    <s v="Attic Insulation"/>
    <n v="26385"/>
    <s v="Res Space Heat"/>
    <s v="Res Winter"/>
    <n v="1.76"/>
    <n v="0.56999999999999995"/>
    <n v="0"/>
    <n v="45"/>
    <n v="1.76"/>
    <n v="0"/>
    <n v="2.0176896710168628"/>
    <n v="1.1500831124796116"/>
    <s v="SQFT"/>
    <x v="7"/>
  </r>
  <r>
    <s v="Duct Insulation"/>
    <n v="17705"/>
    <s v="Res Space Heat"/>
    <s v="Res Winter"/>
    <n v="3.05"/>
    <n v="2.68"/>
    <n v="0"/>
    <n v="45"/>
    <n v="3.05"/>
    <n v="0"/>
    <n v="0.88951662591279201"/>
    <n v="2.3839045574462827"/>
    <s v="SQFT"/>
    <x v="7"/>
  </r>
  <r>
    <s v="Floor Insulation"/>
    <n v="24209"/>
    <s v="Res Space Heat"/>
    <s v="Res Winter"/>
    <n v="3.03"/>
    <n v="1.17"/>
    <n v="0"/>
    <n v="45"/>
    <n v="3.03"/>
    <n v="0"/>
    <n v="1.958369308265123"/>
    <n v="2.2912920906701939"/>
    <s v="SQFT"/>
    <x v="7"/>
  </r>
  <r>
    <s v="Wall Insulation"/>
    <n v="10729"/>
    <s v="Res Space Heat"/>
    <s v="Res Winter"/>
    <n v="2.17"/>
    <n v="2.3068759999999999"/>
    <n v="0"/>
    <n v="45"/>
    <n v="2.17"/>
    <n v="0"/>
    <n v="2.1752617543823201"/>
    <n v="5.0180591349024688"/>
    <s v="SQFT"/>
    <x v="7"/>
  </r>
  <r>
    <s v="Duct Sealing"/>
    <n v="4"/>
    <s v="Res Space Heat"/>
    <s v="Res Winter"/>
    <n v="654.20000000000005"/>
    <n v="709.93"/>
    <n v="0"/>
    <n v="20"/>
    <n v="654.20000000000005"/>
    <n v="0"/>
    <n v="0.39855351241470938"/>
    <n v="282.94509506857463"/>
    <s v="Unit"/>
    <x v="7"/>
  </r>
  <r>
    <s v="Ductless Heat Pump (single Head) (w FAF)"/>
    <n v="2"/>
    <s v="Res Space Heat"/>
    <s v="Res Winter"/>
    <n v="6286.7"/>
    <n v="3016.23"/>
    <n v="0"/>
    <n v="15"/>
    <n v="6286.7"/>
    <n v="0"/>
    <n v="0.115691808568313"/>
    <n v="348.95310375800273"/>
    <s v="Unit"/>
    <x v="7"/>
  </r>
  <r>
    <s v="Ductless Heat Pump (single head) (displace zonal)"/>
    <n v="2"/>
    <s v="Res Space Heat"/>
    <s v="Res Winter"/>
    <n v="6286.7"/>
    <n v="3016.23"/>
    <n v="0"/>
    <n v="15"/>
    <n v="6286.7"/>
    <n v="0"/>
    <n v="9.6951129305975603E-2"/>
    <n v="292.4269047465628"/>
    <s v="Unit"/>
    <x v="7"/>
  </r>
  <r>
    <s v="Tier2-3 HPWH"/>
    <n v="0"/>
    <s v="Res Water Heating"/>
    <s v="Res Annual"/>
    <n v="697.39"/>
    <n v="587.33000000000004"/>
    <n v="0"/>
    <n v="13"/>
    <n v="697.39"/>
    <n v="0"/>
    <n v="7.2573394824780604E-2"/>
    <n v="42.624531982438398"/>
    <s v="Unit"/>
    <x v="7"/>
  </r>
  <r>
    <s v="Conversion to Airsource Heat Pump"/>
    <n v="15"/>
    <s v="Res Space Heat"/>
    <s v="Res Winter"/>
    <n v="7819.5"/>
    <n v="7234.2980219999999"/>
    <n v="0"/>
    <n v="15"/>
    <n v="7819.5"/>
    <n v="0"/>
    <n v="0.111775809843256"/>
    <n v="808.61952005651494"/>
    <s v="Unit"/>
    <x v="7"/>
  </r>
  <r>
    <s v="HHS"/>
    <n v="1"/>
    <s v="Res Misc"/>
    <s v="Res Winter"/>
    <n v="1"/>
    <n v="1"/>
    <n v="0"/>
    <n v="1"/>
    <n v="1"/>
    <n v="250000"/>
    <n v="2.5793786734219101E-2"/>
    <n v="2.5793786734219101E-2"/>
    <s v="Unit"/>
    <x v="7"/>
  </r>
  <r>
    <s v="Outreach LEDs"/>
    <n v="30"/>
    <s v="Res Lighting"/>
    <s v="Res Annual"/>
    <n v="1.1000000000000001"/>
    <n v="9"/>
    <n v="0"/>
    <n v="13"/>
    <n v="1.1000000000000001"/>
    <n v="0"/>
    <n v="6.3892460096552306E-2"/>
    <n v="0.5750321408689707"/>
    <s v="Unit"/>
    <x v="7"/>
  </r>
  <r>
    <s v="DoorSweep - CFM50 reduction - Leave Behind"/>
    <n v="1"/>
    <s v="Res Space Heat"/>
    <s v="Res Winter"/>
    <n v="16.738486450182716"/>
    <n v="16.070522095305463"/>
    <n v="0"/>
    <n v="5"/>
    <n v="20"/>
    <n v="0"/>
    <n v="0.44043387578069898"/>
    <n v="7.0780023322547452"/>
    <s v="Unit"/>
    <x v="11"/>
  </r>
  <r>
    <s v="Storm Windows"/>
    <n v="0"/>
    <s v="Res Space Heat"/>
    <s v="Res Winter"/>
    <n v="10.47"/>
    <n v="6.17"/>
    <n v="0"/>
    <n v="20"/>
    <n v="10.47"/>
    <n v="0"/>
    <n v="0.46156657398244505"/>
    <n v="2.8478657614716858"/>
    <s v="SQFT"/>
    <x v="6"/>
  </r>
  <r>
    <s v="MEEP Program"/>
    <n v="1"/>
    <s v="Res Space Heat"/>
    <s v="Res Winter"/>
    <n v="57040.824871519762"/>
    <n v="103651"/>
    <n v="0"/>
    <n v="20"/>
    <n v="26949.232427313964"/>
    <n v="0"/>
    <n v="0.46000000000000008"/>
    <n v="47679.460000000006"/>
    <s v="Unit"/>
    <x v="7"/>
  </r>
  <r>
    <s v="Heat Pump Water Heaters"/>
    <n v="722"/>
    <s v="Res Space Heat"/>
    <s v="Res Winter"/>
    <n v="634.41"/>
    <n v="1613.0079365079366"/>
    <n v="0"/>
    <n v="13"/>
    <n v="212.30158730158729"/>
    <n v="0"/>
    <n v="2.6794872628757198E-3"/>
    <n v="4.3220342207904636"/>
    <s v="Unit"/>
    <x v="12"/>
  </r>
  <r>
    <s v="Split Unitary Equipment"/>
    <n v="2230"/>
    <s v="Res Water Heating"/>
    <s v="Res Winter"/>
    <n v="775.88"/>
    <n v="2023.5382308845578"/>
    <n v="0"/>
    <n v="15"/>
    <n v="425.71214392803597"/>
    <n v="0"/>
    <n v="6.1837538488303506E-2"/>
    <n v="125.13062323487743"/>
    <s v="Unit"/>
    <x v="12"/>
  </r>
  <r>
    <s v="Named Community Projects"/>
    <n v="1"/>
    <s v="Res Space Heat"/>
    <s v="Res Winter"/>
    <n v="2000000"/>
    <n v="0"/>
    <n v="0"/>
    <n v="12"/>
    <n v="2000000"/>
    <n v="0"/>
    <n v="0.46000000000000008"/>
    <n v="0"/>
    <s v="Unit"/>
    <x v="7"/>
  </r>
  <r>
    <s v="On Bill Repayment"/>
    <n v="0"/>
    <s v="Res Misc"/>
    <s v="Res Winter"/>
    <n v="228888.88888888888"/>
    <n v="257500"/>
    <n v="0"/>
    <n v="15"/>
    <n v="206000"/>
    <n v="0"/>
    <n v="0"/>
    <n v="0"/>
    <s v="Unit"/>
    <x v="7"/>
  </r>
  <r>
    <s v="T12/T8 (2') Lamp to 1-Lamp less than 13 watt T8 TLED"/>
    <n v="2000"/>
    <s v="NonRes Interior Lighting"/>
    <s v="Com Annual"/>
    <n v="18.817234087169748"/>
    <n v="26.325000000000003"/>
    <n v="0"/>
    <n v="12"/>
    <n v="6"/>
    <n v="0"/>
    <n v="2.6991026764868101E-2"/>
    <n v="0.71053877958515288"/>
    <s v="Unit"/>
    <x v="7"/>
  </r>
  <r>
    <s v="T12/T8 (3') Lamp to 1-Lamp less than 17 watt T8 TLED"/>
    <n v="200"/>
    <s v="NonRes Interior Lighting"/>
    <s v="Com Annual"/>
    <n v="19.216742047807266"/>
    <n v="38.564897959183668"/>
    <n v="0"/>
    <n v="12"/>
    <n v="10"/>
    <n v="0"/>
    <n v="2.6991026764868101E-2"/>
    <n v="1.0409061930007335"/>
    <s v="Unit"/>
    <x v="7"/>
  </r>
  <r>
    <s v="T12/T8 (4') Lamp to 1-Lamp less than 23 watt T8 TLED"/>
    <n v="17500"/>
    <s v="NonRes Interior Lighting"/>
    <s v="Com Annual"/>
    <n v="21.178934796493305"/>
    <n v="52.675244395953186"/>
    <n v="0"/>
    <n v="12"/>
    <n v="12"/>
    <n v="0"/>
    <n v="2.6991026764868101E-2"/>
    <n v="1.4217589313371408"/>
    <s v="Unit"/>
    <x v="7"/>
  </r>
  <r>
    <s v="T12/T8 Eight-Foot to LED"/>
    <n v="700"/>
    <s v="NonRes Interior Lighting"/>
    <s v="Com Annual"/>
    <n v="43.319454639656684"/>
    <n v="109.48840336134452"/>
    <n v="0"/>
    <n v="12"/>
    <n v="25"/>
    <n v="0"/>
    <n v="2.5250287948902599E-2"/>
    <n v="2.7646137119395444"/>
    <s v="Unit"/>
    <x v="7"/>
  </r>
  <r>
    <s v="T12/T8 U-Bend to less than 23 watt T8 LED"/>
    <n v="200"/>
    <s v="NonRes Interior Lighting"/>
    <s v="Com Annual"/>
    <n v="32.129354575163404"/>
    <n v="64.61866666666667"/>
    <n v="0"/>
    <n v="12"/>
    <n v="15"/>
    <n v="0"/>
    <n v="2.6991026764868101E-2"/>
    <n v="1.7441241615100902"/>
    <s v="Unit"/>
    <x v="7"/>
  </r>
  <r>
    <s v="T5 Lamp to 1-Lamp less than 18 watt T5 TLED"/>
    <n v="50"/>
    <s v="NonRes Interior Lighting"/>
    <s v="Com Annual"/>
    <n v="18.153024691358027"/>
    <n v="110.63"/>
    <n v="0"/>
    <n v="12"/>
    <n v="17"/>
    <n v="0"/>
    <n v="2.5250287948902599E-2"/>
    <n v="2.7934393557870942"/>
    <s v="Unit"/>
    <x v="7"/>
  </r>
  <r>
    <s v="T5HO Lamp to 1-Lamp less than 29 watt T5HO TLED"/>
    <n v="500"/>
    <s v="NonRes Interior Lighting"/>
    <s v="Com Annual"/>
    <n v="38.7834285122455"/>
    <n v="115.44427555555558"/>
    <n v="0"/>
    <n v="12"/>
    <n v="30"/>
    <n v="0"/>
    <n v="2.6991026764868101E-2"/>
    <n v="3.1159595313708088"/>
    <s v="Unit"/>
    <x v="7"/>
  </r>
  <r>
    <s v="TLED (4') Lamp to TLED (4') Lamp with 5 watt or more reduction"/>
    <n v="5"/>
    <s v="NonRes Interior Lighting"/>
    <s v="Com Annual"/>
    <n v="52.187423483923489"/>
    <n v="21.84"/>
    <n v="0"/>
    <n v="12"/>
    <n v="5"/>
    <n v="0"/>
    <n v="2.5250287948902599E-2"/>
    <n v="0.5514662888040327"/>
    <s v="Unit"/>
    <x v="7"/>
  </r>
  <r>
    <s v="TLED (4') Lamp to TLED (4') Lamp with 3-4 watt reduction"/>
    <n v="5"/>
    <s v="NonRes Interior Lighting"/>
    <s v="Com Annual"/>
    <n v="20"/>
    <n v="15.288"/>
    <n v="0"/>
    <n v="12"/>
    <n v="3"/>
    <n v="0"/>
    <n v="2.5250287948902599E-2"/>
    <n v="0.38602640216282291"/>
    <s v="Unit"/>
    <x v="7"/>
  </r>
  <r>
    <s v="Four Pin Base CFL to 17 watt or less Plug in LED"/>
    <n v="25"/>
    <s v="NonRes Interior Lighting"/>
    <s v="Com Annual"/>
    <n v="34.257603725380903"/>
    <n v="76.207733333333323"/>
    <n v="0"/>
    <n v="12"/>
    <n v="17"/>
    <n v="0"/>
    <n v="2.5250287948902599E-2"/>
    <n v="1.9242672105998493"/>
    <s v="Unit"/>
    <x v="7"/>
  </r>
  <r>
    <s v="20-50 watt MR16 to MR16 LED 2-9 watt"/>
    <n v="5"/>
    <s v="NonRes Interior Lighting"/>
    <s v="Com Annual"/>
    <n v="28.343333333333334"/>
    <n v="80.73866666666666"/>
    <n v="0"/>
    <n v="12"/>
    <n v="9"/>
    <n v="0"/>
    <n v="2.5250287948902599E-2"/>
    <n v="2.038674581943797"/>
    <s v="Unit"/>
    <x v="7"/>
  </r>
  <r>
    <s v="2-Lamp T12/T8 Fixture to LED Qualified 1x4 Fixture"/>
    <n v="300"/>
    <s v="NonRes Interior Lighting"/>
    <s v="Com Annual"/>
    <n v="153.76790967224497"/>
    <n v="122.38964050480111"/>
    <n v="0"/>
    <n v="12"/>
    <n v="30"/>
    <n v="0"/>
    <n v="2.6991026764868101E-2"/>
    <n v="3.3034220626076718"/>
    <s v="Unit"/>
    <x v="7"/>
  </r>
  <r>
    <s v="2-Lamp T12/T8 Fixture to LED Qualified 2x2 Fixture"/>
    <n v="500"/>
    <s v="NonRes Interior Lighting"/>
    <s v="Com Annual"/>
    <n v="115.39267271925192"/>
    <n v="111.20735033217994"/>
    <n v="0"/>
    <n v="12"/>
    <n v="25"/>
    <n v="0"/>
    <n v="2.5250287948902599E-2"/>
    <n v="2.8080176179220326"/>
    <s v="Unit"/>
    <x v="7"/>
  </r>
  <r>
    <s v="2, 3, 4-Lamp T12/T8 Fixture to LED Qualified 2x4 Fixture"/>
    <n v="1500"/>
    <s v="NonRes Interior Lighting"/>
    <s v="Com Annual"/>
    <n v="178.3030596375973"/>
    <n v="241.3422072163556"/>
    <n v="0"/>
    <n v="12"/>
    <n v="50"/>
    <n v="0"/>
    <n v="2.5250287948902599E-2"/>
    <n v="6.0939602264366979"/>
    <s v="Unit"/>
    <x v="7"/>
  </r>
  <r>
    <s v="T12/T8 8' Fixture to 90 watt or less 8' LED fixture"/>
    <n v="150"/>
    <s v="NonRes Interior Lighting"/>
    <s v="Com Annual"/>
    <n v="215.40337250782392"/>
    <n v="291.04988331250001"/>
    <n v="0"/>
    <n v="12"/>
    <n v="70"/>
    <n v="0"/>
    <n v="2.5250287948902599E-2"/>
    <n v="7.349093361135127"/>
    <s v="Unit"/>
    <x v="7"/>
  </r>
  <r>
    <s v="T5HO (4') 4-Lamp to 135 watt of less LED Fixture"/>
    <n v="100"/>
    <s v="NonRes Interior Lighting"/>
    <s v="Com Annual"/>
    <n v="320.74232400240794"/>
    <n v="427.80785185185186"/>
    <n v="0"/>
    <n v="12"/>
    <n v="110"/>
    <n v="0"/>
    <n v="2.5250287948902599E-2"/>
    <n v="10.802271446060724"/>
    <s v="Unit"/>
    <x v="7"/>
  </r>
  <r>
    <s v="T5HO (4') 6-Lamp to 165 watt of less LED Fixture"/>
    <n v="150"/>
    <s v="NonRes Interior Lighting"/>
    <s v="Com Annual"/>
    <n v="313.91146751777637"/>
    <n v="527.64353217993084"/>
    <n v="0"/>
    <n v="12"/>
    <n v="140"/>
    <n v="0"/>
    <n v="2.5250287948902602E-2"/>
    <n v="13.32315112191931"/>
    <s v="Unit"/>
    <x v="7"/>
  </r>
  <r>
    <s v="T5HO (4') 8-Lamp to 250 watt of less LED Fixture NEW"/>
    <n v="5"/>
    <s v="NonRes Interior Lighting"/>
    <s v="Com Annual"/>
    <n v="320"/>
    <n v="777"/>
    <n v="0"/>
    <n v="12"/>
    <n v="200"/>
    <n v="0"/>
    <n v="2.5250287948902599E-2"/>
    <n v="19.619473736297319"/>
    <s v="Unit"/>
    <x v="7"/>
  </r>
  <r>
    <s v="&gt;= 42W CFL to &lt;= 20W LED Fixture"/>
    <n v="250"/>
    <s v="NonRes Interior Lighting"/>
    <s v="Com Annual"/>
    <n v="76.812904922353383"/>
    <n v="114.48115714285714"/>
    <n v="0"/>
    <n v="12"/>
    <n v="20"/>
    <n v="0"/>
    <n v="2.5250287948902599E-2"/>
    <n v="2.8906821825807105"/>
    <s v="Unit"/>
    <x v="7"/>
  </r>
  <r>
    <s v="65W Incadescent to &lt;= 10 watt LED Fixture"/>
    <n v="50"/>
    <s v="NonRes Interior Lighting"/>
    <s v="Com Annual"/>
    <n v="163.81439021164022"/>
    <n v="170.97888888888892"/>
    <n v="0"/>
    <n v="12"/>
    <n v="30"/>
    <n v="0"/>
    <n v="2.5250287948902599E-2"/>
    <n v="4.317266177627868"/>
    <s v="Unit"/>
    <x v="7"/>
  </r>
  <r>
    <s v="75-100 watt Incandescent Can to less than 20 watt LED Fixture Retrofit"/>
    <n v="250"/>
    <s v="NonRes Interior Lighting"/>
    <s v="Com Annual"/>
    <n v="161.89051091292717"/>
    <n v="183.64744636678199"/>
    <n v="0"/>
    <n v="12"/>
    <n v="40"/>
    <n v="0"/>
    <n v="2.5250287948902599E-2"/>
    <n v="4.6371509018418919"/>
    <s v="Unit"/>
    <x v="7"/>
  </r>
  <r>
    <s v="&gt;= 150W Incandescent to &lt;= 30W LED Fixture"/>
    <n v="25"/>
    <s v="NonRes Interior Lighting"/>
    <s v="Com Annual"/>
    <n v="114.69615628815629"/>
    <n v="411.56700000000001"/>
    <n v="0"/>
    <n v="12"/>
    <n v="75"/>
    <n v="0"/>
    <n v="2.5250287948902599E-2"/>
    <n v="10.392185260265997"/>
    <s v="Unit"/>
    <x v="7"/>
  </r>
  <r>
    <s v="175-watt HID Fixture to 75-watt or less LED Fixture"/>
    <n v="25"/>
    <s v="NonRes Interior Lighting"/>
    <s v="Com Annual"/>
    <n v="271.65483333333333"/>
    <n v="546"/>
    <n v="0"/>
    <n v="12"/>
    <n v="140"/>
    <n v="0"/>
    <n v="2.5250287948902599E-2"/>
    <n v="13.786657220100819"/>
    <s v="Unit"/>
    <x v="7"/>
  </r>
  <r>
    <s v="250-watt HID Fixture to 140-watt or less LED Fixture"/>
    <n v="50"/>
    <s v="NonRes Interior Lighting"/>
    <s v="Com Annual"/>
    <n v="516.1812083333333"/>
    <n v="1007.1644142857142"/>
    <n v="0"/>
    <n v="20"/>
    <n v="260"/>
    <n v="0"/>
    <n v="2.5250287948902599E-2"/>
    <n v="25.431191472602112"/>
    <s v="Unit"/>
    <x v="7"/>
  </r>
  <r>
    <s v="400 watt HID Fixture to 175 watt or less LED Fixture"/>
    <n v="500"/>
    <s v="NonRes Interior Lighting"/>
    <s v="Com Annual"/>
    <n v="500.36170114044052"/>
    <n v="1195.7442230721088"/>
    <n v="0"/>
    <n v="20"/>
    <n v="310"/>
    <n v="0"/>
    <n v="2.5250287948902599E-2"/>
    <n v="30.192885945807568"/>
    <s v="Unit"/>
    <x v="7"/>
  </r>
  <r>
    <s v="1000 watt HID Fixture to 400 watt or less LED Fixture"/>
    <n v="25"/>
    <s v="NonRes Interior Lighting"/>
    <s v="Com Annual"/>
    <n v="612.56837763409965"/>
    <n v="3175.27808"/>
    <n v="0"/>
    <n v="20"/>
    <n v="600"/>
    <n v="0"/>
    <n v="2.5250287948902599E-2"/>
    <n v="80.176685837838576"/>
    <s v="Unit"/>
    <x v="7"/>
  </r>
  <r>
    <s v="Wall Switch Occupancy Sensor"/>
    <n v="50"/>
    <s v="NonRes Interior Lighting"/>
    <s v="Com Annual"/>
    <n v="201.89115918803418"/>
    <n v="48.898142222222241"/>
    <n v="0"/>
    <n v="12"/>
    <n v="10"/>
    <n v="0"/>
    <n v="2.5250287948902599E-2"/>
    <n v="1.2346921712775036"/>
    <s v="Unit"/>
    <x v="7"/>
  </r>
  <r>
    <s v="Ceiling or Fixture Occupancy sensor with built-in relays"/>
    <n v="75"/>
    <s v="NonRes Interior Lighting"/>
    <s v="Com Annual"/>
    <n v="145.58447480364694"/>
    <n v="190.73512345713189"/>
    <n v="0"/>
    <n v="12"/>
    <n v="30"/>
    <n v="0"/>
    <n v="2.5250287948902599E-2"/>
    <n v="4.8161167892620664"/>
    <s v="Unit"/>
    <x v="7"/>
  </r>
  <r>
    <s v="DLC Qualified LLLC Fixture"/>
    <n v="500"/>
    <s v="NonRes Interior Lighting"/>
    <s v="Com Annual"/>
    <n v="201.64374601079913"/>
    <n v="94.726615984950286"/>
    <n v="0"/>
    <n v="12"/>
    <n v="50"/>
    <n v="0"/>
    <n v="2.5250287948902599E-2"/>
    <n v="2.3918743300451144"/>
    <s v="Unit"/>
    <x v="7"/>
  </r>
  <r>
    <s v="70-89 watt HID Fixture to 25 watt or less LED Fixture or Retrofit (Ext)"/>
    <n v="50"/>
    <s v="NonRes Exterior Lighting"/>
    <s v="Com Annual"/>
    <n v="155.13800189393942"/>
    <n v="322.91454000000004"/>
    <n v="0"/>
    <n v="12"/>
    <n v="85"/>
    <n v="0"/>
    <n v="2.5250287948902599E-2"/>
    <n v="8.1536851178874272"/>
    <s v="Unit"/>
    <x v="7"/>
  </r>
  <r>
    <s v="90-100 watt HID Fixture to 30 watt or less LED Fixture or Retrofit (Ext)"/>
    <n v="100"/>
    <s v="NonRes Exterior Lighting"/>
    <s v="Com Annual"/>
    <n v="193.66124949979991"/>
    <n v="467.06849142857141"/>
    <n v="0"/>
    <n v="12"/>
    <n v="120"/>
    <n v="0"/>
    <n v="2.5250287948902602E-2"/>
    <n v="11.793613900430975"/>
    <s v="Unit"/>
    <x v="7"/>
  </r>
  <r>
    <s v="150 watt HID Fixture to 50 watt or less LED Fixture or Retrofit (Ext)"/>
    <n v="100"/>
    <s v="NonRes Exterior Lighting"/>
    <s v="Com Annual"/>
    <n v="287.99345238095242"/>
    <n v="729.50567624999985"/>
    <n v="0"/>
    <n v="12"/>
    <n v="180"/>
    <n v="0"/>
    <n v="2.5250287948902595E-2"/>
    <n v="18.420228385671411"/>
    <s v="Unit"/>
    <x v="7"/>
  </r>
  <r>
    <s v="175 watt HID Fixture to 100 watt or less LED Fixture or Retrofit (Ext)"/>
    <n v="100"/>
    <s v="NonRes Exterior Lighting"/>
    <s v="Com Annual"/>
    <n v="309.50288154413806"/>
    <n v="639.93971646543196"/>
    <n v="0"/>
    <n v="12"/>
    <n v="180"/>
    <n v="0"/>
    <n v="2.5250287948902599E-2"/>
    <n v="16.158662110691242"/>
    <s v="Unit"/>
    <x v="7"/>
  </r>
  <r>
    <s v="200 watt HID Fixture to 140 watt or less LED Fixture or Retrofit (Ext)"/>
    <n v="25"/>
    <s v="NonRes Exterior Lighting"/>
    <s v="Com Annual"/>
    <n v="156.44900568181816"/>
    <n v="534.73972500000002"/>
    <n v="0"/>
    <n v="12"/>
    <n v="120"/>
    <n v="0"/>
    <n v="2.5250287948902599E-2"/>
    <n v="13.50233203396699"/>
    <s v="Unit"/>
    <x v="7"/>
  </r>
  <r>
    <s v="250 watt HID Fixture to 140 watt or less LED Fixture or Retrofit (Ext)"/>
    <n v="100"/>
    <s v="NonRes Exterior Lighting"/>
    <s v="Com Annual"/>
    <n v="446.04367973461734"/>
    <n v="849.24147850308634"/>
    <n v="0"/>
    <n v="12"/>
    <n v="230"/>
    <n v="0"/>
    <n v="2.5250287948902599E-2"/>
    <n v="21.443591870354705"/>
    <s v="Unit"/>
    <x v="7"/>
  </r>
  <r>
    <s v="320 watt HID Fixture to 160 watt or less LED Fixture or Retrofit (Ext)"/>
    <n v="150"/>
    <s v="NonRes Exterior Lighting"/>
    <s v="Com Annual"/>
    <n v="444.87567278672032"/>
    <n v="1026.5852628571429"/>
    <n v="0"/>
    <n v="12"/>
    <n v="280"/>
    <n v="0"/>
    <n v="2.5250287948902602E-2"/>
    <n v="25.921573491242725"/>
    <s v="Unit"/>
    <x v="7"/>
  </r>
  <r>
    <s v="400 watt HID Fixture to 175 watt or less LED Fixture or Retrofit (Ext)"/>
    <n v="200"/>
    <s v="NonRes Exterior Lighting"/>
    <s v="Com Annual"/>
    <n v="619.61269392662177"/>
    <n v="1444.6779411458333"/>
    <n v="0"/>
    <n v="12"/>
    <n v="375"/>
    <n v="0"/>
    <n v="2.5250287948902602E-2"/>
    <n v="36.478534007360054"/>
    <s v="Unit"/>
    <x v="7"/>
  </r>
  <r>
    <s v="575 watt HID Fixture to 300 watt or less LED Fixture or Retrofit (Ext)"/>
    <n v="100"/>
    <s v="NonRes Exterior Lighting"/>
    <s v="Com Annual"/>
    <n v="731.2"/>
    <n v="1677.3120000000001"/>
    <n v="0"/>
    <n v="12"/>
    <n v="400"/>
    <n v="0"/>
    <n v="2.5250287948902595E-2"/>
    <n v="42.352610980149713"/>
    <s v="Unit"/>
    <x v="7"/>
  </r>
  <r>
    <s v="750 watt HID Fixture to 300 watt or less LED Fixture or Retrofit (Ext)"/>
    <n v="10"/>
    <s v="NonRes Exterior Lighting"/>
    <s v="Com Annual"/>
    <n v="750"/>
    <n v="3563.8511999999996"/>
    <n v="0"/>
    <n v="12"/>
    <n v="750"/>
    <n v="0"/>
    <n v="2.5250287948902599E-2"/>
    <n v="89.988269007042049"/>
    <s v="Unit"/>
    <x v="7"/>
  </r>
  <r>
    <s v="1000 watt HID Fixture to 400 watt or less LED Fixture or Retrofit (Ext)"/>
    <n v="40"/>
    <s v="NonRes Exterior Lighting"/>
    <s v="Com Annual"/>
    <n v="1065.6756547619048"/>
    <n v="3627.3439149999999"/>
    <n v="0"/>
    <n v="12"/>
    <n v="930"/>
    <n v="0"/>
    <n v="2.5250287948902599E-2"/>
    <n v="91.591478343449666"/>
    <s v="Unit"/>
    <x v="7"/>
  </r>
  <r>
    <s v="1500 watt HID Fixture to 600 watt or less LED Fixture or Retrofit (Ext)"/>
    <n v="25"/>
    <s v="NonRes Exterior Lighting"/>
    <s v="Com Annual"/>
    <n v="1050"/>
    <n v="5192.6783999999998"/>
    <n v="0"/>
    <n v="12"/>
    <n v="1050"/>
    <n v="0"/>
    <n v="2.5250287948902599E-2"/>
    <n v="131.11662482604683"/>
    <s v="Unit"/>
    <x v="7"/>
  </r>
  <r>
    <s v="175 watt HID Fixture to 100 watt or less LED Fixture (Ext, NC)"/>
    <n v="25"/>
    <s v="NonRes Exterior Lighting"/>
    <s v="Com Annual"/>
    <n v="246.42674603174601"/>
    <n v="624.50985999999989"/>
    <n v="0"/>
    <n v="12"/>
    <n v="170"/>
    <n v="0"/>
    <n v="2.6991026764868101E-2"/>
    <n v="16.856162346184028"/>
    <s v="Unit"/>
    <x v="7"/>
  </r>
  <r>
    <s v="250 watt HID Fixture to 140 watt or less LED Fixture (Ext, NC)"/>
    <n v="5"/>
    <s v="NonRes Exterior Lighting"/>
    <s v="Com Annual"/>
    <n v="755.26749999999993"/>
    <n v="987.16800000000001"/>
    <n v="0"/>
    <n v="12"/>
    <n v="225"/>
    <n v="0"/>
    <n v="2.6991026764868101E-2"/>
    <n v="26.644677909421315"/>
    <s v="Unit"/>
    <x v="7"/>
  </r>
  <r>
    <s v="320 and 400 watt HID Fixture to 160 or less watt LED Fixture (Ext, NC)"/>
    <n v="25"/>
    <s v="NonRes Exterior Lighting"/>
    <s v="Com Annual"/>
    <n v="780.04297916666667"/>
    <n v="931.71600860000035"/>
    <n v="0"/>
    <n v="10"/>
    <n v="250"/>
    <n v="0"/>
    <n v="2.6991026764868101E-2"/>
    <n v="25.147971725378685"/>
    <s v="Unit"/>
    <x v="7"/>
  </r>
  <r>
    <s v="Sign Lighting"/>
    <n v="3000"/>
    <s v="NonRes Exterior Lighting"/>
    <s v="Com Annual"/>
    <n v="35.61"/>
    <n v="48.66583289719626"/>
    <n v="0"/>
    <n v="20"/>
    <n v="13"/>
    <n v="0"/>
    <n v="2.5250287948902599E-2"/>
    <n v="1.2288262939273824"/>
    <s v="Unit"/>
    <x v="7"/>
  </r>
  <r>
    <s v="T12/T8 Fluorescent to TLED "/>
    <n v="10"/>
    <s v="NonRes Exterior Lighting"/>
    <s v="Com Annual"/>
    <n v="30"/>
    <n v="78.623999999999995"/>
    <n v="0"/>
    <n v="12"/>
    <n v="20"/>
    <n v="0"/>
    <n v="2.5250287948902599E-2"/>
    <n v="1.9852786396945179"/>
    <s v="Unit"/>
    <x v="7"/>
  </r>
  <r>
    <s v="HERs"/>
    <n v="0"/>
    <s v="Res Misc"/>
    <s v="Res Winter"/>
    <n v="0"/>
    <n v="0"/>
    <n v="0"/>
    <n v="1"/>
    <n v="0"/>
    <n v="0"/>
    <n v="0"/>
    <n v="0"/>
    <s v="Unit"/>
    <x v="13"/>
  </r>
  <r>
    <s v="Home Energy Audit"/>
    <n v="0"/>
    <s v="Res Space Heat"/>
    <s v="Res Annual"/>
    <n v="0"/>
    <n v="617232"/>
    <n v="0"/>
    <n v="3"/>
    <n v="493786"/>
    <n v="0"/>
    <n v="0"/>
    <n v="0"/>
    <s v="Unit"/>
    <x v="7"/>
  </r>
  <r>
    <s v="Direct Install Lighting"/>
    <n v="1"/>
    <s v="NonRes Interior Lighting"/>
    <s v="Com Annual"/>
    <n v="4316288.16"/>
    <n v="8992267"/>
    <n v="0"/>
    <n v="12"/>
    <n v="4496133.5"/>
    <n v="0"/>
    <n v="2.5250287948902599E-2"/>
    <n v="227057.33106341452"/>
    <s v="Unit"/>
    <x v="7"/>
  </r>
  <r>
    <s v="Site Specific Other"/>
    <n v="1"/>
    <s v="NonRes Misc"/>
    <s v="Com Winter"/>
    <n v="4990992.1282000002"/>
    <n v="11358653"/>
    <n v="0"/>
    <n v="18"/>
    <n v="3051878.7951068138"/>
    <n v="0"/>
    <n v="2.5250287948902602E-2"/>
    <n v="286809.25896166638"/>
    <s v="Unit"/>
    <x v="7"/>
  </r>
  <r>
    <s v="Site Specific Lighting"/>
    <n v="1"/>
    <s v="NonRes Interior Lighting"/>
    <s v="Com Winter"/>
    <n v="2495495.8444000003"/>
    <n v="5679326"/>
    <n v="0"/>
    <n v="16"/>
    <n v="1525939.2632118263"/>
    <n v="0"/>
    <n v="2.5250287948902602E-2"/>
    <n v="143404.61685568921"/>
    <s v="Unit"/>
    <x v="7"/>
  </r>
  <r>
    <s v="Less than R11 attic insulation (E/E) to R30-R44 Attic Insulation"/>
    <n v="0"/>
    <s v="NonRes Space Heating"/>
    <s v="Com Winter"/>
    <n v="0.76"/>
    <n v="1.02"/>
    <n v="0"/>
    <n v="22"/>
    <n v="1"/>
    <n v="0"/>
    <n v="0"/>
    <n v="0"/>
    <s v="SQFT"/>
    <x v="7"/>
  </r>
  <r>
    <s v="Less than R11 roof insulation (E/E) to R30+ Roof Insulation"/>
    <n v="1203"/>
    <s v="NonRes Space Heating"/>
    <s v="Com Winter"/>
    <n v="0.62"/>
    <n v="1.36"/>
    <n v="0"/>
    <n v="22"/>
    <n v="1"/>
    <n v="0"/>
    <n v="0"/>
    <n v="0"/>
    <s v="SQFT"/>
    <x v="7"/>
  </r>
  <r>
    <s v="Less than R4 wall insulation (E/E) to R11-R18 Wall Insulation"/>
    <n v="2148"/>
    <s v="NonRes Space Heating"/>
    <s v="Com Winter"/>
    <n v="0.61"/>
    <n v="2.82"/>
    <n v="0"/>
    <n v="22"/>
    <n v="1"/>
    <n v="0"/>
    <n v="0"/>
    <n v="0"/>
    <s v="SQFT"/>
    <x v="7"/>
  </r>
  <r>
    <s v="Less than R4 wall insulation (E/E) to R19+ Wall Insulation"/>
    <n v="707"/>
    <s v="NonRes Space Heating"/>
    <s v="Com Winter"/>
    <n v="0.65"/>
    <n v="4.1100000000000003"/>
    <n v="0"/>
    <n v="22"/>
    <n v="1.25"/>
    <n v="0"/>
    <n v="0"/>
    <n v="0"/>
    <s v="SQFT"/>
    <x v="7"/>
  </r>
  <r>
    <s v="Green Motors Program Rewind:  Motor size 15HP, Industrial"/>
    <n v="0"/>
    <s v="NonRes Motors"/>
    <s v="Com Winter"/>
    <n v="106.53040254620578"/>
    <n v="389.83545171153673"/>
    <n v="0"/>
    <n v="6"/>
    <n v="30"/>
    <n v="0"/>
    <n v="9.8238604836347592E-3"/>
    <n v="3.829689089188872"/>
    <s v="Unit"/>
    <x v="14"/>
  </r>
  <r>
    <s v="Green Motors Program Rewind:  Motor size 25HP, Industrial"/>
    <n v="0"/>
    <s v="NonRes Motors"/>
    <s v="Com Winter"/>
    <n v="135.79417577576578"/>
    <n v="622.21393887557497"/>
    <n v="0"/>
    <n v="7"/>
    <n v="50"/>
    <n v="0"/>
    <n v="9.8238604836347592E-3"/>
    <n v="6.1125429264864941"/>
    <s v="Unit"/>
    <x v="14"/>
  </r>
  <r>
    <s v="Green Motors Program Rewind:  Motor size 30HP, Industrial"/>
    <n v="0"/>
    <s v="NonRes Motors"/>
    <s v="Com Winter"/>
    <n v="149.14256356468809"/>
    <n v="670.22430365323089"/>
    <n v="0"/>
    <n v="7"/>
    <n v="60"/>
    <n v="0"/>
    <n v="9.8238604836347592E-3"/>
    <n v="6.5841900518305989"/>
    <s v="Unit"/>
    <x v="14"/>
  </r>
  <r>
    <s v="Green Motors Program Rewind:  Motor size 40HP, Industrial"/>
    <n v="0"/>
    <s v="NonRes Motors"/>
    <s v="Com Winter"/>
    <n v="182.25683327182196"/>
    <n v="780.49873686494539"/>
    <n v="0"/>
    <n v="7"/>
    <n v="80"/>
    <n v="0"/>
    <n v="9.8238604836347592E-3"/>
    <n v="7.6675106986143806"/>
    <s v="Unit"/>
    <x v="14"/>
  </r>
  <r>
    <s v="Green Motors Program Rewind:  Motor size 50HP, Industrial"/>
    <n v="0"/>
    <s v="NonRes Motors"/>
    <s v="Com Winter"/>
    <n v="201.76601542486196"/>
    <n v="839.97586520505138"/>
    <n v="0"/>
    <n v="7"/>
    <n v="100"/>
    <n v="0"/>
    <n v="9.8238604836347592E-3"/>
    <n v="8.2518057093948212"/>
    <s v="Unit"/>
    <x v="14"/>
  </r>
  <r>
    <s v="Green Motors Program Rewind:  Motor size 60HP, Industrial"/>
    <n v="0"/>
    <s v="NonRes Motors"/>
    <s v="Com Winter"/>
    <n v="237.96068231405502"/>
    <n v="846.27202631538967"/>
    <n v="0"/>
    <n v="8"/>
    <n v="120"/>
    <n v="0"/>
    <n v="9.8238604836347592E-3"/>
    <n v="8.3136583177252721"/>
    <s v="Unit"/>
    <x v="14"/>
  </r>
  <r>
    <s v="Green Motors Program Rewind:  Motor size 75HP, Industrial"/>
    <n v="0"/>
    <s v="NonRes Motors"/>
    <s v="Com Winter"/>
    <n v="257.21316470192323"/>
    <n v="870.94945640777587"/>
    <n v="0"/>
    <n v="8"/>
    <n v="150"/>
    <n v="0"/>
    <n v="9.8238604836347592E-3"/>
    <n v="8.5560859480475244"/>
    <s v="Unit"/>
    <x v="14"/>
  </r>
  <r>
    <s v="Green Motors Program Rewind:  Motor size 100HP, Industrial"/>
    <n v="0"/>
    <s v="NonRes Motors"/>
    <s v="Com Winter"/>
    <n v="319.07780810827398"/>
    <n v="1149.5371503325878"/>
    <n v="0"/>
    <n v="8"/>
    <n v="200"/>
    <n v="0"/>
    <n v="9.8238604836347592E-3"/>
    <n v="11.292892585622418"/>
    <s v="Unit"/>
    <x v="14"/>
  </r>
  <r>
    <s v="Green Motors Program Rewind:  Motor size 125HP, Industrial"/>
    <n v="1"/>
    <s v="NonRes Motors"/>
    <s v="Com Winter"/>
    <n v="358.352872179526"/>
    <n v="1319.4664798090234"/>
    <n v="0"/>
    <n v="8"/>
    <n v="250"/>
    <n v="0"/>
    <n v="9.8238604836347592E-3"/>
    <n v="12.962254610476526"/>
    <s v="Unit"/>
    <x v="14"/>
  </r>
  <r>
    <s v="Green Motors Program Rewind:  Motor size 150HP, Industrial"/>
    <n v="0"/>
    <s v="NonRes Motors"/>
    <s v="Com Winter"/>
    <n v="399.16813484180739"/>
    <n v="1568.4817971016164"/>
    <n v="0"/>
    <n v="8"/>
    <n v="300"/>
    <n v="0"/>
    <n v="9.8238604836347592E-3"/>
    <n v="15.408546345847002"/>
    <s v="Unit"/>
    <x v="14"/>
  </r>
  <r>
    <s v="Green Motors Program Rewind:  Motor size 200HP, Industrial"/>
    <n v="0"/>
    <s v="NonRes Motors"/>
    <s v="Com Winter"/>
    <n v="480.54196040119768"/>
    <n v="2080.4669241597876"/>
    <n v="0"/>
    <n v="8"/>
    <n v="400"/>
    <n v="0"/>
    <n v="9.8238604836347592E-3"/>
    <n v="20.43821680376249"/>
    <s v="Unit"/>
    <x v="14"/>
  </r>
  <r>
    <s v="Green Motors Program Rewind:  Motor size 250HP, Industrial"/>
    <n v="0"/>
    <s v="NonRes Motors"/>
    <s v="Com Winter"/>
    <n v="617.61963500282218"/>
    <n v="2750.9841270818142"/>
    <n v="0"/>
    <n v="8"/>
    <n v="500"/>
    <n v="0"/>
    <n v="9.8238604836347592E-3"/>
    <n v="27.025284257145497"/>
    <s v="Unit"/>
    <x v="14"/>
  </r>
  <r>
    <s v="Green Motors Program Rewind:  Motor size 300HP, Industrial"/>
    <n v="0"/>
    <s v="NonRes Motors"/>
    <s v="Com Winter"/>
    <n v="624.29382889728276"/>
    <n v="3284.1062099578558"/>
    <n v="0"/>
    <n v="8"/>
    <n v="600"/>
    <n v="0"/>
    <n v="9.8238604836347592E-3"/>
    <n v="32.262601220064496"/>
    <s v="Unit"/>
    <x v="14"/>
  </r>
  <r>
    <s v="Green Motors Program Rewind:  Motor size 350HP, Industrial"/>
    <n v="2"/>
    <s v="NonRes Motors"/>
    <s v="Com Winter"/>
    <n v="654.32770142235677"/>
    <n v="3828.6487355234567"/>
    <n v="0"/>
    <n v="8"/>
    <n v="700"/>
    <n v="0"/>
    <n v="9.8238604836347592E-3"/>
    <n v="37.612111018627076"/>
    <s v="Unit"/>
    <x v="14"/>
  </r>
  <r>
    <s v="Green Motors Program Rewind:  Motor size 400HP, Industrial"/>
    <n v="0"/>
    <s v="NonRes Motors"/>
    <s v="Com Winter"/>
    <n v="730.82423144348832"/>
    <n v="4341.1009293007664"/>
    <n v="0"/>
    <n v="8"/>
    <n v="800"/>
    <n v="0"/>
    <n v="9.8238604836347592E-3"/>
    <n v="42.646369874827933"/>
    <s v="Unit"/>
    <x v="14"/>
  </r>
  <r>
    <s v="Green Motors Program Rewind:  Motor size 450HP, Industrial"/>
    <n v="0"/>
    <s v="NonRes Motors"/>
    <s v="Com Winter"/>
    <n v="798.84966921395699"/>
    <n v="4875.5516385687515"/>
    <n v="0"/>
    <n v="8"/>
    <n v="900"/>
    <n v="0"/>
    <n v="9.8238604836347592E-3"/>
    <n v="47.896739078056257"/>
    <s v="Unit"/>
    <x v="14"/>
  </r>
  <r>
    <s v="Green Motors Program Rewind:  Motor size 500HP, Industrial"/>
    <n v="1"/>
    <s v="NonRes Motors"/>
    <s v="Com Winter"/>
    <n v="863.0246105068527"/>
    <n v="5424.8348373563495"/>
    <n v="0"/>
    <n v="8"/>
    <n v="1000"/>
    <n v="0"/>
    <n v="9.8238604836347592E-3"/>
    <n v="53.292820588950235"/>
    <s v="Unit"/>
    <x v="14"/>
  </r>
  <r>
    <s v="Green Motors Program Rewind:  Motor size 600HP, Industrial"/>
    <n v="0"/>
    <s v="NonRes Motors"/>
    <s v="Com Winter"/>
    <n v="1271.7789413792252"/>
    <n v="5895.5149037446827"/>
    <n v="0"/>
    <n v="8"/>
    <n v="1200"/>
    <n v="0"/>
    <n v="9.8238604836347592E-3"/>
    <n v="57.91671589357717"/>
    <s v="Unit"/>
    <x v="14"/>
  </r>
  <r>
    <s v="Green Motors Program Rewind:  Motor size 700HP, Industrial"/>
    <n v="0"/>
    <s v="NonRes Motors"/>
    <s v="Com Winter"/>
    <n v="1387.5094635091809"/>
    <n v="6848.9096697540954"/>
    <n v="0"/>
    <n v="8"/>
    <n v="1400"/>
    <n v="0"/>
    <n v="9.8238604836347609E-3"/>
    <n v="67.282733060681252"/>
    <s v="Unit"/>
    <x v="14"/>
  </r>
  <r>
    <s v="Green Motors Program Rewind:  Motor size 800HP, Industrial"/>
    <n v="0"/>
    <s v="NonRes Motors"/>
    <s v="Com Winter"/>
    <n v="1539.477778088878"/>
    <n v="7810.7243226380087"/>
    <n v="0"/>
    <n v="8"/>
    <n v="1600"/>
    <n v="0"/>
    <n v="9.8238604836347592E-3"/>
    <n v="76.731466021728409"/>
    <s v="Unit"/>
    <x v="14"/>
  </r>
  <r>
    <s v="Green Motors Program Rewind:  Motor size 900HP, Industrial"/>
    <n v="0"/>
    <s v="NonRes Motors"/>
    <s v="Com Winter"/>
    <n v="1697.2064353990281"/>
    <n v="8768.4480746430345"/>
    <n v="0"/>
    <n v="8"/>
    <n v="1800"/>
    <n v="0"/>
    <n v="9.8238604836347592E-3"/>
    <n v="86.140010543288994"/>
    <s v="Unit"/>
    <x v="14"/>
  </r>
  <r>
    <s v="Green Motors Program Rewind:  Motor size 1000HP, Industrial"/>
    <n v="0"/>
    <s v="NonRes Motors"/>
    <s v="Com Winter"/>
    <n v="1829.0659171742409"/>
    <n v="9701.5461693643592"/>
    <n v="0"/>
    <n v="8"/>
    <n v="2000"/>
    <n v="0"/>
    <n v="9.8238604836347592E-3"/>
    <n v="95.306636043376699"/>
    <s v="Unit"/>
    <x v="14"/>
  </r>
  <r>
    <s v="Green Motors Program Rewind:  Motor size 1250HP, Industrial"/>
    <n v="0"/>
    <s v="NonRes Motors"/>
    <s v="Com Winter"/>
    <n v="2184.9503644118813"/>
    <n v="11451.181019748095"/>
    <n v="0"/>
    <n v="8"/>
    <n v="2500"/>
    <n v="0"/>
    <n v="9.8238604836347592E-3"/>
    <n v="112.4948047108517"/>
    <s v="Unit"/>
    <x v="14"/>
  </r>
  <r>
    <s v="Green Motors Program Rewind:  Motor size 1500HP, Industrial"/>
    <n v="0"/>
    <s v="NonRes Motors"/>
    <s v="Com Winter"/>
    <n v="2502.9212831327313"/>
    <n v="13712.457247156184"/>
    <n v="0"/>
    <n v="8"/>
    <n v="3000"/>
    <n v="0"/>
    <n v="9.8238604836347592E-3"/>
    <n v="134.70926688386871"/>
    <s v="Unit"/>
    <x v="14"/>
  </r>
  <r>
    <s v="Green Motors Program Rewind:  Motor size 1750HP, Industrial"/>
    <n v="0"/>
    <s v="NonRes Motors"/>
    <s v="Com Winter"/>
    <n v="2856.7110602865723"/>
    <n v="15930.613147766329"/>
    <n v="0"/>
    <n v="8"/>
    <n v="3500"/>
    <n v="0"/>
    <n v="9.8238604836347592E-3"/>
    <n v="156.50012098241399"/>
    <s v="Unit"/>
    <x v="14"/>
  </r>
  <r>
    <s v="Green Motors Program Rewind:  Motor size 2000HP, Industrial"/>
    <n v="0"/>
    <s v="NonRes Motors"/>
    <s v="Com Winter"/>
    <n v="3204.5310277015742"/>
    <n v="18130.037384145893"/>
    <n v="0"/>
    <n v="8"/>
    <n v="4000"/>
    <n v="0"/>
    <n v="9.8238604836347592E-3"/>
    <n v="178.10695782493173"/>
    <s v="Unit"/>
    <x v="14"/>
  </r>
  <r>
    <s v="Green Motors Program Rewind:  Motor size 2250HP, Industrial"/>
    <n v="0"/>
    <s v="NonRes Motors"/>
    <s v="Com Winter"/>
    <n v="3491.0818951654219"/>
    <n v="20268.415057671256"/>
    <n v="0"/>
    <n v="8"/>
    <n v="4500"/>
    <n v="0"/>
    <n v="9.8238604836347592E-3"/>
    <n v="199.11408175096437"/>
    <s v="Unit"/>
    <x v="14"/>
  </r>
  <r>
    <s v="Green Motors Program Rewind:  Motor size 2500HP, Industrial"/>
    <n v="0"/>
    <s v="NonRes Motors"/>
    <s v="Com Winter"/>
    <n v="3819.5261643052727"/>
    <n v="22473.396161880344"/>
    <n v="0"/>
    <n v="8"/>
    <n v="5000"/>
    <n v="0"/>
    <n v="9.8238604836347592E-3"/>
    <n v="220.77550848776539"/>
    <s v="Unit"/>
    <x v="14"/>
  </r>
  <r>
    <s v="Green Motors Program Rewind:  Motor size 3000HP, Industrial"/>
    <n v="0"/>
    <s v="NonRes Motors"/>
    <s v="Com Winter"/>
    <n v="4465.7318851576129"/>
    <n v="26799.699582190253"/>
    <n v="0"/>
    <n v="8"/>
    <n v="6000"/>
    <n v="0"/>
    <n v="9.8238604836347592E-3"/>
    <n v="263.2765096987618"/>
    <s v="Unit"/>
    <x v="14"/>
  </r>
  <r>
    <s v="Green Motors Program Rewind:  Motor size 3500HP, Industrial"/>
    <n v="0"/>
    <s v="NonRes Motors"/>
    <s v="Com Winter"/>
    <n v="4934.8332504246428"/>
    <n v="31201.245378959924"/>
    <n v="0"/>
    <n v="8"/>
    <n v="7000"/>
    <n v="0"/>
    <n v="9.8238604836347592E-3"/>
    <n v="306.51668151855603"/>
    <s v="Unit"/>
    <x v="14"/>
  </r>
  <r>
    <s v="Green Motors Program Rewind:  Motor size 4000HP, Industrial"/>
    <n v="0"/>
    <s v="NonRes Motors"/>
    <s v="Com Winter"/>
    <n v="5509.5059879151959"/>
    <n v="35658.566147383302"/>
    <n v="0"/>
    <n v="8"/>
    <n v="8000"/>
    <n v="0"/>
    <n v="9.8238604836347592E-3"/>
    <n v="350.30477887835497"/>
    <s v="Unit"/>
    <x v="14"/>
  </r>
  <r>
    <s v="Green Motors Program Rewind:  Motor size 4500HP, Industrial"/>
    <n v="0"/>
    <s v="NonRes Motors"/>
    <s v="Com Winter"/>
    <n v="5937.5518195397453"/>
    <n v="40032.485362220556"/>
    <n v="0"/>
    <n v="8"/>
    <n v="9000"/>
    <n v="0"/>
    <n v="9.8238604836347592E-3"/>
    <n v="393.27355101160543"/>
    <s v="Unit"/>
    <x v="14"/>
  </r>
  <r>
    <s v="Green Motors Program Rewind:  Motor size 5000HP, Industrial"/>
    <n v="0"/>
    <s v="NonRes Motors"/>
    <s v="Com Winter"/>
    <n v="6338.0527395623285"/>
    <n v="44388.159587558359"/>
    <n v="0"/>
    <n v="8"/>
    <n v="10000"/>
    <n v="0"/>
    <n v="9.8238604836347592E-3"/>
    <n v="436.06308691348795"/>
    <s v="Unit"/>
    <x v="14"/>
  </r>
  <r>
    <s v="Building Operator Certification"/>
    <n v="2"/>
    <s v="NonRes Misc"/>
    <s v="Com Winter"/>
    <n v="2095"/>
    <n v="94466"/>
    <n v="0"/>
    <n v="5"/>
    <n v="200"/>
    <n v="0"/>
    <n v="0"/>
    <n v="0"/>
    <s v="Unit"/>
    <x v="15"/>
  </r>
  <r>
    <s v="Compressed Air"/>
    <n v="0"/>
    <s v="NonRes Compressed Air"/>
    <s v="Com Winter"/>
    <n v="1440"/>
    <n v="6000"/>
    <n v="0"/>
    <n v="10"/>
    <n v="1440"/>
    <n v="0"/>
    <n v="9.6600000000000005E-2"/>
    <n v="579.6"/>
    <s v="Unit"/>
    <x v="7"/>
  </r>
  <r>
    <s v="Prescriptive VFDs - HVAC Cooling Pump"/>
    <n v="0"/>
    <s v="NonRes Ventilation"/>
    <s v="Com Winter"/>
    <n v="200"/>
    <n v="1091"/>
    <n v="0"/>
    <n v="16"/>
    <n v="200"/>
    <n v="0"/>
    <n v="2.7997786299667799E-3"/>
    <n v="3.0545584852937568"/>
    <s v="Unit"/>
    <x v="7"/>
  </r>
  <r>
    <s v="Prescriptive VFDS - HVAC Heating Pump or combo"/>
    <n v="0"/>
    <s v="NonRes Ventilation"/>
    <s v="Com Winter"/>
    <n v="200"/>
    <n v="1756"/>
    <n v="0"/>
    <n v="16"/>
    <n v="200"/>
    <n v="0"/>
    <n v="2.7997786299667794E-3"/>
    <n v="4.916411274221665"/>
    <s v="Unit"/>
    <x v="7"/>
  </r>
  <r>
    <s v="nongrocery_HZ2_resistanceheat_yescooling_Installation and initial programming"/>
    <n v="0"/>
    <s v="NonRes Space Heating"/>
    <s v="Com Winter"/>
    <n v="74.219420509518642"/>
    <n v="264.92817420736992"/>
    <n v="0"/>
    <n v="5"/>
    <n v="150"/>
    <n v="0"/>
    <n v="0"/>
    <n v="0"/>
    <s v="Unit"/>
    <x v="16"/>
  </r>
  <r>
    <s v="nongrocery_HZ2_heatpumpheat_yescooling_Installation and initial programming"/>
    <n v="0"/>
    <s v="NonRes Space Heating"/>
    <s v="Com Winter"/>
    <n v="74.219420509518642"/>
    <n v="162.24352337188563"/>
    <n v="0"/>
    <n v="5"/>
    <n v="150"/>
    <n v="0"/>
    <n v="0"/>
    <n v="0"/>
    <s v="Unit"/>
    <x v="16"/>
  </r>
  <r>
    <s v="nongrocery_HZ2_resistanceheat_nocooling_Installation and initial programming"/>
    <n v="0"/>
    <s v="NonRes Space Heating"/>
    <s v="Com Winter"/>
    <n v="74.219420509518642"/>
    <n v="256.97670077580392"/>
    <n v="0"/>
    <n v="5"/>
    <n v="150"/>
    <n v="0"/>
    <n v="0"/>
    <n v="0"/>
    <s v="Unit"/>
    <x v="16"/>
  </r>
  <r>
    <s v="nongrocery_HZ2_heatpumpheat_nocooling_Installation and initial programming"/>
    <n v="0"/>
    <s v="NonRes Space Heating"/>
    <s v="Com Winter"/>
    <n v="74.219420509518642"/>
    <n v="154.29204994031963"/>
    <n v="0"/>
    <n v="5"/>
    <n v="150"/>
    <n v="0"/>
    <n v="0"/>
    <n v="0"/>
    <s v="Unit"/>
    <x v="16"/>
  </r>
  <r>
    <s v="Multi-family_Electric Dryer_Electric Hot Water_Front-load_ENERGY STAR"/>
    <n v="0"/>
    <s v="NonRes Misc"/>
    <s v="Com Winter"/>
    <n v="426.57335926530232"/>
    <n v="950.13863278242536"/>
    <n v="0"/>
    <n v="11"/>
    <n v="200"/>
    <n v="0"/>
    <n v="0"/>
    <n v="0"/>
    <s v="Unit"/>
    <x v="17"/>
  </r>
  <r>
    <s v="Multi-family_Electric Dryer_Gas Hot Water_Front-load_ENERGY STAR"/>
    <n v="0"/>
    <s v="NonRes Misc"/>
    <s v="Com Winter"/>
    <n v="426.57335926530232"/>
    <n v="654.41389504467293"/>
    <n v="0"/>
    <n v="11"/>
    <n v="200"/>
    <n v="0"/>
    <n v="0"/>
    <n v="0"/>
    <s v="Unit"/>
    <x v="17"/>
  </r>
  <r>
    <s v="Multi-family_Any Dryer and Hot Water Fuels_Front-load_ENERGY STAR"/>
    <n v="0"/>
    <s v="NonRes Misc"/>
    <s v="Com Winter"/>
    <n v="426.57335926530232"/>
    <n v="674.03170108251766"/>
    <n v="0"/>
    <n v="11"/>
    <n v="200"/>
    <n v="0"/>
    <n v="0"/>
    <n v="0"/>
    <s v="Unit"/>
    <x v="17"/>
  </r>
  <r>
    <s v="Pay for Performance"/>
    <n v="0"/>
    <s v="NonRes Misc"/>
    <s v="Com Winter"/>
    <n v="35000"/>
    <n v="5306"/>
    <n v="0"/>
    <n v="5"/>
    <n v="4245"/>
    <n v="0"/>
    <n v="0"/>
    <n v="0"/>
    <s v="Unit"/>
    <x v="18"/>
  </r>
  <r>
    <s v="Active Energy Management"/>
    <n v="0"/>
    <s v="NonRes Interior Lighting"/>
    <s v="Com Winter"/>
    <n v="35000"/>
    <n v="1429340"/>
    <n v="0"/>
    <n v="5"/>
    <n v="0"/>
    <n v="0"/>
    <n v="2.5250287948902599E-2"/>
    <n v="36091.246576884441"/>
    <s v="Unit"/>
    <x v="18"/>
  </r>
  <r>
    <s v="Clean Buildings Accelerator"/>
    <n v="0"/>
    <s v="NonRes Misc"/>
    <s v="Com Annual"/>
    <n v="0"/>
    <n v="500000"/>
    <n v="0"/>
    <n v="10"/>
    <n v="400000"/>
    <n v="0"/>
    <n v="0"/>
    <n v="0"/>
    <s v="Unit"/>
    <x v="7"/>
  </r>
  <r>
    <s v="Convection Oven"/>
    <n v="5"/>
    <s v="NonRes Cooking"/>
    <s v="Com Annual"/>
    <n v="161.04"/>
    <n v="1495.5"/>
    <n v="0"/>
    <n v="8"/>
    <n v="959.70500000000004"/>
    <n v="0"/>
    <n v="0"/>
    <n v="0"/>
    <s v="Unit"/>
    <x v="12"/>
  </r>
  <r>
    <s v="Dishwasher"/>
    <n v="13"/>
    <s v="NonRes Misc"/>
    <s v="Com Annual"/>
    <n v="2297"/>
    <n v="1900.5"/>
    <n v="0"/>
    <n v="12"/>
    <n v="2467.8150000000001"/>
    <n v="0"/>
    <n v="0"/>
    <n v="0"/>
    <s v="Unit"/>
    <x v="12"/>
  </r>
  <r>
    <s v="Ice Machine"/>
    <n v="13"/>
    <s v="NonRes Misc"/>
    <s v="Com Annual"/>
    <n v="300.16000000000003"/>
    <n v="258.60000000000002"/>
    <n v="0"/>
    <n v="8"/>
    <n v="265.06200000000001"/>
    <n v="0"/>
    <n v="0"/>
    <n v="0"/>
    <s v="Unit"/>
    <x v="12"/>
  </r>
  <r>
    <s v="Mini/Multi Split"/>
    <n v="252"/>
    <s v="NonRes Space Heating"/>
    <s v="Com Winter"/>
    <n v="2601.0300000000002"/>
    <n v="947.47619047619048"/>
    <n v="0"/>
    <n v="15"/>
    <n v="493.99857142857138"/>
    <n v="0"/>
    <n v="0"/>
    <n v="0"/>
    <s v="Unit"/>
    <x v="12"/>
  </r>
  <r>
    <s v="Packaged Unitary Equipment"/>
    <n v="31"/>
    <s v="NonRes Space Heating"/>
    <s v="Com Winter"/>
    <n v="829.5"/>
    <n v="3229.75"/>
    <n v="0"/>
    <n v="10"/>
    <n v="902.58124999999995"/>
    <n v="0"/>
    <n v="0"/>
    <n v="0"/>
    <s v="Unit"/>
    <x v="12"/>
  </r>
  <r>
    <s v="Water Source Heat Pump"/>
    <n v="9"/>
    <s v="NonRes Misc"/>
    <s v="Com Annual"/>
    <n v="3200"/>
    <n v="246.83333333333334"/>
    <n v="0"/>
    <n v="16"/>
    <n v="167.18666666666667"/>
    <n v="0"/>
    <n v="0"/>
    <n v="0"/>
    <s v="Unit"/>
    <x v="12"/>
  </r>
  <r>
    <s v="MT Case: 2 T8 to 1 High Power LED Inside Lamp"/>
    <n v="258"/>
    <s v="NonRes Misc"/>
    <s v="Com Annual"/>
    <n v="24.282902074280965"/>
    <n v="41.548562514127411"/>
    <n v="0"/>
    <n v="7"/>
    <n v="20"/>
    <n v="0"/>
    <n v="0"/>
    <n v="0"/>
    <s v="Unit"/>
    <x v="19"/>
  </r>
  <r>
    <s v="MT Case: 2 T12 to 1 High Power LED Inside Lamp"/>
    <n v="173"/>
    <s v="NonRes Misc"/>
    <s v="Com Annual"/>
    <n v="24.282902074280965"/>
    <n v="41.548562514127411"/>
    <n v="0"/>
    <n v="7"/>
    <n v="20"/>
    <n v="0"/>
    <n v="0"/>
    <n v="0"/>
    <s v="Unit"/>
    <x v="19"/>
  </r>
  <r>
    <s v="LT Case: 2 T8 to 1 High Power LED Inside Lamp"/>
    <n v="431"/>
    <s v="NonRes Misc"/>
    <s v="Com Annual"/>
    <n v="24.282902074280965"/>
    <n v="41.548562514127411"/>
    <n v="0"/>
    <n v="7"/>
    <n v="20"/>
    <n v="0"/>
    <n v="0"/>
    <n v="0"/>
    <s v="Unit"/>
    <x v="19"/>
  </r>
  <r>
    <s v="LT Case: 2 T12 to 1 High Power LED Inside Lamp"/>
    <n v="86"/>
    <s v="NonRes Misc"/>
    <s v="Com Annual"/>
    <n v="15.015247675140364"/>
    <n v="48.753868994422973"/>
    <n v="0"/>
    <n v="7"/>
    <n v="20"/>
    <n v="0"/>
    <n v="0"/>
    <n v="0"/>
    <s v="Unit"/>
    <x v="19"/>
  </r>
  <r>
    <m/>
    <m/>
    <m/>
    <m/>
    <m/>
    <m/>
    <m/>
    <m/>
    <m/>
    <m/>
    <m/>
    <m/>
    <m/>
    <x v="20"/>
  </r>
  <r>
    <m/>
    <m/>
    <m/>
    <m/>
    <m/>
    <m/>
    <m/>
    <m/>
    <m/>
    <m/>
    <m/>
    <m/>
    <m/>
    <x v="20"/>
  </r>
  <r>
    <m/>
    <m/>
    <m/>
    <m/>
    <m/>
    <m/>
    <m/>
    <m/>
    <m/>
    <m/>
    <m/>
    <m/>
    <m/>
    <x v="20"/>
  </r>
  <r>
    <m/>
    <m/>
    <m/>
    <m/>
    <m/>
    <m/>
    <m/>
    <m/>
    <m/>
    <m/>
    <m/>
    <m/>
    <m/>
    <x v="20"/>
  </r>
  <r>
    <m/>
    <m/>
    <m/>
    <m/>
    <m/>
    <m/>
    <m/>
    <m/>
    <m/>
    <m/>
    <m/>
    <m/>
    <m/>
    <x v="20"/>
  </r>
  <r>
    <m/>
    <m/>
    <m/>
    <m/>
    <m/>
    <m/>
    <m/>
    <m/>
    <m/>
    <m/>
    <m/>
    <m/>
    <m/>
    <x v="20"/>
  </r>
  <r>
    <m/>
    <m/>
    <m/>
    <m/>
    <m/>
    <m/>
    <m/>
    <m/>
    <m/>
    <m/>
    <m/>
    <m/>
    <m/>
    <x v="20"/>
  </r>
  <r>
    <m/>
    <m/>
    <m/>
    <m/>
    <m/>
    <m/>
    <m/>
    <m/>
    <m/>
    <m/>
    <m/>
    <m/>
    <m/>
    <x v="20"/>
  </r>
  <r>
    <m/>
    <m/>
    <m/>
    <m/>
    <m/>
    <m/>
    <m/>
    <m/>
    <m/>
    <m/>
    <m/>
    <m/>
    <m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Smart Thermostats - DIY"/>
    <n v="0"/>
    <s v="Res Space Heat"/>
    <s v="Res Winter"/>
    <n v="222.03"/>
    <n v="474.10112359550561"/>
    <n v="0.20030713761100352"/>
    <n v="7"/>
    <n v="150"/>
    <n v="0"/>
    <n v="3.6176761872079799E-2"/>
    <n v="17.15144345160008"/>
    <s v="Unit"/>
    <x v="0"/>
    <m/>
    <n v="0"/>
    <x v="0"/>
    <s v="HVAC"/>
  </r>
  <r>
    <s v="Energy Star Homes - Manufactured, Electric, Dual Fuel"/>
    <n v="10"/>
    <s v="Res Space Heat"/>
    <s v="Res Annual"/>
    <n v="2675.93"/>
    <n v="43"/>
    <n v="150"/>
    <n v="45"/>
    <n v="1000"/>
    <n v="0"/>
    <n v="0"/>
    <n v="0"/>
    <s v="Unit"/>
    <x v="1"/>
    <m/>
    <n v="0"/>
    <x v="0"/>
    <s v="ENERGY Star Homes"/>
  </r>
  <r>
    <s v="Standard Size Refrigerator and Refrigerator-Freezer - Side-mounted Freezer - Energy Star"/>
    <n v="694"/>
    <s v="Res Refrigeration"/>
    <s v="Res Annual"/>
    <n v="106.88"/>
    <n v="49"/>
    <n v="2.0408163265306123"/>
    <n v="15"/>
    <n v="100"/>
    <n v="0"/>
    <n v="1.5603527910890102E-5"/>
    <n v="7.6457286763361495E-4"/>
    <s v="Unit"/>
    <x v="2"/>
    <m/>
    <n v="0"/>
    <x v="0"/>
    <s v="Appliances"/>
  </r>
  <r>
    <s v="Standard Size Freezer - Upright - Energy Star"/>
    <n v="63"/>
    <s v="Res Refrigeration"/>
    <s v="Res Annual"/>
    <n v="72.239999999999995"/>
    <n v="20"/>
    <n v="2.5"/>
    <n v="22"/>
    <n v="50"/>
    <n v="0"/>
    <n v="1.5603527910890102E-5"/>
    <n v="3.1207055821780202E-4"/>
    <s v="Unit"/>
    <x v="2"/>
    <m/>
    <n v="0"/>
    <x v="0"/>
    <s v="Appliances"/>
  </r>
  <r>
    <s v="Energy Star Washer"/>
    <n v="235"/>
    <s v="Res Washer Dryer"/>
    <s v="Res Annual"/>
    <n v="59"/>
    <n v="171.29"/>
    <n v="0.29190262128553918"/>
    <n v="14"/>
    <n v="50"/>
    <n v="0"/>
    <n v="0.13900000000000001"/>
    <n v="23.80931"/>
    <s v="Unit"/>
    <x v="3"/>
    <m/>
    <n v="0"/>
    <x v="0"/>
    <s v="Appliances"/>
  </r>
  <r>
    <s v="Energy Star Dryer"/>
    <n v="435"/>
    <s v="Res Washer Dryer"/>
    <s v="Res Annual"/>
    <n v="411.53"/>
    <n v="318"/>
    <n v="0.15723270440251572"/>
    <n v="12"/>
    <n v="50"/>
    <n v="0"/>
    <n v="0.13900000000000001"/>
    <n v="44.202000000000005"/>
    <s v="Unit"/>
    <x v="4"/>
    <m/>
    <n v="0"/>
    <x v="0"/>
    <s v="Appliances"/>
  </r>
  <r>
    <s v="Insulated Door R2.5-R5 HZ2 Zonal (ENERGY STAR Rated or Insulated R5)"/>
    <n v="2"/>
    <s v="Res Space Heat"/>
    <s v="Res Winter"/>
    <n v="371"/>
    <n v="800"/>
    <n v="0"/>
    <n v="45"/>
    <n v="100"/>
    <n v="0"/>
    <n v="0"/>
    <n v="0"/>
    <s v="Unit"/>
    <x v="5"/>
    <m/>
    <n v="0"/>
    <x v="0"/>
    <s v="Shell"/>
  </r>
  <r>
    <s v="Wall Insulation"/>
    <n v="19586"/>
    <s v="Res Space Heat"/>
    <s v="Res Winter"/>
    <n v="2.5168065892018188"/>
    <n v="1.4896786060150637"/>
    <n v="0"/>
    <n v="45"/>
    <n v="1.5"/>
    <n v="0"/>
    <n v="1.1851238867931199E-2"/>
    <n v="1.765453699633129E-2"/>
    <s v="SQFT"/>
    <x v="6"/>
    <s v="Single Family Weatherization - Insulate Wall - R0 to R11 - Heating Zone 2/3 (Zonal or DHP)"/>
    <n v="0"/>
    <x v="0"/>
    <s v="Shell"/>
  </r>
  <r>
    <s v="Attic &lt;R11-R49/R38"/>
    <n v="35242"/>
    <s v="Res Space Heat"/>
    <s v="Res Winter"/>
    <n v="1.3737162511552601"/>
    <n v="0.70954110122347303"/>
    <n v="0"/>
    <n v="45"/>
    <n v="1.5"/>
    <n v="0"/>
    <n v="1.0582984355072E-2"/>
    <n v="7.509062373528573E-3"/>
    <s v="SQFT"/>
    <x v="6"/>
    <s v="Single Family Weatherization - Insulate Attic - R11 to R49 - Heating Zone 2/3 (Zonal or DHP)"/>
    <n v="0"/>
    <x v="0"/>
    <s v="Shell"/>
  </r>
  <r>
    <s v="Floor &lt;R11-R19"/>
    <n v="800"/>
    <s v="Res Space Heat"/>
    <s v="Res Winter"/>
    <n v="1.86"/>
    <n v="0.46904069199999998"/>
    <n v="0"/>
    <n v="45"/>
    <n v="1"/>
    <n v="0"/>
    <n v="1.0582984355072E-2"/>
    <n v="4.9638503053281444E-3"/>
    <s v="SQFT"/>
    <x v="7"/>
    <m/>
    <n v="0"/>
    <x v="0"/>
    <s v="Shell"/>
  </r>
  <r>
    <s v="Floor &lt;R11 to R30"/>
    <n v="6000"/>
    <s v="Res Space Heat"/>
    <s v="Res Winter"/>
    <n v="1.68"/>
    <n v="0.161409779"/>
    <n v="0"/>
    <n v="45"/>
    <n v="1.5"/>
    <n v="0"/>
    <n v="1.0582984355072E-2"/>
    <n v="1.708197165912629E-3"/>
    <s v="SQFT"/>
    <x v="6"/>
    <s v="Single Family Weatherization - Insulate Floor - R19 to R30 - Heating Zone 2/3 (Electric FAF)"/>
    <n v="0"/>
    <x v="0"/>
    <s v="Shell"/>
  </r>
  <r>
    <s v="NEEM Certified Home"/>
    <n v="28"/>
    <s v="Res Space Heat"/>
    <s v="Res Annual"/>
    <n v="4428.42"/>
    <n v="3735.6"/>
    <n v="0.26769461398436661"/>
    <n v="43"/>
    <n v="1000"/>
    <n v="0"/>
    <n v="1.0582984355072E-2"/>
    <n v="39.53379635680696"/>
    <s v="Unit"/>
    <x v="1"/>
    <m/>
    <n v="0"/>
    <x v="0"/>
    <s v="ENERGY Star Homes"/>
  </r>
  <r>
    <s v="Windows - Single Pane to "/>
    <n v="0"/>
    <s v="Res Space Heat"/>
    <s v="Res Winter"/>
    <n v="31.8"/>
    <n v="4.7300000000000004"/>
    <n v="0"/>
    <n v="45"/>
    <n v="10"/>
    <n v="0"/>
    <n v="1.8394725536443701E-4"/>
    <n v="8.7007051787378717E-4"/>
    <s v="SQFT"/>
    <x v="6"/>
    <m/>
    <n v="0"/>
    <x v="0"/>
    <s v="Shell"/>
  </r>
  <r>
    <s v="Sliding Glass Door"/>
    <n v="0"/>
    <s v="Res Space Heat"/>
    <s v="Res Winter"/>
    <n v="1272"/>
    <n v="189.20000000000002"/>
    <n v="0"/>
    <n v="45"/>
    <n v="400"/>
    <n v="0"/>
    <n v="1.8394725536443701E-4"/>
    <n v="3.4802820714951485E-2"/>
    <s v="SQFT"/>
    <x v="6"/>
    <m/>
    <n v="0"/>
    <x v="0"/>
    <s v="Shell"/>
  </r>
  <r>
    <s v="Windows - DIY"/>
    <n v="0"/>
    <s v="Res Space Heat"/>
    <s v="Res Winter"/>
    <n v="31.8"/>
    <n v="4.7300000000000004"/>
    <n v="0"/>
    <n v="45"/>
    <n v="5"/>
    <n v="0"/>
    <n v="5.5177029496346806E-2"/>
    <n v="0.2609873495177204"/>
    <s v="SQFT"/>
    <x v="6"/>
    <m/>
    <n v="0"/>
    <x v="0"/>
    <s v="Shell"/>
  </r>
  <r>
    <s v="Sliding Glass Door - DIY"/>
    <n v="0"/>
    <s v="Res Space Heat"/>
    <s v="Res Winter"/>
    <n v="1272"/>
    <n v="189.20000000000002"/>
    <n v="0"/>
    <n v="45"/>
    <n v="200"/>
    <n v="0"/>
    <n v="5.5177029496346806E-2"/>
    <n v="10.439493980708816"/>
    <s v="SQFT"/>
    <x v="6"/>
    <m/>
    <n v="0"/>
    <x v="0"/>
    <s v="Shell"/>
  </r>
  <r>
    <s v="Storm Windows"/>
    <n v="0"/>
    <s v="Res Space Heat"/>
    <s v="Res Winter"/>
    <n v="13.7938417954024"/>
    <n v="5.4661370093530302"/>
    <n v="0"/>
    <n v="20"/>
    <n v="5"/>
    <n v="0"/>
    <n v="1.8394725536443701E-4"/>
    <n v="1.0054809003164618E-3"/>
    <s v="SQFT"/>
    <x v="6"/>
    <s v="Windows - Add a Low-e Storm Window to an existing Double Paned Window - Heating Zone 2/3 (Zonal or DHP)"/>
    <n v="0"/>
    <x v="0"/>
    <s v="Shell"/>
  </r>
  <r>
    <s v="Storm Windows - DIY"/>
    <n v="0"/>
    <s v="Res Space Heat"/>
    <s v="Res Winter"/>
    <n v="13.7938417954024"/>
    <n v="5.4661370093530302"/>
    <n v="0"/>
    <n v="20"/>
    <n v="4"/>
    <n v="0"/>
    <n v="1.6572221127298301E-4"/>
    <n v="9.0586031231107433E-4"/>
    <s v="SQFT"/>
    <x v="6"/>
    <s v="Windows - Add a Low-e Storm Window to an existing Double Paned Window - Heating Zone 2/3 (Zonal or DHP)"/>
    <n v="0"/>
    <x v="0"/>
    <s v="Shell"/>
  </r>
  <r>
    <s v="Duct Sealing - MH_AnyHZ_ElectricHVAC"/>
    <n v="3"/>
    <s v="Res Space Heat"/>
    <s v="Res Winter"/>
    <n v="488.7"/>
    <n v="488.7"/>
    <n v="0"/>
    <n v="18"/>
    <n v="230.88884000000002"/>
    <n v="0"/>
    <n v="0"/>
    <n v="0"/>
    <s v="Unit"/>
    <x v="8"/>
    <m/>
    <n v="0"/>
    <x v="0"/>
    <s v="Multi-Family Weatherization"/>
  </r>
  <r>
    <s v="Line Voltage Communicating Thermostat"/>
    <n v="0"/>
    <s v="Res Space Heat"/>
    <s v="Res Winter"/>
    <n v="142.63"/>
    <n v="142.63"/>
    <n v="0"/>
    <n v="15"/>
    <n v="20"/>
    <n v="0"/>
    <n v="7.9687098923800298E-2"/>
    <n v="11.365770919501637"/>
    <s v="Unit"/>
    <x v="9"/>
    <m/>
    <n v="0"/>
    <x v="0"/>
    <s v="Multi-Family Weatherization"/>
  </r>
  <r>
    <s v="Smart Thermostats - DIY"/>
    <n v="0"/>
    <s v="Res Space Heat"/>
    <s v="Res Winter"/>
    <n v="222.03"/>
    <n v="222.03"/>
    <n v="0"/>
    <n v="7"/>
    <n v="150"/>
    <n v="0"/>
    <n v="3.6176761872079799E-2"/>
    <n v="8.0323264384578774"/>
    <s v="Unit"/>
    <x v="0"/>
    <m/>
    <n v="0"/>
    <x v="0"/>
    <s v="Multi-Family Weatherization"/>
  </r>
  <r>
    <s v="Smart Thermostats - Contractor Installed"/>
    <n v="0"/>
    <s v="Res Space Heat"/>
    <s v="Res Winter"/>
    <n v="222.03"/>
    <n v="222.03"/>
    <n v="0"/>
    <n v="7"/>
    <n v="200"/>
    <n v="0"/>
    <n v="3.5676488966641801E-2"/>
    <n v="7.9212508452634793"/>
    <s v="Unit"/>
    <x v="0"/>
    <m/>
    <n v="0"/>
    <x v="0"/>
    <s v="Multi-Family Weatherization"/>
  </r>
  <r>
    <s v="Attic &lt;R11-R49/R38"/>
    <n v="14261"/>
    <s v="Res Space Heat"/>
    <s v="Res Winter"/>
    <n v="1.19"/>
    <n v="1.19"/>
    <n v="0"/>
    <n v="45"/>
    <n v="1.5"/>
    <n v="0"/>
    <n v="0.17126164400424687"/>
    <n v="0.20380135636505375"/>
    <s v="Sq Ft"/>
    <x v="7"/>
    <m/>
    <n v="0"/>
    <x v="0"/>
    <s v="Multi-Family Weatherization"/>
  </r>
  <r>
    <s v="Floor R0-R19"/>
    <n v="0"/>
    <s v="Res Space Heat"/>
    <s v="Res Winter"/>
    <n v="1.9478912018971424"/>
    <n v="1.3023854988102705"/>
    <n v="0"/>
    <n v="45"/>
    <n v="1"/>
    <n v="0"/>
    <n v="0.26171897953706269"/>
    <n v="0.34085900371249239"/>
    <s v="Sq Ft"/>
    <x v="10"/>
    <s v="Floor Insulation_R0 - R19_HZ2_Zonal"/>
    <n v="0"/>
    <x v="0"/>
    <s v="Multi-Family Weatherization"/>
  </r>
  <r>
    <s v="Floor R0 to R30"/>
    <n v="0"/>
    <s v="Res Space Heat"/>
    <s v="Res Winter"/>
    <n v="2.7493375167722496"/>
    <n v="1.7387289490161653"/>
    <n v="0"/>
    <n v="45"/>
    <n v="1.5"/>
    <n v="0"/>
    <n v="0.1941131841018737"/>
    <n v="0.33751021258363223"/>
    <s v="Sq Ft"/>
    <x v="10"/>
    <s v="Floor Insulation_R0 - R30_HZ2_Zonal"/>
    <n v="0"/>
    <x v="0"/>
    <s v="Multi-Family Weatherization"/>
  </r>
  <r>
    <s v="Windows - Single to U30 "/>
    <n v="260"/>
    <s v="Res Space Heat"/>
    <s v="Res Winter"/>
    <n v="31.803566470010896"/>
    <n v="31.568913523447165"/>
    <n v="0"/>
    <n v="45"/>
    <n v="10"/>
    <n v="0"/>
    <n v="0.4567079784668403"/>
    <n v="14.417774677688051"/>
    <s v="Sq Ft"/>
    <x v="10"/>
    <s v="Windows_Single Pane - U30_HZ2_Zonal"/>
    <n v="0"/>
    <x v="0"/>
    <s v="Multi-Family Weatherization"/>
  </r>
  <r>
    <s v="Windows - Double to U30 "/>
    <n v="187"/>
    <s v="Res Space Heat"/>
    <s v="Res Winter"/>
    <n v="31.803566470010896"/>
    <n v="17.313866707026396"/>
    <n v="0"/>
    <n v="45"/>
    <n v="10"/>
    <n v="0"/>
    <n v="0.4567079784668403"/>
    <n v="7.9073810632103543"/>
    <s v="Sq Ft"/>
    <x v="10"/>
    <s v="Windows_Double Pane - U30_HZ2_Zonal"/>
    <n v="0"/>
    <x v="0"/>
    <s v="Multi-Family Weatherization"/>
  </r>
  <r>
    <s v="Sliding Glass Door"/>
    <n v="2"/>
    <s v="Res Space Heat"/>
    <s v="Res Winter"/>
    <n v="1272.1426588004358"/>
    <n v="692.5546682810558"/>
    <n v="0"/>
    <n v="45"/>
    <n v="400"/>
    <n v="0"/>
    <n v="0.4567079784668403"/>
    <n v="316.29524252841418"/>
    <s v="Sq Ft"/>
    <x v="7"/>
    <m/>
    <n v="0"/>
    <x v="0"/>
    <s v="Multi-Family Weatherization"/>
  </r>
  <r>
    <s v="Windows - Single to U30 - DIY"/>
    <n v="98"/>
    <s v="Res Space Heat"/>
    <s v="Res Winter"/>
    <n v="31.803566470010896"/>
    <n v="31.568913523447165"/>
    <n v="0"/>
    <n v="45"/>
    <n v="5"/>
    <n v="0"/>
    <n v="0.4567079784668403"/>
    <n v="14.417774677688051"/>
    <s v="Sq Ft"/>
    <x v="10"/>
    <s v="Windows_Single Pane - U30_HZ2_Zonal"/>
    <n v="0"/>
    <x v="0"/>
    <s v="Multi-Family Weatherization"/>
  </r>
  <r>
    <s v="Windows - Double to U30 - DIY"/>
    <n v="103"/>
    <s v="Res Space Heat"/>
    <s v="Res Winter"/>
    <n v="31.803566470010896"/>
    <n v="17.313866707026396"/>
    <n v="0"/>
    <n v="45"/>
    <n v="5"/>
    <n v="0"/>
    <n v="0.4567079784668403"/>
    <n v="7.9073810632103543"/>
    <s v="Sq Ft"/>
    <x v="10"/>
    <s v="Windows_Double Pane - U30_HZ2_Zonal"/>
    <n v="0"/>
    <x v="0"/>
    <s v="Multi-Family Weatherization"/>
  </r>
  <r>
    <s v="Sliding Glass Door DIY"/>
    <n v="2"/>
    <s v="Res Space Heat"/>
    <s v="Res Winter"/>
    <n v="1272.1426588004358"/>
    <n v="692.5546682810558"/>
    <n v="0"/>
    <n v="45"/>
    <n v="200"/>
    <n v="0"/>
    <n v="0.4567079784668403"/>
    <n v="316.29524252841418"/>
    <s v="Sq Ft"/>
    <x v="7"/>
    <m/>
    <n v="0"/>
    <x v="0"/>
    <s v="Multi-Family Weatherization"/>
  </r>
  <r>
    <s v="Storm Windows - Single to U22"/>
    <n v="0"/>
    <s v="Res Space Heat"/>
    <s v="Res Winter"/>
    <n v="13.793841795402404"/>
    <n v="31.900576478228739"/>
    <n v="0"/>
    <n v="20"/>
    <n v="5"/>
    <n v="0"/>
    <n v="1.0802246396835806"/>
    <n v="34.459788731893148"/>
    <s v="Sq Ft"/>
    <x v="10"/>
    <s v="Low E Storm Window_Single Pane Metal Frame_HZ2_Zonal"/>
    <n v="0"/>
    <x v="0"/>
    <s v="Multi-Family Weatherization"/>
  </r>
  <r>
    <s v="Storm Windows - Double to U22"/>
    <n v="0"/>
    <s v="Res Space Heat"/>
    <s v="Res Winter"/>
    <n v="13.793841795402404"/>
    <n v="16.474888642234884"/>
    <n v="0"/>
    <n v="20"/>
    <n v="5"/>
    <n v="0"/>
    <n v="1.0802246396835806"/>
    <n v="17.796580647385291"/>
    <s v="Sq Ft"/>
    <x v="10"/>
    <s v="Low E Storm Window_Double Pane Metal Frame_HZ2_Zonal"/>
    <n v="0"/>
    <x v="0"/>
    <s v="Multi-Family Weatherization"/>
  </r>
  <r>
    <s v="Storm Windows - Single to U22 - DIY"/>
    <n v="20"/>
    <s v="Res Space Heat"/>
    <s v="Res Winter"/>
    <n v="13.793841795402404"/>
    <n v="31.900576478228739"/>
    <n v="0"/>
    <n v="20"/>
    <n v="4"/>
    <n v="0"/>
    <n v="1.0802246396835806"/>
    <n v="34.459788731893148"/>
    <s v="Sq Ft"/>
    <x v="10"/>
    <s v="Low E Storm Window_Single Pane Metal Frame_HZ2_Zonal"/>
    <n v="0"/>
    <x v="0"/>
    <s v="Multi-Family Weatherization"/>
  </r>
  <r>
    <s v="Storm Windows - Double to U22 - DIY"/>
    <n v="10"/>
    <s v="Res Space Heat"/>
    <s v="Res Winter"/>
    <n v="13.793841795402404"/>
    <n v="16.474888642234884"/>
    <n v="0"/>
    <n v="20"/>
    <n v="4"/>
    <n v="0"/>
    <n v="1.0802246396835806"/>
    <n v="17.796580647385291"/>
    <s v="Sq Ft"/>
    <x v="10"/>
    <s v="Low E Storm Window_Double Pane Metal Frame_HZ2_Zonal"/>
    <n v="0"/>
    <x v="0"/>
    <s v="Multi-Family Weatherization"/>
  </r>
  <r>
    <s v="Air Infiltration - Electric"/>
    <n v="62"/>
    <s v="Res Space Heat"/>
    <s v="Res Winter"/>
    <n v="1612.9"/>
    <n v="802.88440000000003"/>
    <n v="0"/>
    <n v="15"/>
    <n v="1612.9"/>
    <n v="0"/>
    <n v="0.18999932132924399"/>
    <n v="152.54749110583728"/>
    <s v="Unit"/>
    <x v="7"/>
    <s v="N/A"/>
    <n v="13064.49"/>
    <x v="1"/>
    <s v="Low Income"/>
  </r>
  <r>
    <s v="Energy Star Rated Refrigerator"/>
    <n v="12"/>
    <s v="Res Space Heat"/>
    <s v="Res Winter"/>
    <n v="100.23"/>
    <n v="39"/>
    <n v="0"/>
    <n v="20"/>
    <n v="640.54999999999995"/>
    <n v="55"/>
    <n v="1.90514519585486E-5"/>
    <n v="7.430066263833954E-4"/>
    <s v="Unit"/>
    <x v="7"/>
    <s v="N/A"/>
    <n v="0"/>
    <x v="1"/>
    <s v="Low Income"/>
  </r>
  <r>
    <s v="Windows"/>
    <n v="65843"/>
    <s v="Res Space Heat"/>
    <s v="Res Winter"/>
    <n v="9.9"/>
    <n v="6.04"/>
    <n v="0"/>
    <n v="45"/>
    <n v="20.45"/>
    <n v="0"/>
    <n v="0.12455658742864401"/>
    <n v="0.75232178806900984"/>
    <s v="SQFT"/>
    <x v="7"/>
    <s v="N/A"/>
    <n v="674353.06499999994"/>
    <x v="1"/>
    <s v="Low Income"/>
  </r>
  <r>
    <s v="Airsource Heat Pump"/>
    <n v="41"/>
    <s v="Res Space Heat"/>
    <s v="Res Winter"/>
    <n v="7819.5"/>
    <n v="878.44"/>
    <n v="0"/>
    <n v="15"/>
    <n v="483.28384132419274"/>
    <n v="0"/>
    <n v="0.152990537929272"/>
    <n v="134.39300813858969"/>
    <s v="Unit"/>
    <x v="7"/>
    <s v="N/A"/>
    <n v="0"/>
    <x v="1"/>
    <s v="Low Income"/>
  </r>
  <r>
    <s v="Attic Insulation"/>
    <n v="26385"/>
    <s v="Res Space Heat"/>
    <s v="Res Winter"/>
    <n v="1.76"/>
    <n v="0.56999999999999995"/>
    <n v="0"/>
    <n v="45"/>
    <n v="1.76"/>
    <n v="0"/>
    <n v="2.0176896710168628"/>
    <n v="1.1500831124796116"/>
    <s v="SQFT"/>
    <x v="7"/>
    <s v="N/A"/>
    <n v="21455.280000000002"/>
    <x v="1"/>
    <s v="Low Income"/>
  </r>
  <r>
    <s v="Duct Insulation"/>
    <n v="17705"/>
    <s v="Res Space Heat"/>
    <s v="Res Winter"/>
    <n v="3.05"/>
    <n v="2.68"/>
    <n v="0"/>
    <n v="45"/>
    <n v="3.05"/>
    <n v="0"/>
    <n v="0.88951662591279201"/>
    <n v="2.3839045574462827"/>
    <s v="SQFT"/>
    <x v="7"/>
    <s v="N/A"/>
    <n v="16045.439999999999"/>
    <x v="1"/>
    <s v="Low Income"/>
  </r>
  <r>
    <s v="Floor Insulation"/>
    <n v="24209"/>
    <s v="Res Space Heat"/>
    <s v="Res Winter"/>
    <n v="3.03"/>
    <n v="1.17"/>
    <n v="0"/>
    <n v="45"/>
    <n v="3.03"/>
    <n v="0"/>
    <n v="1.958369308265123"/>
    <n v="2.2912920906701939"/>
    <s v="SQFT"/>
    <x v="7"/>
    <s v="N/A"/>
    <n v="40039.631999999998"/>
    <x v="1"/>
    <s v="Low Income"/>
  </r>
  <r>
    <s v="Wall Insulation"/>
    <n v="10729"/>
    <s v="Res Space Heat"/>
    <s v="Res Winter"/>
    <n v="2.17"/>
    <n v="2.3068759999999999"/>
    <n v="0"/>
    <n v="45"/>
    <n v="2.17"/>
    <n v="0"/>
    <n v="2.1752617543823201"/>
    <n v="5.0180591349024688"/>
    <s v="SQFT"/>
    <x v="7"/>
    <s v="N/A"/>
    <n v="8606.2199999999993"/>
    <x v="1"/>
    <s v="Low Income"/>
  </r>
  <r>
    <s v="Duct Sealing"/>
    <n v="4"/>
    <s v="Res Space Heat"/>
    <s v="Res Winter"/>
    <n v="654.20000000000005"/>
    <n v="709.93"/>
    <n v="0"/>
    <n v="20"/>
    <n v="654.20000000000005"/>
    <n v="0"/>
    <n v="0.39855351241470938"/>
    <n v="282.94509506857463"/>
    <s v="Unit"/>
    <x v="7"/>
    <s v="N/A"/>
    <n v="4121.46"/>
    <x v="1"/>
    <s v="Low Income"/>
  </r>
  <r>
    <s v="Ductless Heat Pump (single Head) (w FAF)"/>
    <n v="2"/>
    <s v="Res Space Heat"/>
    <s v="Res Winter"/>
    <n v="6286.7"/>
    <n v="3016.23"/>
    <n v="0"/>
    <n v="15"/>
    <n v="6286.7"/>
    <n v="0"/>
    <n v="0.115691808568313"/>
    <n v="348.95310375800273"/>
    <s v="Unit"/>
    <x v="7"/>
    <s v="N/A"/>
    <n v="0"/>
    <x v="1"/>
    <s v="Low Income"/>
  </r>
  <r>
    <s v="Ductless Heat Pump (single head) (displace zonal)"/>
    <n v="2"/>
    <s v="Res Space Heat"/>
    <s v="Res Winter"/>
    <n v="6286.7"/>
    <n v="3016.23"/>
    <n v="0"/>
    <n v="15"/>
    <n v="6286.7"/>
    <n v="0"/>
    <n v="9.6951129305975603E-2"/>
    <n v="292.4269047465628"/>
    <s v="Unit"/>
    <x v="7"/>
    <s v="N/A"/>
    <n v="0"/>
    <x v="1"/>
    <s v="Low Income"/>
  </r>
  <r>
    <s v="Tier2-3 HPWH"/>
    <n v="0"/>
    <s v="Res Water Heating"/>
    <s v="Res Annual"/>
    <n v="697.39"/>
    <n v="587.33000000000004"/>
    <n v="0"/>
    <n v="13"/>
    <n v="697.39"/>
    <n v="0"/>
    <n v="7.2573394824780604E-2"/>
    <n v="42.624531982438398"/>
    <s v="Unit"/>
    <x v="7"/>
    <s v="N/A"/>
    <n v="0"/>
    <x v="1"/>
    <s v="Low Income"/>
  </r>
  <r>
    <s v="Conversion to Airsource Heat Pump"/>
    <n v="15"/>
    <s v="Res Space Heat"/>
    <s v="Res Winter"/>
    <n v="7819.5"/>
    <n v="7234.2980219999999"/>
    <n v="0"/>
    <n v="15"/>
    <n v="7819.5"/>
    <n v="0"/>
    <n v="0.111775809843256"/>
    <n v="808.61952005651494"/>
    <s v="Unit"/>
    <x v="7"/>
    <s v="N/A"/>
    <n v="0"/>
    <x v="1"/>
    <s v="Low Income"/>
  </r>
  <r>
    <s v="HHS"/>
    <n v="1"/>
    <s v="Res Misc"/>
    <s v="Res Winter"/>
    <n v="1"/>
    <n v="1"/>
    <n v="0"/>
    <n v="1"/>
    <n v="1"/>
    <n v="250000"/>
    <n v="2.5793786734219101E-2"/>
    <n v="2.5793786734219101E-2"/>
    <s v="Unit"/>
    <x v="7"/>
    <s v="N/A"/>
    <n v="0.3"/>
    <x v="1"/>
    <s v="Low Income"/>
  </r>
  <r>
    <s v="Outreach LEDs"/>
    <n v="30"/>
    <s v="Res Lighting"/>
    <s v="Res Annual"/>
    <n v="1.1000000000000001"/>
    <n v="9"/>
    <n v="0"/>
    <n v="13"/>
    <n v="1.1000000000000001"/>
    <n v="0"/>
    <n v="6.3892460096552306E-2"/>
    <n v="0.5750321408689707"/>
    <s v="Unit"/>
    <x v="7"/>
    <s v="N/A"/>
    <n v="9.57"/>
    <x v="1"/>
    <s v="Low Income"/>
  </r>
  <r>
    <s v="DoorSweep - CFM50 reduction - Leave Behind"/>
    <n v="1"/>
    <s v="Res Space Heat"/>
    <s v="Res Winter"/>
    <n v="16.738486450182716"/>
    <n v="16.070522095305463"/>
    <n v="0"/>
    <n v="5"/>
    <n v="20"/>
    <n v="0"/>
    <n v="0.44043387578069898"/>
    <n v="7.0780023322547452"/>
    <s v="Unit"/>
    <x v="11"/>
    <s v="DoorSweep - CFM50 reduction - Heating Zone 2/3 (Zonal or DHP) - Leave Behind"/>
    <n v="24"/>
    <x v="1"/>
    <s v="Low Income"/>
  </r>
  <r>
    <s v="Storm Windows"/>
    <n v="0"/>
    <s v="Res Space Heat"/>
    <s v="Res Winter"/>
    <n v="10.47"/>
    <n v="6.17"/>
    <n v="0"/>
    <n v="20"/>
    <n v="10.47"/>
    <n v="0"/>
    <n v="0.46156657398244505"/>
    <n v="2.8478657614716858"/>
    <s v="SQFT"/>
    <x v="6"/>
    <m/>
    <n v="0"/>
    <x v="1"/>
    <s v="Low Income"/>
  </r>
  <r>
    <s v="MEEP Program"/>
    <n v="1"/>
    <s v="Res Space Heat"/>
    <s v="Res Winter"/>
    <n v="57040.824871519762"/>
    <n v="103651"/>
    <n v="0"/>
    <n v="20"/>
    <n v="26949.232427313964"/>
    <n v="0"/>
    <n v="0.46000000000000008"/>
    <n v="47679.460000000006"/>
    <s v="Unit"/>
    <x v="7"/>
    <s v="N/A"/>
    <n v="0"/>
    <x v="0"/>
    <s v="MEEP Program"/>
  </r>
  <r>
    <s v="Heat Pump Water Heaters"/>
    <n v="722"/>
    <s v="Res Space Heat"/>
    <s v="Res Winter"/>
    <n v="634.41"/>
    <n v="1613.0079365079366"/>
    <n v="0"/>
    <n v="13"/>
    <n v="212.30158730158729"/>
    <n v="0"/>
    <n v="2.6794872628757198E-3"/>
    <n v="4.3220342207904636"/>
    <s v="Unit"/>
    <x v="12"/>
    <s v="N/A"/>
    <n v="0"/>
    <x v="0"/>
    <s v="Residential Midstream"/>
  </r>
  <r>
    <s v="Split Unitary Equipment"/>
    <n v="2230"/>
    <s v="Res Water Heating"/>
    <s v="Res Winter"/>
    <n v="775.88"/>
    <n v="2023.5382308845578"/>
    <n v="0"/>
    <n v="15"/>
    <n v="425.71214392803597"/>
    <n v="0"/>
    <n v="6.1837538488303506E-2"/>
    <n v="125.13062323487743"/>
    <s v="Unit"/>
    <x v="12"/>
    <s v="N/A"/>
    <n v="0"/>
    <x v="0"/>
    <s v="Residential Midstream"/>
  </r>
  <r>
    <s v="Named Community Projects"/>
    <n v="1"/>
    <s v="Res Space Heat"/>
    <s v="Res Winter"/>
    <n v="2000000"/>
    <n v="0"/>
    <n v="0"/>
    <n v="12"/>
    <n v="2000000"/>
    <n v="0"/>
    <n v="0.46000000000000008"/>
    <n v="0"/>
    <s v="Unit"/>
    <x v="7"/>
    <s v="N/A"/>
    <n v="0"/>
    <x v="2"/>
    <s v="NCIF"/>
  </r>
  <r>
    <s v="On Bill Repayment"/>
    <n v="0"/>
    <s v="Res Misc"/>
    <s v="Res Winter"/>
    <n v="228888.88888888888"/>
    <n v="257500"/>
    <n v="0"/>
    <n v="15"/>
    <n v="206000"/>
    <n v="0"/>
    <n v="0"/>
    <n v="0"/>
    <s v="Unit"/>
    <x v="7"/>
    <s v="N/A"/>
    <n v="0"/>
    <x v="0"/>
    <s v="On-Bill Repayment"/>
  </r>
  <r>
    <s v="T12/T8 (2') Lamp to 1-Lamp less than 13 watt T8 TLED"/>
    <n v="2000"/>
    <s v="NonRes Interior Lighting"/>
    <s v="Com Annual"/>
    <n v="18.817234087169748"/>
    <n v="26.325000000000003"/>
    <n v="0"/>
    <n v="12"/>
    <n v="6"/>
    <n v="0"/>
    <n v="2.6991026764868101E-2"/>
    <n v="0.71053877958515288"/>
    <s v="Unit"/>
    <x v="7"/>
    <s v="N/A"/>
    <n v="0"/>
    <x v="3"/>
    <s v="Interior Lighting"/>
  </r>
  <r>
    <s v="T12/T8 (3') Lamp to 1-Lamp less than 17 watt T8 TLED"/>
    <n v="200"/>
    <s v="NonRes Interior Lighting"/>
    <s v="Com Annual"/>
    <n v="19.216742047807266"/>
    <n v="38.564897959183668"/>
    <n v="0"/>
    <n v="12"/>
    <n v="10"/>
    <n v="0"/>
    <n v="2.6991026764868101E-2"/>
    <n v="1.0409061930007335"/>
    <s v="Unit"/>
    <x v="7"/>
    <s v="N/A"/>
    <n v="0"/>
    <x v="3"/>
    <s v="Interior Lighting"/>
  </r>
  <r>
    <s v="T12/T8 (4') Lamp to 1-Lamp less than 23 watt T8 TLED"/>
    <n v="17500"/>
    <s v="NonRes Interior Lighting"/>
    <s v="Com Annual"/>
    <n v="21.178934796493305"/>
    <n v="52.675244395953186"/>
    <n v="0"/>
    <n v="12"/>
    <n v="12"/>
    <n v="0"/>
    <n v="2.6991026764868101E-2"/>
    <n v="1.4217589313371408"/>
    <s v="Unit"/>
    <x v="7"/>
    <s v="N/A"/>
    <n v="0"/>
    <x v="3"/>
    <s v="Interior Lighting"/>
  </r>
  <r>
    <s v="T12/T8 Eight-Foot to LED"/>
    <n v="700"/>
    <s v="NonRes Interior Lighting"/>
    <s v="Com Annual"/>
    <n v="43.319454639656684"/>
    <n v="109.48840336134452"/>
    <n v="0"/>
    <n v="12"/>
    <n v="25"/>
    <n v="0"/>
    <n v="2.5250287948902599E-2"/>
    <n v="2.7646137119395444"/>
    <s v="Unit"/>
    <x v="7"/>
    <s v="N/A"/>
    <n v="0"/>
    <x v="3"/>
    <s v="Interior Lighting"/>
  </r>
  <r>
    <s v="T12/T8 U-Bend to less than 23 watt T8 LED"/>
    <n v="200"/>
    <s v="NonRes Interior Lighting"/>
    <s v="Com Annual"/>
    <n v="32.129354575163404"/>
    <n v="64.61866666666667"/>
    <n v="0"/>
    <n v="12"/>
    <n v="15"/>
    <n v="0"/>
    <n v="2.6991026764868101E-2"/>
    <n v="1.7441241615100902"/>
    <s v="Unit"/>
    <x v="7"/>
    <s v="N/A"/>
    <n v="0"/>
    <x v="3"/>
    <s v="Interior Lighting"/>
  </r>
  <r>
    <s v="T5 Lamp to 1-Lamp less than 18 watt T5 TLED"/>
    <n v="50"/>
    <s v="NonRes Interior Lighting"/>
    <s v="Com Annual"/>
    <n v="18.153024691358027"/>
    <n v="110.63"/>
    <n v="0"/>
    <n v="12"/>
    <n v="17"/>
    <n v="0"/>
    <n v="2.5250287948902599E-2"/>
    <n v="2.7934393557870942"/>
    <s v="Unit"/>
    <x v="7"/>
    <s v="N/A"/>
    <n v="0"/>
    <x v="3"/>
    <s v="Interior Lighting"/>
  </r>
  <r>
    <s v="T5HO Lamp to 1-Lamp less than 29 watt T5HO TLED"/>
    <n v="500"/>
    <s v="NonRes Interior Lighting"/>
    <s v="Com Annual"/>
    <n v="38.7834285122455"/>
    <n v="115.44427555555558"/>
    <n v="0"/>
    <n v="12"/>
    <n v="30"/>
    <n v="0"/>
    <n v="2.6991026764868101E-2"/>
    <n v="3.1159595313708088"/>
    <s v="Unit"/>
    <x v="7"/>
    <s v="N/A"/>
    <n v="0"/>
    <x v="3"/>
    <s v="Interior Lighting"/>
  </r>
  <r>
    <s v="TLED (4') Lamp to TLED (4') Lamp with 5 watt or more reduction"/>
    <n v="5"/>
    <s v="NonRes Interior Lighting"/>
    <s v="Com Annual"/>
    <n v="52.187423483923489"/>
    <n v="21.84"/>
    <n v="0"/>
    <n v="12"/>
    <n v="5"/>
    <n v="0"/>
    <n v="2.5250287948902599E-2"/>
    <n v="0.5514662888040327"/>
    <s v="Unit"/>
    <x v="7"/>
    <s v="N/A"/>
    <n v="0"/>
    <x v="3"/>
    <s v="Interior Lighting"/>
  </r>
  <r>
    <s v="TLED (4') Lamp to TLED (4') Lamp with 3-4 watt reduction"/>
    <n v="5"/>
    <s v="NonRes Interior Lighting"/>
    <s v="Com Annual"/>
    <n v="20"/>
    <n v="15.288"/>
    <n v="0"/>
    <n v="12"/>
    <n v="3"/>
    <n v="0"/>
    <n v="2.5250287948902599E-2"/>
    <n v="0.38602640216282291"/>
    <s v="Unit"/>
    <x v="7"/>
    <s v="N/A"/>
    <n v="0"/>
    <x v="3"/>
    <s v="Interior Lighting"/>
  </r>
  <r>
    <s v="Four Pin Base CFL to 17 watt or less Plug in LED"/>
    <n v="25"/>
    <s v="NonRes Interior Lighting"/>
    <s v="Com Annual"/>
    <n v="34.257603725380903"/>
    <n v="76.207733333333323"/>
    <n v="0"/>
    <n v="12"/>
    <n v="17"/>
    <n v="0"/>
    <n v="2.5250287948902599E-2"/>
    <n v="1.9242672105998493"/>
    <s v="Unit"/>
    <x v="7"/>
    <s v="N/A"/>
    <n v="0"/>
    <x v="3"/>
    <s v="Interior Lighting"/>
  </r>
  <r>
    <s v="20-50 watt MR16 to MR16 LED 2-9 watt"/>
    <n v="5"/>
    <s v="NonRes Interior Lighting"/>
    <s v="Com Annual"/>
    <n v="28.343333333333334"/>
    <n v="80.73866666666666"/>
    <n v="0"/>
    <n v="12"/>
    <n v="9"/>
    <n v="0"/>
    <n v="2.5250287948902599E-2"/>
    <n v="2.038674581943797"/>
    <s v="Unit"/>
    <x v="7"/>
    <s v="N/A"/>
    <n v="0"/>
    <x v="3"/>
    <s v="Interior Lighting"/>
  </r>
  <r>
    <s v="2-Lamp T12/T8 Fixture to LED Qualified 1x4 Fixture"/>
    <n v="300"/>
    <s v="NonRes Interior Lighting"/>
    <s v="Com Annual"/>
    <n v="153.76790967224497"/>
    <n v="122.38964050480111"/>
    <n v="0"/>
    <n v="12"/>
    <n v="30"/>
    <n v="0"/>
    <n v="2.6991026764868101E-2"/>
    <n v="3.3034220626076718"/>
    <s v="Unit"/>
    <x v="7"/>
    <s v="N/A"/>
    <n v="0"/>
    <x v="3"/>
    <s v="Interior Lighting"/>
  </r>
  <r>
    <s v="2-Lamp T12/T8 Fixture to LED Qualified 2x2 Fixture"/>
    <n v="500"/>
    <s v="NonRes Interior Lighting"/>
    <s v="Com Annual"/>
    <n v="115.39267271925192"/>
    <n v="111.20735033217994"/>
    <n v="0"/>
    <n v="12"/>
    <n v="25"/>
    <n v="0"/>
    <n v="2.5250287948902599E-2"/>
    <n v="2.8080176179220326"/>
    <s v="Unit"/>
    <x v="7"/>
    <s v="N/A"/>
    <n v="0"/>
    <x v="3"/>
    <s v="Interior Lighting"/>
  </r>
  <r>
    <s v="2, 3, 4-Lamp T12/T8 Fixture to LED Qualified 2x4 Fixture"/>
    <n v="1500"/>
    <s v="NonRes Interior Lighting"/>
    <s v="Com Annual"/>
    <n v="178.3030596375973"/>
    <n v="241.3422072163556"/>
    <n v="0"/>
    <n v="12"/>
    <n v="50"/>
    <n v="0"/>
    <n v="2.5250287948902599E-2"/>
    <n v="6.0939602264366979"/>
    <s v="Unit"/>
    <x v="7"/>
    <s v="N/A"/>
    <n v="0"/>
    <x v="3"/>
    <s v="Interior Lighting"/>
  </r>
  <r>
    <s v="T12/T8 8' Fixture to 90 watt or less 8' LED fixture"/>
    <n v="150"/>
    <s v="NonRes Interior Lighting"/>
    <s v="Com Annual"/>
    <n v="215.40337250782392"/>
    <n v="291.04988331250001"/>
    <n v="0"/>
    <n v="12"/>
    <n v="70"/>
    <n v="0"/>
    <n v="2.5250287948902599E-2"/>
    <n v="7.349093361135127"/>
    <s v="Unit"/>
    <x v="7"/>
    <s v="N/A"/>
    <n v="0"/>
    <x v="3"/>
    <s v="Interior Lighting"/>
  </r>
  <r>
    <s v="T5HO (4') 4-Lamp to 135 watt of less LED Fixture"/>
    <n v="100"/>
    <s v="NonRes Interior Lighting"/>
    <s v="Com Annual"/>
    <n v="320.74232400240794"/>
    <n v="427.80785185185186"/>
    <n v="0"/>
    <n v="12"/>
    <n v="110"/>
    <n v="0"/>
    <n v="2.5250287948902599E-2"/>
    <n v="10.802271446060724"/>
    <s v="Unit"/>
    <x v="7"/>
    <s v="N/A"/>
    <n v="0"/>
    <x v="3"/>
    <s v="Interior Lighting"/>
  </r>
  <r>
    <s v="T5HO (4') 6-Lamp to 165 watt of less LED Fixture"/>
    <n v="150"/>
    <s v="NonRes Interior Lighting"/>
    <s v="Com Annual"/>
    <n v="313.91146751777637"/>
    <n v="527.64353217993084"/>
    <n v="0"/>
    <n v="12"/>
    <n v="140"/>
    <n v="0"/>
    <n v="2.5250287948902602E-2"/>
    <n v="13.32315112191931"/>
    <s v="Unit"/>
    <x v="7"/>
    <s v="N/A"/>
    <n v="0"/>
    <x v="3"/>
    <s v="Interior Lighting"/>
  </r>
  <r>
    <s v="T5HO (4') 8-Lamp to 250 watt of less LED Fixture NEW"/>
    <n v="5"/>
    <s v="NonRes Interior Lighting"/>
    <s v="Com Annual"/>
    <n v="320"/>
    <n v="777"/>
    <n v="0"/>
    <n v="12"/>
    <n v="200"/>
    <n v="0"/>
    <n v="2.5250287948902599E-2"/>
    <n v="19.619473736297319"/>
    <s v="Unit"/>
    <x v="7"/>
    <s v="N/A"/>
    <n v="0"/>
    <x v="3"/>
    <s v="Interior Lighting"/>
  </r>
  <r>
    <s v="&gt;= 42W CFL to &lt;= 20W LED Fixture"/>
    <n v="250"/>
    <s v="NonRes Interior Lighting"/>
    <s v="Com Annual"/>
    <n v="76.812904922353383"/>
    <n v="114.48115714285714"/>
    <n v="0"/>
    <n v="12"/>
    <n v="20"/>
    <n v="0"/>
    <n v="2.5250287948902599E-2"/>
    <n v="2.8906821825807105"/>
    <s v="Unit"/>
    <x v="7"/>
    <s v="N/A"/>
    <n v="0"/>
    <x v="3"/>
    <s v="Interior Lighting"/>
  </r>
  <r>
    <s v="65W Incadescent to &lt;= 10 watt LED Fixture"/>
    <n v="50"/>
    <s v="NonRes Interior Lighting"/>
    <s v="Com Annual"/>
    <n v="163.81439021164022"/>
    <n v="170.97888888888892"/>
    <n v="0"/>
    <n v="12"/>
    <n v="30"/>
    <n v="0"/>
    <n v="2.5250287948902599E-2"/>
    <n v="4.317266177627868"/>
    <s v="Unit"/>
    <x v="7"/>
    <s v="N/A"/>
    <n v="0"/>
    <x v="3"/>
    <s v="Interior Lighting"/>
  </r>
  <r>
    <s v="75-100 watt Incandescent Can to less than 20 watt LED Fixture Retrofit"/>
    <n v="250"/>
    <s v="NonRes Interior Lighting"/>
    <s v="Com Annual"/>
    <n v="161.89051091292717"/>
    <n v="183.64744636678199"/>
    <n v="0"/>
    <n v="12"/>
    <n v="40"/>
    <n v="0"/>
    <n v="2.5250287948902599E-2"/>
    <n v="4.6371509018418919"/>
    <s v="Unit"/>
    <x v="7"/>
    <s v="N/A"/>
    <n v="0"/>
    <x v="3"/>
    <s v="Interior Lighting"/>
  </r>
  <r>
    <s v="&gt;= 150W Incandescent to &lt;= 30W LED Fixture"/>
    <n v="25"/>
    <s v="NonRes Interior Lighting"/>
    <s v="Com Annual"/>
    <n v="114.69615628815629"/>
    <n v="411.56700000000001"/>
    <n v="0"/>
    <n v="12"/>
    <n v="75"/>
    <n v="0"/>
    <n v="2.5250287948902599E-2"/>
    <n v="10.392185260265997"/>
    <s v="Unit"/>
    <x v="7"/>
    <s v="N/A"/>
    <n v="0"/>
    <x v="3"/>
    <s v="Interior Lighting"/>
  </r>
  <r>
    <s v="175-watt HID Fixture to 75-watt or less LED Fixture"/>
    <n v="25"/>
    <s v="NonRes Interior Lighting"/>
    <s v="Com Annual"/>
    <n v="271.65483333333333"/>
    <n v="546"/>
    <n v="0"/>
    <n v="12"/>
    <n v="140"/>
    <n v="0"/>
    <n v="2.5250287948902599E-2"/>
    <n v="13.786657220100819"/>
    <s v="Unit"/>
    <x v="7"/>
    <s v="N/A"/>
    <n v="0"/>
    <x v="3"/>
    <s v="Interior Lighting"/>
  </r>
  <r>
    <s v="250-watt HID Fixture to 140-watt or less LED Fixture"/>
    <n v="50"/>
    <s v="NonRes Interior Lighting"/>
    <s v="Com Annual"/>
    <n v="516.1812083333333"/>
    <n v="1007.1644142857142"/>
    <n v="0"/>
    <n v="20"/>
    <n v="260"/>
    <n v="0"/>
    <n v="2.5250287948902599E-2"/>
    <n v="25.431191472602112"/>
    <s v="Unit"/>
    <x v="7"/>
    <s v="N/A"/>
    <n v="0"/>
    <x v="3"/>
    <s v="Interior Lighting"/>
  </r>
  <r>
    <s v="400 watt HID Fixture to 175 watt or less LED Fixture"/>
    <n v="500"/>
    <s v="NonRes Interior Lighting"/>
    <s v="Com Annual"/>
    <n v="500.36170114044052"/>
    <n v="1195.7442230721088"/>
    <n v="0"/>
    <n v="20"/>
    <n v="310"/>
    <n v="0"/>
    <n v="2.5250287948902599E-2"/>
    <n v="30.192885945807568"/>
    <s v="Unit"/>
    <x v="7"/>
    <s v="N/A"/>
    <n v="0"/>
    <x v="3"/>
    <s v="Interior Lighting"/>
  </r>
  <r>
    <s v="1000 watt HID Fixture to 400 watt or less LED Fixture"/>
    <n v="25"/>
    <s v="NonRes Interior Lighting"/>
    <s v="Com Annual"/>
    <n v="612.56837763409965"/>
    <n v="3175.27808"/>
    <n v="0"/>
    <n v="20"/>
    <n v="600"/>
    <n v="0"/>
    <n v="2.5250287948902599E-2"/>
    <n v="80.176685837838576"/>
    <s v="Unit"/>
    <x v="7"/>
    <s v="N/A"/>
    <n v="0"/>
    <x v="3"/>
    <s v="Interior Lighting"/>
  </r>
  <r>
    <s v="Wall Switch Occupancy Sensor"/>
    <n v="50"/>
    <s v="NonRes Interior Lighting"/>
    <s v="Com Annual"/>
    <n v="201.89115918803418"/>
    <n v="48.898142222222241"/>
    <n v="0"/>
    <n v="12"/>
    <n v="10"/>
    <n v="0"/>
    <n v="2.5250287948902599E-2"/>
    <n v="1.2346921712775036"/>
    <s v="Unit"/>
    <x v="7"/>
    <s v="N/A"/>
    <n v="0"/>
    <x v="3"/>
    <s v="Interior Lighting"/>
  </r>
  <r>
    <s v="Ceiling or Fixture Occupancy sensor with built-in relays"/>
    <n v="75"/>
    <s v="NonRes Interior Lighting"/>
    <s v="Com Annual"/>
    <n v="145.58447480364694"/>
    <n v="190.73512345713189"/>
    <n v="0"/>
    <n v="12"/>
    <n v="30"/>
    <n v="0"/>
    <n v="2.5250287948902599E-2"/>
    <n v="4.8161167892620664"/>
    <s v="Unit"/>
    <x v="7"/>
    <s v="N/A"/>
    <n v="0"/>
    <x v="3"/>
    <s v="Interior Lighting"/>
  </r>
  <r>
    <s v="DLC Qualified LLLC Fixture"/>
    <n v="500"/>
    <s v="NonRes Interior Lighting"/>
    <s v="Com Annual"/>
    <n v="201.64374601079913"/>
    <n v="94.726615984950286"/>
    <n v="0"/>
    <n v="12"/>
    <n v="50"/>
    <n v="0"/>
    <n v="2.5250287948902599E-2"/>
    <n v="2.3918743300451144"/>
    <s v="Unit"/>
    <x v="7"/>
    <s v="N/A"/>
    <n v="0"/>
    <x v="3"/>
    <s v="Interior Lighting"/>
  </r>
  <r>
    <s v="70-89 watt HID Fixture to 25 watt or less LED Fixture or Retrofit (Ext)"/>
    <n v="50"/>
    <s v="NonRes Exterior Lighting"/>
    <s v="Com Annual"/>
    <n v="155.13800189393942"/>
    <n v="322.91454000000004"/>
    <n v="0"/>
    <n v="12"/>
    <n v="85"/>
    <n v="0"/>
    <n v="2.5250287948902599E-2"/>
    <n v="8.1536851178874272"/>
    <s v="Unit"/>
    <x v="7"/>
    <s v="N/A"/>
    <n v="0"/>
    <x v="3"/>
    <s v="Exterior Lighting"/>
  </r>
  <r>
    <s v="90-100 watt HID Fixture to 30 watt or less LED Fixture or Retrofit (Ext)"/>
    <n v="100"/>
    <s v="NonRes Exterior Lighting"/>
    <s v="Com Annual"/>
    <n v="193.66124949979991"/>
    <n v="467.06849142857141"/>
    <n v="0"/>
    <n v="12"/>
    <n v="120"/>
    <n v="0"/>
    <n v="2.5250287948902602E-2"/>
    <n v="11.793613900430975"/>
    <s v="Unit"/>
    <x v="7"/>
    <s v="N/A"/>
    <n v="0"/>
    <x v="3"/>
    <s v="Exterior Lighting"/>
  </r>
  <r>
    <s v="150 watt HID Fixture to 50 watt or less LED Fixture or Retrofit (Ext)"/>
    <n v="100"/>
    <s v="NonRes Exterior Lighting"/>
    <s v="Com Annual"/>
    <n v="287.99345238095242"/>
    <n v="729.50567624999985"/>
    <n v="0"/>
    <n v="12"/>
    <n v="180"/>
    <n v="0"/>
    <n v="2.5250287948902595E-2"/>
    <n v="18.420228385671411"/>
    <s v="Unit"/>
    <x v="7"/>
    <s v="N/A"/>
    <n v="0"/>
    <x v="3"/>
    <s v="Exterior Lighting"/>
  </r>
  <r>
    <s v="175 watt HID Fixture to 100 watt or less LED Fixture or Retrofit (Ext)"/>
    <n v="100"/>
    <s v="NonRes Exterior Lighting"/>
    <s v="Com Annual"/>
    <n v="309.50288154413806"/>
    <n v="639.93971646543196"/>
    <n v="0"/>
    <n v="12"/>
    <n v="180"/>
    <n v="0"/>
    <n v="2.5250287948902599E-2"/>
    <n v="16.158662110691242"/>
    <s v="Unit"/>
    <x v="7"/>
    <s v="N/A"/>
    <n v="0"/>
    <x v="3"/>
    <s v="Exterior Lighting"/>
  </r>
  <r>
    <s v="200 watt HID Fixture to 140 watt or less LED Fixture or Retrofit (Ext)"/>
    <n v="25"/>
    <s v="NonRes Exterior Lighting"/>
    <s v="Com Annual"/>
    <n v="156.44900568181816"/>
    <n v="534.73972500000002"/>
    <n v="0"/>
    <n v="12"/>
    <n v="120"/>
    <n v="0"/>
    <n v="2.5250287948902599E-2"/>
    <n v="13.50233203396699"/>
    <s v="Unit"/>
    <x v="7"/>
    <s v="N/A"/>
    <n v="0"/>
    <x v="3"/>
    <s v="Exterior Lighting"/>
  </r>
  <r>
    <s v="250 watt HID Fixture to 140 watt or less LED Fixture or Retrofit (Ext)"/>
    <n v="100"/>
    <s v="NonRes Exterior Lighting"/>
    <s v="Com Annual"/>
    <n v="446.04367973461734"/>
    <n v="849.24147850308634"/>
    <n v="0"/>
    <n v="12"/>
    <n v="230"/>
    <n v="0"/>
    <n v="2.5250287948902599E-2"/>
    <n v="21.443591870354705"/>
    <s v="Unit"/>
    <x v="7"/>
    <s v="N/A"/>
    <n v="0"/>
    <x v="3"/>
    <s v="Exterior Lighting"/>
  </r>
  <r>
    <s v="320 watt HID Fixture to 160 watt or less LED Fixture or Retrofit (Ext)"/>
    <n v="150"/>
    <s v="NonRes Exterior Lighting"/>
    <s v="Com Annual"/>
    <n v="444.87567278672032"/>
    <n v="1026.5852628571429"/>
    <n v="0"/>
    <n v="12"/>
    <n v="280"/>
    <n v="0"/>
    <n v="2.5250287948902602E-2"/>
    <n v="25.921573491242725"/>
    <s v="Unit"/>
    <x v="7"/>
    <s v="N/A"/>
    <n v="0"/>
    <x v="3"/>
    <s v="Exterior Lighting"/>
  </r>
  <r>
    <s v="400 watt HID Fixture to 175 watt or less LED Fixture or Retrofit (Ext)"/>
    <n v="200"/>
    <s v="NonRes Exterior Lighting"/>
    <s v="Com Annual"/>
    <n v="619.61269392662177"/>
    <n v="1444.6779411458333"/>
    <n v="0"/>
    <n v="12"/>
    <n v="375"/>
    <n v="0"/>
    <n v="2.5250287948902602E-2"/>
    <n v="36.478534007360054"/>
    <s v="Unit"/>
    <x v="7"/>
    <s v="N/A"/>
    <n v="0"/>
    <x v="3"/>
    <s v="Exterior Lighting"/>
  </r>
  <r>
    <s v="575 watt HID Fixture to 300 watt or less LED Fixture or Retrofit (Ext)"/>
    <n v="100"/>
    <s v="NonRes Exterior Lighting"/>
    <s v="Com Annual"/>
    <n v="731.2"/>
    <n v="1677.3120000000001"/>
    <n v="0"/>
    <n v="12"/>
    <n v="400"/>
    <n v="0"/>
    <n v="2.5250287948902595E-2"/>
    <n v="42.352610980149713"/>
    <s v="Unit"/>
    <x v="7"/>
    <s v="N/A"/>
    <n v="0"/>
    <x v="3"/>
    <s v="Exterior Lighting"/>
  </r>
  <r>
    <s v="750 watt HID Fixture to 300 watt or less LED Fixture or Retrofit (Ext)"/>
    <n v="10"/>
    <s v="NonRes Exterior Lighting"/>
    <s v="Com Annual"/>
    <n v="750"/>
    <n v="3563.8511999999996"/>
    <n v="0"/>
    <n v="12"/>
    <n v="750"/>
    <n v="0"/>
    <n v="2.5250287948902599E-2"/>
    <n v="89.988269007042049"/>
    <s v="Unit"/>
    <x v="7"/>
    <s v="N/A"/>
    <n v="0"/>
    <x v="3"/>
    <s v="Exterior Lighting"/>
  </r>
  <r>
    <s v="1000 watt HID Fixture to 400 watt or less LED Fixture or Retrofit (Ext)"/>
    <n v="40"/>
    <s v="NonRes Exterior Lighting"/>
    <s v="Com Annual"/>
    <n v="1065.6756547619048"/>
    <n v="3627.3439149999999"/>
    <n v="0"/>
    <n v="12"/>
    <n v="930"/>
    <n v="0"/>
    <n v="2.5250287948902599E-2"/>
    <n v="91.591478343449666"/>
    <s v="Unit"/>
    <x v="7"/>
    <s v="N/A"/>
    <n v="0"/>
    <x v="3"/>
    <s v="Exterior Lighting"/>
  </r>
  <r>
    <s v="1500 watt HID Fixture to 600 watt or less LED Fixture or Retrofit (Ext)"/>
    <n v="25"/>
    <s v="NonRes Exterior Lighting"/>
    <s v="Com Annual"/>
    <n v="1050"/>
    <n v="5192.6783999999998"/>
    <n v="0"/>
    <n v="12"/>
    <n v="1050"/>
    <n v="0"/>
    <n v="2.5250287948902599E-2"/>
    <n v="131.11662482604683"/>
    <s v="Unit"/>
    <x v="7"/>
    <s v="N/A"/>
    <n v="0"/>
    <x v="3"/>
    <s v="Exterior Lighting"/>
  </r>
  <r>
    <s v="175 watt HID Fixture to 100 watt or less LED Fixture (Ext, NC)"/>
    <n v="25"/>
    <s v="NonRes Exterior Lighting"/>
    <s v="Com Annual"/>
    <n v="246.42674603174601"/>
    <n v="624.50985999999989"/>
    <n v="0"/>
    <n v="12"/>
    <n v="170"/>
    <n v="0"/>
    <n v="2.6991026764868101E-2"/>
    <n v="16.856162346184028"/>
    <s v="Unit"/>
    <x v="7"/>
    <s v="N/A"/>
    <n v="0"/>
    <x v="3"/>
    <s v="Exterior Lighting"/>
  </r>
  <r>
    <s v="250 watt HID Fixture to 140 watt or less LED Fixture (Ext, NC)"/>
    <n v="5"/>
    <s v="NonRes Exterior Lighting"/>
    <s v="Com Annual"/>
    <n v="755.26749999999993"/>
    <n v="987.16800000000001"/>
    <n v="0"/>
    <n v="12"/>
    <n v="225"/>
    <n v="0"/>
    <n v="2.6991026764868101E-2"/>
    <n v="26.644677909421315"/>
    <s v="Unit"/>
    <x v="7"/>
    <s v="N/A"/>
    <n v="0"/>
    <x v="3"/>
    <s v="Exterior Lighting"/>
  </r>
  <r>
    <s v="320 and 400 watt HID Fixture to 160 or less watt LED Fixture (Ext, NC)"/>
    <n v="25"/>
    <s v="NonRes Exterior Lighting"/>
    <s v="Com Annual"/>
    <n v="780.04297916666667"/>
    <n v="931.71600860000035"/>
    <n v="0"/>
    <n v="10"/>
    <n v="250"/>
    <n v="0"/>
    <n v="2.6991026764868101E-2"/>
    <n v="25.147971725378685"/>
    <s v="Unit"/>
    <x v="7"/>
    <s v="N/A"/>
    <n v="0"/>
    <x v="3"/>
    <s v="Exterior Lighting"/>
  </r>
  <r>
    <s v="Sign Lighting"/>
    <n v="3000"/>
    <s v="NonRes Exterior Lighting"/>
    <s v="Com Annual"/>
    <n v="35.61"/>
    <n v="48.66583289719626"/>
    <n v="0"/>
    <n v="20"/>
    <n v="13"/>
    <n v="0"/>
    <n v="2.5250287948902599E-2"/>
    <n v="1.2288262939273824"/>
    <s v="Unit"/>
    <x v="7"/>
    <s v="N/A"/>
    <n v="0"/>
    <x v="3"/>
    <s v="Exterior Lighting"/>
  </r>
  <r>
    <s v="T12/T8 Fluorescent to TLED "/>
    <n v="10"/>
    <s v="NonRes Exterior Lighting"/>
    <s v="Com Annual"/>
    <n v="30"/>
    <n v="78.623999999999995"/>
    <n v="0"/>
    <n v="12"/>
    <n v="20"/>
    <n v="0"/>
    <n v="2.5250287948902599E-2"/>
    <n v="1.9852786396945179"/>
    <s v="Unit"/>
    <x v="7"/>
    <s v="N/A"/>
    <n v="0"/>
    <x v="3"/>
    <s v="Exterior Lighting"/>
  </r>
  <r>
    <s v="HERs"/>
    <n v="0"/>
    <s v="Res Misc"/>
    <s v="Res Winter"/>
    <n v="0"/>
    <n v="0"/>
    <n v="0"/>
    <n v="1"/>
    <n v="0"/>
    <n v="0"/>
    <n v="0"/>
    <n v="0"/>
    <s v="Unit"/>
    <x v="13"/>
    <s v="N/A"/>
    <n v="0"/>
    <x v="0"/>
    <s v="HERs"/>
  </r>
  <r>
    <s v="Home Energy Audit"/>
    <n v="0"/>
    <s v="Res Space Heat"/>
    <s v="Res Annual"/>
    <n v="0"/>
    <n v="617232"/>
    <n v="0"/>
    <n v="3"/>
    <n v="493786"/>
    <n v="0"/>
    <n v="0"/>
    <n v="0"/>
    <s v="Unit"/>
    <x v="7"/>
    <s v="N/A"/>
    <n v="0"/>
    <x v="0"/>
    <s v="Home Energy Audit"/>
  </r>
  <r>
    <s v="Direct Install Lighting"/>
    <n v="1"/>
    <s v="NonRes Interior Lighting"/>
    <s v="Com Annual"/>
    <n v="4316288.16"/>
    <n v="8992267"/>
    <n v="0"/>
    <n v="12"/>
    <n v="4496133.5"/>
    <n v="0"/>
    <n v="2.5250287948902599E-2"/>
    <n v="227057.33106341452"/>
    <s v="Unit"/>
    <x v="7"/>
    <s v="N/A"/>
    <n v="0"/>
    <x v="3"/>
    <s v="Direct Install Lighting"/>
  </r>
  <r>
    <s v="Site Specific Other"/>
    <n v="1"/>
    <s v="NonRes Misc"/>
    <s v="Com Winter"/>
    <n v="4990992.1282000002"/>
    <n v="11358653"/>
    <n v="0"/>
    <n v="18"/>
    <n v="3051878.7951068138"/>
    <n v="0"/>
    <n v="2.5250287948902602E-2"/>
    <n v="286809.25896166638"/>
    <s v="Unit"/>
    <x v="7"/>
    <s v="N/A"/>
    <n v="0"/>
    <x v="3"/>
    <s v="Site Specific"/>
  </r>
  <r>
    <s v="Site Specific Lighting"/>
    <n v="1"/>
    <s v="NonRes Interior Lighting"/>
    <s v="Com Winter"/>
    <n v="2495495.8444000003"/>
    <n v="5679326"/>
    <n v="0"/>
    <n v="16"/>
    <n v="1525939.2632118263"/>
    <n v="0"/>
    <n v="2.5250287948902602E-2"/>
    <n v="143404.61685568921"/>
    <s v="Unit"/>
    <x v="7"/>
    <s v="N/A"/>
    <n v="0"/>
    <x v="3"/>
    <s v="Site Specific"/>
  </r>
  <r>
    <s v="Less than R11 attic insulation (E/E) to R30-R44 Attic Insulation"/>
    <n v="0"/>
    <s v="NonRes Space Heating"/>
    <s v="Com Winter"/>
    <n v="0.76"/>
    <n v="1.02"/>
    <n v="0"/>
    <n v="22"/>
    <n v="1"/>
    <n v="0"/>
    <n v="0"/>
    <n v="0"/>
    <s v="SQFT"/>
    <x v="7"/>
    <s v="N/A"/>
    <n v="0"/>
    <x v="3"/>
    <s v="Non-Residential Shell"/>
  </r>
  <r>
    <s v="Less than R11 roof insulation (E/E) to R30+ Roof Insulation"/>
    <n v="1203"/>
    <s v="NonRes Space Heating"/>
    <s v="Com Winter"/>
    <n v="0.62"/>
    <n v="1.36"/>
    <n v="0"/>
    <n v="22"/>
    <n v="1"/>
    <n v="0"/>
    <n v="0"/>
    <n v="0"/>
    <s v="SQFT"/>
    <x v="7"/>
    <s v="N/A"/>
    <n v="0"/>
    <x v="3"/>
    <s v="Non-Residential Shell"/>
  </r>
  <r>
    <s v="Less than R4 wall insulation (E/E) to R11-R18 Wall Insulation"/>
    <n v="2148"/>
    <s v="NonRes Space Heating"/>
    <s v="Com Winter"/>
    <n v="0.61"/>
    <n v="2.82"/>
    <n v="0"/>
    <n v="22"/>
    <n v="1"/>
    <n v="0"/>
    <n v="0"/>
    <n v="0"/>
    <s v="SQFT"/>
    <x v="7"/>
    <s v="N/A"/>
    <n v="0"/>
    <x v="3"/>
    <s v="Non-Residential Shell"/>
  </r>
  <r>
    <s v="Less than R4 wall insulation (E/E) to R19+ Wall Insulation"/>
    <n v="707"/>
    <s v="NonRes Space Heating"/>
    <s v="Com Winter"/>
    <n v="0.65"/>
    <n v="4.1100000000000003"/>
    <n v="0"/>
    <n v="22"/>
    <n v="1.25"/>
    <n v="0"/>
    <n v="0"/>
    <n v="0"/>
    <s v="SQFT"/>
    <x v="7"/>
    <s v="N/A"/>
    <n v="0"/>
    <x v="3"/>
    <s v="Non-Residential Shell"/>
  </r>
  <r>
    <s v="Green Motors Program Rewind:  Motor size 15HP, Industrial"/>
    <n v="0"/>
    <s v="NonRes Motors"/>
    <s v="Com Winter"/>
    <n v="106.53040254620578"/>
    <n v="389.83545171153673"/>
    <n v="0"/>
    <n v="6"/>
    <n v="30"/>
    <n v="0"/>
    <n v="9.8238604836347592E-3"/>
    <n v="3.829689089188872"/>
    <s v="Unit"/>
    <x v="14"/>
    <m/>
    <n v="0"/>
    <x v="3"/>
    <s v="Green Motors"/>
  </r>
  <r>
    <s v="Green Motors Program Rewind:  Motor size 25HP, Industrial"/>
    <n v="0"/>
    <s v="NonRes Motors"/>
    <s v="Com Winter"/>
    <n v="135.79417577576578"/>
    <n v="622.21393887557497"/>
    <n v="0"/>
    <n v="7"/>
    <n v="50"/>
    <n v="0"/>
    <n v="9.8238604836347592E-3"/>
    <n v="6.1125429264864941"/>
    <s v="Unit"/>
    <x v="14"/>
    <m/>
    <n v="0"/>
    <x v="3"/>
    <s v="Green Motors"/>
  </r>
  <r>
    <s v="Green Motors Program Rewind:  Motor size 30HP, Industrial"/>
    <n v="0"/>
    <s v="NonRes Motors"/>
    <s v="Com Winter"/>
    <n v="149.14256356468809"/>
    <n v="670.22430365323089"/>
    <n v="0"/>
    <n v="7"/>
    <n v="60"/>
    <n v="0"/>
    <n v="9.8238604836347592E-3"/>
    <n v="6.5841900518305989"/>
    <s v="Unit"/>
    <x v="14"/>
    <m/>
    <n v="0"/>
    <x v="3"/>
    <s v="Green Motors"/>
  </r>
  <r>
    <s v="Green Motors Program Rewind:  Motor size 40HP, Industrial"/>
    <n v="0"/>
    <s v="NonRes Motors"/>
    <s v="Com Winter"/>
    <n v="182.25683327182196"/>
    <n v="780.49873686494539"/>
    <n v="0"/>
    <n v="7"/>
    <n v="80"/>
    <n v="0"/>
    <n v="9.8238604836347592E-3"/>
    <n v="7.6675106986143806"/>
    <s v="Unit"/>
    <x v="14"/>
    <m/>
    <n v="0"/>
    <x v="3"/>
    <s v="Green Motors"/>
  </r>
  <r>
    <s v="Green Motors Program Rewind:  Motor size 50HP, Industrial"/>
    <n v="0"/>
    <s v="NonRes Motors"/>
    <s v="Com Winter"/>
    <n v="201.76601542486196"/>
    <n v="839.97586520505138"/>
    <n v="0"/>
    <n v="7"/>
    <n v="100"/>
    <n v="0"/>
    <n v="9.8238604836347592E-3"/>
    <n v="8.2518057093948212"/>
    <s v="Unit"/>
    <x v="14"/>
    <m/>
    <n v="0"/>
    <x v="3"/>
    <s v="Green Motors"/>
  </r>
  <r>
    <s v="Green Motors Program Rewind:  Motor size 60HP, Industrial"/>
    <n v="0"/>
    <s v="NonRes Motors"/>
    <s v="Com Winter"/>
    <n v="237.96068231405502"/>
    <n v="846.27202631538967"/>
    <n v="0"/>
    <n v="8"/>
    <n v="120"/>
    <n v="0"/>
    <n v="9.8238604836347592E-3"/>
    <n v="8.3136583177252721"/>
    <s v="Unit"/>
    <x v="14"/>
    <m/>
    <n v="0"/>
    <x v="3"/>
    <s v="Green Motors"/>
  </r>
  <r>
    <s v="Green Motors Program Rewind:  Motor size 75HP, Industrial"/>
    <n v="0"/>
    <s v="NonRes Motors"/>
    <s v="Com Winter"/>
    <n v="257.21316470192323"/>
    <n v="870.94945640777587"/>
    <n v="0"/>
    <n v="8"/>
    <n v="150"/>
    <n v="0"/>
    <n v="9.8238604836347592E-3"/>
    <n v="8.5560859480475244"/>
    <s v="Unit"/>
    <x v="14"/>
    <m/>
    <n v="0"/>
    <x v="3"/>
    <s v="Green Motors"/>
  </r>
  <r>
    <s v="Green Motors Program Rewind:  Motor size 100HP, Industrial"/>
    <n v="0"/>
    <s v="NonRes Motors"/>
    <s v="Com Winter"/>
    <n v="319.07780810827398"/>
    <n v="1149.5371503325878"/>
    <n v="0"/>
    <n v="8"/>
    <n v="200"/>
    <n v="0"/>
    <n v="9.8238604836347592E-3"/>
    <n v="11.292892585622418"/>
    <s v="Unit"/>
    <x v="14"/>
    <m/>
    <n v="0"/>
    <x v="3"/>
    <s v="Green Motors"/>
  </r>
  <r>
    <s v="Green Motors Program Rewind:  Motor size 125HP, Industrial"/>
    <n v="1"/>
    <s v="NonRes Motors"/>
    <s v="Com Winter"/>
    <n v="358.352872179526"/>
    <n v="1319.4664798090234"/>
    <n v="0"/>
    <n v="8"/>
    <n v="250"/>
    <n v="0"/>
    <n v="9.8238604836347592E-3"/>
    <n v="12.962254610476526"/>
    <s v="Unit"/>
    <x v="14"/>
    <m/>
    <n v="0"/>
    <x v="3"/>
    <s v="Green Motors"/>
  </r>
  <r>
    <s v="Green Motors Program Rewind:  Motor size 150HP, Industrial"/>
    <n v="0"/>
    <s v="NonRes Motors"/>
    <s v="Com Winter"/>
    <n v="399.16813484180739"/>
    <n v="1568.4817971016164"/>
    <n v="0"/>
    <n v="8"/>
    <n v="300"/>
    <n v="0"/>
    <n v="9.8238604836347592E-3"/>
    <n v="15.408546345847002"/>
    <s v="Unit"/>
    <x v="14"/>
    <m/>
    <n v="0"/>
    <x v="3"/>
    <s v="Green Motors"/>
  </r>
  <r>
    <s v="Green Motors Program Rewind:  Motor size 200HP, Industrial"/>
    <n v="0"/>
    <s v="NonRes Motors"/>
    <s v="Com Winter"/>
    <n v="480.54196040119768"/>
    <n v="2080.4669241597876"/>
    <n v="0"/>
    <n v="8"/>
    <n v="400"/>
    <n v="0"/>
    <n v="9.8238604836347592E-3"/>
    <n v="20.43821680376249"/>
    <s v="Unit"/>
    <x v="14"/>
    <m/>
    <n v="0"/>
    <x v="3"/>
    <s v="Green Motors"/>
  </r>
  <r>
    <s v="Green Motors Program Rewind:  Motor size 250HP, Industrial"/>
    <n v="0"/>
    <s v="NonRes Motors"/>
    <s v="Com Winter"/>
    <n v="617.61963500282218"/>
    <n v="2750.9841270818142"/>
    <n v="0"/>
    <n v="8"/>
    <n v="500"/>
    <n v="0"/>
    <n v="9.8238604836347592E-3"/>
    <n v="27.025284257145497"/>
    <s v="Unit"/>
    <x v="14"/>
    <m/>
    <n v="0"/>
    <x v="3"/>
    <s v="Green Motors"/>
  </r>
  <r>
    <s v="Green Motors Program Rewind:  Motor size 300HP, Industrial"/>
    <n v="0"/>
    <s v="NonRes Motors"/>
    <s v="Com Winter"/>
    <n v="624.29382889728276"/>
    <n v="3284.1062099578558"/>
    <n v="0"/>
    <n v="8"/>
    <n v="600"/>
    <n v="0"/>
    <n v="9.8238604836347592E-3"/>
    <n v="32.262601220064496"/>
    <s v="Unit"/>
    <x v="14"/>
    <m/>
    <n v="0"/>
    <x v="3"/>
    <s v="Green Motors"/>
  </r>
  <r>
    <s v="Green Motors Program Rewind:  Motor size 350HP, Industrial"/>
    <n v="2"/>
    <s v="NonRes Motors"/>
    <s v="Com Winter"/>
    <n v="654.32770142235677"/>
    <n v="3828.6487355234567"/>
    <n v="0"/>
    <n v="8"/>
    <n v="700"/>
    <n v="0"/>
    <n v="9.8238604836347592E-3"/>
    <n v="37.612111018627076"/>
    <s v="Unit"/>
    <x v="14"/>
    <m/>
    <n v="0"/>
    <x v="3"/>
    <s v="Green Motors"/>
  </r>
  <r>
    <s v="Green Motors Program Rewind:  Motor size 400HP, Industrial"/>
    <n v="0"/>
    <s v="NonRes Motors"/>
    <s v="Com Winter"/>
    <n v="730.82423144348832"/>
    <n v="4341.1009293007664"/>
    <n v="0"/>
    <n v="8"/>
    <n v="800"/>
    <n v="0"/>
    <n v="9.8238604836347592E-3"/>
    <n v="42.646369874827933"/>
    <s v="Unit"/>
    <x v="14"/>
    <m/>
    <n v="0"/>
    <x v="3"/>
    <s v="Green Motors"/>
  </r>
  <r>
    <s v="Green Motors Program Rewind:  Motor size 450HP, Industrial"/>
    <n v="0"/>
    <s v="NonRes Motors"/>
    <s v="Com Winter"/>
    <n v="798.84966921395699"/>
    <n v="4875.5516385687515"/>
    <n v="0"/>
    <n v="8"/>
    <n v="900"/>
    <n v="0"/>
    <n v="9.8238604836347592E-3"/>
    <n v="47.896739078056257"/>
    <s v="Unit"/>
    <x v="14"/>
    <m/>
    <n v="0"/>
    <x v="3"/>
    <s v="Green Motors"/>
  </r>
  <r>
    <s v="Green Motors Program Rewind:  Motor size 500HP, Industrial"/>
    <n v="1"/>
    <s v="NonRes Motors"/>
    <s v="Com Winter"/>
    <n v="863.0246105068527"/>
    <n v="5424.8348373563495"/>
    <n v="0"/>
    <n v="8"/>
    <n v="1000"/>
    <n v="0"/>
    <n v="9.8238604836347592E-3"/>
    <n v="53.292820588950235"/>
    <s v="Unit"/>
    <x v="14"/>
    <m/>
    <n v="0"/>
    <x v="3"/>
    <s v="Green Motors"/>
  </r>
  <r>
    <s v="Green Motors Program Rewind:  Motor size 600HP, Industrial"/>
    <n v="0"/>
    <s v="NonRes Motors"/>
    <s v="Com Winter"/>
    <n v="1271.7789413792252"/>
    <n v="5895.5149037446827"/>
    <n v="0"/>
    <n v="8"/>
    <n v="1200"/>
    <n v="0"/>
    <n v="9.8238604836347592E-3"/>
    <n v="57.91671589357717"/>
    <s v="Unit"/>
    <x v="14"/>
    <m/>
    <n v="0"/>
    <x v="3"/>
    <s v="Green Motors"/>
  </r>
  <r>
    <s v="Green Motors Program Rewind:  Motor size 700HP, Industrial"/>
    <n v="0"/>
    <s v="NonRes Motors"/>
    <s v="Com Winter"/>
    <n v="1387.5094635091809"/>
    <n v="6848.9096697540954"/>
    <n v="0"/>
    <n v="8"/>
    <n v="1400"/>
    <n v="0"/>
    <n v="9.8238604836347609E-3"/>
    <n v="67.282733060681252"/>
    <s v="Unit"/>
    <x v="14"/>
    <m/>
    <n v="0"/>
    <x v="3"/>
    <s v="Green Motors"/>
  </r>
  <r>
    <s v="Green Motors Program Rewind:  Motor size 800HP, Industrial"/>
    <n v="0"/>
    <s v="NonRes Motors"/>
    <s v="Com Winter"/>
    <n v="1539.477778088878"/>
    <n v="7810.7243226380087"/>
    <n v="0"/>
    <n v="8"/>
    <n v="1600"/>
    <n v="0"/>
    <n v="9.8238604836347592E-3"/>
    <n v="76.731466021728409"/>
    <s v="Unit"/>
    <x v="14"/>
    <m/>
    <n v="0"/>
    <x v="3"/>
    <s v="Green Motors"/>
  </r>
  <r>
    <s v="Green Motors Program Rewind:  Motor size 900HP, Industrial"/>
    <n v="0"/>
    <s v="NonRes Motors"/>
    <s v="Com Winter"/>
    <n v="1697.2064353990281"/>
    <n v="8768.4480746430345"/>
    <n v="0"/>
    <n v="8"/>
    <n v="1800"/>
    <n v="0"/>
    <n v="9.8238604836347592E-3"/>
    <n v="86.140010543288994"/>
    <s v="Unit"/>
    <x v="14"/>
    <m/>
    <n v="0"/>
    <x v="3"/>
    <s v="Green Motors"/>
  </r>
  <r>
    <s v="Green Motors Program Rewind:  Motor size 1000HP, Industrial"/>
    <n v="0"/>
    <s v="NonRes Motors"/>
    <s v="Com Winter"/>
    <n v="1829.0659171742409"/>
    <n v="9701.5461693643592"/>
    <n v="0"/>
    <n v="8"/>
    <n v="2000"/>
    <n v="0"/>
    <n v="9.8238604836347592E-3"/>
    <n v="95.306636043376699"/>
    <s v="Unit"/>
    <x v="14"/>
    <m/>
    <n v="0"/>
    <x v="3"/>
    <s v="Green Motors"/>
  </r>
  <r>
    <s v="Green Motors Program Rewind:  Motor size 1250HP, Industrial"/>
    <n v="0"/>
    <s v="NonRes Motors"/>
    <s v="Com Winter"/>
    <n v="2184.9503644118813"/>
    <n v="11451.181019748095"/>
    <n v="0"/>
    <n v="8"/>
    <n v="2500"/>
    <n v="0"/>
    <n v="9.8238604836347592E-3"/>
    <n v="112.4948047108517"/>
    <s v="Unit"/>
    <x v="14"/>
    <m/>
    <n v="0"/>
    <x v="3"/>
    <s v="Green Motors"/>
  </r>
  <r>
    <s v="Green Motors Program Rewind:  Motor size 1500HP, Industrial"/>
    <n v="0"/>
    <s v="NonRes Motors"/>
    <s v="Com Winter"/>
    <n v="2502.9212831327313"/>
    <n v="13712.457247156184"/>
    <n v="0"/>
    <n v="8"/>
    <n v="3000"/>
    <n v="0"/>
    <n v="9.8238604836347592E-3"/>
    <n v="134.70926688386871"/>
    <s v="Unit"/>
    <x v="14"/>
    <m/>
    <n v="0"/>
    <x v="3"/>
    <s v="Green Motors"/>
  </r>
  <r>
    <s v="Green Motors Program Rewind:  Motor size 1750HP, Industrial"/>
    <n v="0"/>
    <s v="NonRes Motors"/>
    <s v="Com Winter"/>
    <n v="2856.7110602865723"/>
    <n v="15930.613147766329"/>
    <n v="0"/>
    <n v="8"/>
    <n v="3500"/>
    <n v="0"/>
    <n v="9.8238604836347592E-3"/>
    <n v="156.50012098241399"/>
    <s v="Unit"/>
    <x v="14"/>
    <m/>
    <n v="0"/>
    <x v="3"/>
    <s v="Green Motors"/>
  </r>
  <r>
    <s v="Green Motors Program Rewind:  Motor size 2000HP, Industrial"/>
    <n v="0"/>
    <s v="NonRes Motors"/>
    <s v="Com Winter"/>
    <n v="3204.5310277015742"/>
    <n v="18130.037384145893"/>
    <n v="0"/>
    <n v="8"/>
    <n v="4000"/>
    <n v="0"/>
    <n v="9.8238604836347592E-3"/>
    <n v="178.10695782493173"/>
    <s v="Unit"/>
    <x v="14"/>
    <m/>
    <n v="0"/>
    <x v="3"/>
    <s v="Green Motors"/>
  </r>
  <r>
    <s v="Green Motors Program Rewind:  Motor size 2250HP, Industrial"/>
    <n v="0"/>
    <s v="NonRes Motors"/>
    <s v="Com Winter"/>
    <n v="3491.0818951654219"/>
    <n v="20268.415057671256"/>
    <n v="0"/>
    <n v="8"/>
    <n v="4500"/>
    <n v="0"/>
    <n v="9.8238604836347592E-3"/>
    <n v="199.11408175096437"/>
    <s v="Unit"/>
    <x v="14"/>
    <m/>
    <n v="0"/>
    <x v="3"/>
    <s v="Green Motors"/>
  </r>
  <r>
    <s v="Green Motors Program Rewind:  Motor size 2500HP, Industrial"/>
    <n v="0"/>
    <s v="NonRes Motors"/>
    <s v="Com Winter"/>
    <n v="3819.5261643052727"/>
    <n v="22473.396161880344"/>
    <n v="0"/>
    <n v="8"/>
    <n v="5000"/>
    <n v="0"/>
    <n v="9.8238604836347592E-3"/>
    <n v="220.77550848776539"/>
    <s v="Unit"/>
    <x v="14"/>
    <m/>
    <n v="0"/>
    <x v="3"/>
    <s v="Green Motors"/>
  </r>
  <r>
    <s v="Green Motors Program Rewind:  Motor size 3000HP, Industrial"/>
    <n v="0"/>
    <s v="NonRes Motors"/>
    <s v="Com Winter"/>
    <n v="4465.7318851576129"/>
    <n v="26799.699582190253"/>
    <n v="0"/>
    <n v="8"/>
    <n v="6000"/>
    <n v="0"/>
    <n v="9.8238604836347592E-3"/>
    <n v="263.2765096987618"/>
    <s v="Unit"/>
    <x v="14"/>
    <m/>
    <n v="0"/>
    <x v="3"/>
    <s v="Green Motors"/>
  </r>
  <r>
    <s v="Green Motors Program Rewind:  Motor size 3500HP, Industrial"/>
    <n v="0"/>
    <s v="NonRes Motors"/>
    <s v="Com Winter"/>
    <n v="4934.8332504246428"/>
    <n v="31201.245378959924"/>
    <n v="0"/>
    <n v="8"/>
    <n v="7000"/>
    <n v="0"/>
    <n v="9.8238604836347592E-3"/>
    <n v="306.51668151855603"/>
    <s v="Unit"/>
    <x v="14"/>
    <m/>
    <n v="0"/>
    <x v="3"/>
    <s v="Green Motors"/>
  </r>
  <r>
    <s v="Green Motors Program Rewind:  Motor size 4000HP, Industrial"/>
    <n v="0"/>
    <s v="NonRes Motors"/>
    <s v="Com Winter"/>
    <n v="5509.5059879151959"/>
    <n v="35658.566147383302"/>
    <n v="0"/>
    <n v="8"/>
    <n v="8000"/>
    <n v="0"/>
    <n v="9.8238604836347592E-3"/>
    <n v="350.30477887835497"/>
    <s v="Unit"/>
    <x v="14"/>
    <m/>
    <n v="0"/>
    <x v="3"/>
    <s v="Green Motors"/>
  </r>
  <r>
    <s v="Green Motors Program Rewind:  Motor size 4500HP, Industrial"/>
    <n v="0"/>
    <s v="NonRes Motors"/>
    <s v="Com Winter"/>
    <n v="5937.5518195397453"/>
    <n v="40032.485362220556"/>
    <n v="0"/>
    <n v="8"/>
    <n v="9000"/>
    <n v="0"/>
    <n v="9.8238604836347592E-3"/>
    <n v="393.27355101160543"/>
    <s v="Unit"/>
    <x v="14"/>
    <m/>
    <n v="0"/>
    <x v="3"/>
    <s v="Green Motors"/>
  </r>
  <r>
    <s v="Green Motors Program Rewind:  Motor size 5000HP, Industrial"/>
    <n v="0"/>
    <s v="NonRes Motors"/>
    <s v="Com Winter"/>
    <n v="6338.0527395623285"/>
    <n v="44388.159587558359"/>
    <n v="0"/>
    <n v="8"/>
    <n v="10000"/>
    <n v="0"/>
    <n v="9.8238604836347592E-3"/>
    <n v="436.06308691348795"/>
    <s v="Unit"/>
    <x v="14"/>
    <m/>
    <n v="0"/>
    <x v="3"/>
    <s v="Green Motors"/>
  </r>
  <r>
    <s v="Building Operator Certification"/>
    <n v="2"/>
    <s v="NonRes Misc"/>
    <s v="Com Winter"/>
    <n v="2095"/>
    <n v="94466"/>
    <n v="0"/>
    <n v="5"/>
    <n v="200"/>
    <n v="0"/>
    <n v="0"/>
    <n v="0"/>
    <s v="Unit"/>
    <x v="15"/>
    <m/>
    <n v="0"/>
    <x v="3"/>
    <s v="Building Operator Certification"/>
  </r>
  <r>
    <s v="Compressed Air"/>
    <n v="0"/>
    <s v="NonRes Compressed Air"/>
    <s v="Com Winter"/>
    <n v="1440"/>
    <n v="6000"/>
    <n v="0"/>
    <n v="10"/>
    <n v="1440"/>
    <n v="0"/>
    <n v="9.6600000000000005E-2"/>
    <n v="579.6"/>
    <s v="Unit"/>
    <x v="7"/>
    <s v="N/A"/>
    <n v="0"/>
    <x v="3"/>
    <s v="Compressed Air"/>
  </r>
  <r>
    <s v="Prescriptive VFDs - HVAC Cooling Pump"/>
    <n v="0"/>
    <s v="NonRes Ventilation"/>
    <s v="Com Winter"/>
    <n v="200"/>
    <n v="1091"/>
    <n v="0"/>
    <n v="16"/>
    <n v="200"/>
    <n v="0"/>
    <n v="2.7997786299667799E-3"/>
    <n v="3.0545584852937568"/>
    <s v="Unit"/>
    <x v="7"/>
    <s v="N/A"/>
    <n v="0"/>
    <x v="3"/>
    <s v="Variable Frequency Drive"/>
  </r>
  <r>
    <s v="Prescriptive VFDS - HVAC Heating Pump or combo"/>
    <n v="0"/>
    <s v="NonRes Ventilation"/>
    <s v="Com Winter"/>
    <n v="200"/>
    <n v="1756"/>
    <n v="0"/>
    <n v="16"/>
    <n v="200"/>
    <n v="0"/>
    <n v="2.7997786299667794E-3"/>
    <n v="4.916411274221665"/>
    <s v="Unit"/>
    <x v="7"/>
    <s v="N/A"/>
    <n v="0"/>
    <x v="3"/>
    <s v="Variable Frequency Drive"/>
  </r>
  <r>
    <s v="nongrocery_HZ2_resistanceheat_yescooling_Installation and initial programming"/>
    <n v="0"/>
    <s v="NonRes Space Heating"/>
    <s v="Com Winter"/>
    <n v="74.219420509518642"/>
    <n v="264.92817420736992"/>
    <n v="0"/>
    <n v="5"/>
    <n v="150"/>
    <n v="0"/>
    <n v="0"/>
    <n v="0"/>
    <s v="Unit"/>
    <x v="16"/>
    <m/>
    <n v="0"/>
    <x v="3"/>
    <s v="Appliance"/>
  </r>
  <r>
    <s v="nongrocery_HZ2_heatpumpheat_yescooling_Installation and initial programming"/>
    <n v="0"/>
    <s v="NonRes Space Heating"/>
    <s v="Com Winter"/>
    <n v="74.219420509518642"/>
    <n v="162.24352337188563"/>
    <n v="0"/>
    <n v="5"/>
    <n v="150"/>
    <n v="0"/>
    <n v="0"/>
    <n v="0"/>
    <s v="Unit"/>
    <x v="16"/>
    <m/>
    <n v="0"/>
    <x v="3"/>
    <s v="Appliance"/>
  </r>
  <r>
    <s v="nongrocery_HZ2_resistanceheat_nocooling_Installation and initial programming"/>
    <n v="0"/>
    <s v="NonRes Space Heating"/>
    <s v="Com Winter"/>
    <n v="74.219420509518642"/>
    <n v="256.97670077580392"/>
    <n v="0"/>
    <n v="5"/>
    <n v="150"/>
    <n v="0"/>
    <n v="0"/>
    <n v="0"/>
    <s v="Unit"/>
    <x v="16"/>
    <m/>
    <n v="0"/>
    <x v="3"/>
    <s v="Appliance"/>
  </r>
  <r>
    <s v="nongrocery_HZ2_heatpumpheat_nocooling_Installation and initial programming"/>
    <n v="0"/>
    <s v="NonRes Space Heating"/>
    <s v="Com Winter"/>
    <n v="74.219420509518642"/>
    <n v="154.29204994031963"/>
    <n v="0"/>
    <n v="5"/>
    <n v="150"/>
    <n v="0"/>
    <n v="0"/>
    <n v="0"/>
    <s v="Unit"/>
    <x v="16"/>
    <m/>
    <n v="0"/>
    <x v="3"/>
    <s v="Appliance"/>
  </r>
  <r>
    <s v="Multi-family_Electric Dryer_Electric Hot Water_Front-load_ENERGY STAR"/>
    <n v="0"/>
    <s v="NonRes Misc"/>
    <s v="Com Winter"/>
    <n v="426.57335926530232"/>
    <n v="950.13863278242536"/>
    <n v="0"/>
    <n v="11"/>
    <n v="200"/>
    <n v="0"/>
    <n v="0"/>
    <n v="0"/>
    <s v="Unit"/>
    <x v="17"/>
    <m/>
    <n v="0"/>
    <x v="3"/>
    <s v="Appliance"/>
  </r>
  <r>
    <s v="Multi-family_Electric Dryer_Gas Hot Water_Front-load_ENERGY STAR"/>
    <n v="0"/>
    <s v="NonRes Misc"/>
    <s v="Com Winter"/>
    <n v="426.57335926530232"/>
    <n v="654.41389504467293"/>
    <n v="0"/>
    <n v="11"/>
    <n v="200"/>
    <n v="0"/>
    <n v="0"/>
    <n v="0"/>
    <s v="Unit"/>
    <x v="17"/>
    <m/>
    <n v="0"/>
    <x v="3"/>
    <s v="Appliance"/>
  </r>
  <r>
    <s v="Multi-family_Any Dryer and Hot Water Fuels_Front-load_ENERGY STAR"/>
    <n v="0"/>
    <s v="NonRes Misc"/>
    <s v="Com Winter"/>
    <n v="426.57335926530232"/>
    <n v="674.03170108251766"/>
    <n v="0"/>
    <n v="11"/>
    <n v="200"/>
    <n v="0"/>
    <n v="0"/>
    <n v="0"/>
    <s v="Unit"/>
    <x v="17"/>
    <m/>
    <n v="0"/>
    <x v="3"/>
    <s v="Appliance"/>
  </r>
  <r>
    <s v="Pay for Performance"/>
    <n v="0"/>
    <s v="NonRes Misc"/>
    <s v="Com Winter"/>
    <n v="35000"/>
    <n v="5306"/>
    <n v="0"/>
    <n v="5"/>
    <n v="4245"/>
    <n v="0"/>
    <n v="0"/>
    <n v="0"/>
    <s v="Unit"/>
    <x v="18"/>
    <s v="N/A"/>
    <n v="0"/>
    <x v="3"/>
    <s v="Pay for Performance"/>
  </r>
  <r>
    <s v="Active Energy Management"/>
    <n v="0"/>
    <s v="NonRes Interior Lighting"/>
    <s v="Com Winter"/>
    <n v="35000"/>
    <n v="1429340"/>
    <n v="0"/>
    <n v="5"/>
    <n v="0"/>
    <n v="0"/>
    <n v="2.5250287948902599E-2"/>
    <n v="36091.246576884441"/>
    <s v="Unit"/>
    <x v="18"/>
    <s v="N/A"/>
    <n v="0"/>
    <x v="3"/>
    <s v="Active Energy Management"/>
  </r>
  <r>
    <s v="Clean Buildings Accelerator"/>
    <n v="0"/>
    <s v="NonRes Misc"/>
    <s v="Com Annual"/>
    <n v="0"/>
    <n v="500000"/>
    <n v="0"/>
    <n v="10"/>
    <n v="400000"/>
    <n v="0"/>
    <n v="0"/>
    <n v="0"/>
    <s v="Unit"/>
    <x v="7"/>
    <s v="N/A"/>
    <n v="0"/>
    <x v="3"/>
    <s v="Clean Buildings Accelerator"/>
  </r>
  <r>
    <s v="Convection Oven"/>
    <n v="5"/>
    <s v="NonRes Cooking"/>
    <s v="Com Annual"/>
    <n v="161.04"/>
    <n v="1495.5"/>
    <n v="0"/>
    <n v="8"/>
    <n v="959.70500000000004"/>
    <n v="0"/>
    <n v="0"/>
    <n v="0"/>
    <s v="Unit"/>
    <x v="12"/>
    <s v="N/A"/>
    <n v="0"/>
    <x v="3"/>
    <s v="Non-Residential Midstream"/>
  </r>
  <r>
    <s v="Dishwasher"/>
    <n v="13"/>
    <s v="NonRes Misc"/>
    <s v="Com Annual"/>
    <n v="2297"/>
    <n v="1900.5"/>
    <n v="0"/>
    <n v="12"/>
    <n v="2467.8150000000001"/>
    <n v="0"/>
    <n v="0"/>
    <n v="0"/>
    <s v="Unit"/>
    <x v="12"/>
    <s v="N/A"/>
    <n v="0"/>
    <x v="3"/>
    <s v="Non-Residential Midstream"/>
  </r>
  <r>
    <s v="Ice Machine"/>
    <n v="13"/>
    <s v="NonRes Misc"/>
    <s v="Com Annual"/>
    <n v="300.16000000000003"/>
    <n v="258.60000000000002"/>
    <n v="0"/>
    <n v="8"/>
    <n v="265.06200000000001"/>
    <n v="0"/>
    <n v="0"/>
    <n v="0"/>
    <s v="Unit"/>
    <x v="12"/>
    <s v="N/A"/>
    <n v="0"/>
    <x v="3"/>
    <s v="Non-Residential Midstream"/>
  </r>
  <r>
    <s v="Mini/Multi Split"/>
    <n v="252"/>
    <s v="NonRes Space Heating"/>
    <s v="Com Winter"/>
    <n v="2601.0300000000002"/>
    <n v="947.47619047619048"/>
    <n v="0"/>
    <n v="15"/>
    <n v="493.99857142857138"/>
    <n v="0"/>
    <n v="0"/>
    <n v="0"/>
    <s v="Unit"/>
    <x v="12"/>
    <s v="N/A"/>
    <n v="0"/>
    <x v="3"/>
    <s v="Non-Residential Midstream"/>
  </r>
  <r>
    <s v="Packaged Unitary Equipment"/>
    <n v="31"/>
    <s v="NonRes Space Heating"/>
    <s v="Com Winter"/>
    <n v="829.5"/>
    <n v="3229.75"/>
    <n v="0"/>
    <n v="10"/>
    <n v="902.58124999999995"/>
    <n v="0"/>
    <n v="0"/>
    <n v="0"/>
    <s v="Unit"/>
    <x v="12"/>
    <s v="N/A"/>
    <n v="0"/>
    <x v="3"/>
    <s v="Non-Residential Midstream"/>
  </r>
  <r>
    <s v="Water Source Heat Pump"/>
    <n v="9"/>
    <s v="NonRes Misc"/>
    <s v="Com Annual"/>
    <n v="3200"/>
    <n v="246.83333333333334"/>
    <n v="0"/>
    <n v="16"/>
    <n v="167.18666666666667"/>
    <n v="0"/>
    <n v="0"/>
    <n v="0"/>
    <s v="Unit"/>
    <x v="12"/>
    <s v="N/A"/>
    <n v="0"/>
    <x v="3"/>
    <s v="Non-Residential Midstream"/>
  </r>
  <r>
    <s v="MT Case: 2 T8 to 1 High Power LED Inside Lamp"/>
    <n v="258"/>
    <s v="NonRes Misc"/>
    <s v="Com Annual"/>
    <n v="24.282902074280965"/>
    <n v="41.548562514127411"/>
    <n v="0"/>
    <n v="7"/>
    <n v="20"/>
    <n v="0"/>
    <n v="0"/>
    <n v="0"/>
    <s v="Unit"/>
    <x v="19"/>
    <s v="WA_Double Row T8_High Power LED_Med Temp Open Case_Self-Contained"/>
    <n v="0"/>
    <x v="3"/>
    <s v="Grocer"/>
  </r>
  <r>
    <s v="MT Case: 2 T12 to 1 High Power LED Inside Lamp"/>
    <n v="173"/>
    <s v="NonRes Misc"/>
    <s v="Com Annual"/>
    <n v="24.282902074280965"/>
    <n v="41.548562514127411"/>
    <n v="0"/>
    <n v="7"/>
    <n v="20"/>
    <n v="0"/>
    <n v="0"/>
    <n v="0"/>
    <s v="Unit"/>
    <x v="19"/>
    <s v="WA_Double Row T12_High Power LED_Med Temp Open Case_Self-Contained"/>
    <n v="0"/>
    <x v="3"/>
    <s v="Grocer"/>
  </r>
  <r>
    <s v="LT Case: 2 T8 to 1 High Power LED Inside Lamp"/>
    <n v="431"/>
    <s v="NonRes Misc"/>
    <s v="Com Annual"/>
    <n v="24.282902074280965"/>
    <n v="41.548562514127411"/>
    <n v="0"/>
    <n v="7"/>
    <n v="20"/>
    <n v="0"/>
    <n v="0"/>
    <n v="0"/>
    <s v="Unit"/>
    <x v="19"/>
    <s v="WA_Double Row T8_High Power LED_Low Temp Open Case_Remote Condensing"/>
    <n v="0"/>
    <x v="3"/>
    <s v="Grocer"/>
  </r>
  <r>
    <s v="LT Case: 2 T12 to 1 High Power LED Inside Lamp"/>
    <n v="86"/>
    <s v="NonRes Misc"/>
    <s v="Com Annual"/>
    <n v="15.015247675140364"/>
    <n v="48.753868994422973"/>
    <n v="0"/>
    <n v="7"/>
    <n v="20"/>
    <n v="0"/>
    <n v="0"/>
    <n v="0"/>
    <s v="Unit"/>
    <x v="19"/>
    <s v="WA_Double Row T12_Low Power LED_Low Temp Closed Case_Remote Condensing"/>
    <n v="0"/>
    <x v="3"/>
    <s v="Grocer"/>
  </r>
  <r>
    <m/>
    <m/>
    <m/>
    <m/>
    <m/>
    <m/>
    <m/>
    <m/>
    <m/>
    <m/>
    <m/>
    <m/>
    <m/>
    <x v="20"/>
    <m/>
    <m/>
    <x v="4"/>
    <m/>
  </r>
  <r>
    <m/>
    <m/>
    <m/>
    <m/>
    <m/>
    <m/>
    <m/>
    <m/>
    <m/>
    <m/>
    <m/>
    <m/>
    <m/>
    <x v="20"/>
    <m/>
    <m/>
    <x v="4"/>
    <m/>
  </r>
  <r>
    <m/>
    <m/>
    <m/>
    <m/>
    <m/>
    <m/>
    <m/>
    <m/>
    <m/>
    <m/>
    <m/>
    <m/>
    <m/>
    <x v="20"/>
    <m/>
    <m/>
    <x v="4"/>
    <m/>
  </r>
  <r>
    <m/>
    <m/>
    <m/>
    <m/>
    <m/>
    <m/>
    <m/>
    <m/>
    <m/>
    <m/>
    <m/>
    <m/>
    <m/>
    <x v="20"/>
    <m/>
    <m/>
    <x v="4"/>
    <m/>
  </r>
  <r>
    <m/>
    <m/>
    <m/>
    <m/>
    <m/>
    <m/>
    <m/>
    <m/>
    <m/>
    <m/>
    <m/>
    <m/>
    <m/>
    <x v="20"/>
    <m/>
    <m/>
    <x v="4"/>
    <m/>
  </r>
  <r>
    <m/>
    <m/>
    <m/>
    <m/>
    <m/>
    <m/>
    <m/>
    <m/>
    <m/>
    <m/>
    <m/>
    <m/>
    <m/>
    <x v="20"/>
    <m/>
    <m/>
    <x v="4"/>
    <m/>
  </r>
  <r>
    <m/>
    <m/>
    <m/>
    <m/>
    <m/>
    <m/>
    <m/>
    <m/>
    <m/>
    <m/>
    <m/>
    <m/>
    <m/>
    <x v="20"/>
    <m/>
    <m/>
    <x v="4"/>
    <m/>
  </r>
  <r>
    <m/>
    <m/>
    <m/>
    <m/>
    <m/>
    <m/>
    <m/>
    <m/>
    <m/>
    <m/>
    <m/>
    <m/>
    <m/>
    <x v="20"/>
    <m/>
    <m/>
    <x v="4"/>
    <m/>
  </r>
  <r>
    <m/>
    <m/>
    <m/>
    <m/>
    <m/>
    <m/>
    <m/>
    <m/>
    <m/>
    <m/>
    <m/>
    <m/>
    <m/>
    <x v="20"/>
    <m/>
    <m/>
    <x v="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s v="Smart Thermostats - DIY"/>
    <n v="0"/>
    <s v="Res Space Heat"/>
    <s v="Res Winter"/>
    <n v="222.03"/>
    <n v="474.10112359550561"/>
    <n v="0.20030713761100352"/>
    <n v="7"/>
    <n v="150"/>
    <n v="0"/>
    <n v="3.6176761872079799E-2"/>
    <n v="17.15144345160008"/>
    <s v="Unit"/>
    <s v="ResConnectedTstats_v3_1"/>
    <m/>
    <n v="0"/>
    <x v="0"/>
    <x v="0"/>
    <n v="0"/>
    <n v="0"/>
    <n v="0"/>
    <n v="0"/>
    <n v="0"/>
    <n v="0.68092219236682128"/>
    <n v="5.753949098523548"/>
    <n v="0"/>
    <n v="0"/>
    <n v="0"/>
    <n v="0"/>
    <n v="0"/>
    <n v="0"/>
    <n v="0"/>
    <n v="0"/>
  </r>
  <r>
    <s v="Energy Star Homes - Manufactured, Electric, Dual Fuel"/>
    <n v="10"/>
    <s v="Res Space Heat"/>
    <s v="Res Annual"/>
    <n v="2675.93"/>
    <n v="43"/>
    <n v="150"/>
    <n v="45"/>
    <n v="1000"/>
    <n v="0"/>
    <n v="0"/>
    <n v="0"/>
    <s v="Unit"/>
    <s v="ResMHNewHomesHVAC_v5_1"/>
    <m/>
    <n v="0"/>
    <x v="0"/>
    <x v="1"/>
    <n v="430"/>
    <n v="1500"/>
    <n v="26759.3"/>
    <n v="0"/>
    <n v="10000"/>
    <n v="2.613850243840278"/>
    <n v="21.16163334942404"/>
    <n v="32866.405628987377"/>
    <n v="9609.7638101948342"/>
    <n v="0.99406040200990375"/>
    <n v="1.6760225134328548"/>
    <n v="689.04985659096144"/>
    <n v="17607.779224582187"/>
    <n v="18296.829081173149"/>
    <n v="19609.763810194832"/>
  </r>
  <r>
    <s v="Standard Size Refrigerator and Refrigerator-Freezer - Side-mounted Freezer - Energy Star"/>
    <n v="694"/>
    <s v="Res Refrigeration"/>
    <s v="Res Annual"/>
    <n v="106.88"/>
    <n v="49"/>
    <n v="2.0408163265306123"/>
    <n v="15"/>
    <n v="100"/>
    <n v="0"/>
    <n v="1.5603527910890102E-5"/>
    <n v="7.6457286763361495E-4"/>
    <s v="Unit"/>
    <s v="ResRefrigeratorsAndFreezers_v6_1"/>
    <m/>
    <n v="0"/>
    <x v="0"/>
    <x v="2"/>
    <n v="34006"/>
    <n v="1416.3265306122448"/>
    <n v="74174.720000000001"/>
    <n v="5.7897298259524907"/>
    <n v="69400"/>
    <n v="0.84212249264822436"/>
    <n v="9.0831981910440085"/>
    <n v="41501.992065780301"/>
    <n v="12134.711227837313"/>
    <n v="0.52901008992445619"/>
    <n v="0.50901010674838609"/>
    <n v="29952.041679382393"/>
    <n v="9555.0961614266198"/>
    <n v="39507.13784080901"/>
    <n v="81534.71122783731"/>
  </r>
  <r>
    <s v="Standard Size Freezer - Upright - Energy Star"/>
    <n v="63"/>
    <s v="Res Refrigeration"/>
    <s v="Res Annual"/>
    <n v="72.239999999999995"/>
    <n v="20"/>
    <n v="2.5"/>
    <n v="22"/>
    <n v="50"/>
    <n v="0"/>
    <n v="1.5603527910890102E-5"/>
    <n v="3.1207055821780202E-4"/>
    <s v="Unit"/>
    <s v="ResRefrigeratorsAndFreezers_v6_1"/>
    <m/>
    <n v="0"/>
    <x v="0"/>
    <x v="2"/>
    <n v="1260"/>
    <n v="157.5"/>
    <n v="4551.12"/>
    <n v="0.27692217433874566"/>
    <n v="3150"/>
    <n v="1.1218909778828292"/>
    <n v="12.112483798255813"/>
    <n v="3321.2988303576553"/>
    <n v="971.11006488228486"/>
    <n v="0.66164091043951812"/>
    <n v="0.80592335027881001"/>
    <n v="1432.6030327977812"/>
    <n v="1353.9098391061434"/>
    <n v="2786.5128719039249"/>
    <n v="4121.1100648822849"/>
  </r>
  <r>
    <s v="Energy Star Washer"/>
    <n v="235"/>
    <s v="Res Washer Dryer"/>
    <s v="Res Annual"/>
    <n v="59"/>
    <n v="171.29"/>
    <n v="0.29190262128553918"/>
    <n v="14"/>
    <n v="50"/>
    <n v="0"/>
    <n v="0.13900000000000001"/>
    <n v="23.80931"/>
    <s v="Unit"/>
    <s v="ResClothesWashers_v8_1"/>
    <m/>
    <n v="0"/>
    <x v="0"/>
    <x v="2"/>
    <n v="40253.15"/>
    <n v="68.5971160021017"/>
    <n v="13865"/>
    <n v="58062.958882659492"/>
    <n v="11750"/>
    <n v="0.87945992406582729"/>
    <n v="8.6580677762046925"/>
    <n v="35994.950722008733"/>
    <n v="10524.514870985096"/>
    <n v="4.2421385219195269"/>
    <n v="1.6159701313583241"/>
    <n v="33719.047554132558"/>
    <n v="441.01184887070389"/>
    <n v="34160.059403003259"/>
    <n v="22274.514870985098"/>
  </r>
  <r>
    <s v="Energy Star Dryer"/>
    <n v="435"/>
    <s v="Res Washer Dryer"/>
    <s v="Res Annual"/>
    <n v="411.53"/>
    <n v="318"/>
    <n v="0.15723270440251572"/>
    <n v="12"/>
    <n v="50"/>
    <n v="0"/>
    <n v="0.13900000000000001"/>
    <n v="44.202000000000005"/>
    <s v="Unit"/>
    <s v="ResClothesDryer_v5_1"/>
    <m/>
    <n v="0"/>
    <x v="0"/>
    <x v="2"/>
    <n v="138330"/>
    <n v="68.396226415094333"/>
    <n v="179015.55"/>
    <n v="177660.62257043622"/>
    <n v="21750"/>
    <n v="0.77982372959016932"/>
    <n v="7.7879729909295285"/>
    <n v="108405.68447821037"/>
    <n v="31696.591202516676"/>
    <n v="1.493378293048037"/>
    <n v="2.0282993178638078"/>
    <n v="103173.29836834082"/>
    <n v="393.1293609179927"/>
    <n v="103566.42772925882"/>
    <n v="53446.591202516676"/>
  </r>
  <r>
    <s v="Insulated Door R2.5-R5 HZ2 Zonal (ENERGY STAR Rated or Insulated R5)"/>
    <n v="2"/>
    <s v="Res Space Heat"/>
    <s v="Res Winter"/>
    <n v="371"/>
    <n v="800"/>
    <n v="0"/>
    <n v="45"/>
    <n v="100"/>
    <n v="0"/>
    <n v="0"/>
    <n v="0"/>
    <s v="Unit"/>
    <s v="2023 Evlauation"/>
    <m/>
    <n v="0"/>
    <x v="0"/>
    <x v="3"/>
    <n v="1600"/>
    <n v="0"/>
    <n v="742"/>
    <n v="0"/>
    <n v="200"/>
    <n v="2.613850243840278"/>
    <n v="21.866298478700472"/>
    <n v="4182.160390144445"/>
    <n v="1222.8162099415629"/>
    <n v="2.3413774814570125"/>
    <n v="2.9393539101696153"/>
    <n v="2563.9064431291586"/>
    <n v="0"/>
    <n v="2563.9064431291586"/>
    <n v="1422.8162099415629"/>
  </r>
  <r>
    <s v="Wall Insulation"/>
    <n v="19586"/>
    <s v="Res Space Heat"/>
    <s v="Res Winter"/>
    <n v="2.5168065892018188"/>
    <n v="1.4896786060150637"/>
    <n v="0"/>
    <n v="45"/>
    <n v="1.5"/>
    <n v="0"/>
    <n v="1.1851238867931199E-2"/>
    <n v="1.765453699633129E-2"/>
    <s v="SQFT"/>
    <s v="ResSFWx_v6_2"/>
    <s v="Single Family Weatherization - Insulate Wall - R0 to R11 - Heating Zone 2/3 (Zonal or DHP)"/>
    <n v="0"/>
    <x v="0"/>
    <x v="3"/>
    <n v="29176.84517741104"/>
    <n v="0"/>
    <n v="49294.17385610682"/>
    <n v="6864.2538851138634"/>
    <n v="29379"/>
    <n v="2.613850243840278"/>
    <n v="21.866298478700472"/>
    <n v="76263.903881465885"/>
    <n v="22298.699523683455"/>
    <n v="1.2772356971643815"/>
    <n v="1.4757604263424067"/>
    <n v="46754.188337841304"/>
    <n v="0"/>
    <n v="46754.188337841304"/>
    <n v="51677.699523683455"/>
  </r>
  <r>
    <s v="Attic &lt;R11-R49/R38"/>
    <n v="35242"/>
    <s v="Res Space Heat"/>
    <s v="Res Winter"/>
    <n v="1.3737162511552601"/>
    <n v="0.70954110122347303"/>
    <n v="0"/>
    <n v="45"/>
    <n v="1.5"/>
    <n v="0"/>
    <n v="1.0582984355072E-2"/>
    <n v="7.509062373528573E-3"/>
    <s v="SQFT"/>
    <s v="ResSFWx_v6_2"/>
    <s v="Single Family Weatherization - Insulate Attic - R11 to R49 - Heating Zone 2/3 (Zonal or DHP)"/>
    <n v="0"/>
    <x v="0"/>
    <x v="3"/>
    <n v="25005.647489317635"/>
    <n v="0"/>
    <n v="48412.508123213673"/>
    <n v="5253.3642500011383"/>
    <n v="52863"/>
    <n v="2.613850243840278"/>
    <n v="21.866298478700472"/>
    <n v="65361.017787336932"/>
    <n v="19110.819431263841"/>
    <n v="1.1503553372484996"/>
    <n v="0.9081221241809706"/>
    <n v="40070.087945298721"/>
    <n v="0"/>
    <n v="40070.087945298721"/>
    <n v="71973.819431263837"/>
  </r>
  <r>
    <s v="Floor &lt;R11-R19"/>
    <n v="800"/>
    <s v="Res Space Heat"/>
    <s v="Res Winter"/>
    <n v="1.86"/>
    <n v="0.46904069199999998"/>
    <n v="0"/>
    <n v="45"/>
    <n v="1"/>
    <n v="0"/>
    <n v="1.0582984355072E-2"/>
    <n v="4.9638503053281444E-3"/>
    <s v="SQFT"/>
    <s v="Avista"/>
    <m/>
    <n v="0"/>
    <x v="0"/>
    <x v="3"/>
    <n v="375.23255359999996"/>
    <n v="0"/>
    <n v="1488"/>
    <n v="78.831523293327351"/>
    <n v="800"/>
    <n v="2.613850243840278"/>
    <n v="21.866298478700472"/>
    <n v="980.80170172417002"/>
    <n v="286.77528064990389"/>
    <n v="0.65675725835691046"/>
    <n v="0.90248804806973482"/>
    <n v="601.28822615427953"/>
    <n v="0"/>
    <n v="601.28822615427953"/>
    <n v="1086.7752806499038"/>
  </r>
  <r>
    <s v="Floor &lt;R11 to R30"/>
    <n v="6000"/>
    <s v="Res Space Heat"/>
    <s v="Res Winter"/>
    <n v="1.68"/>
    <n v="0.161409779"/>
    <n v="0"/>
    <n v="45"/>
    <n v="1.5"/>
    <n v="0"/>
    <n v="1.0582984355072E-2"/>
    <n v="1.708197165912629E-3"/>
    <s v="SQFT"/>
    <s v="ResSFWx_v6_2"/>
    <s v="Single Family Weatherization - Insulate Floor - R19 to R30 - Heating Zone 2/3 (Electric FAF)"/>
    <n v="0"/>
    <x v="0"/>
    <x v="3"/>
    <n v="968.45867399999997"/>
    <n v="0"/>
    <n v="10080"/>
    <n v="203.46068534192318"/>
    <n v="9000"/>
    <n v="2.613850243840278"/>
    <n v="21.866298478700472"/>
    <n v="2531.4059411841322"/>
    <n v="740.15435326606973"/>
    <n v="0.27803238206769099"/>
    <n v="0.25989382194290389"/>
    <n v="1551.8983963580761"/>
    <n v="0"/>
    <n v="1551.8983963580761"/>
    <n v="9740.1543532660689"/>
  </r>
  <r>
    <s v="NEEM Certified Home"/>
    <n v="28"/>
    <s v="Res Space Heat"/>
    <s v="Res Annual"/>
    <n v="4428.42"/>
    <n v="3735.6"/>
    <n v="0.26769461398436661"/>
    <n v="43"/>
    <n v="1000"/>
    <n v="0"/>
    <n v="1.0582984355072E-2"/>
    <n v="39.53379635680696"/>
    <s v="Unit"/>
    <s v="ResMHNewHomesHVAC_v5_1"/>
    <m/>
    <n v="0"/>
    <x v="0"/>
    <x v="1"/>
    <n v="104596.8"/>
    <n v="7.4954491915622654"/>
    <n v="123995.76000000001"/>
    <n v="21629.963287591363"/>
    <n v="28000"/>
    <n v="2.5559454571500804"/>
    <n v="20.566335306081957"/>
    <n v="267497.8697137789"/>
    <n v="78213.33968483872"/>
    <n v="1.5728303859579145"/>
    <n v="2.5184959865447345"/>
    <n v="164982.75960727088"/>
    <n v="86.791852554041199"/>
    <n v="165069.55145982493"/>
    <n v="106213.33968483872"/>
  </r>
  <r>
    <s v="Windows - Single Pane to "/>
    <n v="0"/>
    <s v="Res Space Heat"/>
    <s v="Res Winter"/>
    <n v="31.8"/>
    <n v="4.7300000000000004"/>
    <n v="0"/>
    <n v="45"/>
    <n v="10"/>
    <n v="0"/>
    <n v="1.8394725536443701E-4"/>
    <n v="8.7007051787378717E-4"/>
    <s v="SQFT"/>
    <s v="ResSFWx_v6_2"/>
    <m/>
    <n v="0"/>
    <x v="0"/>
    <x v="3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s v="Sliding Glass Door"/>
    <n v="0"/>
    <s v="Res Space Heat"/>
    <s v="Res Winter"/>
    <n v="1272"/>
    <n v="189.20000000000002"/>
    <n v="0"/>
    <n v="45"/>
    <n v="400"/>
    <n v="0"/>
    <n v="1.8394725536443701E-4"/>
    <n v="3.4802820714951485E-2"/>
    <s v="SQFT"/>
    <s v="ResSFWx_v6_2"/>
    <m/>
    <n v="0"/>
    <x v="0"/>
    <x v="3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s v="Windows - DIY"/>
    <n v="0"/>
    <s v="Res Space Heat"/>
    <s v="Res Winter"/>
    <n v="31.8"/>
    <n v="4.7300000000000004"/>
    <n v="0"/>
    <n v="45"/>
    <n v="5"/>
    <n v="0"/>
    <n v="5.5177029496346806E-2"/>
    <n v="0.2609873495177204"/>
    <s v="SQFT"/>
    <s v="ResSFWx_v6_2"/>
    <m/>
    <n v="0"/>
    <x v="0"/>
    <x v="3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s v="Sliding Glass Door - DIY"/>
    <n v="0"/>
    <s v="Res Space Heat"/>
    <s v="Res Winter"/>
    <n v="1272"/>
    <n v="189.20000000000002"/>
    <n v="0"/>
    <n v="45"/>
    <n v="200"/>
    <n v="0"/>
    <n v="5.5177029496346806E-2"/>
    <n v="10.439493980708816"/>
    <s v="SQFT"/>
    <s v="ResSFWx_v6_2"/>
    <m/>
    <n v="0"/>
    <x v="0"/>
    <x v="3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s v="Storm Windows"/>
    <n v="0"/>
    <s v="Res Space Heat"/>
    <s v="Res Winter"/>
    <n v="13.7938417954024"/>
    <n v="5.4661370093530302"/>
    <n v="0"/>
    <n v="20"/>
    <n v="5"/>
    <n v="0"/>
    <n v="1.8394725536443701E-4"/>
    <n v="1.0054809003164618E-3"/>
    <s v="SQFT"/>
    <s v="ResSFWx_v6_2"/>
    <s v="Windows - Add a Low-e Storm Window to an existing Double Paned Window - Heating Zone 2/3 (Zonal or DHP)"/>
    <n v="0"/>
    <x v="0"/>
    <x v="3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s v="Storm Windows - DIY"/>
    <n v="0"/>
    <s v="Res Space Heat"/>
    <s v="Res Winter"/>
    <n v="13.7938417954024"/>
    <n v="5.4661370093530302"/>
    <n v="0"/>
    <n v="20"/>
    <n v="4"/>
    <n v="0"/>
    <n v="1.6572221127298301E-4"/>
    <n v="9.0586031231107433E-4"/>
    <s v="SQFT"/>
    <s v="ResSFWx_v6_2"/>
    <s v="Windows - Add a Low-e Storm Window to an existing Double Paned Window - Heating Zone 2/3 (Zonal or DHP)"/>
    <n v="0"/>
    <x v="0"/>
    <x v="3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s v="Duct Sealing - MH_AnyHZ_ElectricHVAC"/>
    <n v="3"/>
    <s v="Res Space Heat"/>
    <s v="Res Winter"/>
    <n v="488.7"/>
    <n v="488.7"/>
    <n v="0"/>
    <n v="18"/>
    <n v="230.88884000000002"/>
    <n v="0"/>
    <n v="0"/>
    <n v="0"/>
    <s v="Unit"/>
    <s v="ResDuctSealingMH_v4_1"/>
    <m/>
    <n v="0"/>
    <x v="0"/>
    <x v="4"/>
    <n v="1466.1"/>
    <n v="0"/>
    <n v="1466.1"/>
    <n v="0"/>
    <n v="692.66651999999999"/>
    <n v="1.4556567120506028"/>
    <n v="10.745347994861634"/>
    <n v="2134.1383055373885"/>
    <n v="623.99780754898427"/>
    <n v="1.1231781247807033"/>
    <n v="1.6208674153952058"/>
    <n v="1465.8314465085502"/>
    <n v="0"/>
    <n v="1465.8314465085502"/>
    <n v="1316.6643275489841"/>
  </r>
  <r>
    <s v="Line Voltage Communicating Thermostat"/>
    <n v="0"/>
    <s v="Res Space Heat"/>
    <s v="Res Winter"/>
    <n v="142.63"/>
    <n v="142.63"/>
    <n v="0"/>
    <n v="15"/>
    <n v="20"/>
    <n v="0"/>
    <n v="7.9687098923800298E-2"/>
    <n v="11.365770919501637"/>
    <s v="Unit"/>
    <s v="ResElectronicLineVoltageTStats_v5_3"/>
    <m/>
    <n v="0"/>
    <x v="0"/>
    <x v="4"/>
    <n v="0"/>
    <n v="0"/>
    <n v="0"/>
    <n v="0"/>
    <n v="0"/>
    <n v="1.2637367945728217"/>
    <n v="9.5406201681044092"/>
    <n v="0"/>
    <n v="0"/>
    <n v="0"/>
    <n v="0"/>
    <n v="0"/>
    <n v="0"/>
    <n v="0"/>
    <n v="0"/>
  </r>
  <r>
    <s v="Smart Thermostats - DIY"/>
    <n v="0"/>
    <s v="Res Space Heat"/>
    <s v="Res Winter"/>
    <n v="222.03"/>
    <n v="222.03"/>
    <n v="0"/>
    <n v="7"/>
    <n v="150"/>
    <n v="0"/>
    <n v="3.6176761872079799E-2"/>
    <n v="8.0323264384578774"/>
    <s v="Unit"/>
    <s v="ResConnectedTstats_v3_1"/>
    <m/>
    <n v="0"/>
    <x v="0"/>
    <x v="4"/>
    <n v="0"/>
    <n v="0"/>
    <n v="0"/>
    <n v="0"/>
    <n v="0"/>
    <n v="0.68092219236682128"/>
    <n v="5.753949098523548"/>
    <n v="0"/>
    <n v="0"/>
    <n v="0"/>
    <n v="0"/>
    <n v="0"/>
    <n v="0"/>
    <n v="0"/>
    <n v="0"/>
  </r>
  <r>
    <s v="Smart Thermostats - Contractor Installed"/>
    <n v="0"/>
    <s v="Res Space Heat"/>
    <s v="Res Winter"/>
    <n v="222.03"/>
    <n v="222.03"/>
    <n v="0"/>
    <n v="7"/>
    <n v="200"/>
    <n v="0"/>
    <n v="3.5676488966641801E-2"/>
    <n v="7.9212508452634793"/>
    <s v="Unit"/>
    <s v="ResConnectedTstats_v3_1"/>
    <m/>
    <n v="0"/>
    <x v="0"/>
    <x v="4"/>
    <n v="0"/>
    <n v="0"/>
    <n v="0"/>
    <n v="0"/>
    <n v="0"/>
    <n v="0.68092219236682128"/>
    <n v="5.753949098523548"/>
    <n v="0"/>
    <n v="0"/>
    <n v="0"/>
    <n v="0"/>
    <n v="0"/>
    <n v="0"/>
    <n v="0"/>
    <n v="0"/>
  </r>
  <r>
    <s v="Attic &lt;R11-R49/R38"/>
    <n v="14261"/>
    <s v="Res Space Heat"/>
    <s v="Res Winter"/>
    <n v="1.19"/>
    <n v="1.19"/>
    <n v="0"/>
    <n v="45"/>
    <n v="1.5"/>
    <n v="0"/>
    <n v="0.17126164400424687"/>
    <n v="0.20380135636505375"/>
    <s v="Sq Ft"/>
    <s v="Avista"/>
    <m/>
    <n v="0"/>
    <x v="0"/>
    <x v="4"/>
    <n v="16970.59"/>
    <n v="0"/>
    <n v="16970.59"/>
    <n v="57696.34548685902"/>
    <n v="21391.5"/>
    <n v="2.613850243840278"/>
    <n v="21.866298478700472"/>
    <n v="44358.580809613384"/>
    <n v="12969.945340170118"/>
    <n v="3.749445948466525"/>
    <n v="1.2909404819987638"/>
    <n v="27194.378152939542"/>
    <n v="0"/>
    <n v="27194.378152939542"/>
    <n v="34361.445340170118"/>
  </r>
  <r>
    <s v="Floor R0-R19"/>
    <n v="0"/>
    <s v="Res Space Heat"/>
    <s v="Res Winter"/>
    <n v="1.9478912018971424"/>
    <n v="1.3023854988102705"/>
    <n v="0"/>
    <n v="45"/>
    <n v="1"/>
    <n v="0"/>
    <n v="0.26171897953706269"/>
    <n v="0.34085900371249239"/>
    <s v="Sq Ft"/>
    <s v="ResMFWeatherization_v6_1"/>
    <s v="Floor Insulation_R0 - R19_HZ2_Zonal"/>
    <n v="0"/>
    <x v="0"/>
    <x v="4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s v="Floor R0 to R30"/>
    <n v="0"/>
    <s v="Res Space Heat"/>
    <s v="Res Winter"/>
    <n v="2.7493375167722496"/>
    <n v="1.7387289490161653"/>
    <n v="0"/>
    <n v="45"/>
    <n v="1.5"/>
    <n v="0"/>
    <n v="0.1941131841018737"/>
    <n v="0.33751021258363223"/>
    <s v="Sq Ft"/>
    <s v="ResMFWeatherization_v6_1"/>
    <s v="Floor Insulation_R0 - R30_HZ2_Zonal"/>
    <n v="0"/>
    <x v="0"/>
    <x v="4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s v="Windows - Single to U30 "/>
    <n v="260"/>
    <s v="Res Space Heat"/>
    <s v="Res Winter"/>
    <n v="31.803566470010896"/>
    <n v="31.568913523447165"/>
    <n v="0"/>
    <n v="45"/>
    <n v="10"/>
    <n v="0"/>
    <n v="0.4567079784668403"/>
    <n v="14.417774677688051"/>
    <s v="Sq Ft"/>
    <s v="ResMFWeatherization_v6_1"/>
    <s v="Windows_Single Pane - U30_HZ2_Zonal"/>
    <n v="0"/>
    <x v="0"/>
    <x v="4"/>
    <n v="8207.9175160962623"/>
    <n v="0"/>
    <n v="8268.9272822028324"/>
    <n v="74415.402941279273"/>
    <n v="2600"/>
    <n v="2.613850243840278"/>
    <n v="21.866298478700472"/>
    <n v="21454.267200869104"/>
    <n v="6272.9841178411243"/>
    <n v="7.251910306374473"/>
    <n v="2.417931432755581"/>
    <n v="13152.707877619929"/>
    <n v="0"/>
    <n v="13152.707877619929"/>
    <n v="8872.9841178411243"/>
  </r>
  <r>
    <s v="Windows - Double to U30 "/>
    <n v="187"/>
    <s v="Res Space Heat"/>
    <s v="Res Winter"/>
    <n v="31.803566470010896"/>
    <n v="17.313866707026396"/>
    <n v="0"/>
    <n v="45"/>
    <n v="10"/>
    <n v="0"/>
    <n v="0.4567079784668403"/>
    <n v="7.9073810632103543"/>
    <s v="Sq Ft"/>
    <s v="ResMFWeatherization_v6_1"/>
    <s v="Windows_Double Pane - U30_HZ2_Zonal"/>
    <n v="0"/>
    <x v="0"/>
    <x v="4"/>
    <n v="3237.6930742139361"/>
    <n v="0"/>
    <n v="5947.2669298920373"/>
    <n v="29353.881084371453"/>
    <n v="1870"/>
    <n v="2.613850243840278"/>
    <n v="21.866298478700472"/>
    <n v="8462.8448315140758"/>
    <n v="2474.4397337277078"/>
    <n v="4.9394261957818681"/>
    <n v="1.9479715107597102"/>
    <n v="5188.2138336573516"/>
    <n v="0"/>
    <n v="5188.2138336573516"/>
    <n v="4344.4397337277078"/>
  </r>
  <r>
    <s v="Sliding Glass Door"/>
    <n v="2"/>
    <s v="Res Space Heat"/>
    <s v="Res Winter"/>
    <n v="1272.1426588004358"/>
    <n v="692.5546682810558"/>
    <n v="0"/>
    <n v="45"/>
    <n v="400"/>
    <n v="0"/>
    <n v="0.4567079784668403"/>
    <n v="316.29524252841418"/>
    <s v="Sq Ft"/>
    <s v="Avista"/>
    <m/>
    <n v="0"/>
    <x v="0"/>
    <x v="4"/>
    <n v="1385.1093365621116"/>
    <n v="0"/>
    <n v="2544.2853176008716"/>
    <n v="12557.810089570678"/>
    <n v="800"/>
    <n v="2.613850243840278"/>
    <n v="21.866298478700472"/>
    <n v="3620.4683771183209"/>
    <n v="1058.5838433059712"/>
    <n v="4.939426195781869"/>
    <n v="1.94797151075971"/>
    <n v="2219.5567202812204"/>
    <n v="0"/>
    <n v="2219.5567202812204"/>
    <n v="1858.5838433059712"/>
  </r>
  <r>
    <s v="Windows - Single to U30 - DIY"/>
    <n v="98"/>
    <s v="Res Space Heat"/>
    <s v="Res Winter"/>
    <n v="31.803566470010896"/>
    <n v="31.568913523447165"/>
    <n v="0"/>
    <n v="45"/>
    <n v="5"/>
    <n v="0"/>
    <n v="0.4567079784668403"/>
    <n v="14.417774677688051"/>
    <s v="Sq Ft"/>
    <s v="ResMFWeatherization_v6_1"/>
    <s v="Windows_Single Pane - U30_HZ2_Zonal"/>
    <n v="0"/>
    <x v="0"/>
    <x v="4"/>
    <n v="3093.7535252978223"/>
    <n v="0"/>
    <n v="3116.7495140610677"/>
    <n v="28048.882647097569"/>
    <n v="490"/>
    <n v="2.613850243840278"/>
    <n v="21.866298478700472"/>
    <n v="8086.6084064814322"/>
    <n v="2364.43247518627"/>
    <n v="7.2519103063744739"/>
    <n v="2.8330004218977818"/>
    <n v="4957.5591231028975"/>
    <n v="0"/>
    <n v="4957.5591231028975"/>
    <n v="2854.43247518627"/>
  </r>
  <r>
    <s v="Windows - Double to U30 - DIY"/>
    <n v="103"/>
    <s v="Res Space Heat"/>
    <s v="Res Winter"/>
    <n v="31.803566470010896"/>
    <n v="17.313866707026396"/>
    <n v="0"/>
    <n v="45"/>
    <n v="5"/>
    <n v="0"/>
    <n v="0.4567079784668403"/>
    <n v="7.9073810632103543"/>
    <s v="Sq Ft"/>
    <s v="ResMFWeatherization_v6_1"/>
    <s v="Windows_Double Pane - U30_HZ2_Zonal"/>
    <n v="0"/>
    <x v="0"/>
    <x v="4"/>
    <n v="1783.3282708237186"/>
    <n v="0"/>
    <n v="3275.7673464111222"/>
    <n v="16168.180490322246"/>
    <n v="515"/>
    <n v="2.613850243840278"/>
    <n v="21.866298478700472"/>
    <n v="4661.3530355398379"/>
    <n v="1362.9266982564377"/>
    <n v="4.9394261957818681"/>
    <n v="2.4821805025018677"/>
    <n v="2857.6792773620714"/>
    <n v="0"/>
    <n v="2857.6792773620714"/>
    <n v="1877.9266982564377"/>
  </r>
  <r>
    <s v="Sliding Glass Door DIY"/>
    <n v="2"/>
    <s v="Res Space Heat"/>
    <s v="Res Winter"/>
    <n v="1272.1426588004358"/>
    <n v="692.5546682810558"/>
    <n v="0"/>
    <n v="45"/>
    <n v="200"/>
    <n v="0"/>
    <n v="0.4567079784668403"/>
    <n v="316.29524252841418"/>
    <s v="Sq Ft"/>
    <s v="Avista"/>
    <m/>
    <n v="0"/>
    <x v="0"/>
    <x v="4"/>
    <n v="1385.1093365621116"/>
    <n v="0"/>
    <n v="2544.2853176008716"/>
    <n v="12557.810089570678"/>
    <n v="400"/>
    <n v="2.613850243840278"/>
    <n v="21.866298478700472"/>
    <n v="3620.4683771183209"/>
    <n v="1058.5838433059712"/>
    <n v="4.939426195781869"/>
    <n v="2.4821805025018677"/>
    <n v="2219.5567202812204"/>
    <n v="0"/>
    <n v="2219.5567202812204"/>
    <n v="1458.5838433059712"/>
  </r>
  <r>
    <s v="Storm Windows - Single to U22"/>
    <n v="0"/>
    <s v="Res Space Heat"/>
    <s v="Res Winter"/>
    <n v="13.793841795402404"/>
    <n v="31.900576478228739"/>
    <n v="0"/>
    <n v="20"/>
    <n v="5"/>
    <n v="0"/>
    <n v="1.0802246396835806"/>
    <n v="34.459788731893148"/>
    <s v="Sq Ft"/>
    <s v="ResMFWeatherization_v6_1"/>
    <s v="Low E Storm Window_Single Pane Metal Frame_HZ2_Zonal"/>
    <n v="0"/>
    <x v="0"/>
    <x v="4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s v="Storm Windows - Double to U22"/>
    <n v="0"/>
    <s v="Res Space Heat"/>
    <s v="Res Winter"/>
    <n v="13.793841795402404"/>
    <n v="16.474888642234884"/>
    <n v="0"/>
    <n v="20"/>
    <n v="5"/>
    <n v="0"/>
    <n v="1.0802246396835806"/>
    <n v="17.796580647385291"/>
    <s v="Sq Ft"/>
    <s v="ResMFWeatherization_v6_1"/>
    <s v="Low E Storm Window_Double Pane Metal Frame_HZ2_Zonal"/>
    <n v="0"/>
    <x v="0"/>
    <x v="4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s v="Storm Windows - Single to U22 - DIY"/>
    <n v="20"/>
    <s v="Res Space Heat"/>
    <s v="Res Winter"/>
    <n v="13.793841795402404"/>
    <n v="31.900576478228739"/>
    <n v="0"/>
    <n v="20"/>
    <n v="4"/>
    <n v="0"/>
    <n v="1.0802246396835806"/>
    <n v="34.459788731893148"/>
    <s v="Sq Ft"/>
    <s v="ResMFWeatherization_v6_1"/>
    <s v="Low E Storm Window_Single Pane Metal Frame_HZ2_Zonal"/>
    <n v="0"/>
    <x v="0"/>
    <x v="4"/>
    <n v="638.01152956457474"/>
    <n v="0"/>
    <n v="275.87683590804806"/>
    <n v="9146.3899796812602"/>
    <n v="80"/>
    <n v="1.5763721980130481"/>
    <n v="11.518504018723075"/>
    <n v="1005.7436372173755"/>
    <n v="294.06801937419635"/>
    <n v="19.593732402511609"/>
    <n v="2.6886651227227389"/>
    <n v="683.48119625941979"/>
    <n v="0"/>
    <n v="683.48119625941979"/>
    <n v="374.06801937419635"/>
  </r>
  <r>
    <s v="Storm Windows - Double to U22 - DIY"/>
    <n v="10"/>
    <s v="Res Space Heat"/>
    <s v="Res Winter"/>
    <n v="13.793841795402404"/>
    <n v="16.474888642234884"/>
    <n v="0"/>
    <n v="20"/>
    <n v="4"/>
    <n v="0"/>
    <n v="1.0802246396835806"/>
    <n v="17.796580647385291"/>
    <s v="Sq Ft"/>
    <s v="ResMFWeatherization_v6_1"/>
    <s v="Low E Storm Window_Double Pane Metal Frame_HZ2_Zonal"/>
    <n v="0"/>
    <x v="0"/>
    <x v="4"/>
    <n v="164.74888642234885"/>
    <n v="0"/>
    <n v="137.93841795402403"/>
    <n v="2361.803030370636"/>
    <n v="40"/>
    <n v="1.5763721980130481"/>
    <n v="11.518504018723075"/>
    <n v="259.70556420980006"/>
    <n v="75.934958036555471"/>
    <n v="13.483022095118075"/>
    <n v="2.2400971079655911"/>
    <n v="176.4901741684865"/>
    <n v="0"/>
    <n v="176.4901741684865"/>
    <n v="115.93495803655547"/>
  </r>
  <r>
    <s v="Air Infiltration - Electric"/>
    <n v="62"/>
    <s v="Res Space Heat"/>
    <s v="Res Winter"/>
    <n v="1612.9"/>
    <n v="802.88440000000003"/>
    <n v="0"/>
    <n v="15"/>
    <n v="1612.9"/>
    <n v="0"/>
    <n v="0.18999932132924399"/>
    <n v="152.54749110583728"/>
    <s v="Unit"/>
    <s v="Avista"/>
    <s v="N/A"/>
    <n v="13064.49"/>
    <x v="1"/>
    <x v="5"/>
    <n v="49778.832800000004"/>
    <n v="0"/>
    <n v="99999.8"/>
    <n v="103199.28880037344"/>
    <n v="99999.8"/>
    <n v="1.2637367945728217"/>
    <n v="9.5406201681044092"/>
    <n v="62907.342600248448"/>
    <n v="31457.8826678681"/>
    <n v="1.3899324165201132"/>
    <n v="0.47853682891387789"/>
    <n v="43844.547279203893"/>
    <n v="0"/>
    <n v="43844.547279203893"/>
    <n v="131457.6826678681"/>
  </r>
  <r>
    <s v="Energy Star Rated Refrigerator"/>
    <n v="12"/>
    <s v="Res Space Heat"/>
    <s v="Res Winter"/>
    <n v="100.23"/>
    <n v="39"/>
    <n v="0"/>
    <n v="20"/>
    <n v="640.54999999999995"/>
    <n v="55"/>
    <n v="1.90514519585486E-5"/>
    <n v="7.430066263833954E-4"/>
    <s v="Unit"/>
    <s v="Avista"/>
    <s v="N/A"/>
    <n v="0"/>
    <x v="1"/>
    <x v="5"/>
    <n v="468"/>
    <n v="0"/>
    <n v="1202.76"/>
    <n v="660.11832623377813"/>
    <n v="7686.5999999999995"/>
    <n v="1.5763721980130481"/>
    <n v="11.518504018723075"/>
    <n v="737.74218867010654"/>
    <n v="215.70743895654735"/>
    <n v="1.0840196427246835"/>
    <n v="9.3357819139408355E-2"/>
    <n v="501.35332204374163"/>
    <n v="0"/>
    <n v="501.35332204374163"/>
    <n v="7902.3074389565472"/>
  </r>
  <r>
    <s v="Windows"/>
    <n v="65843"/>
    <s v="Res Space Heat"/>
    <s v="Res Winter"/>
    <n v="9.9"/>
    <n v="6.04"/>
    <n v="0"/>
    <n v="45"/>
    <n v="20.45"/>
    <n v="0"/>
    <n v="0.12455658742864401"/>
    <n v="0.75232178806900984"/>
    <s v="SQFT"/>
    <s v="Avista"/>
    <s v="N/A"/>
    <n v="674353.06499999994"/>
    <x v="1"/>
    <x v="5"/>
    <n v="397691.72000000003"/>
    <n v="0"/>
    <n v="651845.70000000007"/>
    <n v="983341.81159541651"/>
    <n v="1346489.3499999999"/>
    <n v="2.613850243840278"/>
    <n v="21.866298478700472"/>
    <n v="1039506.5992952597"/>
    <n v="978292.99110971321"/>
    <n v="1.3649962816752663"/>
    <n v="0.44714147252127739"/>
    <n v="637277.72705444833"/>
    <n v="0"/>
    <n v="637277.72705444833"/>
    <n v="2324782.3411097131"/>
  </r>
  <r>
    <s v="Airsource Heat Pump"/>
    <n v="41"/>
    <s v="Res Space Heat"/>
    <s v="Res Winter"/>
    <n v="7819.5"/>
    <n v="878.44"/>
    <n v="0"/>
    <n v="15"/>
    <n v="483.28384132419274"/>
    <n v="0"/>
    <n v="0.152990537929272"/>
    <n v="134.39300813858969"/>
    <s v="Unit"/>
    <s v="Avista"/>
    <s v="N/A"/>
    <n v="0"/>
    <x v="1"/>
    <x v="5"/>
    <n v="36016.04"/>
    <n v="0"/>
    <n v="320599.5"/>
    <n v="60122.977073725328"/>
    <n v="19814.637494291903"/>
    <n v="1.2637367945728217"/>
    <n v="9.5406201681044092"/>
    <n v="45514.794942806533"/>
    <n v="13308.009223985746"/>
    <n v="0.34800519906917354"/>
    <n v="1.3741291669693378"/>
    <n v="31722.458719234946"/>
    <n v="0"/>
    <n v="31722.458719234946"/>
    <n v="33122.646718277647"/>
  </r>
  <r>
    <s v="Attic Insulation"/>
    <n v="26385"/>
    <s v="Res Space Heat"/>
    <s v="Res Winter"/>
    <n v="1.76"/>
    <n v="0.56999999999999995"/>
    <n v="0"/>
    <n v="45"/>
    <n v="1.76"/>
    <n v="0"/>
    <n v="2.0176896710168628"/>
    <n v="1.1500831124796116"/>
    <s v="SQFT"/>
    <s v="Avista"/>
    <s v="N/A"/>
    <n v="21455.280000000002"/>
    <x v="1"/>
    <x v="5"/>
    <n v="15039.449999999999"/>
    <n v="0"/>
    <n v="46437.599999999999"/>
    <n v="602389.75989155413"/>
    <n v="46437.599999999999"/>
    <n v="2.613850243840278"/>
    <n v="21.866298478700472"/>
    <n v="39310.870049723664"/>
    <n v="32949.332030378522"/>
    <n v="8.8915225073226711"/>
    <n v="0.49518061782108935"/>
    <n v="24099.839222574265"/>
    <n v="0"/>
    <n v="24099.839222574265"/>
    <n v="79386.932030378521"/>
  </r>
  <r>
    <s v="Duct Insulation"/>
    <n v="17705"/>
    <s v="Res Space Heat"/>
    <s v="Res Winter"/>
    <n v="3.05"/>
    <n v="2.68"/>
    <n v="0"/>
    <n v="45"/>
    <n v="3.05"/>
    <n v="0"/>
    <n v="0.88951662591279201"/>
    <n v="2.3839045574462827"/>
    <s v="SQFT"/>
    <s v="Avista"/>
    <s v="N/A"/>
    <n v="16045.439999999999"/>
    <x v="1"/>
    <x v="5"/>
    <n v="47449.4"/>
    <n v="0"/>
    <n v="54000.25"/>
    <n v="837868.86158742663"/>
    <n v="54000.25"/>
    <n v="2.613850243840278"/>
    <n v="21.866298478700472"/>
    <n v="124025.62576007489"/>
    <n v="52309.124670000747"/>
    <n v="9.9528751755590061"/>
    <n v="1.1666480603904208"/>
    <n v="76034.888989132945"/>
    <n v="0"/>
    <n v="76034.888989132945"/>
    <n v="106309.37467000075"/>
  </r>
  <r>
    <s v="Floor Insulation"/>
    <n v="24209"/>
    <s v="Res Space Heat"/>
    <s v="Res Winter"/>
    <n v="3.03"/>
    <n v="1.17"/>
    <n v="0"/>
    <n v="45"/>
    <n v="3.03"/>
    <n v="0"/>
    <n v="1.958369308265123"/>
    <n v="2.2912920906701939"/>
    <s v="SQFT"/>
    <s v="Avista"/>
    <s v="N/A"/>
    <n v="40039.631999999998"/>
    <x v="1"/>
    <x v="5"/>
    <n v="28324.53"/>
    <n v="0"/>
    <n v="73353.26999999999"/>
    <n v="1101155.2711666641"/>
    <n v="73353.26999999999"/>
    <n v="2.613850243840278"/>
    <n v="21.866298478700472"/>
    <n v="74036.07964716127"/>
    <n v="61686.941014360054"/>
    <n v="9.5727818861134821"/>
    <n v="0.54825210277025072"/>
    <n v="45388.403103503217"/>
    <n v="0"/>
    <n v="45388.403103503217"/>
    <n v="135040.21101436004"/>
  </r>
  <r>
    <s v="Wall Insulation"/>
    <n v="10729"/>
    <s v="Res Space Heat"/>
    <s v="Res Winter"/>
    <n v="2.17"/>
    <n v="2.3068759999999999"/>
    <n v="0"/>
    <n v="45"/>
    <n v="2.17"/>
    <n v="0"/>
    <n v="2.1752617543823201"/>
    <n v="5.0180591349024688"/>
    <s v="SQFT"/>
    <s v="Avista"/>
    <s v="N/A"/>
    <n v="8606.2199999999993"/>
    <x v="1"/>
    <x v="5"/>
    <n v="24750.472603999999"/>
    <n v="0"/>
    <n v="23281.93"/>
    <n v="1068774.9737527317"/>
    <n v="23281.93"/>
    <n v="2.613850243840278"/>
    <n v="21.866298478700472"/>
    <n v="64694.028851127514"/>
    <n v="27522.019439928597"/>
    <n v="24.54171214264553"/>
    <n v="1.2734055041847243"/>
    <n v="39661.185112429579"/>
    <n v="0"/>
    <n v="39661.185112429579"/>
    <n v="50803.949439928598"/>
  </r>
  <r>
    <s v="Duct Sealing"/>
    <n v="4"/>
    <s v="Res Space Heat"/>
    <s v="Res Winter"/>
    <n v="654.20000000000005"/>
    <n v="709.93"/>
    <n v="0"/>
    <n v="20"/>
    <n v="654.20000000000005"/>
    <n v="0"/>
    <n v="0.39855351241470938"/>
    <n v="282.94509506857463"/>
    <s v="Unit"/>
    <s v="Avista"/>
    <s v="N/A"/>
    <n v="4121.46"/>
    <x v="1"/>
    <x v="5"/>
    <n v="2839.72"/>
    <n v="0"/>
    <n v="2616.8000000000002"/>
    <n v="15019.977066429321"/>
    <n v="2616.8000000000002"/>
    <n v="1.5763721980130481"/>
    <n v="11.518504018723075"/>
    <n v="4476.4556581416127"/>
    <n v="5430.3248046018944"/>
    <n v="2.6650606915856088"/>
    <n v="0.55628013319510972"/>
    <n v="3042.1005463120814"/>
    <n v="0"/>
    <n v="3042.1005463120814"/>
    <n v="8047.1248046018945"/>
  </r>
  <r>
    <s v="Ductless Heat Pump (single Head) (w FAF)"/>
    <n v="2"/>
    <s v="Res Space Heat"/>
    <s v="Res Winter"/>
    <n v="6286.7"/>
    <n v="3016.23"/>
    <n v="0"/>
    <n v="15"/>
    <n v="6286.7"/>
    <n v="0"/>
    <n v="0.115691808568313"/>
    <n v="348.95310375800273"/>
    <s v="Unit"/>
    <s v="Avista"/>
    <s v="N/A"/>
    <n v="0"/>
    <x v="1"/>
    <x v="5"/>
    <n v="6032.46"/>
    <n v="0"/>
    <n v="12573.4"/>
    <n v="7615.1244762247297"/>
    <n v="12573.4"/>
    <n v="1.2637367945728217"/>
    <n v="9.5406201681044092"/>
    <n v="7623.4416637887643"/>
    <n v="2229.0077788486751"/>
    <n v="1.1324119024721679"/>
    <n v="0.51501362330268896"/>
    <n v="5313.3121610659045"/>
    <n v="0"/>
    <n v="5313.3121610659045"/>
    <n v="14802.407778848676"/>
  </r>
  <r>
    <s v="Ductless Heat Pump (single head) (displace zonal)"/>
    <n v="2"/>
    <s v="Res Space Heat"/>
    <s v="Res Winter"/>
    <n v="6286.7"/>
    <n v="3016.23"/>
    <n v="0"/>
    <n v="15"/>
    <n v="6286.7"/>
    <n v="0"/>
    <n v="9.6951129305975603E-2"/>
    <n v="292.4269047465628"/>
    <s v="Unit"/>
    <s v="Avista"/>
    <s v="N/A"/>
    <n v="0"/>
    <x v="1"/>
    <x v="5"/>
    <n v="6032.46"/>
    <n v="0"/>
    <n v="12573.4"/>
    <n v="6381.5660495930406"/>
    <n v="12573.4"/>
    <n v="1.2637367945728217"/>
    <n v="9.5406201681044092"/>
    <n v="7623.4416637887643"/>
    <n v="2229.0077788486751"/>
    <n v="1.0407434192383951"/>
    <n v="0.51501362330268896"/>
    <n v="5313.3121610659045"/>
    <n v="0"/>
    <n v="5313.3121610659045"/>
    <n v="14802.407778848676"/>
  </r>
  <r>
    <s v="Tier2-3 HPWH"/>
    <n v="0"/>
    <s v="Res Water Heating"/>
    <s v="Res Annual"/>
    <n v="697.39"/>
    <n v="587.33000000000004"/>
    <n v="0"/>
    <n v="13"/>
    <n v="697.39"/>
    <n v="0"/>
    <n v="7.2573394824780604E-2"/>
    <n v="42.624531982438398"/>
    <s v="Unit"/>
    <s v="Avista"/>
    <s v="N/A"/>
    <n v="0"/>
    <x v="1"/>
    <x v="5"/>
    <n v="0"/>
    <n v="0"/>
    <n v="0"/>
    <n v="0"/>
    <n v="0"/>
    <n v="0.85495862916855769"/>
    <n v="8.2322006748253056"/>
    <n v="0"/>
    <n v="0"/>
    <n v="0"/>
    <n v="0"/>
    <n v="0"/>
    <n v="0"/>
    <n v="0"/>
    <n v="0"/>
  </r>
  <r>
    <s v="Conversion to Airsource Heat Pump"/>
    <n v="15"/>
    <s v="Res Space Heat"/>
    <s v="Res Winter"/>
    <n v="7819.5"/>
    <n v="7234.2980219999999"/>
    <n v="0"/>
    <n v="15"/>
    <n v="7819.5"/>
    <n v="0"/>
    <n v="0.111775809843256"/>
    <n v="808.61952005651494"/>
    <s v="Unit"/>
    <s v="Avista"/>
    <s v="N/A"/>
    <n v="0"/>
    <x v="1"/>
    <x v="5"/>
    <n v="108514.47033"/>
    <n v="0"/>
    <n v="117292.5"/>
    <n v="132347.40355123382"/>
    <n v="117292.5"/>
    <n v="1.2637367945728217"/>
    <n v="9.5406201681044092"/>
    <n v="137133.72889960176"/>
    <n v="40096.345186410479"/>
    <n v="1.8834196625868245"/>
    <n v="0.87130526141913889"/>
    <n v="95578.131451516339"/>
    <n v="0"/>
    <n v="95578.131451516339"/>
    <n v="157388.84518641047"/>
  </r>
  <r>
    <s v="HHS"/>
    <n v="1"/>
    <s v="Res Misc"/>
    <s v="Res Winter"/>
    <n v="1"/>
    <n v="1"/>
    <n v="0"/>
    <n v="1"/>
    <n v="1"/>
    <n v="250000"/>
    <n v="2.5793786734219101E-2"/>
    <n v="2.5793786734219101E-2"/>
    <s v="Unit"/>
    <s v="Avista"/>
    <s v="N/A"/>
    <n v="0.3"/>
    <x v="1"/>
    <x v="5"/>
    <n v="1"/>
    <n v="0"/>
    <n v="1"/>
    <n v="250000.02473749567"/>
    <n v="1"/>
    <n v="0.13034168090927176"/>
    <n v="2.0751542657607067"/>
    <n v="0.13034168090927176"/>
    <n v="0.33811042747726455"/>
    <n v="205513.80883082363"/>
    <n v="9.7407267915103624E-2"/>
    <n v="7.7416148635099366E-2"/>
    <n v="0"/>
    <n v="7.7416148635099366E-2"/>
    <n v="1.3381104274772646"/>
  </r>
  <r>
    <s v="Outreach LEDs"/>
    <n v="30"/>
    <s v="Res Lighting"/>
    <s v="Res Annual"/>
    <n v="1.1000000000000001"/>
    <n v="9"/>
    <n v="0"/>
    <n v="13"/>
    <n v="1.1000000000000001"/>
    <n v="0"/>
    <n v="6.3892460096552306E-2"/>
    <n v="0.5750321408689707"/>
    <s v="Unit"/>
    <s v="Avista"/>
    <s v="N/A"/>
    <n v="9.57"/>
    <x v="1"/>
    <x v="5"/>
    <n v="270"/>
    <n v="0"/>
    <n v="33"/>
    <n v="169.41160530283963"/>
    <n v="33"/>
    <n v="0.97701138198465576"/>
    <n v="8.2322006748253056"/>
    <n v="263.79307313585707"/>
    <n v="86.700099233158568"/>
    <n v="3.9809920738191202"/>
    <n v="2.2037832451753121"/>
    <n v="214.03484512069514"/>
    <n v="0"/>
    <n v="214.03484512069514"/>
    <n v="119.70009923315857"/>
  </r>
  <r>
    <s v="DoorSweep - CFM50 reduction - Leave Behind"/>
    <n v="1"/>
    <s v="Res Space Heat"/>
    <s v="Res Winter"/>
    <n v="16.738486450182716"/>
    <n v="16.070522095305463"/>
    <n v="0"/>
    <n v="5"/>
    <n v="20"/>
    <n v="0"/>
    <n v="0.44043387578069898"/>
    <n v="7.0780023322547452"/>
    <s v="Unit"/>
    <s v="ResDoorSweep_v2_1"/>
    <s v="DoorSweep - CFM50 reduction - Heating Zone 2/3 (Zonal or DHP) - Leave Behind"/>
    <n v="24"/>
    <x v="1"/>
    <x v="5"/>
    <n v="16.070522095305463"/>
    <n v="0"/>
    <n v="16.738486450182716"/>
    <n v="31.27242824501419"/>
    <n v="20"/>
    <n v="0.51536228732460598"/>
    <n v="4.6339660270664194"/>
    <n v="8.2821410255372427"/>
    <n v="26.421603992739072"/>
    <n v="1.0081078549904239"/>
    <n v="0.17841134974208722"/>
    <n v="5.7315465628600402"/>
    <n v="0"/>
    <n v="5.7315465628600402"/>
    <n v="46.421603992739072"/>
  </r>
  <r>
    <s v="Storm Windows"/>
    <n v="0"/>
    <s v="Res Space Heat"/>
    <s v="Res Winter"/>
    <n v="10.47"/>
    <n v="6.17"/>
    <n v="0"/>
    <n v="20"/>
    <n v="10.47"/>
    <n v="0"/>
    <n v="0.46156657398244505"/>
    <n v="2.8478657614716858"/>
    <s v="SQFT"/>
    <s v="ResSFWx_v6_2"/>
    <m/>
    <n v="0"/>
    <x v="1"/>
    <x v="5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s v="MEEP Program"/>
    <n v="1"/>
    <s v="Res Space Heat"/>
    <s v="Res Winter"/>
    <n v="57040.824871519762"/>
    <n v="103651"/>
    <n v="0"/>
    <n v="20"/>
    <n v="26949.232427313964"/>
    <n v="0"/>
    <n v="0.46000000000000008"/>
    <n v="47679.460000000006"/>
    <s v="Unit"/>
    <s v="Avista"/>
    <s v="N/A"/>
    <n v="0"/>
    <x v="0"/>
    <x v="6"/>
    <n v="103651"/>
    <n v="0"/>
    <n v="57040.824871519762"/>
    <n v="632759.1538264422"/>
    <n v="26949.232427313964"/>
    <n v="1.5763721980130481"/>
    <n v="11.518504018723075"/>
    <n v="163392.55469625044"/>
    <n v="47774.127682233091"/>
    <n v="8.3553620741834287"/>
    <n v="2.1866328609515318"/>
    <n v="111037.97688708518"/>
    <n v="0"/>
    <n v="111037.97688708518"/>
    <n v="74723.360109547051"/>
  </r>
  <r>
    <s v="Heat Pump Water Heaters"/>
    <n v="722"/>
    <s v="Res Space Heat"/>
    <s v="Res Winter"/>
    <n v="634.41"/>
    <n v="1613.0079365079366"/>
    <n v="0"/>
    <n v="13"/>
    <n v="212.30158730158729"/>
    <n v="0"/>
    <n v="2.6794872628757198E-3"/>
    <n v="4.3220342207904636"/>
    <s v="Unit"/>
    <s v="2023 Evaluation Results"/>
    <s v="N/A"/>
    <n v="0"/>
    <x v="0"/>
    <x v="7"/>
    <n v="1164591.7301587302"/>
    <n v="0"/>
    <n v="458044.01999999996"/>
    <n v="30644.686439327157"/>
    <n v="153281.74603174604"/>
    <n v="1.1290749420459538"/>
    <n v="8.680255915629008"/>
    <n v="1314911.3402361653"/>
    <n v="384465.14515939797"/>
    <n v="1.756789944312372"/>
    <n v="2.4452235090072802"/>
    <n v="923197.07627172663"/>
    <n v="0"/>
    <n v="923197.07627172663"/>
    <n v="537746.89119114401"/>
  </r>
  <r>
    <s v="Split Unitary Equipment"/>
    <n v="2230"/>
    <s v="Res Water Heating"/>
    <s v="Res Winter"/>
    <n v="775.88"/>
    <n v="2023.5382308845578"/>
    <n v="0"/>
    <n v="15"/>
    <n v="425.71214392803597"/>
    <n v="0"/>
    <n v="6.1837538488303506E-2"/>
    <n v="125.13062323487743"/>
    <s v="Unit"/>
    <s v="2023 Evaluation Results"/>
    <s v="N/A"/>
    <n v="0"/>
    <x v="0"/>
    <x v="7"/>
    <n v="4512490.2548725642"/>
    <n v="0"/>
    <n v="1730212.4"/>
    <n v="3044727.4047057056"/>
    <n v="949338.08095952019"/>
    <n v="0.95494501118451747"/>
    <n v="9.5406201681044092"/>
    <n v="4309180.0569093069"/>
    <n v="1259955.3182042385"/>
    <n v="2.7052991571437963"/>
    <n v="1.950478853800214"/>
    <n v="3974542.6157663334"/>
    <n v="0"/>
    <n v="3974542.6157663334"/>
    <n v="2209293.3991637588"/>
  </r>
  <r>
    <s v="Named Community Projects"/>
    <n v="1"/>
    <s v="Res Space Heat"/>
    <s v="Res Winter"/>
    <n v="2000000"/>
    <n v="0"/>
    <n v="0"/>
    <n v="12"/>
    <n v="2000000"/>
    <n v="0"/>
    <n v="0.46000000000000008"/>
    <n v="0"/>
    <s v="Unit"/>
    <s v="Avista"/>
    <s v="N/A"/>
    <n v="0"/>
    <x v="2"/>
    <x v="8"/>
    <n v="0"/>
    <n v="0"/>
    <n v="2000000"/>
    <n v="0"/>
    <n v="2000000"/>
    <n v="1.0592064232112075"/>
    <n v="8.2409523422861337"/>
    <n v="0"/>
    <n v="0"/>
    <n v="0"/>
    <n v="0"/>
    <n v="0"/>
    <n v="0"/>
    <n v="0"/>
    <n v="2000000"/>
  </r>
  <r>
    <s v="On Bill Repayment"/>
    <n v="0"/>
    <s v="Res Misc"/>
    <s v="Res Winter"/>
    <n v="228888.88888888888"/>
    <n v="257500"/>
    <n v="0"/>
    <n v="15"/>
    <n v="206000"/>
    <n v="0"/>
    <n v="0"/>
    <n v="0"/>
    <s v="Unit"/>
    <s v="Avista"/>
    <s v="N/A"/>
    <n v="0"/>
    <x v="0"/>
    <x v="9"/>
    <n v="0"/>
    <n v="0"/>
    <n v="0"/>
    <n v="0"/>
    <n v="0"/>
    <n v="0.87313812138574998"/>
    <n v="9.5406201681044092"/>
    <n v="0"/>
    <n v="0"/>
    <n v="0"/>
    <n v="0"/>
    <n v="0"/>
    <n v="0"/>
    <n v="0"/>
    <n v="0"/>
  </r>
  <r>
    <s v="T12/T8 (2') Lamp to 1-Lamp less than 13 watt T8 TLED"/>
    <n v="2000"/>
    <s v="NonRes Interior Lighting"/>
    <s v="Com Annual"/>
    <n v="18.817234087169748"/>
    <n v="26.325000000000003"/>
    <n v="0"/>
    <n v="12"/>
    <n v="6"/>
    <n v="0"/>
    <n v="2.6991026764868101E-2"/>
    <n v="0.71053877958515288"/>
    <s v="Unit"/>
    <s v="Avista"/>
    <s v="N/A"/>
    <n v="0"/>
    <x v="3"/>
    <x v="10"/>
    <n v="52650.000000000007"/>
    <n v="0"/>
    <n v="37634.468174339498"/>
    <n v="13130.394780236833"/>
    <n v="12000"/>
    <n v="0.7435008907391103"/>
    <n v="7.4795347883823"/>
    <n v="39145.321897414164"/>
    <n v="11445.647630430833"/>
    <n v="1.1716208774680008"/>
    <n v="1.6696199872340587"/>
    <n v="39268.952209160299"/>
    <n v="0"/>
    <n v="39268.952209160299"/>
    <n v="23445.647630430831"/>
  </r>
  <r>
    <s v="T12/T8 (3') Lamp to 1-Lamp less than 17 watt T8 TLED"/>
    <n v="200"/>
    <s v="NonRes Interior Lighting"/>
    <s v="Com Annual"/>
    <n v="19.216742047807266"/>
    <n v="38.564897959183668"/>
    <n v="0"/>
    <n v="12"/>
    <n v="10"/>
    <n v="0"/>
    <n v="2.6991026764868101E-2"/>
    <n v="1.0409061930007335"/>
    <s v="Unit"/>
    <s v="Avista"/>
    <s v="N/A"/>
    <n v="0"/>
    <x v="3"/>
    <x v="10"/>
    <n v="7712.9795918367336"/>
    <n v="0"/>
    <n v="3843.3484095614531"/>
    <n v="1923.5416329102798"/>
    <n v="2000"/>
    <n v="0.7435008907391103"/>
    <n v="7.4795347883823"/>
    <n v="5734.6071967831904"/>
    <n v="1676.7340282785842"/>
    <n v="1.5260575919875294"/>
    <n v="1.5597013960425319"/>
    <n v="5752.7184611978237"/>
    <n v="0"/>
    <n v="5752.7184611978237"/>
    <n v="3676.7340282785844"/>
  </r>
  <r>
    <s v="T12/T8 (4') Lamp to 1-Lamp less than 23 watt T8 TLED"/>
    <n v="17500"/>
    <s v="NonRes Interior Lighting"/>
    <s v="Com Annual"/>
    <n v="21.178934796493305"/>
    <n v="52.675244395953186"/>
    <n v="0"/>
    <n v="12"/>
    <n v="12"/>
    <n v="0"/>
    <n v="2.6991026764868101E-2"/>
    <n v="1.4217589313371408"/>
    <s v="Unit"/>
    <s v="Avista"/>
    <s v="N/A"/>
    <n v="0"/>
    <x v="3"/>
    <x v="10"/>
    <n v="921816.77692918072"/>
    <n v="0"/>
    <n v="370631.35893863282"/>
    <n v="229892.08349716343"/>
    <n v="210000"/>
    <n v="0.7435008907391103"/>
    <n v="7.4795347883823"/>
    <n v="685371.59474510164"/>
    <n v="200394.87195728137"/>
    <n v="1.7631239890449235"/>
    <n v="1.6700296265311108"/>
    <n v="687536.16256095306"/>
    <n v="0"/>
    <n v="687536.16256095306"/>
    <n v="410394.87195728137"/>
  </r>
  <r>
    <s v="T12/T8 Eight-Foot to LED"/>
    <n v="700"/>
    <s v="NonRes Interior Lighting"/>
    <s v="Com Annual"/>
    <n v="43.319454639656684"/>
    <n v="109.48840336134452"/>
    <n v="0"/>
    <n v="12"/>
    <n v="25"/>
    <n v="0"/>
    <n v="2.5250287948902599E-2"/>
    <n v="2.7646137119395444"/>
    <s v="Unit"/>
    <s v="Avista"/>
    <s v="N/A"/>
    <n v="0"/>
    <x v="3"/>
    <x v="10"/>
    <n v="76641.88235294116"/>
    <n v="0"/>
    <n v="30323.618247759678"/>
    <n v="17881.02869745639"/>
    <n v="17500"/>
    <n v="0.7435008907391103"/>
    <n v="7.4795347883823"/>
    <n v="56983.307797333851"/>
    <n v="16661.272158493819"/>
    <n v="1.7527075072906571"/>
    <n v="1.6680674985684216"/>
    <n v="57163.274745256072"/>
    <n v="0"/>
    <n v="57163.274745256072"/>
    <n v="34161.272158493819"/>
  </r>
  <r>
    <s v="T12/T8 U-Bend to less than 23 watt T8 LED"/>
    <n v="200"/>
    <s v="NonRes Interior Lighting"/>
    <s v="Com Annual"/>
    <n v="32.129354575163404"/>
    <n v="64.61866666666667"/>
    <n v="0"/>
    <n v="12"/>
    <n v="15"/>
    <n v="0"/>
    <n v="2.6991026764868101E-2"/>
    <n v="1.7441241615100902"/>
    <s v="Unit"/>
    <s v="Avista"/>
    <s v="N/A"/>
    <n v="0"/>
    <x v="3"/>
    <x v="10"/>
    <n v="12923.733333333334"/>
    <n v="0"/>
    <n v="6425.8709150326813"/>
    <n v="3223.0526249035656"/>
    <n v="3000"/>
    <n v="0.7435008907391103"/>
    <n v="7.4795347883823"/>
    <n v="9608.8072450080654"/>
    <n v="2809.506131110857"/>
    <n v="1.528367037575026"/>
    <n v="1.6539800506537603"/>
    <n v="9639.1541620246644"/>
    <n v="0"/>
    <n v="9639.1541620246644"/>
    <n v="5809.5061311108566"/>
  </r>
  <r>
    <s v="T5 Lamp to 1-Lamp less than 18 watt T5 TLED"/>
    <n v="50"/>
    <s v="NonRes Interior Lighting"/>
    <s v="Com Annual"/>
    <n v="18.153024691358027"/>
    <n v="110.63"/>
    <n v="0"/>
    <n v="12"/>
    <n v="17"/>
    <n v="0"/>
    <n v="2.5250287948902599E-2"/>
    <n v="2.7934393557870942"/>
    <s v="Unit"/>
    <s v="Avista"/>
    <s v="N/A"/>
    <n v="0"/>
    <x v="3"/>
    <x v="10"/>
    <n v="5531.5"/>
    <n v="0"/>
    <n v="907.65123456790138"/>
    <n v="1290.5334159787155"/>
    <n v="850"/>
    <n v="0.7435008907391103"/>
    <n v="7.4795347883823"/>
    <n v="4112.6751771233885"/>
    <n v="1202.4995226539058"/>
    <n v="2.8166373573409875"/>
    <n v="2.0037398945679907"/>
    <n v="4125.6639913574591"/>
    <n v="0"/>
    <n v="4125.6639913574591"/>
    <n v="2052.4995226539058"/>
  </r>
  <r>
    <s v="T5HO Lamp to 1-Lamp less than 29 watt T5HO TLED"/>
    <n v="500"/>
    <s v="NonRes Interior Lighting"/>
    <s v="Com Annual"/>
    <n v="38.7834285122455"/>
    <n v="115.44427555555558"/>
    <n v="0"/>
    <n v="12"/>
    <n v="30"/>
    <n v="0"/>
    <n v="2.6991026764868101E-2"/>
    <n v="3.1159595313708088"/>
    <s v="Unit"/>
    <s v="Avista"/>
    <s v="N/A"/>
    <n v="0"/>
    <x v="3"/>
    <x v="10"/>
    <n v="57722.137777777789"/>
    <n v="0"/>
    <n v="19391.714256122748"/>
    <n v="14395.336307339878"/>
    <n v="15000"/>
    <n v="0.7435008907391103"/>
    <n v="7.4795347883823"/>
    <n v="42916.460853143435"/>
    <n v="12548.285840068836"/>
    <n v="1.9737938849927765"/>
    <n v="1.5578632043494216"/>
    <n v="43052.001325852274"/>
    <n v="0"/>
    <n v="43052.001325852274"/>
    <n v="27548.285840068835"/>
  </r>
  <r>
    <s v="TLED (4') Lamp to TLED (4') Lamp with 5 watt or more reduction"/>
    <n v="5"/>
    <s v="NonRes Interior Lighting"/>
    <s v="Com Annual"/>
    <n v="52.187423483923489"/>
    <n v="21.84"/>
    <n v="0"/>
    <n v="12"/>
    <n v="5"/>
    <n v="0"/>
    <n v="2.5250287948902599E-2"/>
    <n v="0.5514662888040327"/>
    <s v="Unit"/>
    <s v="Avista"/>
    <s v="N/A"/>
    <n v="0"/>
    <x v="3"/>
    <x v="10"/>
    <n v="109.2"/>
    <n v="0"/>
    <n v="260.93711741961744"/>
    <n v="25.477040409450552"/>
    <n v="25"/>
    <n v="0.7435008907391103"/>
    <n v="7.4795347883823"/>
    <n v="81.19029726871085"/>
    <n v="23.739121011263951"/>
    <n v="0.41216671996481347"/>
    <n v="1.6658137361555456"/>
    <n v="81.446715693073216"/>
    <n v="0"/>
    <n v="81.446715693073216"/>
    <n v="48.739121011263947"/>
  </r>
  <r>
    <s v="TLED (4') Lamp to TLED (4') Lamp with 3-4 watt reduction"/>
    <n v="5"/>
    <s v="NonRes Interior Lighting"/>
    <s v="Com Annual"/>
    <n v="20"/>
    <n v="15.288"/>
    <n v="0"/>
    <n v="12"/>
    <n v="3"/>
    <n v="0"/>
    <n v="2.5250287948902599E-2"/>
    <n v="0.38602640216282291"/>
    <s v="Unit"/>
    <s v="Avista"/>
    <s v="N/A"/>
    <n v="0"/>
    <x v="3"/>
    <x v="10"/>
    <n v="76.44"/>
    <n v="0"/>
    <n v="100"/>
    <n v="17.833928286615389"/>
    <n v="15"/>
    <n v="0.7435008907391103"/>
    <n v="7.4795347883823"/>
    <n v="56.833208088097592"/>
    <n v="16.617384707884764"/>
    <n v="0.70430193763924309"/>
    <n v="1.797530333807922"/>
    <n v="57.012700985151248"/>
    <n v="0"/>
    <n v="57.012700985151248"/>
    <n v="31.617384707884764"/>
  </r>
  <r>
    <s v="Four Pin Base CFL to 17 watt or less Plug in LED"/>
    <n v="25"/>
    <s v="NonRes Interior Lighting"/>
    <s v="Com Annual"/>
    <n v="34.257603725380903"/>
    <n v="76.207733333333323"/>
    <n v="0"/>
    <n v="12"/>
    <n v="17"/>
    <n v="0"/>
    <n v="2.5250287948902599E-2"/>
    <n v="1.9242672105998493"/>
    <s v="Unit"/>
    <s v="Avista"/>
    <s v="N/A"/>
    <n v="0"/>
    <x v="3"/>
    <x v="10"/>
    <n v="1905.1933333333332"/>
    <n v="0"/>
    <n v="856.44009313452261"/>
    <n v="444.49347565154886"/>
    <n v="425"/>
    <n v="0.7435008907391103"/>
    <n v="7.4795347883823"/>
    <n v="1416.5129403635478"/>
    <n v="414.17229935763118"/>
    <n v="1.611118441558288"/>
    <n v="1.6879882015265029"/>
    <n v="1420.9866278419272"/>
    <n v="0"/>
    <n v="1420.9866278419272"/>
    <n v="839.17229935763112"/>
  </r>
  <r>
    <s v="20-50 watt MR16 to MR16 LED 2-9 watt"/>
    <n v="5"/>
    <s v="NonRes Interior Lighting"/>
    <s v="Com Annual"/>
    <n v="28.343333333333334"/>
    <n v="80.73866666666666"/>
    <n v="0"/>
    <n v="12"/>
    <n v="9"/>
    <n v="0"/>
    <n v="2.5250287948902599E-2"/>
    <n v="2.038674581943797"/>
    <s v="Unit"/>
    <s v="Avista"/>
    <s v="N/A"/>
    <n v="0"/>
    <x v="3"/>
    <x v="10"/>
    <n v="403.69333333333327"/>
    <n v="0"/>
    <n v="141.71666666666667"/>
    <n v="94.184170021603705"/>
    <n v="45"/>
    <n v="0.7435008907391103"/>
    <n v="7.4795347883823"/>
    <n v="300.14635291877386"/>
    <n v="87.759385452751943"/>
    <n v="1.8902346071767269"/>
    <n v="2.2608296347198271"/>
    <n v="301.09428706217062"/>
    <n v="0"/>
    <n v="301.09428706217062"/>
    <n v="132.75938545275193"/>
  </r>
  <r>
    <s v="2-Lamp T12/T8 Fixture to LED Qualified 1x4 Fixture"/>
    <n v="300"/>
    <s v="NonRes Interior Lighting"/>
    <s v="Com Annual"/>
    <n v="153.76790967224497"/>
    <n v="122.38964050480111"/>
    <n v="0"/>
    <n v="12"/>
    <n v="30"/>
    <n v="0"/>
    <n v="2.6991026764868101E-2"/>
    <n v="3.3034220626076718"/>
    <s v="Unit"/>
    <s v="Avista"/>
    <s v="N/A"/>
    <n v="0"/>
    <x v="3"/>
    <x v="10"/>
    <n v="36716.892151440334"/>
    <n v="0"/>
    <n v="46130.372901673487"/>
    <n v="9156.8336002239466"/>
    <n v="9000"/>
    <n v="0.7435008907391103"/>
    <n v="7.4795347883823"/>
    <n v="27299.042019767738"/>
    <n v="7981.9299078806735"/>
    <n v="0.74107848123052844"/>
    <n v="1.6075347247252083"/>
    <n v="27385.258939483443"/>
    <n v="0"/>
    <n v="27385.258939483443"/>
    <n v="16981.929907880673"/>
  </r>
  <r>
    <s v="2-Lamp T12/T8 Fixture to LED Qualified 2x2 Fixture"/>
    <n v="500"/>
    <s v="NonRes Interior Lighting"/>
    <s v="Com Annual"/>
    <n v="115.39267271925192"/>
    <n v="111.20735033217994"/>
    <n v="0"/>
    <n v="12"/>
    <n v="25"/>
    <n v="0"/>
    <n v="2.5250287948902599E-2"/>
    <n v="2.8080176179220326"/>
    <s v="Unit"/>
    <s v="Avista"/>
    <s v="N/A"/>
    <n v="0"/>
    <x v="3"/>
    <x v="10"/>
    <n v="55603.675166089968"/>
    <n v="0"/>
    <n v="57696.336359625959"/>
    <n v="12972.683874729273"/>
    <n v="12500"/>
    <n v="0.7435008907391103"/>
    <n v="7.4795347883823"/>
    <n v="41341.382014356037"/>
    <n v="12087.75067251668"/>
    <n v="0.85614751183138649"/>
    <n v="1.6813812115219622"/>
    <n v="41471.948010462678"/>
    <n v="0"/>
    <n v="41471.948010462678"/>
    <n v="24587.750672516682"/>
  </r>
  <r>
    <s v="2, 3, 4-Lamp T12/T8 Fixture to LED Qualified 2x4 Fixture"/>
    <n v="1500"/>
    <s v="NonRes Interior Lighting"/>
    <s v="Com Annual"/>
    <n v="178.3030596375973"/>
    <n v="241.3422072163556"/>
    <n v="0"/>
    <n v="12"/>
    <n v="50"/>
    <n v="0"/>
    <n v="2.5250287948902599E-2"/>
    <n v="6.0939602264366979"/>
    <s v="Unit"/>
    <s v="Avista"/>
    <s v="N/A"/>
    <n v="0"/>
    <x v="3"/>
    <x v="10"/>
    <n v="362013.3108245334"/>
    <n v="0"/>
    <n v="267454.58945639594"/>
    <n v="84459.961068091798"/>
    <n v="75000"/>
    <n v="0.7435008907391103"/>
    <n v="7.4795347883823"/>
    <n v="269157.21905745496"/>
    <n v="78698.514591134677"/>
    <n v="1.1237192259431259"/>
    <n v="1.7512024743600219"/>
    <n v="270007.28208639118"/>
    <n v="0"/>
    <n v="270007.28208639118"/>
    <n v="153698.51459113468"/>
  </r>
  <r>
    <s v="T12/T8 8' Fixture to 90 watt or less 8' LED fixture"/>
    <n v="150"/>
    <s v="NonRes Interior Lighting"/>
    <s v="Com Annual"/>
    <n v="215.40337250782392"/>
    <n v="291.04988331250001"/>
    <n v="0"/>
    <n v="12"/>
    <n v="70"/>
    <n v="0"/>
    <n v="2.5250287948902599E-2"/>
    <n v="7.349093361135127"/>
    <s v="Unit"/>
    <s v="Avista"/>
    <s v="N/A"/>
    <n v="0"/>
    <x v="3"/>
    <x v="10"/>
    <n v="43657.482496875004"/>
    <n v="0"/>
    <n v="32310.505876173589"/>
    <n v="10185.562689997845"/>
    <n v="10500"/>
    <n v="0.7435008907391103"/>
    <n v="7.4795347883823"/>
    <n v="32459.377123853683"/>
    <n v="9490.7532970737484"/>
    <n v="1.122201453329869"/>
    <n v="1.6237195588124782"/>
    <n v="32561.891619032034"/>
    <n v="0"/>
    <n v="32561.891619032034"/>
    <n v="19990.753297073748"/>
  </r>
  <r>
    <s v="T5HO (4') 4-Lamp to 135 watt of less LED Fixture"/>
    <n v="100"/>
    <s v="NonRes Interior Lighting"/>
    <s v="Com Annual"/>
    <n v="320.74232400240794"/>
    <n v="427.80785185185186"/>
    <n v="0"/>
    <n v="12"/>
    <n v="110"/>
    <n v="0"/>
    <n v="2.5250287948902599E-2"/>
    <n v="10.802271446060724"/>
    <s v="Unit"/>
    <s v="Avista"/>
    <s v="N/A"/>
    <n v="0"/>
    <x v="3"/>
    <x v="10"/>
    <n v="42780.785185185188"/>
    <n v="0"/>
    <n v="32074.232400240795"/>
    <n v="9981.0237446061074"/>
    <n v="11000"/>
    <n v="0.7435008907391103"/>
    <n v="7.4795347883823"/>
    <n v="31807.551891703723"/>
    <n v="9300.1670006227014"/>
    <n v="1.1110114917820768"/>
    <n v="1.5668615874306866"/>
    <n v="31908.007766522129"/>
    <n v="0"/>
    <n v="31908.007766522129"/>
    <n v="20300.1670006227"/>
  </r>
  <r>
    <s v="T5HO (4') 6-Lamp to 165 watt of less LED Fixture"/>
    <n v="150"/>
    <s v="NonRes Interior Lighting"/>
    <s v="Com Annual"/>
    <n v="313.91146751777637"/>
    <n v="527.64353217993084"/>
    <n v="0"/>
    <n v="12"/>
    <n v="140"/>
    <n v="0"/>
    <n v="2.5250287948902602E-2"/>
    <n v="13.32315112191931"/>
    <s v="Unit"/>
    <s v="Avista"/>
    <s v="N/A"/>
    <n v="0"/>
    <x v="3"/>
    <x v="10"/>
    <n v="79146.52982698963"/>
    <n v="0"/>
    <n v="47086.720127666456"/>
    <n v="18465.378559249075"/>
    <n v="21000"/>
    <n v="0.7435008907391103"/>
    <n v="7.4795347883823"/>
    <n v="58845.515425276353"/>
    <n v="17205.760523667748"/>
    <n v="1.3227360730436084"/>
    <n v="1.5402262543320573"/>
    <n v="59031.363671356812"/>
    <n v="0"/>
    <n v="59031.363671356812"/>
    <n v="38205.760523667748"/>
  </r>
  <r>
    <s v="T5HO (4') 8-Lamp to 250 watt of less LED Fixture NEW"/>
    <n v="5"/>
    <s v="NonRes Interior Lighting"/>
    <s v="Com Annual"/>
    <n v="320"/>
    <n v="777"/>
    <n v="0"/>
    <n v="12"/>
    <n v="200"/>
    <n v="0"/>
    <n v="2.5250287948902599E-2"/>
    <n v="19.619473736297319"/>
    <s v="Unit"/>
    <s v="Avista"/>
    <s v="N/A"/>
    <n v="0"/>
    <x v="3"/>
    <x v="10"/>
    <n v="3885"/>
    <n v="0"/>
    <n v="1600"/>
    <n v="906.39470687468338"/>
    <n v="1000"/>
    <n v="0.7435008907391103"/>
    <n v="7.4795347883823"/>
    <n v="2888.5009605214436"/>
    <n v="844.56488213150578"/>
    <n v="1.7076189160076374"/>
    <n v="1.5659524847852502"/>
    <n v="2897.6235390804895"/>
    <n v="0"/>
    <n v="2897.6235390804895"/>
    <n v="1844.5648821315058"/>
  </r>
  <r>
    <s v="&gt;= 42W CFL to &lt;= 20W LED Fixture"/>
    <n v="250"/>
    <s v="NonRes Interior Lighting"/>
    <s v="Com Annual"/>
    <n v="76.812904922353383"/>
    <n v="114.48115714285714"/>
    <n v="0"/>
    <n v="12"/>
    <n v="20"/>
    <n v="0"/>
    <n v="2.5250287948902599E-2"/>
    <n v="2.8906821825807105"/>
    <s v="Unit"/>
    <s v="Avista"/>
    <s v="N/A"/>
    <n v="0"/>
    <x v="3"/>
    <x v="10"/>
    <n v="28620.289285714287"/>
    <n v="0"/>
    <n v="19203.226230588345"/>
    <n v="6677.2918192519019"/>
    <n v="5000"/>
    <n v="0.7435008907391103"/>
    <n v="7.4795347883823"/>
    <n v="21279.210577139587"/>
    <n v="6221.7995488182451"/>
    <n v="1.2095229677579655"/>
    <n v="1.8962386990222504"/>
    <n v="21346.415425889019"/>
    <n v="0"/>
    <n v="21346.415425889019"/>
    <n v="11221.799548818246"/>
  </r>
  <r>
    <s v="65W Incadescent to &lt;= 10 watt LED Fixture"/>
    <n v="50"/>
    <s v="NonRes Interior Lighting"/>
    <s v="Com Annual"/>
    <n v="163.81439021164022"/>
    <n v="170.97888888888892"/>
    <n v="0"/>
    <n v="12"/>
    <n v="30"/>
    <n v="0"/>
    <n v="2.5250287948902599E-2"/>
    <n v="4.317266177627868"/>
    <s v="Unit"/>
    <s v="Avista"/>
    <s v="N/A"/>
    <n v="0"/>
    <x v="3"/>
    <x v="10"/>
    <n v="8548.9444444444453"/>
    <n v="0"/>
    <n v="8190.719510582011"/>
    <n v="1994.5220061287455"/>
    <n v="1500"/>
    <n v="0.7435008907391103"/>
    <n v="7.4795347883823"/>
    <n v="6356.1478093236137"/>
    <n v="1858.4654458355251"/>
    <n v="0.91407779206327255"/>
    <n v="1.8925750202983909"/>
    <n v="6376.2220480086489"/>
    <n v="0"/>
    <n v="6376.2220480086489"/>
    <n v="3358.4654458355253"/>
  </r>
  <r>
    <s v="75-100 watt Incandescent Can to less than 20 watt LED Fixture Retrofit"/>
    <n v="250"/>
    <s v="NonRes Interior Lighting"/>
    <s v="Com Annual"/>
    <n v="161.89051091292717"/>
    <n v="183.64744636678199"/>
    <n v="0"/>
    <n v="12"/>
    <n v="40"/>
    <n v="0"/>
    <n v="2.5250287948902599E-2"/>
    <n v="4.6371509018418919"/>
    <s v="Unit"/>
    <s v="Avista"/>
    <s v="N/A"/>
    <n v="0"/>
    <x v="3"/>
    <x v="10"/>
    <n v="45911.861591695495"/>
    <n v="0"/>
    <n v="40472.62772823179"/>
    <n v="10711.523379530468"/>
    <n v="10000"/>
    <n v="0.7435008907391103"/>
    <n v="7.4795347883823"/>
    <n v="34135.509988916347"/>
    <n v="9980.8355144474426"/>
    <n v="0.97776710526307642"/>
    <n v="1.708412541819593"/>
    <n v="34243.318113539841"/>
    <n v="0"/>
    <n v="34243.318113539841"/>
    <n v="19980.835514447441"/>
  </r>
  <r>
    <s v="&gt;= 150W Incandescent to &lt;= 30W LED Fixture"/>
    <n v="25"/>
    <s v="NonRes Interior Lighting"/>
    <s v="Com Annual"/>
    <n v="114.69615628815629"/>
    <n v="411.56700000000001"/>
    <n v="0"/>
    <n v="12"/>
    <n v="75"/>
    <n v="0"/>
    <n v="2.5250287948902599E-2"/>
    <n v="10.392185260265997"/>
    <s v="Unit"/>
    <s v="Avista"/>
    <s v="N/A"/>
    <n v="0"/>
    <x v="3"/>
    <x v="10"/>
    <n v="10289.174999999999"/>
    <n v="0"/>
    <n v="2867.4039072039072"/>
    <n v="2400.5286378654619"/>
    <n v="1875"/>
    <n v="0.7435008907391103"/>
    <n v="7.4795347883823"/>
    <n v="7650.0107774705848"/>
    <n v="2236.7762859988252"/>
    <n v="2.165988060451403"/>
    <n v="1.8605124027588622"/>
    <n v="7674.1713456160851"/>
    <n v="0"/>
    <n v="7674.1713456160851"/>
    <n v="4111.7762859988252"/>
  </r>
  <r>
    <s v="175-watt HID Fixture to 75-watt or less LED Fixture"/>
    <n v="25"/>
    <s v="NonRes Interior Lighting"/>
    <s v="Com Annual"/>
    <n v="271.65483333333333"/>
    <n v="546"/>
    <n v="0"/>
    <n v="12"/>
    <n v="140"/>
    <n v="0"/>
    <n v="2.5250287948902599E-2"/>
    <n v="13.786657220100819"/>
    <s v="Unit"/>
    <s v="Avista"/>
    <s v="N/A"/>
    <n v="0"/>
    <x v="3"/>
    <x v="10"/>
    <n v="13650"/>
    <n v="0"/>
    <n v="6791.3708333333334"/>
    <n v="3184.6300511813197"/>
    <n v="3500"/>
    <n v="0.7435008907391103"/>
    <n v="7.4795347883823"/>
    <n v="10148.787158588855"/>
    <n v="2967.3901264079936"/>
    <n v="1.5029324922757366"/>
    <n v="1.569224518735739"/>
    <n v="10180.839461634152"/>
    <n v="0"/>
    <n v="10180.839461634152"/>
    <n v="6467.3901264079941"/>
  </r>
  <r>
    <s v="250-watt HID Fixture to 140-watt or less LED Fixture"/>
    <n v="50"/>
    <s v="NonRes Interior Lighting"/>
    <s v="Com Annual"/>
    <n v="516.1812083333333"/>
    <n v="1007.1644142857142"/>
    <n v="0"/>
    <n v="20"/>
    <n v="260"/>
    <n v="0"/>
    <n v="2.5250287948902599E-2"/>
    <n v="25.431191472602112"/>
    <s v="Unit"/>
    <s v="Avista"/>
    <s v="N/A"/>
    <n v="0"/>
    <x v="3"/>
    <x v="10"/>
    <n v="50358.220714285708"/>
    <n v="0"/>
    <n v="25809.060416666664"/>
    <n v="16875.001517426939"/>
    <n v="13000"/>
    <n v="1.099250665822983"/>
    <n v="10.603965060189148"/>
    <n v="55356.307649839298"/>
    <n v="16185.555789838492"/>
    <n v="1.8920149119420937"/>
    <n v="1.8967021922917311"/>
    <n v="53947.139417348524"/>
    <n v="0"/>
    <n v="53947.139417348524"/>
    <n v="29185.555789838494"/>
  </r>
  <r>
    <s v="400 watt HID Fixture to 175 watt or less LED Fixture"/>
    <n v="500"/>
    <s v="NonRes Interior Lighting"/>
    <s v="Com Annual"/>
    <n v="500.36170114044052"/>
    <n v="1195.7442230721088"/>
    <n v="0"/>
    <n v="20"/>
    <n v="310"/>
    <n v="0"/>
    <n v="2.5250287948902599E-2"/>
    <n v="30.192885945807568"/>
    <s v="Unit"/>
    <s v="Avista"/>
    <s v="N/A"/>
    <n v="0"/>
    <x v="3"/>
    <x v="10"/>
    <n v="597872.11153605441"/>
    <n v="0"/>
    <n v="250180.85057022027"/>
    <n v="200346.49052912381"/>
    <n v="155000"/>
    <n v="1.099250665822983"/>
    <n v="10.603965060189148"/>
    <n v="657211.31668300054"/>
    <n v="192161.12640989703"/>
    <n v="2.1325436811884071"/>
    <n v="1.893101694534266"/>
    <n v="640481.13093142596"/>
    <n v="0"/>
    <n v="640481.13093142596"/>
    <n v="347161.126409897"/>
  </r>
  <r>
    <s v="1000 watt HID Fixture to 400 watt or less LED Fixture"/>
    <n v="25"/>
    <s v="NonRes Interior Lighting"/>
    <s v="Com Annual"/>
    <n v="612.56837763409965"/>
    <n v="3175.27808"/>
    <n v="0"/>
    <n v="20"/>
    <n v="600"/>
    <n v="0"/>
    <n v="2.5250287948902599E-2"/>
    <n v="80.176685837838576"/>
    <s v="Unit"/>
    <s v="Avista"/>
    <s v="N/A"/>
    <n v="0"/>
    <x v="3"/>
    <x v="10"/>
    <n v="79381.952000000005"/>
    <n v="0"/>
    <n v="15314.209440852492"/>
    <n v="26600.831829554714"/>
    <n v="15000"/>
    <n v="1.099250665822983"/>
    <n v="10.603965060189148"/>
    <n v="87260.663590328084"/>
    <n v="25514.027195122791"/>
    <n v="3.0676721622483862"/>
    <n v="2.1538383032144681"/>
    <n v="85039.327661360789"/>
    <n v="0"/>
    <n v="85039.327661360789"/>
    <n v="40514.027195122791"/>
  </r>
  <r>
    <s v="Wall Switch Occupancy Sensor"/>
    <n v="50"/>
    <s v="NonRes Interior Lighting"/>
    <s v="Com Annual"/>
    <n v="201.89115918803418"/>
    <n v="48.898142222222241"/>
    <n v="0"/>
    <n v="12"/>
    <n v="10"/>
    <n v="0"/>
    <n v="2.5250287948902599E-2"/>
    <n v="1.2346921712775036"/>
    <s v="Unit"/>
    <s v="Avista"/>
    <s v="N/A"/>
    <n v="0"/>
    <x v="3"/>
    <x v="10"/>
    <n v="2444.907111111112"/>
    <n v="0"/>
    <n v="10094.557959401709"/>
    <n v="570.41206288581338"/>
    <n v="500"/>
    <n v="0.7435008907391103"/>
    <n v="7.4795347883823"/>
    <n v="1817.7906148854968"/>
    <n v="531.50133490811754"/>
    <n v="0.24722457053812899"/>
    <n v="1.7622765510501439"/>
    <n v="1823.5316334673967"/>
    <n v="0"/>
    <n v="1823.5316334673967"/>
    <n v="1031.5013349081175"/>
  </r>
  <r>
    <s v="Ceiling or Fixture Occupancy sensor with built-in relays"/>
    <n v="75"/>
    <s v="NonRes Interior Lighting"/>
    <s v="Com Annual"/>
    <n v="145.58447480364694"/>
    <n v="190.73512345713189"/>
    <n v="0"/>
    <n v="12"/>
    <n v="30"/>
    <n v="0"/>
    <n v="2.5250287948902599E-2"/>
    <n v="4.8161167892620664"/>
    <s v="Unit"/>
    <s v="Avista"/>
    <s v="N/A"/>
    <n v="0"/>
    <x v="3"/>
    <x v="10"/>
    <n v="14305.134259284892"/>
    <n v="0"/>
    <n v="10918.83561027352"/>
    <n v="3337.4769559195674"/>
    <n v="2250"/>
    <n v="0.7435008907391103"/>
    <n v="7.4795347883823"/>
    <n v="10635.88006392088"/>
    <n v="3109.8105610214438"/>
    <n v="1.0956647230347565"/>
    <n v="1.9843761160644362"/>
    <n v="10669.470723143022"/>
    <n v="0"/>
    <n v="10669.470723143022"/>
    <n v="5359.8105610214443"/>
  </r>
  <r>
    <s v="DLC Qualified LLLC Fixture"/>
    <n v="500"/>
    <s v="NonRes Interior Lighting"/>
    <s v="Com Annual"/>
    <n v="201.64374601079913"/>
    <n v="94.726615984950286"/>
    <n v="0"/>
    <n v="12"/>
    <n v="50"/>
    <n v="0"/>
    <n v="2.5250287948902599E-2"/>
    <n v="2.3918743300451144"/>
    <s v="Unit"/>
    <s v="Avista"/>
    <s v="N/A"/>
    <n v="0"/>
    <x v="3"/>
    <x v="10"/>
    <n v="47363.307992475144"/>
    <n v="0"/>
    <n v="100821.87300539957"/>
    <n v="11050.154868585545"/>
    <n v="25000"/>
    <n v="0.7435008907391103"/>
    <n v="7.4795347883823"/>
    <n v="35214.661680756093"/>
    <n v="10296.367215449929"/>
    <n v="0.45799229814230719"/>
    <n v="0.99768515739324948"/>
    <n v="35325.878025151876"/>
    <n v="0"/>
    <n v="35325.878025151876"/>
    <n v="35296.367215449929"/>
  </r>
  <r>
    <s v="70-89 watt HID Fixture to 25 watt or less LED Fixture or Retrofit (Ext)"/>
    <n v="50"/>
    <s v="NonRes Exterior Lighting"/>
    <s v="Com Annual"/>
    <n v="155.13800189393942"/>
    <n v="322.91454000000004"/>
    <n v="0"/>
    <n v="12"/>
    <n v="85"/>
    <n v="0"/>
    <n v="2.5250287948902599E-2"/>
    <n v="8.1536851178874272"/>
    <s v="Unit"/>
    <s v="Avista"/>
    <s v="N/A"/>
    <n v="0"/>
    <x v="3"/>
    <x v="11"/>
    <n v="16145.727000000003"/>
    <n v="0"/>
    <n v="7756.9000946969709"/>
    <n v="3766.8987107963098"/>
    <n v="4250"/>
    <n v="0.84096067193161306"/>
    <n v="7.4795347883823"/>
    <n v="13577.921426744389"/>
    <n v="3970.0300488385769"/>
    <n v="1.6269647655240964"/>
    <n v="1.6518092204131103"/>
    <n v="12042.275060686594"/>
    <n v="0"/>
    <n v="12042.275060686594"/>
    <n v="8220.0300488385765"/>
  </r>
  <r>
    <s v="90-100 watt HID Fixture to 30 watt or less LED Fixture or Retrofit (Ext)"/>
    <n v="100"/>
    <s v="NonRes Exterior Lighting"/>
    <s v="Com Annual"/>
    <n v="193.66124949979991"/>
    <n v="467.06849142857141"/>
    <n v="0"/>
    <n v="12"/>
    <n v="120"/>
    <n v="0"/>
    <n v="2.5250287948902602E-2"/>
    <n v="11.793613900430975"/>
    <s v="Unit"/>
    <s v="Avista"/>
    <s v="N/A"/>
    <n v="0"/>
    <x v="3"/>
    <x v="11"/>
    <n v="46706.849142857143"/>
    <n v="0"/>
    <n v="19366.124949979992"/>
    <n v="10896.998928669254"/>
    <n v="12000"/>
    <n v="0.84096067193161306"/>
    <n v="7.4795347883823"/>
    <n v="39278.62323898563"/>
    <n v="11484.623429078985"/>
    <n v="1.7890387521971651"/>
    <n v="1.6725251464049575"/>
    <n v="34836.258819208299"/>
    <n v="0"/>
    <n v="34836.258819208299"/>
    <n v="23484.623429078987"/>
  </r>
  <r>
    <s v="150 watt HID Fixture to 50 watt or less LED Fixture or Retrofit (Ext)"/>
    <n v="100"/>
    <s v="NonRes Exterior Lighting"/>
    <s v="Com Annual"/>
    <n v="287.99345238095242"/>
    <n v="729.50567624999985"/>
    <n v="0"/>
    <n v="12"/>
    <n v="180"/>
    <n v="0"/>
    <n v="2.5250287948902595E-2"/>
    <n v="18.420228385671411"/>
    <s v="Unit"/>
    <s v="Avista"/>
    <s v="N/A"/>
    <n v="0"/>
    <x v="3"/>
    <x v="11"/>
    <n v="72950.567624999981"/>
    <n v="0"/>
    <n v="28799.34523809524"/>
    <n v="17019.821971378024"/>
    <n v="18000"/>
    <n v="0.84096067193161306"/>
    <n v="7.4795347883823"/>
    <n v="61348.558367712561"/>
    <n v="17937.621858159779"/>
    <n v="1.8444760909594236"/>
    <n v="1.7070845313539613"/>
    <n v="54410.111181334105"/>
    <n v="0"/>
    <n v="54410.111181334105"/>
    <n v="35937.621858159779"/>
  </r>
  <r>
    <s v="175 watt HID Fixture to 100 watt or less LED Fixture or Retrofit (Ext)"/>
    <n v="100"/>
    <s v="NonRes Exterior Lighting"/>
    <s v="Com Annual"/>
    <n v="309.50288154413806"/>
    <n v="639.93971646543196"/>
    <n v="0"/>
    <n v="12"/>
    <n v="180"/>
    <n v="0"/>
    <n v="2.5250287948902599E-2"/>
    <n v="16.158662110691242"/>
    <s v="Unit"/>
    <s v="Avista"/>
    <s v="N/A"/>
    <n v="0"/>
    <x v="3"/>
    <x v="11"/>
    <n v="63993.971646543199"/>
    <n v="0"/>
    <n v="30950.288154413807"/>
    <n v="14930.192322346287"/>
    <n v="18000"/>
    <n v="0.84096067193161306"/>
    <n v="7.4795347883823"/>
    <n v="53816.413395449563"/>
    <n v="15735.308195245736"/>
    <n v="1.6197986574530905"/>
    <n v="1.5952548316435369"/>
    <n v="47729.842626067701"/>
    <n v="0"/>
    <n v="47729.842626067701"/>
    <n v="33735.308195245736"/>
  </r>
  <r>
    <s v="200 watt HID Fixture to 140 watt or less LED Fixture or Retrofit (Ext)"/>
    <n v="25"/>
    <s v="NonRes Exterior Lighting"/>
    <s v="Com Annual"/>
    <n v="156.44900568181816"/>
    <n v="534.73972500000002"/>
    <n v="0"/>
    <n v="12"/>
    <n v="120"/>
    <n v="0"/>
    <n v="2.5250287948902599E-2"/>
    <n v="13.50233203396699"/>
    <s v="Unit"/>
    <s v="Avista"/>
    <s v="N/A"/>
    <n v="0"/>
    <x v="3"/>
    <x v="11"/>
    <n v="13368.493125000001"/>
    <n v="0"/>
    <n v="3911.225142045454"/>
    <n v="3118.9527432150821"/>
    <n v="3000"/>
    <n v="0.84096067193161306"/>
    <n v="7.4795347883823"/>
    <n v="11242.37696111315"/>
    <n v="3287.1433670309129"/>
    <n v="2.1945893232393092"/>
    <n v="1.7881534275275059"/>
    <n v="9970.8778278084155"/>
    <n v="0"/>
    <n v="9970.8778278084155"/>
    <n v="6287.1433670309125"/>
  </r>
  <r>
    <s v="250 watt HID Fixture to 140 watt or less LED Fixture or Retrofit (Ext)"/>
    <n v="100"/>
    <s v="NonRes Exterior Lighting"/>
    <s v="Com Annual"/>
    <n v="446.04367973461734"/>
    <n v="849.24147850308634"/>
    <n v="0"/>
    <n v="12"/>
    <n v="230"/>
    <n v="0"/>
    <n v="2.5250287948902599E-2"/>
    <n v="21.443591870354705"/>
    <s v="Unit"/>
    <s v="Avista"/>
    <s v="N/A"/>
    <n v="0"/>
    <x v="3"/>
    <x v="11"/>
    <n v="84924.14785030864"/>
    <n v="0"/>
    <n v="44604.367973461733"/>
    <n v="19813.33284359402"/>
    <n v="23000"/>
    <n v="0.84096067193161306"/>
    <n v="7.4795347883823"/>
    <n v="71417.868439415208"/>
    <n v="20881.773786818969"/>
    <n v="1.532451274632552"/>
    <n v="1.6275064172740303"/>
    <n v="63340.594555316879"/>
    <n v="0"/>
    <n v="63340.594555316879"/>
    <n v="43881.773786818972"/>
  </r>
  <r>
    <s v="320 watt HID Fixture to 160 watt or less LED Fixture or Retrofit (Ext)"/>
    <n v="150"/>
    <s v="NonRes Exterior Lighting"/>
    <s v="Com Annual"/>
    <n v="444.87567278672032"/>
    <n v="1026.5852628571429"/>
    <n v="0"/>
    <n v="12"/>
    <n v="280"/>
    <n v="0"/>
    <n v="2.5250287948902602E-2"/>
    <n v="25.921573491242725"/>
    <s v="Unit"/>
    <s v="Avista"/>
    <s v="N/A"/>
    <n v="0"/>
    <x v="3"/>
    <x v="11"/>
    <n v="153987.78942857144"/>
    <n v="0"/>
    <n v="66731.350918008044"/>
    <n v="35926.310749392658"/>
    <n v="42000"/>
    <n v="0.84096067193161306"/>
    <n v="7.4795347883823"/>
    <n v="129497.67486711519"/>
    <n v="37863.649694167121"/>
    <n v="1.7397235347114404"/>
    <n v="1.6214845597843133"/>
    <n v="114851.6456574513"/>
    <n v="0"/>
    <n v="114851.6456574513"/>
    <n v="79863.649694167121"/>
  </r>
  <r>
    <s v="400 watt HID Fixture to 175 watt or less LED Fixture or Retrofit (Ext)"/>
    <n v="200"/>
    <s v="NonRes Exterior Lighting"/>
    <s v="Com Annual"/>
    <n v="619.61269392662177"/>
    <n v="1444.6779411458333"/>
    <n v="0"/>
    <n v="12"/>
    <n v="375"/>
    <n v="0"/>
    <n v="2.5250287948902602E-2"/>
    <n v="36.478534007360054"/>
    <s v="Unit"/>
    <s v="Avista"/>
    <s v="N/A"/>
    <n v="0"/>
    <x v="3"/>
    <x v="11"/>
    <n v="288935.58822916663"/>
    <n v="0"/>
    <n v="123922.53878532436"/>
    <n v="67410.473049842913"/>
    <n v="75000"/>
    <n v="0.84096067193161306"/>
    <n v="7.4795347883823"/>
    <n v="242983.46642215585"/>
    <n v="71045.606521690919"/>
    <n v="1.7512262471469147"/>
    <n v="1.663750606465985"/>
    <n v="215502.33249186637"/>
    <n v="0"/>
    <n v="215502.33249186637"/>
    <n v="146045.6065216909"/>
  </r>
  <r>
    <s v="575 watt HID Fixture to 300 watt or less LED Fixture or Retrofit (Ext)"/>
    <n v="100"/>
    <s v="NonRes Exterior Lighting"/>
    <s v="Com Annual"/>
    <n v="731.2"/>
    <n v="1677.3120000000001"/>
    <n v="0"/>
    <n v="12"/>
    <n v="400"/>
    <n v="0"/>
    <n v="2.5250287948902595E-2"/>
    <n v="42.352610980149713"/>
    <s v="Unit"/>
    <s v="Avista"/>
    <s v="N/A"/>
    <n v="0"/>
    <x v="3"/>
    <x v="11"/>
    <n v="167731.20000000001"/>
    <n v="0"/>
    <n v="73120"/>
    <n v="39132.734068916056"/>
    <n v="40000"/>
    <n v="0.84096067193161306"/>
    <n v="7.4795347883823"/>
    <n v="141055.34265589577"/>
    <n v="41242.98051910285"/>
    <n v="1.733138498993432"/>
    <n v="1.736215753713382"/>
    <n v="125102.15530456047"/>
    <n v="0"/>
    <n v="125102.15530456047"/>
    <n v="81242.980519102857"/>
  </r>
  <r>
    <s v="750 watt HID Fixture to 300 watt or less LED Fixture or Retrofit (Ext)"/>
    <n v="10"/>
    <s v="NonRes Exterior Lighting"/>
    <s v="Com Annual"/>
    <n v="750"/>
    <n v="3563.8511999999996"/>
    <n v="0"/>
    <n v="12"/>
    <n v="750"/>
    <n v="0"/>
    <n v="2.5250287948902599E-2"/>
    <n v="89.988269007042049"/>
    <s v="Unit"/>
    <s v="Avista"/>
    <s v="N/A"/>
    <n v="0"/>
    <x v="3"/>
    <x v="11"/>
    <n v="35638.511999999995"/>
    <n v="0"/>
    <n v="7500"/>
    <n v="8314.6869080282831"/>
    <n v="7500"/>
    <n v="0.84096067193161306"/>
    <n v="7.4795347883823"/>
    <n v="29970.586998162849"/>
    <n v="8763.0593243583353"/>
    <n v="2.5895374576746102"/>
    <n v="1.8428627972397407"/>
    <n v="26580.950133591374"/>
    <n v="0"/>
    <n v="26580.950133591374"/>
    <n v="16263.059324358335"/>
  </r>
  <r>
    <s v="1000 watt HID Fixture to 400 watt or less LED Fixture or Retrofit (Ext)"/>
    <n v="40"/>
    <s v="NonRes Exterior Lighting"/>
    <s v="Com Annual"/>
    <n v="1065.6756547619048"/>
    <n v="3627.3439149999999"/>
    <n v="0"/>
    <n v="12"/>
    <n v="930"/>
    <n v="0"/>
    <n v="2.5250287948902599E-2"/>
    <n v="91.591478343449666"/>
    <s v="Unit"/>
    <s v="Avista"/>
    <s v="N/A"/>
    <n v="0"/>
    <x v="3"/>
    <x v="11"/>
    <n v="145093.75659999999"/>
    <n v="0"/>
    <n v="42627.026190476186"/>
    <n v="33851.27747305113"/>
    <n v="37200"/>
    <n v="0.84096067193161306"/>
    <n v="7.4795347883823"/>
    <n v="122018.14304341791"/>
    <n v="35676.719518475096"/>
    <n v="2.1896316838456928"/>
    <n v="1.674308940490727"/>
    <n v="108218.03976776707"/>
    <n v="0"/>
    <n v="108218.03976776707"/>
    <n v="72876.719518475089"/>
  </r>
  <r>
    <s v="1500 watt HID Fixture to 600 watt or less LED Fixture or Retrofit (Ext)"/>
    <n v="25"/>
    <s v="NonRes Exterior Lighting"/>
    <s v="Com Annual"/>
    <n v="1050"/>
    <n v="5192.6783999999998"/>
    <n v="0"/>
    <n v="12"/>
    <n v="1050"/>
    <n v="0"/>
    <n v="2.5250287948902599E-2"/>
    <n v="131.11662482604683"/>
    <s v="Unit"/>
    <s v="Avista"/>
    <s v="N/A"/>
    <n v="0"/>
    <x v="3"/>
    <x v="11"/>
    <n v="129816.95999999999"/>
    <n v="0"/>
    <n v="26250"/>
    <n v="30287.105638754827"/>
    <n v="26250"/>
    <n v="0.84096067193161306"/>
    <n v="7.4795347883823"/>
    <n v="109170.95790971933"/>
    <n v="31920.348464263978"/>
    <n v="2.6371488903416624"/>
    <n v="1.8767458128050714"/>
    <n v="96823.855615925422"/>
    <n v="0"/>
    <n v="96823.855615925422"/>
    <n v="58170.348464263981"/>
  </r>
  <r>
    <s v="175 watt HID Fixture to 100 watt or less LED Fixture (Ext, NC)"/>
    <n v="25"/>
    <s v="NonRes Exterior Lighting"/>
    <s v="Com Annual"/>
    <n v="246.42674603174601"/>
    <n v="624.50985999999989"/>
    <n v="0"/>
    <n v="12"/>
    <n v="170"/>
    <n v="0"/>
    <n v="2.6991026764868101E-2"/>
    <n v="16.856162346184028"/>
    <s v="Unit"/>
    <s v="Avista"/>
    <s v="N/A"/>
    <n v="0"/>
    <x v="3"/>
    <x v="11"/>
    <n v="15612.746499999997"/>
    <n v="0"/>
    <n v="6160.6686507936502"/>
    <n v="3893.6661946583249"/>
    <n v="4250"/>
    <n v="0.84096067193161306"/>
    <n v="7.4795347883823"/>
    <n v="13129.705787337938"/>
    <n v="3838.9768853331475"/>
    <n v="1.8726372962465021"/>
    <n v="1.6231602554266893"/>
    <n v="11644.752063860109"/>
    <n v="0"/>
    <n v="11644.752063860109"/>
    <n v="8088.9768853331479"/>
  </r>
  <r>
    <s v="250 watt HID Fixture to 140 watt or less LED Fixture (Ext, NC)"/>
    <n v="5"/>
    <s v="NonRes Exterior Lighting"/>
    <s v="Com Annual"/>
    <n v="755.26749999999993"/>
    <n v="987.16800000000001"/>
    <n v="0"/>
    <n v="12"/>
    <n v="225"/>
    <n v="0"/>
    <n v="2.6991026764868101E-2"/>
    <n v="26.644677909421315"/>
    <s v="Unit"/>
    <s v="Avista"/>
    <s v="N/A"/>
    <n v="0"/>
    <x v="3"/>
    <x v="11"/>
    <n v="4935.84"/>
    <n v="0"/>
    <n v="3776.3374999999996"/>
    <n v="1230.9501951013135"/>
    <n v="1125"/>
    <n v="0.84096067193161306"/>
    <n v="7.4795347883823"/>
    <n v="4150.8473229469328"/>
    <n v="1213.6606246506828"/>
    <n v="1.1863686362141652"/>
    <n v="1.7748822891166305"/>
    <n v="3681.3915493269087"/>
    <n v="0"/>
    <n v="3681.3915493269087"/>
    <n v="2338.6606246506826"/>
  </r>
  <r>
    <s v="320 and 400 watt HID Fixture to 160 or less watt LED Fixture (Ext, NC)"/>
    <n v="25"/>
    <s v="NonRes Exterior Lighting"/>
    <s v="Com Annual"/>
    <n v="780.04297916666667"/>
    <n v="931.71600860000035"/>
    <n v="0"/>
    <n v="10"/>
    <n v="250"/>
    <n v="0"/>
    <n v="2.6991026764868101E-2"/>
    <n v="25.147971725378685"/>
    <s v="Unit"/>
    <s v="Avista"/>
    <s v="N/A"/>
    <n v="0"/>
    <x v="3"/>
    <x v="11"/>
    <n v="23292.900215000009"/>
    <n v="0"/>
    <n v="19501.074479166666"/>
    <n v="5031.4592850431281"/>
    <n v="6250"/>
    <n v="0.72535467586235602"/>
    <n v="6.5703091088618146"/>
    <n v="16895.614085345533"/>
    <n v="4940.0857100470839"/>
    <n v="0.98685089090295941"/>
    <n v="1.5098735186787449"/>
    <n v="15047.539507653004"/>
    <n v="0"/>
    <n v="15047.539507653004"/>
    <n v="11190.085710047084"/>
  </r>
  <r>
    <s v="Sign Lighting"/>
    <n v="3000"/>
    <s v="NonRes Exterior Lighting"/>
    <s v="Com Annual"/>
    <n v="35.61"/>
    <n v="48.66583289719626"/>
    <n v="0"/>
    <n v="20"/>
    <n v="13"/>
    <n v="0"/>
    <n v="2.5250287948902599E-2"/>
    <n v="1.2288262939273824"/>
    <s v="Unit"/>
    <s v="Avista"/>
    <s v="N/A"/>
    <n v="0"/>
    <x v="3"/>
    <x v="11"/>
    <n v="145997.49869158879"/>
    <n v="0"/>
    <n v="106830"/>
    <n v="48923.650935550038"/>
    <n v="39000"/>
    <n v="1.2527674273762004"/>
    <n v="10.603965060189148"/>
    <n v="182900.91083922188"/>
    <n v="53478.14950242795"/>
    <n v="1.5907302201650508"/>
    <n v="1.9777743372170302"/>
    <n v="156402.41662201894"/>
    <n v="0"/>
    <n v="156402.41662201894"/>
    <n v="92478.149502427957"/>
  </r>
  <r>
    <s v="T12/T8 Fluorescent to TLED "/>
    <n v="10"/>
    <s v="NonRes Exterior Lighting"/>
    <s v="Com Annual"/>
    <n v="30"/>
    <n v="78.623999999999995"/>
    <n v="0"/>
    <n v="12"/>
    <n v="20"/>
    <n v="0"/>
    <n v="2.5250287948902599E-2"/>
    <n v="1.9852786396945179"/>
    <s v="Unit"/>
    <s v="Avista"/>
    <s v="N/A"/>
    <n v="0"/>
    <x v="3"/>
    <x v="11"/>
    <n v="786.24"/>
    <n v="0"/>
    <n v="300"/>
    <n v="183.43469094804402"/>
    <n v="200"/>
    <n v="0.84096067193161306"/>
    <n v="7.4795347883823"/>
    <n v="661.19691869951146"/>
    <n v="193.32647118329464"/>
    <n v="1.883326407325723"/>
    <n v="1.681038442976766"/>
    <n v="586.41635299012717"/>
    <n v="0"/>
    <n v="586.41635299012717"/>
    <n v="393.32647118329464"/>
  </r>
  <r>
    <s v="HERs"/>
    <n v="0"/>
    <s v="Res Misc"/>
    <s v="Res Winter"/>
    <n v="0"/>
    <n v="0"/>
    <n v="0"/>
    <n v="1"/>
    <n v="0"/>
    <n v="0"/>
    <n v="0"/>
    <n v="0"/>
    <s v="Unit"/>
    <s v="Bidgely"/>
    <s v="N/A"/>
    <n v="0"/>
    <x v="0"/>
    <x v="12"/>
    <n v="0"/>
    <n v="0"/>
    <n v="0"/>
    <n v="0"/>
    <n v="0"/>
    <n v="0.13034168090927176"/>
    <n v="2.0751542657607067"/>
    <n v="0"/>
    <n v="0"/>
    <n v="0"/>
    <n v="0"/>
    <n v="0"/>
    <n v="0"/>
    <n v="0"/>
    <n v="0"/>
  </r>
  <r>
    <s v="Home Energy Audit"/>
    <n v="0"/>
    <s v="Res Space Heat"/>
    <s v="Res Annual"/>
    <n v="0"/>
    <n v="617232"/>
    <n v="0"/>
    <n v="3"/>
    <n v="493786"/>
    <n v="0"/>
    <n v="0"/>
    <n v="0"/>
    <s v="Unit"/>
    <s v="Avista"/>
    <s v="N/A"/>
    <n v="0"/>
    <x v="0"/>
    <x v="13"/>
    <n v="0"/>
    <n v="0"/>
    <n v="0"/>
    <n v="0"/>
    <n v="0"/>
    <n v="0.34512724148205232"/>
    <n v="2.9805491257936647"/>
    <n v="0"/>
    <n v="0"/>
    <n v="0"/>
    <n v="0"/>
    <n v="0"/>
    <n v="0"/>
    <n v="0"/>
    <n v="0"/>
  </r>
  <r>
    <s v="Direct Install Lighting"/>
    <n v="1"/>
    <s v="NonRes Interior Lighting"/>
    <s v="Com Annual"/>
    <n v="4316288.16"/>
    <n v="8992267"/>
    <n v="0"/>
    <n v="12"/>
    <n v="4496133.5"/>
    <n v="0"/>
    <n v="2.5250287948902599E-2"/>
    <n v="227057.33106341452"/>
    <s v="Unit"/>
    <s v="Avista"/>
    <s v="N/A"/>
    <n v="0"/>
    <x v="3"/>
    <x v="14"/>
    <n v="8992267"/>
    <n v="0"/>
    <n v="4316288.16"/>
    <n v="2097951.9206187613"/>
    <n v="4496133.5"/>
    <n v="0.7435008907391103"/>
    <n v="7.4795347883823"/>
    <n v="6685758.5242639072"/>
    <n v="1954839.8761776139"/>
    <n v="1.5407246405481112"/>
    <n v="1.0363953056996509"/>
    <n v="6706873.7526117619"/>
    <n v="0"/>
    <n v="6706873.7526117619"/>
    <n v="6450973.3761776136"/>
  </r>
  <r>
    <s v="Site Specific Other"/>
    <n v="1"/>
    <s v="NonRes Misc"/>
    <s v="Com Winter"/>
    <n v="4990992.1282000002"/>
    <n v="11358653"/>
    <n v="0"/>
    <n v="18"/>
    <n v="3051878.7951068138"/>
    <n v="0"/>
    <n v="2.5250287948902602E-2"/>
    <n v="286809.25896166638"/>
    <s v="Unit"/>
    <s v="Avista"/>
    <s v="N/A"/>
    <n v="0"/>
    <x v="3"/>
    <x v="15"/>
    <n v="11358653"/>
    <n v="0"/>
    <n v="4990992.1282000002"/>
    <n v="3552406.6356843244"/>
    <n v="3051878.7951068138"/>
    <n v="0.99612955435591799"/>
    <n v="10.619861644871106"/>
    <n v="11314689.950973511"/>
    <n v="3308286.8641571756"/>
    <n v="1.9705092768159591"/>
    <n v="1.7789929629416081"/>
    <n v="11356572.373902658"/>
    <n v="0"/>
    <n v="11356572.373902658"/>
    <n v="6360165.659263989"/>
  </r>
  <r>
    <s v="Site Specific Lighting"/>
    <n v="1"/>
    <s v="NonRes Interior Lighting"/>
    <s v="Com Winter"/>
    <n v="2495495.8444000003"/>
    <n v="5679326"/>
    <n v="0"/>
    <n v="16"/>
    <n v="1525939.2632118263"/>
    <n v="0"/>
    <n v="2.5250287948902602E-2"/>
    <n v="143404.61685568921"/>
    <s v="Unit"/>
    <s v="Avista"/>
    <s v="N/A"/>
    <n v="0"/>
    <x v="3"/>
    <x v="15"/>
    <n v="5679326"/>
    <n v="0"/>
    <n v="2495495.8444000003"/>
    <n v="1638196.8340681919"/>
    <n v="1525939.2632118263"/>
    <n v="0.92996448247564767"/>
    <n v="9.8375387624174682"/>
    <n v="5281571.4644004898"/>
    <n v="1544271.5243187156"/>
    <n v="1.884203825016229"/>
    <n v="1.7202634704598274"/>
    <n v="5237097.7809554031"/>
    <n v="0"/>
    <n v="5237097.7809554031"/>
    <n v="3070210.7875305419"/>
  </r>
  <r>
    <s v="Less than R11 attic insulation (E/E) to R30-R44 Attic Insulation"/>
    <n v="0"/>
    <s v="NonRes Space Heating"/>
    <s v="Com Winter"/>
    <n v="0.76"/>
    <n v="1.02"/>
    <n v="0"/>
    <n v="22"/>
    <n v="1"/>
    <n v="0"/>
    <n v="0"/>
    <n v="0"/>
    <s v="SQFT"/>
    <s v="Avista"/>
    <s v="N/A"/>
    <n v="0"/>
    <x v="3"/>
    <x v="16"/>
    <n v="0"/>
    <n v="0"/>
    <n v="0"/>
    <n v="0"/>
    <n v="0"/>
    <n v="1.7272571864145831"/>
    <n v="12.380584267177699"/>
    <n v="0"/>
    <n v="0"/>
    <n v="0"/>
    <n v="0"/>
    <n v="0"/>
    <n v="0"/>
    <n v="0"/>
    <n v="0"/>
  </r>
  <r>
    <s v="Less than R11 roof insulation (E/E) to R30+ Roof Insulation"/>
    <n v="1203"/>
    <s v="NonRes Space Heating"/>
    <s v="Com Winter"/>
    <n v="0.62"/>
    <n v="1.36"/>
    <n v="0"/>
    <n v="22"/>
    <n v="1"/>
    <n v="0"/>
    <n v="0"/>
    <n v="0"/>
    <s v="SQFT"/>
    <s v="Avista"/>
    <s v="N/A"/>
    <n v="0"/>
    <x v="3"/>
    <x v="16"/>
    <n v="1636.0800000000002"/>
    <n v="0"/>
    <n v="745.86"/>
    <n v="0"/>
    <n v="1203"/>
    <n v="1.7272571864145831"/>
    <n v="12.380584267177699"/>
    <n v="2825.9309375491716"/>
    <n v="826.27011789261746"/>
    <n v="1.9772689269962918"/>
    <n v="1.3925849065790614"/>
    <n v="1860.2009284919"/>
    <n v="0"/>
    <n v="1860.2009284919"/>
    <n v="2029.2701178926175"/>
  </r>
  <r>
    <s v="Less than R4 wall insulation (E/E) to R11-R18 Wall Insulation"/>
    <n v="2148"/>
    <s v="NonRes Space Heating"/>
    <s v="Com Winter"/>
    <n v="0.61"/>
    <n v="2.82"/>
    <n v="0"/>
    <n v="22"/>
    <n v="1"/>
    <n v="0"/>
    <n v="0"/>
    <n v="0"/>
    <s v="SQFT"/>
    <s v="Avista"/>
    <s v="N/A"/>
    <n v="0"/>
    <x v="3"/>
    <x v="16"/>
    <n v="6057.36"/>
    <n v="0"/>
    <n v="1310.28"/>
    <n v="0"/>
    <n v="2148"/>
    <n v="1.7272571864145831"/>
    <n v="12.380584267177699"/>
    <n v="10462.618590700238"/>
    <n v="3059.1508736235537"/>
    <n v="2.6339541195730116"/>
    <n v="2.0092789405618872"/>
    <n v="6887.1367513872747"/>
    <n v="0"/>
    <n v="6887.1367513872747"/>
    <n v="5207.1508736235537"/>
  </r>
  <r>
    <s v="Less than R4 wall insulation (E/E) to R19+ Wall Insulation"/>
    <n v="707"/>
    <s v="NonRes Space Heating"/>
    <s v="Com Winter"/>
    <n v="0.65"/>
    <n v="4.1100000000000003"/>
    <n v="0"/>
    <n v="22"/>
    <n v="1.25"/>
    <n v="0"/>
    <n v="0"/>
    <n v="0"/>
    <s v="SQFT"/>
    <s v="Avista"/>
    <s v="N/A"/>
    <n v="0"/>
    <x v="3"/>
    <x v="16"/>
    <n v="2905.7700000000004"/>
    <n v="0"/>
    <n v="459.55"/>
    <n v="0"/>
    <n v="883.75"/>
    <n v="1.7272571864145831"/>
    <n v="12.380584267177699"/>
    <n v="5019.0121145679041"/>
    <n v="1467.5021517705925"/>
    <n v="2.8649527315345518"/>
    <n v="2.1346124492808545"/>
    <n v="3303.8213608038163"/>
    <n v="0"/>
    <n v="3303.8213608038163"/>
    <n v="2351.2521517705927"/>
  </r>
  <r>
    <s v="Green Motors Program Rewind:  Motor size 15HP, Industrial"/>
    <n v="0"/>
    <s v="NonRes Motors"/>
    <s v="Com Winter"/>
    <n v="106.53040254620578"/>
    <n v="389.83545171153673"/>
    <n v="0"/>
    <n v="6"/>
    <n v="30"/>
    <n v="0"/>
    <n v="9.8238604836347592E-3"/>
    <n v="3.829689089188872"/>
    <s v="Unit"/>
    <s v="Ind_and_AG_GreenMotorRewind_v5_2"/>
    <m/>
    <n v="0"/>
    <x v="3"/>
    <x v="17"/>
    <n v="0"/>
    <n v="0"/>
    <n v="0"/>
    <n v="0"/>
    <n v="0"/>
    <n v="0.401707609984926"/>
    <n v="5.1382757681862161"/>
    <n v="0"/>
    <n v="0"/>
    <n v="0"/>
    <n v="0"/>
    <n v="0"/>
    <n v="0"/>
    <n v="0"/>
    <n v="0"/>
  </r>
  <r>
    <s v="Green Motors Program Rewind:  Motor size 25HP, Industrial"/>
    <n v="0"/>
    <s v="NonRes Motors"/>
    <s v="Com Winter"/>
    <n v="135.79417577576578"/>
    <n v="622.21393887557497"/>
    <n v="0"/>
    <n v="7"/>
    <n v="50"/>
    <n v="0"/>
    <n v="9.8238604836347592E-3"/>
    <n v="6.1125429264864941"/>
    <s v="Unit"/>
    <s v="Ind_and_AG_GreenMotorRewind_v5_2"/>
    <m/>
    <n v="0"/>
    <x v="3"/>
    <x v="17"/>
    <n v="0"/>
    <n v="0"/>
    <n v="0"/>
    <n v="0"/>
    <n v="0"/>
    <n v="0.45642284156511131"/>
    <n v="5.6824373074613614"/>
    <n v="0"/>
    <n v="0"/>
    <n v="0"/>
    <n v="0"/>
    <n v="0"/>
    <n v="0"/>
    <n v="0"/>
    <n v="0"/>
  </r>
  <r>
    <s v="Green Motors Program Rewind:  Motor size 30HP, Industrial"/>
    <n v="0"/>
    <s v="NonRes Motors"/>
    <s v="Com Winter"/>
    <n v="149.14256356468809"/>
    <n v="670.22430365323089"/>
    <n v="0"/>
    <n v="7"/>
    <n v="60"/>
    <n v="0"/>
    <n v="9.8238604836347592E-3"/>
    <n v="6.5841900518305989"/>
    <s v="Unit"/>
    <s v="Ind_and_AG_GreenMotorRewind_v5_2"/>
    <m/>
    <n v="0"/>
    <x v="3"/>
    <x v="17"/>
    <n v="0"/>
    <n v="0"/>
    <n v="0"/>
    <n v="0"/>
    <n v="0"/>
    <n v="0.45642284156511131"/>
    <n v="5.6824373074613614"/>
    <n v="0"/>
    <n v="0"/>
    <n v="0"/>
    <n v="0"/>
    <n v="0"/>
    <n v="0"/>
    <n v="0"/>
    <n v="0"/>
  </r>
  <r>
    <s v="Green Motors Program Rewind:  Motor size 40HP, Industrial"/>
    <n v="0"/>
    <s v="NonRes Motors"/>
    <s v="Com Winter"/>
    <n v="182.25683327182196"/>
    <n v="780.49873686494539"/>
    <n v="0"/>
    <n v="7"/>
    <n v="80"/>
    <n v="0"/>
    <n v="9.8238604836347592E-3"/>
    <n v="7.6675106986143806"/>
    <s v="Unit"/>
    <s v="Ind_and_AG_GreenMotorRewind_v5_2"/>
    <m/>
    <n v="0"/>
    <x v="3"/>
    <x v="17"/>
    <n v="0"/>
    <n v="0"/>
    <n v="0"/>
    <n v="0"/>
    <n v="0"/>
    <n v="0.45642284156511131"/>
    <n v="5.6824373074613614"/>
    <n v="0"/>
    <n v="0"/>
    <n v="0"/>
    <n v="0"/>
    <n v="0"/>
    <n v="0"/>
    <n v="0"/>
    <n v="0"/>
  </r>
  <r>
    <s v="Green Motors Program Rewind:  Motor size 50HP, Industrial"/>
    <n v="0"/>
    <s v="NonRes Motors"/>
    <s v="Com Winter"/>
    <n v="201.76601542486196"/>
    <n v="839.97586520505138"/>
    <n v="0"/>
    <n v="7"/>
    <n v="100"/>
    <n v="0"/>
    <n v="9.8238604836347592E-3"/>
    <n v="8.2518057093948212"/>
    <s v="Unit"/>
    <s v="Ind_and_AG_GreenMotorRewind_v5_2"/>
    <m/>
    <n v="0"/>
    <x v="3"/>
    <x v="17"/>
    <n v="0"/>
    <n v="0"/>
    <n v="0"/>
    <n v="0"/>
    <n v="0"/>
    <n v="0.45642284156511131"/>
    <n v="5.6824373074613614"/>
    <n v="0"/>
    <n v="0"/>
    <n v="0"/>
    <n v="0"/>
    <n v="0"/>
    <n v="0"/>
    <n v="0"/>
    <n v="0"/>
  </r>
  <r>
    <s v="Green Motors Program Rewind:  Motor size 60HP, Industrial"/>
    <n v="0"/>
    <s v="NonRes Motors"/>
    <s v="Com Winter"/>
    <n v="237.96068231405502"/>
    <n v="846.27202631538967"/>
    <n v="0"/>
    <n v="8"/>
    <n v="120"/>
    <n v="0"/>
    <n v="9.8238604836347592E-3"/>
    <n v="8.3136583177252721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75HP, Industrial"/>
    <n v="0"/>
    <s v="NonRes Motors"/>
    <s v="Com Winter"/>
    <n v="257.21316470192323"/>
    <n v="870.94945640777587"/>
    <n v="0"/>
    <n v="8"/>
    <n v="150"/>
    <n v="0"/>
    <n v="9.8238604836347592E-3"/>
    <n v="8.5560859480475244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100HP, Industrial"/>
    <n v="0"/>
    <s v="NonRes Motors"/>
    <s v="Com Winter"/>
    <n v="319.07780810827398"/>
    <n v="1149.5371503325878"/>
    <n v="0"/>
    <n v="8"/>
    <n v="200"/>
    <n v="0"/>
    <n v="9.8238604836347592E-3"/>
    <n v="11.292892585622418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125HP, Industrial"/>
    <n v="1"/>
    <s v="NonRes Motors"/>
    <s v="Com Winter"/>
    <n v="358.352872179526"/>
    <n v="1319.4664798090234"/>
    <n v="0"/>
    <n v="8"/>
    <n v="250"/>
    <n v="0"/>
    <n v="9.8238604836347592E-3"/>
    <n v="12.962254610476526"/>
    <s v="Unit"/>
    <s v="Ind_and_AG_GreenMotorRewind_v5_2"/>
    <m/>
    <n v="0"/>
    <x v="3"/>
    <x v="17"/>
    <n v="1319.4664798090234"/>
    <n v="0"/>
    <n v="358.352872179526"/>
    <n v="86.306727656054264"/>
    <n v="250"/>
    <n v="0.50924309297678105"/>
    <n v="6.190684367436047"/>
    <n v="671.92919125713252"/>
    <n v="196.46446581494402"/>
    <n v="1.5033046981181739"/>
    <n v="1.5050003812299855"/>
    <n v="709.17497142040349"/>
    <n v="0"/>
    <n v="709.17497142040349"/>
    <n v="446.46446581494399"/>
  </r>
  <r>
    <s v="Green Motors Program Rewind:  Motor size 150HP, Industrial"/>
    <n v="0"/>
    <s v="NonRes Motors"/>
    <s v="Com Winter"/>
    <n v="399.16813484180739"/>
    <n v="1568.4817971016164"/>
    <n v="0"/>
    <n v="8"/>
    <n v="300"/>
    <n v="0"/>
    <n v="9.8238604836347592E-3"/>
    <n v="15.408546345847002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200HP, Industrial"/>
    <n v="0"/>
    <s v="NonRes Motors"/>
    <s v="Com Winter"/>
    <n v="480.54196040119768"/>
    <n v="2080.4669241597876"/>
    <n v="0"/>
    <n v="8"/>
    <n v="400"/>
    <n v="0"/>
    <n v="9.8238604836347592E-3"/>
    <n v="20.4382168037624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250HP, Industrial"/>
    <n v="0"/>
    <s v="NonRes Motors"/>
    <s v="Com Winter"/>
    <n v="617.61963500282218"/>
    <n v="2750.9841270818142"/>
    <n v="0"/>
    <n v="8"/>
    <n v="500"/>
    <n v="0"/>
    <n v="9.8238604836347592E-3"/>
    <n v="27.02528425714549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300HP, Industrial"/>
    <n v="0"/>
    <s v="NonRes Motors"/>
    <s v="Com Winter"/>
    <n v="624.29382889728276"/>
    <n v="3284.1062099578558"/>
    <n v="0"/>
    <n v="8"/>
    <n v="600"/>
    <n v="0"/>
    <n v="9.8238604836347592E-3"/>
    <n v="32.262601220064496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350HP, Industrial"/>
    <n v="2"/>
    <s v="NonRes Motors"/>
    <s v="Com Winter"/>
    <n v="654.32770142235677"/>
    <n v="3828.6487355234567"/>
    <n v="0"/>
    <n v="8"/>
    <n v="700"/>
    <n v="0"/>
    <n v="9.8238604836347592E-3"/>
    <n v="37.612111018627076"/>
    <s v="Unit"/>
    <s v="Ind_and_AG_GreenMotorRewind_v5_2"/>
    <m/>
    <n v="0"/>
    <x v="3"/>
    <x v="17"/>
    <n v="7657.2974710469134"/>
    <n v="0"/>
    <n v="1308.6554028447135"/>
    <n v="500.86629522463716"/>
    <n v="1400"/>
    <n v="0.50924309297678105"/>
    <n v="6.190684367436047"/>
    <n v="3899.4258479992136"/>
    <n v="1140.1478402491098"/>
    <n v="1.9766068879551808"/>
    <n v="1.5351176755195479"/>
    <n v="4115.5753467668246"/>
    <n v="0"/>
    <n v="4115.5753467668246"/>
    <n v="2540.1478402491098"/>
  </r>
  <r>
    <s v="Green Motors Program Rewind:  Motor size 400HP, Industrial"/>
    <n v="0"/>
    <s v="NonRes Motors"/>
    <s v="Com Winter"/>
    <n v="730.82423144348832"/>
    <n v="4341.1009293007664"/>
    <n v="0"/>
    <n v="8"/>
    <n v="800"/>
    <n v="0"/>
    <n v="9.8238604836347592E-3"/>
    <n v="42.646369874827933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450HP, Industrial"/>
    <n v="0"/>
    <s v="NonRes Motors"/>
    <s v="Com Winter"/>
    <n v="798.84966921395699"/>
    <n v="4875.5516385687515"/>
    <n v="0"/>
    <n v="8"/>
    <n v="900"/>
    <n v="0"/>
    <n v="9.8238604836347592E-3"/>
    <n v="47.89673907805625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500HP, Industrial"/>
    <n v="1"/>
    <s v="NonRes Motors"/>
    <s v="Com Winter"/>
    <n v="863.0246105068527"/>
    <n v="5424.8348373563495"/>
    <n v="0"/>
    <n v="8"/>
    <n v="1000"/>
    <n v="0"/>
    <n v="9.8238604836347592E-3"/>
    <n v="53.292820588950235"/>
    <s v="Unit"/>
    <s v="Ind_and_AG_GreenMotorRewind_v5_2"/>
    <m/>
    <n v="0"/>
    <x v="3"/>
    <x v="17"/>
    <n v="5424.8348373563495"/>
    <n v="0"/>
    <n v="863.0246105068527"/>
    <n v="354.8401949207198"/>
    <n v="1000"/>
    <n v="0.50924309297678105"/>
    <n v="6.190684367436047"/>
    <n v="2762.5596714635403"/>
    <n v="807.74107926544184"/>
    <n v="2.0524361219615646"/>
    <n v="1.5281832686935897"/>
    <n v="2915.6914174124586"/>
    <n v="0"/>
    <n v="2915.6914174124586"/>
    <n v="1807.7410792654418"/>
  </r>
  <r>
    <s v="Green Motors Program Rewind:  Motor size 600HP, Industrial"/>
    <n v="0"/>
    <s v="NonRes Motors"/>
    <s v="Com Winter"/>
    <n v="1271.7789413792252"/>
    <n v="5895.5149037446827"/>
    <n v="0"/>
    <n v="8"/>
    <n v="1200"/>
    <n v="0"/>
    <n v="9.8238604836347592E-3"/>
    <n v="57.9167158935771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700HP, Industrial"/>
    <n v="0"/>
    <s v="NonRes Motors"/>
    <s v="Com Winter"/>
    <n v="1387.5094635091809"/>
    <n v="6848.9096697540954"/>
    <n v="0"/>
    <n v="8"/>
    <n v="1400"/>
    <n v="0"/>
    <n v="9.8238604836347609E-3"/>
    <n v="67.282733060681252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800HP, Industrial"/>
    <n v="0"/>
    <s v="NonRes Motors"/>
    <s v="Com Winter"/>
    <n v="1539.477778088878"/>
    <n v="7810.7243226380087"/>
    <n v="0"/>
    <n v="8"/>
    <n v="1600"/>
    <n v="0"/>
    <n v="9.8238604836347592E-3"/>
    <n v="76.73146602172840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900HP, Industrial"/>
    <n v="0"/>
    <s v="NonRes Motors"/>
    <s v="Com Winter"/>
    <n v="1697.2064353990281"/>
    <n v="8768.4480746430345"/>
    <n v="0"/>
    <n v="8"/>
    <n v="1800"/>
    <n v="0"/>
    <n v="9.8238604836347592E-3"/>
    <n v="86.140010543288994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1000HP, Industrial"/>
    <n v="0"/>
    <s v="NonRes Motors"/>
    <s v="Com Winter"/>
    <n v="1829.0659171742409"/>
    <n v="9701.5461693643592"/>
    <n v="0"/>
    <n v="8"/>
    <n v="2000"/>
    <n v="0"/>
    <n v="9.8238604836347592E-3"/>
    <n v="95.30663604337669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1250HP, Industrial"/>
    <n v="0"/>
    <s v="NonRes Motors"/>
    <s v="Com Winter"/>
    <n v="2184.9503644118813"/>
    <n v="11451.181019748095"/>
    <n v="0"/>
    <n v="8"/>
    <n v="2500"/>
    <n v="0"/>
    <n v="9.8238604836347592E-3"/>
    <n v="112.494804710851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1500HP, Industrial"/>
    <n v="0"/>
    <s v="NonRes Motors"/>
    <s v="Com Winter"/>
    <n v="2502.9212831327313"/>
    <n v="13712.457247156184"/>
    <n v="0"/>
    <n v="8"/>
    <n v="3000"/>
    <n v="0"/>
    <n v="9.8238604836347592E-3"/>
    <n v="134.70926688386871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1750HP, Industrial"/>
    <n v="0"/>
    <s v="NonRes Motors"/>
    <s v="Com Winter"/>
    <n v="2856.7110602865723"/>
    <n v="15930.613147766329"/>
    <n v="0"/>
    <n v="8"/>
    <n v="3500"/>
    <n v="0"/>
    <n v="9.8238604836347592E-3"/>
    <n v="156.5001209824139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2000HP, Industrial"/>
    <n v="0"/>
    <s v="NonRes Motors"/>
    <s v="Com Winter"/>
    <n v="3204.5310277015742"/>
    <n v="18130.037384145893"/>
    <n v="0"/>
    <n v="8"/>
    <n v="4000"/>
    <n v="0"/>
    <n v="9.8238604836347592E-3"/>
    <n v="178.10695782493173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2250HP, Industrial"/>
    <n v="0"/>
    <s v="NonRes Motors"/>
    <s v="Com Winter"/>
    <n v="3491.0818951654219"/>
    <n v="20268.415057671256"/>
    <n v="0"/>
    <n v="8"/>
    <n v="4500"/>
    <n v="0"/>
    <n v="9.8238604836347592E-3"/>
    <n v="199.1140817509643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2500HP, Industrial"/>
    <n v="0"/>
    <s v="NonRes Motors"/>
    <s v="Com Winter"/>
    <n v="3819.5261643052727"/>
    <n v="22473.396161880344"/>
    <n v="0"/>
    <n v="8"/>
    <n v="5000"/>
    <n v="0"/>
    <n v="9.8238604836347592E-3"/>
    <n v="220.7755084877653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3000HP, Industrial"/>
    <n v="0"/>
    <s v="NonRes Motors"/>
    <s v="Com Winter"/>
    <n v="4465.7318851576129"/>
    <n v="26799.699582190253"/>
    <n v="0"/>
    <n v="8"/>
    <n v="6000"/>
    <n v="0"/>
    <n v="9.8238604836347592E-3"/>
    <n v="263.2765096987618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3500HP, Industrial"/>
    <n v="0"/>
    <s v="NonRes Motors"/>
    <s v="Com Winter"/>
    <n v="4934.8332504246428"/>
    <n v="31201.245378959924"/>
    <n v="0"/>
    <n v="8"/>
    <n v="7000"/>
    <n v="0"/>
    <n v="9.8238604836347592E-3"/>
    <n v="306.51668151855603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4000HP, Industrial"/>
    <n v="0"/>
    <s v="NonRes Motors"/>
    <s v="Com Winter"/>
    <n v="5509.5059879151959"/>
    <n v="35658.566147383302"/>
    <n v="0"/>
    <n v="8"/>
    <n v="8000"/>
    <n v="0"/>
    <n v="9.8238604836347592E-3"/>
    <n v="350.3047788783549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4500HP, Industrial"/>
    <n v="0"/>
    <s v="NonRes Motors"/>
    <s v="Com Winter"/>
    <n v="5937.5518195397453"/>
    <n v="40032.485362220556"/>
    <n v="0"/>
    <n v="8"/>
    <n v="9000"/>
    <n v="0"/>
    <n v="9.8238604836347592E-3"/>
    <n v="393.27355101160543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Green Motors Program Rewind:  Motor size 5000HP, Industrial"/>
    <n v="0"/>
    <s v="NonRes Motors"/>
    <s v="Com Winter"/>
    <n v="6338.0527395623285"/>
    <n v="44388.159587558359"/>
    <n v="0"/>
    <n v="8"/>
    <n v="10000"/>
    <n v="0"/>
    <n v="9.8238604836347592E-3"/>
    <n v="436.06308691348795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s v="Building Operator Certification"/>
    <n v="2"/>
    <s v="NonRes Misc"/>
    <s v="Com Winter"/>
    <n v="2095"/>
    <n v="94466"/>
    <n v="0"/>
    <n v="5"/>
    <n v="200"/>
    <n v="0"/>
    <n v="0"/>
    <n v="0"/>
    <s v="Unit"/>
    <s v="https://www.theboc.info/why-boc/energy-savings-evaluation-reports/"/>
    <m/>
    <n v="0"/>
    <x v="3"/>
    <x v="18"/>
    <n v="188932"/>
    <n v="0"/>
    <n v="4190"/>
    <n v="0"/>
    <n v="400"/>
    <n v="0.35726782014982422"/>
    <n v="4.5743548642727507"/>
    <n v="67499.323796546596"/>
    <n v="19736.035828042615"/>
    <n v="3.1032828300447957"/>
    <n v="3.352165459625529"/>
    <n v="67382.537343363787"/>
    <n v="0"/>
    <n v="67382.537343363787"/>
    <n v="20136.035828042615"/>
  </r>
  <r>
    <s v="Compressed Air"/>
    <n v="0"/>
    <s v="NonRes Compressed Air"/>
    <s v="Com Winter"/>
    <n v="1440"/>
    <n v="6000"/>
    <n v="0"/>
    <n v="10"/>
    <n v="1440"/>
    <n v="0"/>
    <n v="9.6600000000000005E-2"/>
    <n v="579.6"/>
    <s v="Unit"/>
    <s v="Avista"/>
    <s v="N/A"/>
    <n v="0"/>
    <x v="3"/>
    <x v="19"/>
    <n v="0"/>
    <n v="0"/>
    <n v="0"/>
    <n v="0"/>
    <n v="0"/>
    <n v="0.63751634292780057"/>
    <n v="7.1955923949164964"/>
    <n v="0"/>
    <n v="0"/>
    <n v="0"/>
    <n v="0"/>
    <n v="0"/>
    <n v="0"/>
    <n v="0"/>
    <n v="0"/>
  </r>
  <r>
    <s v="Prescriptive VFDs - HVAC Cooling Pump"/>
    <n v="0"/>
    <s v="NonRes Ventilation"/>
    <s v="Com Winter"/>
    <n v="200"/>
    <n v="1091"/>
    <n v="0"/>
    <n v="16"/>
    <n v="200"/>
    <n v="0"/>
    <n v="2.7997786299667799E-3"/>
    <n v="3.0545584852937568"/>
    <s v="Unit"/>
    <s v="Avista"/>
    <s v="N/A"/>
    <n v="0"/>
    <x v="3"/>
    <x v="20"/>
    <n v="0"/>
    <n v="0"/>
    <n v="0"/>
    <n v="0"/>
    <n v="0"/>
    <n v="0.89419338325962394"/>
    <n v="9.8375387624174682"/>
    <n v="0"/>
    <n v="0"/>
    <n v="0"/>
    <n v="0"/>
    <n v="0"/>
    <n v="0"/>
    <n v="0"/>
    <n v="0"/>
  </r>
  <r>
    <s v="Prescriptive VFDS - HVAC Heating Pump or combo"/>
    <n v="0"/>
    <s v="NonRes Ventilation"/>
    <s v="Com Winter"/>
    <n v="200"/>
    <n v="1756"/>
    <n v="0"/>
    <n v="16"/>
    <n v="200"/>
    <n v="0"/>
    <n v="2.7997786299667794E-3"/>
    <n v="4.916411274221665"/>
    <s v="Unit"/>
    <s v="Avista"/>
    <s v="N/A"/>
    <n v="0"/>
    <x v="3"/>
    <x v="20"/>
    <n v="0"/>
    <n v="0"/>
    <n v="0"/>
    <n v="0"/>
    <n v="0"/>
    <n v="0.89419338325962394"/>
    <n v="9.8375387624174682"/>
    <n v="0"/>
    <n v="0"/>
    <n v="0"/>
    <n v="0"/>
    <n v="0"/>
    <n v="0"/>
    <n v="0"/>
    <n v="0"/>
  </r>
  <r>
    <s v="nongrocery_HZ2_resistanceheat_yescooling_Installation and initial programming"/>
    <n v="0"/>
    <s v="NonRes Space Heating"/>
    <s v="Com Winter"/>
    <n v="74.219420509518642"/>
    <n v="264.92817420736992"/>
    <n v="0"/>
    <n v="5"/>
    <n v="150"/>
    <n v="0"/>
    <n v="0"/>
    <n v="0"/>
    <s v="Unit"/>
    <s v="ComConnectedThermostas_v2.1"/>
    <m/>
    <n v="0"/>
    <x v="3"/>
    <x v="21"/>
    <n v="0"/>
    <n v="0"/>
    <n v="0"/>
    <n v="0"/>
    <n v="0"/>
    <n v="0.52673383355723413"/>
    <n v="4.5743548642727507"/>
    <n v="0"/>
    <n v="0"/>
    <n v="0"/>
    <n v="0"/>
    <n v="0"/>
    <n v="0"/>
    <n v="0"/>
    <n v="0"/>
  </r>
  <r>
    <s v="nongrocery_HZ2_heatpumpheat_yescooling_Installation and initial programming"/>
    <n v="0"/>
    <s v="NonRes Space Heating"/>
    <s v="Com Winter"/>
    <n v="74.219420509518642"/>
    <n v="162.24352337188563"/>
    <n v="0"/>
    <n v="5"/>
    <n v="150"/>
    <n v="0"/>
    <n v="0"/>
    <n v="0"/>
    <s v="Unit"/>
    <s v="ComConnectedThermostas_v2.1"/>
    <m/>
    <n v="0"/>
    <x v="3"/>
    <x v="21"/>
    <n v="0"/>
    <n v="0"/>
    <n v="0"/>
    <n v="0"/>
    <n v="0"/>
    <n v="0.52673383355723413"/>
    <n v="4.5743548642727507"/>
    <n v="0"/>
    <n v="0"/>
    <n v="0"/>
    <n v="0"/>
    <n v="0"/>
    <n v="0"/>
    <n v="0"/>
    <n v="0"/>
  </r>
  <r>
    <s v="nongrocery_HZ2_resistanceheat_nocooling_Installation and initial programming"/>
    <n v="0"/>
    <s v="NonRes Space Heating"/>
    <s v="Com Winter"/>
    <n v="74.219420509518642"/>
    <n v="256.97670077580392"/>
    <n v="0"/>
    <n v="5"/>
    <n v="150"/>
    <n v="0"/>
    <n v="0"/>
    <n v="0"/>
    <s v="Unit"/>
    <s v="ComConnectedThermostas_v2.1"/>
    <m/>
    <n v="0"/>
    <x v="3"/>
    <x v="21"/>
    <n v="0"/>
    <n v="0"/>
    <n v="0"/>
    <n v="0"/>
    <n v="0"/>
    <n v="0.52673383355723413"/>
    <n v="4.5743548642727507"/>
    <n v="0"/>
    <n v="0"/>
    <n v="0"/>
    <n v="0"/>
    <n v="0"/>
    <n v="0"/>
    <n v="0"/>
    <n v="0"/>
  </r>
  <r>
    <s v="nongrocery_HZ2_heatpumpheat_nocooling_Installation and initial programming"/>
    <n v="0"/>
    <s v="NonRes Space Heating"/>
    <s v="Com Winter"/>
    <n v="74.219420509518642"/>
    <n v="154.29204994031963"/>
    <n v="0"/>
    <n v="5"/>
    <n v="150"/>
    <n v="0"/>
    <n v="0"/>
    <n v="0"/>
    <s v="Unit"/>
    <s v="ComConnectedThermostas_v2.1"/>
    <m/>
    <n v="0"/>
    <x v="3"/>
    <x v="21"/>
    <n v="0"/>
    <n v="0"/>
    <n v="0"/>
    <n v="0"/>
    <n v="0"/>
    <n v="0.52673383355723413"/>
    <n v="4.5743548642727507"/>
    <n v="0"/>
    <n v="0"/>
    <n v="0"/>
    <n v="0"/>
    <n v="0"/>
    <n v="0"/>
    <n v="0"/>
    <n v="0"/>
  </r>
  <r>
    <s v="Multi-family_Electric Dryer_Electric Hot Water_Front-load_ENERGY STAR"/>
    <n v="0"/>
    <s v="NonRes Misc"/>
    <s v="Com Winter"/>
    <n v="426.57335926530232"/>
    <n v="950.13863278242536"/>
    <n v="0"/>
    <n v="11"/>
    <n v="200"/>
    <n v="0"/>
    <n v="0"/>
    <n v="0"/>
    <s v="Unit"/>
    <s v="ComClothesWashers_v7_1"/>
    <m/>
    <n v="0"/>
    <x v="3"/>
    <x v="21"/>
    <n v="0"/>
    <n v="0"/>
    <n v="0"/>
    <n v="0"/>
    <n v="0"/>
    <n v="0.68058178508819822"/>
    <n v="7.6892677087561063"/>
    <n v="0"/>
    <n v="0"/>
    <n v="0"/>
    <n v="0"/>
    <n v="0"/>
    <n v="0"/>
    <n v="0"/>
    <n v="0"/>
  </r>
  <r>
    <s v="Multi-family_Electric Dryer_Gas Hot Water_Front-load_ENERGY STAR"/>
    <n v="0"/>
    <s v="NonRes Misc"/>
    <s v="Com Winter"/>
    <n v="426.57335926530232"/>
    <n v="654.41389504467293"/>
    <n v="0"/>
    <n v="11"/>
    <n v="200"/>
    <n v="0"/>
    <n v="0"/>
    <n v="0"/>
    <s v="Unit"/>
    <s v="ComClothesWashers_v7_1"/>
    <m/>
    <n v="0"/>
    <x v="3"/>
    <x v="21"/>
    <n v="0"/>
    <n v="0"/>
    <n v="0"/>
    <n v="0"/>
    <n v="0"/>
    <n v="0.68058178508819822"/>
    <n v="7.6892677087561063"/>
    <n v="0"/>
    <n v="0"/>
    <n v="0"/>
    <n v="0"/>
    <n v="0"/>
    <n v="0"/>
    <n v="0"/>
    <n v="0"/>
  </r>
  <r>
    <s v="Multi-family_Any Dryer and Hot Water Fuels_Front-load_ENERGY STAR"/>
    <n v="0"/>
    <s v="NonRes Misc"/>
    <s v="Com Winter"/>
    <n v="426.57335926530232"/>
    <n v="674.03170108251766"/>
    <n v="0"/>
    <n v="11"/>
    <n v="200"/>
    <n v="0"/>
    <n v="0"/>
    <n v="0"/>
    <s v="Unit"/>
    <s v="ComClothesWashers_v7_1"/>
    <m/>
    <n v="0"/>
    <x v="3"/>
    <x v="21"/>
    <n v="0"/>
    <n v="0"/>
    <n v="0"/>
    <n v="0"/>
    <n v="0"/>
    <n v="0.68058178508819822"/>
    <n v="7.6892677087561063"/>
    <n v="0"/>
    <n v="0"/>
    <n v="0"/>
    <n v="0"/>
    <n v="0"/>
    <n v="0"/>
    <n v="0"/>
    <n v="0"/>
  </r>
  <r>
    <s v="Pay for Performance"/>
    <n v="0"/>
    <s v="NonRes Misc"/>
    <s v="Com Winter"/>
    <n v="35000"/>
    <n v="5306"/>
    <n v="0"/>
    <n v="5"/>
    <n v="4245"/>
    <n v="0"/>
    <n v="0"/>
    <n v="0"/>
    <s v="Unit"/>
    <s v="Edo Estimate"/>
    <s v="N/A"/>
    <n v="0"/>
    <x v="3"/>
    <x v="22"/>
    <n v="0"/>
    <n v="0"/>
    <n v="0"/>
    <n v="0"/>
    <n v="0"/>
    <n v="0.35726782014982422"/>
    <n v="4.5743548642727507"/>
    <n v="0"/>
    <n v="0"/>
    <n v="0"/>
    <n v="0"/>
    <n v="0"/>
    <n v="0"/>
    <n v="0"/>
    <n v="0"/>
  </r>
  <r>
    <s v="Active Energy Management"/>
    <n v="0"/>
    <s v="NonRes Interior Lighting"/>
    <s v="Com Winter"/>
    <n v="35000"/>
    <n v="1429340"/>
    <n v="0"/>
    <n v="5"/>
    <n v="0"/>
    <n v="0"/>
    <n v="2.5250287948902599E-2"/>
    <n v="36091.246576884441"/>
    <s v="Unit"/>
    <s v="Edo Estimate"/>
    <s v="N/A"/>
    <n v="0"/>
    <x v="3"/>
    <x v="23"/>
    <n v="0"/>
    <n v="0"/>
    <n v="0"/>
    <n v="0"/>
    <n v="0"/>
    <n v="0.3641992731243871"/>
    <n v="4.5743548642727507"/>
    <n v="0"/>
    <n v="0"/>
    <n v="0"/>
    <n v="0"/>
    <n v="0"/>
    <n v="0"/>
    <n v="0"/>
    <n v="0"/>
  </r>
  <r>
    <s v="Clean Buildings Accelerator"/>
    <n v="0"/>
    <s v="NonRes Misc"/>
    <s v="Com Annual"/>
    <n v="0"/>
    <n v="500000"/>
    <n v="0"/>
    <n v="10"/>
    <n v="400000"/>
    <n v="0"/>
    <n v="0"/>
    <n v="0"/>
    <s v="Unit"/>
    <s v="Avista"/>
    <s v="N/A"/>
    <n v="0"/>
    <x v="3"/>
    <x v="24"/>
    <n v="0"/>
    <n v="0"/>
    <n v="0"/>
    <n v="0"/>
    <n v="0"/>
    <n v="0.63048562376596884"/>
    <n v="6.5703091088618146"/>
    <n v="0"/>
    <n v="0"/>
    <n v="0"/>
    <n v="0"/>
    <n v="0"/>
    <n v="0"/>
    <n v="0"/>
    <n v="0"/>
  </r>
  <r>
    <s v="Convection Oven"/>
    <n v="5"/>
    <s v="NonRes Cooking"/>
    <s v="Com Annual"/>
    <n v="161.04"/>
    <n v="1495.5"/>
    <n v="0"/>
    <n v="8"/>
    <n v="959.70500000000004"/>
    <n v="0"/>
    <n v="0"/>
    <n v="0"/>
    <s v="Unit"/>
    <s v="2023 Evaluation Results"/>
    <s v="N/A"/>
    <n v="0"/>
    <x v="3"/>
    <x v="25"/>
    <n v="7477.5"/>
    <n v="0"/>
    <n v="805.19999999999993"/>
    <n v="0"/>
    <n v="4798.5250000000005"/>
    <n v="0.48379246214647065"/>
    <n v="5.5906674752183614"/>
    <n v="3617.5581357002343"/>
    <n v="1057.7329217609088"/>
    <n v="2.1360478967266694"/>
    <n v="0.61772520678400655"/>
    <n v="4018.9394197900278"/>
    <n v="0"/>
    <n v="4018.9394197900278"/>
    <n v="5856.2579217609091"/>
  </r>
  <r>
    <s v="Dishwasher"/>
    <n v="13"/>
    <s v="NonRes Misc"/>
    <s v="Com Annual"/>
    <n v="2297"/>
    <n v="1900.5"/>
    <n v="0"/>
    <n v="12"/>
    <n v="2467.8150000000001"/>
    <n v="0"/>
    <n v="0"/>
    <n v="0"/>
    <s v="Unit"/>
    <s v="2023 Evaluation Results"/>
    <s v="N/A"/>
    <n v="0"/>
    <x v="3"/>
    <x v="25"/>
    <n v="24706.5"/>
    <n v="0"/>
    <n v="29861"/>
    <n v="0"/>
    <n v="32081.595000000001"/>
    <n v="0.72883305969951229"/>
    <n v="7.4795347883823"/>
    <n v="18006.913989466"/>
    <n v="5265.0171832797678"/>
    <n v="0.56390126113817318"/>
    <n v="0.48215655816641306"/>
    <n v="18427.319425557816"/>
    <n v="0"/>
    <n v="18427.319425557816"/>
    <n v="37346.612183279765"/>
  </r>
  <r>
    <s v="Ice Machine"/>
    <n v="13"/>
    <s v="NonRes Misc"/>
    <s v="Com Annual"/>
    <n v="300.16000000000003"/>
    <n v="258.60000000000002"/>
    <n v="0"/>
    <n v="8"/>
    <n v="265.06200000000001"/>
    <n v="0"/>
    <n v="0"/>
    <n v="0"/>
    <s v="Unit"/>
    <s v="2023 Evaluation Results"/>
    <s v="N/A"/>
    <n v="0"/>
    <x v="3"/>
    <x v="25"/>
    <n v="3361.8"/>
    <n v="0"/>
    <n v="3902.0800000000004"/>
    <n v="0"/>
    <n v="3445.806"/>
    <n v="0.52583575422878048"/>
    <n v="5.5906674752183614"/>
    <n v="1767.7546385663143"/>
    <n v="516.87138358737559"/>
    <n v="0.4400433346348212"/>
    <n v="0.44610107446243386"/>
    <n v="1806.8700155734025"/>
    <n v="0"/>
    <n v="1806.8700155734025"/>
    <n v="3962.6773835873755"/>
  </r>
  <r>
    <s v="Mini/Multi Split"/>
    <n v="252"/>
    <s v="NonRes Space Heating"/>
    <s v="Com Winter"/>
    <n v="2601.0300000000002"/>
    <n v="947.47619047619048"/>
    <n v="0"/>
    <n v="15"/>
    <n v="493.99857142857138"/>
    <n v="0"/>
    <n v="0"/>
    <n v="0"/>
    <s v="Unit"/>
    <s v="2023 Evaluation Results"/>
    <s v="N/A"/>
    <n v="0"/>
    <x v="3"/>
    <x v="25"/>
    <n v="238764"/>
    <n v="0"/>
    <n v="655459.56000000006"/>
    <n v="0"/>
    <n v="124487.63999999998"/>
    <n v="1.2914963808201403"/>
    <n v="9.4305413738174693"/>
    <n v="308362.84187013999"/>
    <n v="90161.793524478053"/>
    <n v="0.45492142151481235"/>
    <n v="1.4365881931618287"/>
    <n v="210300.2199475404"/>
    <n v="0"/>
    <n v="210300.2199475404"/>
    <n v="214649.43352447805"/>
  </r>
  <r>
    <s v="Packaged Unitary Equipment"/>
    <n v="31"/>
    <s v="NonRes Space Heating"/>
    <s v="Com Winter"/>
    <n v="829.5"/>
    <n v="3229.75"/>
    <n v="0"/>
    <n v="10"/>
    <n v="902.58124999999995"/>
    <n v="0"/>
    <n v="0"/>
    <n v="0"/>
    <s v="Unit"/>
    <s v="2023 Evaluation Results"/>
    <s v="N/A"/>
    <n v="0"/>
    <x v="3"/>
    <x v="25"/>
    <n v="100122.25"/>
    <n v="0"/>
    <n v="25714.5"/>
    <n v="0"/>
    <n v="27980.018749999999"/>
    <n v="0.934418764205455"/>
    <n v="7.1955923949164964"/>
    <n v="93556.109114469611"/>
    <n v="27354.743982041247"/>
    <n v="1.9391970245655308"/>
    <n v="1.6907293805074282"/>
    <n v="64680.374644798627"/>
    <n v="0"/>
    <n v="64680.374644798627"/>
    <n v="55334.762732041243"/>
  </r>
  <r>
    <s v="Water Source Heat Pump"/>
    <n v="9"/>
    <s v="NonRes Misc"/>
    <s v="Com Annual"/>
    <n v="3200"/>
    <n v="246.83333333333334"/>
    <n v="0"/>
    <n v="16"/>
    <n v="167.18666666666667"/>
    <n v="0"/>
    <n v="0"/>
    <n v="0"/>
    <s v="Unit"/>
    <s v="2023 Evaluation Results"/>
    <s v="N/A"/>
    <n v="0"/>
    <x v="3"/>
    <x v="25"/>
    <n v="2221.5"/>
    <n v="0"/>
    <n v="28800"/>
    <n v="0"/>
    <n v="1504.68"/>
    <n v="0.91119151839909662"/>
    <n v="9.1017064176152367"/>
    <n v="2024.2119581235931"/>
    <n v="591.85659177112314"/>
    <n v="7.5756805187983459E-2"/>
    <n v="0.96550280403814404"/>
    <n v="2048.5199688118673"/>
    <n v="0"/>
    <n v="2048.5199688118673"/>
    <n v="2096.536591771123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x v="0"/>
    <n v="0"/>
    <s v="Res Space Heat"/>
    <s v="Res Winter"/>
    <n v="222.03"/>
    <n v="474.10112359550561"/>
    <n v="0.20030713761100352"/>
    <n v="7"/>
    <n v="150"/>
    <n v="0"/>
    <n v="3.6176761872079799E-2"/>
    <n v="17.15144345160008"/>
    <s v="Unit"/>
    <s v="ResConnectedTstats_v3_1"/>
    <m/>
    <n v="0"/>
    <x v="0"/>
    <x v="0"/>
    <n v="0"/>
    <n v="0"/>
    <n v="0"/>
    <n v="0"/>
    <n v="0"/>
    <n v="0.68092219236682128"/>
    <n v="5.753949098523548"/>
    <n v="0"/>
    <n v="0"/>
    <n v="0"/>
    <n v="0"/>
    <n v="0"/>
    <n v="0"/>
    <n v="0"/>
    <n v="0"/>
  </r>
  <r>
    <x v="1"/>
    <n v="10"/>
    <s v="Res Space Heat"/>
    <s v="Res Annual"/>
    <n v="2675.93"/>
    <n v="43"/>
    <n v="150"/>
    <n v="45"/>
    <n v="1000"/>
    <n v="0"/>
    <n v="0"/>
    <n v="0"/>
    <s v="Unit"/>
    <s v="ResMHNewHomesHVAC_v5_1"/>
    <m/>
    <n v="0"/>
    <x v="0"/>
    <x v="1"/>
    <n v="430"/>
    <n v="1500"/>
    <n v="26759.3"/>
    <n v="0"/>
    <n v="10000"/>
    <n v="2.613850243840278"/>
    <n v="21.16163334942404"/>
    <n v="32866.405628987377"/>
    <n v="9609.7638101948342"/>
    <n v="0.99406040200990375"/>
    <n v="1.6760225134328548"/>
    <n v="689.04985659096144"/>
    <n v="17607.779224582187"/>
    <n v="18296.829081173149"/>
    <n v="19609.763810194832"/>
  </r>
  <r>
    <x v="2"/>
    <n v="694"/>
    <s v="Res Refrigeration"/>
    <s v="Res Annual"/>
    <n v="106.88"/>
    <n v="49"/>
    <n v="2.0408163265306123"/>
    <n v="15"/>
    <n v="100"/>
    <n v="0"/>
    <n v="1.5603527910890102E-5"/>
    <n v="7.6457286763361495E-4"/>
    <s v="Unit"/>
    <s v="ResRefrigeratorsAndFreezers_v6_1"/>
    <m/>
    <n v="0"/>
    <x v="0"/>
    <x v="2"/>
    <n v="34006"/>
    <n v="1416.3265306122448"/>
    <n v="74174.720000000001"/>
    <n v="5.7897298259524907"/>
    <n v="69400"/>
    <n v="0.84212249264822436"/>
    <n v="9.0831981910440085"/>
    <n v="41501.992065780301"/>
    <n v="12134.711227837313"/>
    <n v="0.52901008992445619"/>
    <n v="0.50901010674838609"/>
    <n v="29952.041679382393"/>
    <n v="9555.0961614266198"/>
    <n v="39507.13784080901"/>
    <n v="81534.71122783731"/>
  </r>
  <r>
    <x v="3"/>
    <n v="63"/>
    <s v="Res Refrigeration"/>
    <s v="Res Annual"/>
    <n v="72.239999999999995"/>
    <n v="20"/>
    <n v="2.5"/>
    <n v="22"/>
    <n v="50"/>
    <n v="0"/>
    <n v="1.5603527910890102E-5"/>
    <n v="3.1207055821780202E-4"/>
    <s v="Unit"/>
    <s v="ResRefrigeratorsAndFreezers_v6_1"/>
    <m/>
    <n v="0"/>
    <x v="0"/>
    <x v="2"/>
    <n v="1260"/>
    <n v="157.5"/>
    <n v="4551.12"/>
    <n v="0.27692217433874566"/>
    <n v="3150"/>
    <n v="1.1218909778828292"/>
    <n v="12.112483798255813"/>
    <n v="3321.2988303576553"/>
    <n v="971.11006488228486"/>
    <n v="0.66164091043951812"/>
    <n v="0.80592335027881001"/>
    <n v="1432.6030327977812"/>
    <n v="1353.9098391061434"/>
    <n v="2786.5128719039249"/>
    <n v="4121.1100648822849"/>
  </r>
  <r>
    <x v="4"/>
    <n v="235"/>
    <s v="Res Washer Dryer"/>
    <s v="Res Annual"/>
    <n v="59"/>
    <n v="171.29"/>
    <n v="0.29190262128553918"/>
    <n v="14"/>
    <n v="50"/>
    <n v="0"/>
    <n v="0.13900000000000001"/>
    <n v="23.80931"/>
    <s v="Unit"/>
    <s v="ResClothesWashers_v8_1"/>
    <m/>
    <n v="0"/>
    <x v="0"/>
    <x v="2"/>
    <n v="40253.15"/>
    <n v="68.5971160021017"/>
    <n v="13865"/>
    <n v="58062.958882659492"/>
    <n v="11750"/>
    <n v="0.87945992406582729"/>
    <n v="8.6580677762046925"/>
    <n v="35994.950722008733"/>
    <n v="10524.514870985096"/>
    <n v="4.2421385219195269"/>
    <n v="1.6159701313583241"/>
    <n v="33719.047554132558"/>
    <n v="441.01184887070389"/>
    <n v="34160.059403003259"/>
    <n v="22274.514870985098"/>
  </r>
  <r>
    <x v="5"/>
    <n v="435"/>
    <s v="Res Washer Dryer"/>
    <s v="Res Annual"/>
    <n v="411.53"/>
    <n v="318"/>
    <n v="0.15723270440251572"/>
    <n v="12"/>
    <n v="50"/>
    <n v="0"/>
    <n v="0.13900000000000001"/>
    <n v="44.202000000000005"/>
    <s v="Unit"/>
    <s v="ResClothesDryer_v5_1"/>
    <m/>
    <n v="0"/>
    <x v="0"/>
    <x v="2"/>
    <n v="138330"/>
    <n v="68.396226415094333"/>
    <n v="179015.55"/>
    <n v="177660.62257043622"/>
    <n v="21750"/>
    <n v="0.77982372959016932"/>
    <n v="7.7879729909295285"/>
    <n v="108405.68447821037"/>
    <n v="31696.591202516676"/>
    <n v="1.493378293048037"/>
    <n v="2.0282993178638078"/>
    <n v="103173.29836834082"/>
    <n v="393.1293609179927"/>
    <n v="103566.42772925882"/>
    <n v="53446.591202516676"/>
  </r>
  <r>
    <x v="6"/>
    <n v="2"/>
    <s v="Res Space Heat"/>
    <s v="Res Winter"/>
    <n v="371"/>
    <n v="800"/>
    <n v="0"/>
    <n v="45"/>
    <n v="100"/>
    <n v="0"/>
    <n v="0"/>
    <n v="0"/>
    <s v="Unit"/>
    <s v="2023 Evlauation"/>
    <m/>
    <n v="0"/>
    <x v="0"/>
    <x v="3"/>
    <n v="1600"/>
    <n v="0"/>
    <n v="742"/>
    <n v="0"/>
    <n v="200"/>
    <n v="2.613850243840278"/>
    <n v="21.866298478700472"/>
    <n v="4182.160390144445"/>
    <n v="1222.8162099415629"/>
    <n v="2.3413774814570125"/>
    <n v="2.9393539101696153"/>
    <n v="2563.9064431291586"/>
    <n v="0"/>
    <n v="2563.9064431291586"/>
    <n v="1422.8162099415629"/>
  </r>
  <r>
    <x v="7"/>
    <n v="19586"/>
    <s v="Res Space Heat"/>
    <s v="Res Winter"/>
    <n v="2.5168065892018188"/>
    <n v="1.4896786060150637"/>
    <n v="0"/>
    <n v="45"/>
    <n v="1.5"/>
    <n v="0"/>
    <n v="1.1851238867931199E-2"/>
    <n v="1.765453699633129E-2"/>
    <s v="SQFT"/>
    <s v="ResSFWx_v6_2"/>
    <s v="Single Family Weatherization - Insulate Wall - R0 to R11 - Heating Zone 2/3 (Zonal or DHP)"/>
    <n v="0"/>
    <x v="0"/>
    <x v="3"/>
    <n v="29176.84517741104"/>
    <n v="0"/>
    <n v="49294.17385610682"/>
    <n v="6864.2538851138634"/>
    <n v="29379"/>
    <n v="2.613850243840278"/>
    <n v="21.866298478700472"/>
    <n v="76263.903881465885"/>
    <n v="22298.699523683455"/>
    <n v="1.2772356971643815"/>
    <n v="1.4757604263424067"/>
    <n v="46754.188337841304"/>
    <n v="0"/>
    <n v="46754.188337841304"/>
    <n v="51677.699523683455"/>
  </r>
  <r>
    <x v="8"/>
    <n v="35242"/>
    <s v="Res Space Heat"/>
    <s v="Res Winter"/>
    <n v="1.3737162511552601"/>
    <n v="0.70954110122347303"/>
    <n v="0"/>
    <n v="45"/>
    <n v="1.5"/>
    <n v="0"/>
    <n v="1.0582984355072E-2"/>
    <n v="7.509062373528573E-3"/>
    <s v="SQFT"/>
    <s v="ResSFWx_v6_2"/>
    <s v="Single Family Weatherization - Insulate Attic - R11 to R49 - Heating Zone 2/3 (Zonal or DHP)"/>
    <n v="0"/>
    <x v="0"/>
    <x v="3"/>
    <n v="25005.647489317635"/>
    <n v="0"/>
    <n v="48412.508123213673"/>
    <n v="5253.3642500011383"/>
    <n v="52863"/>
    <n v="2.613850243840278"/>
    <n v="21.866298478700472"/>
    <n v="65361.017787336932"/>
    <n v="19110.819431263841"/>
    <n v="1.1503553372484996"/>
    <n v="0.9081221241809706"/>
    <n v="40070.087945298721"/>
    <n v="0"/>
    <n v="40070.087945298721"/>
    <n v="71973.819431263837"/>
  </r>
  <r>
    <x v="9"/>
    <n v="800"/>
    <s v="Res Space Heat"/>
    <s v="Res Winter"/>
    <n v="1.86"/>
    <n v="0.46904069199999998"/>
    <n v="0"/>
    <n v="45"/>
    <n v="1"/>
    <n v="0"/>
    <n v="1.0582984355072E-2"/>
    <n v="4.9638503053281444E-3"/>
    <s v="SQFT"/>
    <s v="Avista"/>
    <m/>
    <n v="0"/>
    <x v="0"/>
    <x v="3"/>
    <n v="375.23255359999996"/>
    <n v="0"/>
    <n v="1488"/>
    <n v="78.831523293327351"/>
    <n v="800"/>
    <n v="2.613850243840278"/>
    <n v="21.866298478700472"/>
    <n v="980.80170172417002"/>
    <n v="286.77528064990389"/>
    <n v="0.65675725835691046"/>
    <n v="0.90248804806973482"/>
    <n v="601.28822615427953"/>
    <n v="0"/>
    <n v="601.28822615427953"/>
    <n v="1086.7752806499038"/>
  </r>
  <r>
    <x v="10"/>
    <n v="6000"/>
    <s v="Res Space Heat"/>
    <s v="Res Winter"/>
    <n v="1.68"/>
    <n v="0.161409779"/>
    <n v="0"/>
    <n v="45"/>
    <n v="1.5"/>
    <n v="0"/>
    <n v="1.0582984355072E-2"/>
    <n v="1.708197165912629E-3"/>
    <s v="SQFT"/>
    <s v="ResSFWx_v6_2"/>
    <s v="Single Family Weatherization - Insulate Floor - R19 to R30 - Heating Zone 2/3 (Electric FAF)"/>
    <n v="0"/>
    <x v="0"/>
    <x v="3"/>
    <n v="968.45867399999997"/>
    <n v="0"/>
    <n v="10080"/>
    <n v="203.46068534192318"/>
    <n v="9000"/>
    <n v="2.613850243840278"/>
    <n v="21.866298478700472"/>
    <n v="2531.4059411841322"/>
    <n v="740.15435326606973"/>
    <n v="0.27803238206769099"/>
    <n v="0.25989382194290389"/>
    <n v="1551.8983963580761"/>
    <n v="0"/>
    <n v="1551.8983963580761"/>
    <n v="9740.1543532660689"/>
  </r>
  <r>
    <x v="11"/>
    <n v="28"/>
    <s v="Res Space Heat"/>
    <s v="Res Annual"/>
    <n v="4428.42"/>
    <n v="3735.6"/>
    <n v="0.26769461398436661"/>
    <n v="43"/>
    <n v="1000"/>
    <n v="0"/>
    <n v="1.0582984355072E-2"/>
    <n v="39.53379635680696"/>
    <s v="Unit"/>
    <s v="ResMHNewHomesHVAC_v5_1"/>
    <m/>
    <n v="0"/>
    <x v="0"/>
    <x v="1"/>
    <n v="104596.8"/>
    <n v="7.4954491915622654"/>
    <n v="123995.76000000001"/>
    <n v="21629.963287591363"/>
    <n v="28000"/>
    <n v="2.5559454571500804"/>
    <n v="20.566335306081957"/>
    <n v="267497.8697137789"/>
    <n v="78213.33968483872"/>
    <n v="1.5728303859579145"/>
    <n v="2.5184959865447345"/>
    <n v="164982.75960727088"/>
    <n v="86.791852554041199"/>
    <n v="165069.55145982493"/>
    <n v="106213.33968483872"/>
  </r>
  <r>
    <x v="12"/>
    <n v="0"/>
    <s v="Res Space Heat"/>
    <s v="Res Winter"/>
    <n v="31.8"/>
    <n v="4.7300000000000004"/>
    <n v="0"/>
    <n v="45"/>
    <n v="10"/>
    <n v="0"/>
    <n v="1.8394725536443701E-4"/>
    <n v="8.7007051787378717E-4"/>
    <s v="SQFT"/>
    <s v="ResSFWx_v6_2"/>
    <m/>
    <n v="0"/>
    <x v="0"/>
    <x v="3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x v="13"/>
    <n v="0"/>
    <s v="Res Space Heat"/>
    <s v="Res Winter"/>
    <n v="1272"/>
    <n v="189.20000000000002"/>
    <n v="0"/>
    <n v="45"/>
    <n v="400"/>
    <n v="0"/>
    <n v="1.8394725536443701E-4"/>
    <n v="3.4802820714951485E-2"/>
    <s v="SQFT"/>
    <s v="ResSFWx_v6_2"/>
    <m/>
    <n v="0"/>
    <x v="0"/>
    <x v="3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x v="14"/>
    <n v="0"/>
    <s v="Res Space Heat"/>
    <s v="Res Winter"/>
    <n v="31.8"/>
    <n v="4.7300000000000004"/>
    <n v="0"/>
    <n v="45"/>
    <n v="5"/>
    <n v="0"/>
    <n v="5.5177029496346806E-2"/>
    <n v="0.2609873495177204"/>
    <s v="SQFT"/>
    <s v="ResSFWx_v6_2"/>
    <m/>
    <n v="0"/>
    <x v="0"/>
    <x v="3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x v="15"/>
    <n v="0"/>
    <s v="Res Space Heat"/>
    <s v="Res Winter"/>
    <n v="1272"/>
    <n v="189.20000000000002"/>
    <n v="0"/>
    <n v="45"/>
    <n v="200"/>
    <n v="0"/>
    <n v="5.5177029496346806E-2"/>
    <n v="10.439493980708816"/>
    <s v="SQFT"/>
    <s v="ResSFWx_v6_2"/>
    <m/>
    <n v="0"/>
    <x v="0"/>
    <x v="3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x v="16"/>
    <n v="0"/>
    <s v="Res Space Heat"/>
    <s v="Res Winter"/>
    <n v="13.7938417954024"/>
    <n v="5.4661370093530302"/>
    <n v="0"/>
    <n v="20"/>
    <n v="5"/>
    <n v="0"/>
    <n v="1.8394725536443701E-4"/>
    <n v="1.0054809003164618E-3"/>
    <s v="SQFT"/>
    <s v="ResSFWx_v6_2"/>
    <s v="Windows - Add a Low-e Storm Window to an existing Double Paned Window - Heating Zone 2/3 (Zonal or DHP)"/>
    <n v="0"/>
    <x v="0"/>
    <x v="3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x v="17"/>
    <n v="0"/>
    <s v="Res Space Heat"/>
    <s v="Res Winter"/>
    <n v="13.7938417954024"/>
    <n v="5.4661370093530302"/>
    <n v="0"/>
    <n v="20"/>
    <n v="4"/>
    <n v="0"/>
    <n v="1.6572221127298301E-4"/>
    <n v="9.0586031231107433E-4"/>
    <s v="SQFT"/>
    <s v="ResSFWx_v6_2"/>
    <s v="Windows - Add a Low-e Storm Window to an existing Double Paned Window - Heating Zone 2/3 (Zonal or DHP)"/>
    <n v="0"/>
    <x v="0"/>
    <x v="3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x v="18"/>
    <n v="3"/>
    <s v="Res Space Heat"/>
    <s v="Res Winter"/>
    <n v="488.7"/>
    <n v="488.7"/>
    <n v="0"/>
    <n v="18"/>
    <n v="230.88884000000002"/>
    <n v="0"/>
    <n v="0"/>
    <n v="0"/>
    <s v="Unit"/>
    <s v="ResDuctSealingMH_v4_1"/>
    <m/>
    <n v="0"/>
    <x v="0"/>
    <x v="4"/>
    <n v="1466.1"/>
    <n v="0"/>
    <n v="1466.1"/>
    <n v="0"/>
    <n v="692.66651999999999"/>
    <n v="1.4556567120506028"/>
    <n v="10.745347994861634"/>
    <n v="2134.1383055373885"/>
    <n v="623.99780754898427"/>
    <n v="1.1231781247807033"/>
    <n v="1.6208674153952058"/>
    <n v="1465.8314465085502"/>
    <n v="0"/>
    <n v="1465.8314465085502"/>
    <n v="1316.6643275489841"/>
  </r>
  <r>
    <x v="19"/>
    <n v="0"/>
    <s v="Res Space Heat"/>
    <s v="Res Winter"/>
    <n v="142.63"/>
    <n v="142.63"/>
    <n v="0"/>
    <n v="15"/>
    <n v="20"/>
    <n v="0"/>
    <n v="7.9687098923800298E-2"/>
    <n v="11.365770919501637"/>
    <s v="Unit"/>
    <s v="ResElectronicLineVoltageTStats_v5_3"/>
    <m/>
    <n v="0"/>
    <x v="0"/>
    <x v="4"/>
    <n v="0"/>
    <n v="0"/>
    <n v="0"/>
    <n v="0"/>
    <n v="0"/>
    <n v="1.2637367945728217"/>
    <n v="9.5406201681044092"/>
    <n v="0"/>
    <n v="0"/>
    <n v="0"/>
    <n v="0"/>
    <n v="0"/>
    <n v="0"/>
    <n v="0"/>
    <n v="0"/>
  </r>
  <r>
    <x v="0"/>
    <n v="0"/>
    <s v="Res Space Heat"/>
    <s v="Res Winter"/>
    <n v="222.03"/>
    <n v="222.03"/>
    <n v="0"/>
    <n v="7"/>
    <n v="150"/>
    <n v="0"/>
    <n v="3.6176761872079799E-2"/>
    <n v="8.0323264384578774"/>
    <s v="Unit"/>
    <s v="ResConnectedTstats_v3_1"/>
    <m/>
    <n v="0"/>
    <x v="0"/>
    <x v="4"/>
    <n v="0"/>
    <n v="0"/>
    <n v="0"/>
    <n v="0"/>
    <n v="0"/>
    <n v="0.68092219236682128"/>
    <n v="5.753949098523548"/>
    <n v="0"/>
    <n v="0"/>
    <n v="0"/>
    <n v="0"/>
    <n v="0"/>
    <n v="0"/>
    <n v="0"/>
    <n v="0"/>
  </r>
  <r>
    <x v="20"/>
    <n v="0"/>
    <s v="Res Space Heat"/>
    <s v="Res Winter"/>
    <n v="222.03"/>
    <n v="222.03"/>
    <n v="0"/>
    <n v="7"/>
    <n v="200"/>
    <n v="0"/>
    <n v="3.5676488966641801E-2"/>
    <n v="7.9212508452634793"/>
    <s v="Unit"/>
    <s v="ResConnectedTstats_v3_1"/>
    <m/>
    <n v="0"/>
    <x v="0"/>
    <x v="4"/>
    <n v="0"/>
    <n v="0"/>
    <n v="0"/>
    <n v="0"/>
    <n v="0"/>
    <n v="0.68092219236682128"/>
    <n v="5.753949098523548"/>
    <n v="0"/>
    <n v="0"/>
    <n v="0"/>
    <n v="0"/>
    <n v="0"/>
    <n v="0"/>
    <n v="0"/>
    <n v="0"/>
  </r>
  <r>
    <x v="8"/>
    <n v="14261"/>
    <s v="Res Space Heat"/>
    <s v="Res Winter"/>
    <n v="1.19"/>
    <n v="1.19"/>
    <n v="0"/>
    <n v="45"/>
    <n v="1.5"/>
    <n v="0"/>
    <n v="0.17126164400424687"/>
    <n v="0.20380135636505375"/>
    <s v="Sq Ft"/>
    <s v="Avista"/>
    <m/>
    <n v="0"/>
    <x v="0"/>
    <x v="4"/>
    <n v="16970.59"/>
    <n v="0"/>
    <n v="16970.59"/>
    <n v="57696.34548685902"/>
    <n v="21391.5"/>
    <n v="2.613850243840278"/>
    <n v="21.866298478700472"/>
    <n v="44358.580809613384"/>
    <n v="12969.945340170118"/>
    <n v="3.749445948466525"/>
    <n v="1.2909404819987638"/>
    <n v="27194.378152939542"/>
    <n v="0"/>
    <n v="27194.378152939542"/>
    <n v="34361.445340170118"/>
  </r>
  <r>
    <x v="21"/>
    <n v="0"/>
    <s v="Res Space Heat"/>
    <s v="Res Winter"/>
    <n v="1.9478912018971424"/>
    <n v="1.3023854988102705"/>
    <n v="0"/>
    <n v="45"/>
    <n v="1"/>
    <n v="0"/>
    <n v="0.26171897953706269"/>
    <n v="0.34085900371249239"/>
    <s v="Sq Ft"/>
    <s v="ResMFWeatherization_v6_1"/>
    <s v="Floor Insulation_R0 - R19_HZ2_Zonal"/>
    <n v="0"/>
    <x v="0"/>
    <x v="4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x v="22"/>
    <n v="0"/>
    <s v="Res Space Heat"/>
    <s v="Res Winter"/>
    <n v="2.7493375167722496"/>
    <n v="1.7387289490161653"/>
    <n v="0"/>
    <n v="45"/>
    <n v="1.5"/>
    <n v="0"/>
    <n v="0.1941131841018737"/>
    <n v="0.33751021258363223"/>
    <s v="Sq Ft"/>
    <s v="ResMFWeatherization_v6_1"/>
    <s v="Floor Insulation_R0 - R30_HZ2_Zonal"/>
    <n v="0"/>
    <x v="0"/>
    <x v="4"/>
    <n v="0"/>
    <n v="0"/>
    <n v="0"/>
    <n v="0"/>
    <n v="0"/>
    <n v="2.613850243840278"/>
    <n v="21.866298478700472"/>
    <n v="0"/>
    <n v="0"/>
    <n v="0"/>
    <n v="0"/>
    <n v="0"/>
    <n v="0"/>
    <n v="0"/>
    <n v="0"/>
  </r>
  <r>
    <x v="23"/>
    <n v="260"/>
    <s v="Res Space Heat"/>
    <s v="Res Winter"/>
    <n v="31.803566470010896"/>
    <n v="31.568913523447165"/>
    <n v="0"/>
    <n v="45"/>
    <n v="10"/>
    <n v="0"/>
    <n v="0.4567079784668403"/>
    <n v="14.417774677688051"/>
    <s v="Sq Ft"/>
    <s v="ResMFWeatherization_v6_1"/>
    <s v="Windows_Single Pane - U30_HZ2_Zonal"/>
    <n v="0"/>
    <x v="0"/>
    <x v="4"/>
    <n v="8207.9175160962623"/>
    <n v="0"/>
    <n v="8268.9272822028324"/>
    <n v="74415.402941279273"/>
    <n v="2600"/>
    <n v="2.613850243840278"/>
    <n v="21.866298478700472"/>
    <n v="21454.267200869104"/>
    <n v="6272.9841178411243"/>
    <n v="7.251910306374473"/>
    <n v="2.417931432755581"/>
    <n v="13152.707877619929"/>
    <n v="0"/>
    <n v="13152.707877619929"/>
    <n v="8872.9841178411243"/>
  </r>
  <r>
    <x v="24"/>
    <n v="187"/>
    <s v="Res Space Heat"/>
    <s v="Res Winter"/>
    <n v="31.803566470010896"/>
    <n v="17.313866707026396"/>
    <n v="0"/>
    <n v="45"/>
    <n v="10"/>
    <n v="0"/>
    <n v="0.4567079784668403"/>
    <n v="7.9073810632103543"/>
    <s v="Sq Ft"/>
    <s v="ResMFWeatherization_v6_1"/>
    <s v="Windows_Double Pane - U30_HZ2_Zonal"/>
    <n v="0"/>
    <x v="0"/>
    <x v="4"/>
    <n v="3237.6930742139361"/>
    <n v="0"/>
    <n v="5947.2669298920373"/>
    <n v="29353.881084371453"/>
    <n v="1870"/>
    <n v="2.613850243840278"/>
    <n v="21.866298478700472"/>
    <n v="8462.8448315140758"/>
    <n v="2474.4397337277078"/>
    <n v="4.9394261957818681"/>
    <n v="1.9479715107597102"/>
    <n v="5188.2138336573516"/>
    <n v="0"/>
    <n v="5188.2138336573516"/>
    <n v="4344.4397337277078"/>
  </r>
  <r>
    <x v="13"/>
    <n v="2"/>
    <s v="Res Space Heat"/>
    <s v="Res Winter"/>
    <n v="1272.1426588004358"/>
    <n v="692.5546682810558"/>
    <n v="0"/>
    <n v="45"/>
    <n v="400"/>
    <n v="0"/>
    <n v="0.4567079784668403"/>
    <n v="316.29524252841418"/>
    <s v="Sq Ft"/>
    <s v="Avista"/>
    <m/>
    <n v="0"/>
    <x v="0"/>
    <x v="4"/>
    <n v="1385.1093365621116"/>
    <n v="0"/>
    <n v="2544.2853176008716"/>
    <n v="12557.810089570678"/>
    <n v="800"/>
    <n v="2.613850243840278"/>
    <n v="21.866298478700472"/>
    <n v="3620.4683771183209"/>
    <n v="1058.5838433059712"/>
    <n v="4.939426195781869"/>
    <n v="1.94797151075971"/>
    <n v="2219.5567202812204"/>
    <n v="0"/>
    <n v="2219.5567202812204"/>
    <n v="1858.5838433059712"/>
  </r>
  <r>
    <x v="25"/>
    <n v="98"/>
    <s v="Res Space Heat"/>
    <s v="Res Winter"/>
    <n v="31.803566470010896"/>
    <n v="31.568913523447165"/>
    <n v="0"/>
    <n v="45"/>
    <n v="5"/>
    <n v="0"/>
    <n v="0.4567079784668403"/>
    <n v="14.417774677688051"/>
    <s v="Sq Ft"/>
    <s v="ResMFWeatherization_v6_1"/>
    <s v="Windows_Single Pane - U30_HZ2_Zonal"/>
    <n v="0"/>
    <x v="0"/>
    <x v="4"/>
    <n v="3093.7535252978223"/>
    <n v="0"/>
    <n v="3116.7495140610677"/>
    <n v="28048.882647097569"/>
    <n v="490"/>
    <n v="2.613850243840278"/>
    <n v="21.866298478700472"/>
    <n v="8086.6084064814322"/>
    <n v="2364.43247518627"/>
    <n v="7.2519103063744739"/>
    <n v="2.8330004218977818"/>
    <n v="4957.5591231028975"/>
    <n v="0"/>
    <n v="4957.5591231028975"/>
    <n v="2854.43247518627"/>
  </r>
  <r>
    <x v="26"/>
    <n v="103"/>
    <s v="Res Space Heat"/>
    <s v="Res Winter"/>
    <n v="31.803566470010896"/>
    <n v="17.313866707026396"/>
    <n v="0"/>
    <n v="45"/>
    <n v="5"/>
    <n v="0"/>
    <n v="0.4567079784668403"/>
    <n v="7.9073810632103543"/>
    <s v="Sq Ft"/>
    <s v="ResMFWeatherization_v6_1"/>
    <s v="Windows_Double Pane - U30_HZ2_Zonal"/>
    <n v="0"/>
    <x v="0"/>
    <x v="4"/>
    <n v="1783.3282708237186"/>
    <n v="0"/>
    <n v="3275.7673464111222"/>
    <n v="16168.180490322246"/>
    <n v="515"/>
    <n v="2.613850243840278"/>
    <n v="21.866298478700472"/>
    <n v="4661.3530355398379"/>
    <n v="1362.9266982564377"/>
    <n v="4.9394261957818681"/>
    <n v="2.4821805025018677"/>
    <n v="2857.6792773620714"/>
    <n v="0"/>
    <n v="2857.6792773620714"/>
    <n v="1877.9266982564377"/>
  </r>
  <r>
    <x v="27"/>
    <n v="2"/>
    <s v="Res Space Heat"/>
    <s v="Res Winter"/>
    <n v="1272.1426588004358"/>
    <n v="692.5546682810558"/>
    <n v="0"/>
    <n v="45"/>
    <n v="200"/>
    <n v="0"/>
    <n v="0.4567079784668403"/>
    <n v="316.29524252841418"/>
    <s v="Sq Ft"/>
    <s v="Avista"/>
    <m/>
    <n v="0"/>
    <x v="0"/>
    <x v="4"/>
    <n v="1385.1093365621116"/>
    <n v="0"/>
    <n v="2544.2853176008716"/>
    <n v="12557.810089570678"/>
    <n v="400"/>
    <n v="2.613850243840278"/>
    <n v="21.866298478700472"/>
    <n v="3620.4683771183209"/>
    <n v="1058.5838433059712"/>
    <n v="4.939426195781869"/>
    <n v="2.4821805025018677"/>
    <n v="2219.5567202812204"/>
    <n v="0"/>
    <n v="2219.5567202812204"/>
    <n v="1458.5838433059712"/>
  </r>
  <r>
    <x v="28"/>
    <n v="0"/>
    <s v="Res Space Heat"/>
    <s v="Res Winter"/>
    <n v="13.793841795402404"/>
    <n v="31.900576478228739"/>
    <n v="0"/>
    <n v="20"/>
    <n v="5"/>
    <n v="0"/>
    <n v="1.0802246396835806"/>
    <n v="34.459788731893148"/>
    <s v="Sq Ft"/>
    <s v="ResMFWeatherization_v6_1"/>
    <s v="Low E Storm Window_Single Pane Metal Frame_HZ2_Zonal"/>
    <n v="0"/>
    <x v="0"/>
    <x v="4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x v="29"/>
    <n v="0"/>
    <s v="Res Space Heat"/>
    <s v="Res Winter"/>
    <n v="13.793841795402404"/>
    <n v="16.474888642234884"/>
    <n v="0"/>
    <n v="20"/>
    <n v="5"/>
    <n v="0"/>
    <n v="1.0802246396835806"/>
    <n v="17.796580647385291"/>
    <s v="Sq Ft"/>
    <s v="ResMFWeatherization_v6_1"/>
    <s v="Low E Storm Window_Double Pane Metal Frame_HZ2_Zonal"/>
    <n v="0"/>
    <x v="0"/>
    <x v="4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x v="30"/>
    <n v="20"/>
    <s v="Res Space Heat"/>
    <s v="Res Winter"/>
    <n v="13.793841795402404"/>
    <n v="31.900576478228739"/>
    <n v="0"/>
    <n v="20"/>
    <n v="4"/>
    <n v="0"/>
    <n v="1.0802246396835806"/>
    <n v="34.459788731893148"/>
    <s v="Sq Ft"/>
    <s v="ResMFWeatherization_v6_1"/>
    <s v="Low E Storm Window_Single Pane Metal Frame_HZ2_Zonal"/>
    <n v="0"/>
    <x v="0"/>
    <x v="4"/>
    <n v="638.01152956457474"/>
    <n v="0"/>
    <n v="275.87683590804806"/>
    <n v="9146.3899796812602"/>
    <n v="80"/>
    <n v="1.5763721980130481"/>
    <n v="11.518504018723075"/>
    <n v="1005.7436372173755"/>
    <n v="294.06801937419635"/>
    <n v="19.593732402511609"/>
    <n v="2.6886651227227389"/>
    <n v="683.48119625941979"/>
    <n v="0"/>
    <n v="683.48119625941979"/>
    <n v="374.06801937419635"/>
  </r>
  <r>
    <x v="31"/>
    <n v="10"/>
    <s v="Res Space Heat"/>
    <s v="Res Winter"/>
    <n v="13.793841795402404"/>
    <n v="16.474888642234884"/>
    <n v="0"/>
    <n v="20"/>
    <n v="4"/>
    <n v="0"/>
    <n v="1.0802246396835806"/>
    <n v="17.796580647385291"/>
    <s v="Sq Ft"/>
    <s v="ResMFWeatherization_v6_1"/>
    <s v="Low E Storm Window_Double Pane Metal Frame_HZ2_Zonal"/>
    <n v="0"/>
    <x v="0"/>
    <x v="4"/>
    <n v="164.74888642234885"/>
    <n v="0"/>
    <n v="137.93841795402403"/>
    <n v="2361.803030370636"/>
    <n v="40"/>
    <n v="1.5763721980130481"/>
    <n v="11.518504018723075"/>
    <n v="259.70556420980006"/>
    <n v="75.934958036555471"/>
    <n v="13.483022095118075"/>
    <n v="2.2400971079655911"/>
    <n v="176.4901741684865"/>
    <n v="0"/>
    <n v="176.4901741684865"/>
    <n v="115.93495803655547"/>
  </r>
  <r>
    <x v="32"/>
    <n v="62"/>
    <s v="Res Space Heat"/>
    <s v="Res Winter"/>
    <n v="1612.9"/>
    <n v="802.88440000000003"/>
    <n v="0"/>
    <n v="15"/>
    <n v="1612.9"/>
    <n v="0"/>
    <n v="0.18999932132924399"/>
    <n v="152.54749110583728"/>
    <s v="Unit"/>
    <s v="Avista"/>
    <s v="N/A"/>
    <n v="13064.49"/>
    <x v="1"/>
    <x v="5"/>
    <n v="49778.832800000004"/>
    <n v="0"/>
    <n v="99999.8"/>
    <n v="103199.28880037344"/>
    <n v="99999.8"/>
    <n v="1.2637367945728217"/>
    <n v="9.5406201681044092"/>
    <n v="62907.342600248448"/>
    <n v="31457.8826678681"/>
    <n v="1.3899324165201132"/>
    <n v="0.47853682891387789"/>
    <n v="43844.547279203893"/>
    <n v="0"/>
    <n v="43844.547279203893"/>
    <n v="131457.6826678681"/>
  </r>
  <r>
    <x v="33"/>
    <n v="12"/>
    <s v="Res Space Heat"/>
    <s v="Res Winter"/>
    <n v="100.23"/>
    <n v="39"/>
    <n v="0"/>
    <n v="20"/>
    <n v="640.54999999999995"/>
    <n v="55"/>
    <n v="1.90514519585486E-5"/>
    <n v="7.430066263833954E-4"/>
    <s v="Unit"/>
    <s v="Avista"/>
    <s v="N/A"/>
    <n v="0"/>
    <x v="1"/>
    <x v="5"/>
    <n v="468"/>
    <n v="0"/>
    <n v="1202.76"/>
    <n v="660.11832623377813"/>
    <n v="7686.5999999999995"/>
    <n v="1.5763721980130481"/>
    <n v="11.518504018723075"/>
    <n v="737.74218867010654"/>
    <n v="215.70743895654735"/>
    <n v="1.0840196427246835"/>
    <n v="9.3357819139408355E-2"/>
    <n v="501.35332204374163"/>
    <n v="0"/>
    <n v="501.35332204374163"/>
    <n v="7902.3074389565472"/>
  </r>
  <r>
    <x v="34"/>
    <n v="65843"/>
    <s v="Res Space Heat"/>
    <s v="Res Winter"/>
    <n v="9.9"/>
    <n v="6.04"/>
    <n v="0"/>
    <n v="45"/>
    <n v="20.45"/>
    <n v="0"/>
    <n v="0.12455658742864401"/>
    <n v="0.75232178806900984"/>
    <s v="SQFT"/>
    <s v="Avista"/>
    <s v="N/A"/>
    <n v="674353.06499999994"/>
    <x v="1"/>
    <x v="5"/>
    <n v="397691.72000000003"/>
    <n v="0"/>
    <n v="651845.70000000007"/>
    <n v="983341.81159541651"/>
    <n v="1346489.3499999999"/>
    <n v="2.613850243840278"/>
    <n v="21.866298478700472"/>
    <n v="1039506.5992952597"/>
    <n v="978292.99110971321"/>
    <n v="1.3649962816752663"/>
    <n v="0.44714147252127739"/>
    <n v="637277.72705444833"/>
    <n v="0"/>
    <n v="637277.72705444833"/>
    <n v="2324782.3411097131"/>
  </r>
  <r>
    <x v="35"/>
    <n v="41"/>
    <s v="Res Space Heat"/>
    <s v="Res Winter"/>
    <n v="7819.5"/>
    <n v="878.44"/>
    <n v="0"/>
    <n v="15"/>
    <n v="483.28384132419274"/>
    <n v="0"/>
    <n v="0.152990537929272"/>
    <n v="134.39300813858969"/>
    <s v="Unit"/>
    <s v="Avista"/>
    <s v="N/A"/>
    <n v="0"/>
    <x v="1"/>
    <x v="5"/>
    <n v="36016.04"/>
    <n v="0"/>
    <n v="320599.5"/>
    <n v="60122.977073725328"/>
    <n v="19814.637494291903"/>
    <n v="1.2637367945728217"/>
    <n v="9.5406201681044092"/>
    <n v="45514.794942806533"/>
    <n v="13308.009223985746"/>
    <n v="0.34800519906917354"/>
    <n v="1.3741291669693378"/>
    <n v="31722.458719234946"/>
    <n v="0"/>
    <n v="31722.458719234946"/>
    <n v="33122.646718277647"/>
  </r>
  <r>
    <x v="36"/>
    <n v="26385"/>
    <s v="Res Space Heat"/>
    <s v="Res Winter"/>
    <n v="1.76"/>
    <n v="0.56999999999999995"/>
    <n v="0"/>
    <n v="45"/>
    <n v="1.76"/>
    <n v="0"/>
    <n v="2.0176896710168628"/>
    <n v="1.1500831124796116"/>
    <s v="SQFT"/>
    <s v="Avista"/>
    <s v="N/A"/>
    <n v="21455.280000000002"/>
    <x v="1"/>
    <x v="5"/>
    <n v="15039.449999999999"/>
    <n v="0"/>
    <n v="46437.599999999999"/>
    <n v="602389.75989155413"/>
    <n v="46437.599999999999"/>
    <n v="2.613850243840278"/>
    <n v="21.866298478700472"/>
    <n v="39310.870049723664"/>
    <n v="32949.332030378522"/>
    <n v="8.8915225073226711"/>
    <n v="0.49518061782108935"/>
    <n v="24099.839222574265"/>
    <n v="0"/>
    <n v="24099.839222574265"/>
    <n v="79386.932030378521"/>
  </r>
  <r>
    <x v="37"/>
    <n v="17705"/>
    <s v="Res Space Heat"/>
    <s v="Res Winter"/>
    <n v="3.05"/>
    <n v="2.68"/>
    <n v="0"/>
    <n v="45"/>
    <n v="3.05"/>
    <n v="0"/>
    <n v="0.88951662591279201"/>
    <n v="2.3839045574462827"/>
    <s v="SQFT"/>
    <s v="Avista"/>
    <s v="N/A"/>
    <n v="16045.439999999999"/>
    <x v="1"/>
    <x v="5"/>
    <n v="47449.4"/>
    <n v="0"/>
    <n v="54000.25"/>
    <n v="837868.86158742663"/>
    <n v="54000.25"/>
    <n v="2.613850243840278"/>
    <n v="21.866298478700472"/>
    <n v="124025.62576007489"/>
    <n v="52309.124670000747"/>
    <n v="9.9528751755590061"/>
    <n v="1.1666480603904208"/>
    <n v="76034.888989132945"/>
    <n v="0"/>
    <n v="76034.888989132945"/>
    <n v="106309.37467000075"/>
  </r>
  <r>
    <x v="38"/>
    <n v="24209"/>
    <s v="Res Space Heat"/>
    <s v="Res Winter"/>
    <n v="3.03"/>
    <n v="1.17"/>
    <n v="0"/>
    <n v="45"/>
    <n v="3.03"/>
    <n v="0"/>
    <n v="1.958369308265123"/>
    <n v="2.2912920906701939"/>
    <s v="SQFT"/>
    <s v="Avista"/>
    <s v="N/A"/>
    <n v="40039.631999999998"/>
    <x v="1"/>
    <x v="5"/>
    <n v="28324.53"/>
    <n v="0"/>
    <n v="73353.26999999999"/>
    <n v="1101155.2711666641"/>
    <n v="73353.26999999999"/>
    <n v="2.613850243840278"/>
    <n v="21.866298478700472"/>
    <n v="74036.07964716127"/>
    <n v="61686.941014360054"/>
    <n v="9.5727818861134821"/>
    <n v="0.54825210277025072"/>
    <n v="45388.403103503217"/>
    <n v="0"/>
    <n v="45388.403103503217"/>
    <n v="135040.21101436004"/>
  </r>
  <r>
    <x v="7"/>
    <n v="10729"/>
    <s v="Res Space Heat"/>
    <s v="Res Winter"/>
    <n v="2.17"/>
    <n v="2.3068759999999999"/>
    <n v="0"/>
    <n v="45"/>
    <n v="2.17"/>
    <n v="0"/>
    <n v="2.1752617543823201"/>
    <n v="5.0180591349024688"/>
    <s v="SQFT"/>
    <s v="Avista"/>
    <s v="N/A"/>
    <n v="8606.2199999999993"/>
    <x v="1"/>
    <x v="5"/>
    <n v="24750.472603999999"/>
    <n v="0"/>
    <n v="23281.93"/>
    <n v="1068774.9737527317"/>
    <n v="23281.93"/>
    <n v="2.613850243840278"/>
    <n v="21.866298478700472"/>
    <n v="64694.028851127514"/>
    <n v="27522.019439928597"/>
    <n v="24.54171214264553"/>
    <n v="1.2734055041847243"/>
    <n v="39661.185112429579"/>
    <n v="0"/>
    <n v="39661.185112429579"/>
    <n v="50803.949439928598"/>
  </r>
  <r>
    <x v="39"/>
    <n v="4"/>
    <s v="Res Space Heat"/>
    <s v="Res Winter"/>
    <n v="654.20000000000005"/>
    <n v="709.93"/>
    <n v="0"/>
    <n v="20"/>
    <n v="654.20000000000005"/>
    <n v="0"/>
    <n v="0.39855351241470938"/>
    <n v="282.94509506857463"/>
    <s v="Unit"/>
    <s v="Avista"/>
    <s v="N/A"/>
    <n v="4121.46"/>
    <x v="1"/>
    <x v="5"/>
    <n v="2839.72"/>
    <n v="0"/>
    <n v="2616.8000000000002"/>
    <n v="15019.977066429321"/>
    <n v="2616.8000000000002"/>
    <n v="1.5763721980130481"/>
    <n v="11.518504018723075"/>
    <n v="4476.4556581416127"/>
    <n v="5430.3248046018944"/>
    <n v="2.6650606915856088"/>
    <n v="0.55628013319510972"/>
    <n v="3042.1005463120814"/>
    <n v="0"/>
    <n v="3042.1005463120814"/>
    <n v="8047.1248046018945"/>
  </r>
  <r>
    <x v="40"/>
    <n v="2"/>
    <s v="Res Space Heat"/>
    <s v="Res Winter"/>
    <n v="6286.7"/>
    <n v="3016.23"/>
    <n v="0"/>
    <n v="15"/>
    <n v="6286.7"/>
    <n v="0"/>
    <n v="0.115691808568313"/>
    <n v="348.95310375800273"/>
    <s v="Unit"/>
    <s v="Avista"/>
    <s v="N/A"/>
    <n v="0"/>
    <x v="1"/>
    <x v="5"/>
    <n v="6032.46"/>
    <n v="0"/>
    <n v="12573.4"/>
    <n v="7615.1244762247297"/>
    <n v="12573.4"/>
    <n v="1.2637367945728217"/>
    <n v="9.5406201681044092"/>
    <n v="7623.4416637887643"/>
    <n v="2229.0077788486751"/>
    <n v="1.1324119024721679"/>
    <n v="0.51501362330268896"/>
    <n v="5313.3121610659045"/>
    <n v="0"/>
    <n v="5313.3121610659045"/>
    <n v="14802.407778848676"/>
  </r>
  <r>
    <x v="41"/>
    <n v="2"/>
    <s v="Res Space Heat"/>
    <s v="Res Winter"/>
    <n v="6286.7"/>
    <n v="3016.23"/>
    <n v="0"/>
    <n v="15"/>
    <n v="6286.7"/>
    <n v="0"/>
    <n v="9.6951129305975603E-2"/>
    <n v="292.4269047465628"/>
    <s v="Unit"/>
    <s v="Avista"/>
    <s v="N/A"/>
    <n v="0"/>
    <x v="1"/>
    <x v="5"/>
    <n v="6032.46"/>
    <n v="0"/>
    <n v="12573.4"/>
    <n v="6381.5660495930406"/>
    <n v="12573.4"/>
    <n v="1.2637367945728217"/>
    <n v="9.5406201681044092"/>
    <n v="7623.4416637887643"/>
    <n v="2229.0077788486751"/>
    <n v="1.0407434192383951"/>
    <n v="0.51501362330268896"/>
    <n v="5313.3121610659045"/>
    <n v="0"/>
    <n v="5313.3121610659045"/>
    <n v="14802.407778848676"/>
  </r>
  <r>
    <x v="42"/>
    <n v="0"/>
    <s v="Res Water Heating"/>
    <s v="Res Annual"/>
    <n v="697.39"/>
    <n v="587.33000000000004"/>
    <n v="0"/>
    <n v="13"/>
    <n v="697.39"/>
    <n v="0"/>
    <n v="7.2573394824780604E-2"/>
    <n v="42.624531982438398"/>
    <s v="Unit"/>
    <s v="Avista"/>
    <s v="N/A"/>
    <n v="0"/>
    <x v="1"/>
    <x v="5"/>
    <n v="0"/>
    <n v="0"/>
    <n v="0"/>
    <n v="0"/>
    <n v="0"/>
    <n v="0.85495862916855769"/>
    <n v="8.2322006748253056"/>
    <n v="0"/>
    <n v="0"/>
    <n v="0"/>
    <n v="0"/>
    <n v="0"/>
    <n v="0"/>
    <n v="0"/>
    <n v="0"/>
  </r>
  <r>
    <x v="43"/>
    <n v="15"/>
    <s v="Res Space Heat"/>
    <s v="Res Winter"/>
    <n v="7819.5"/>
    <n v="7234.2980219999999"/>
    <n v="0"/>
    <n v="15"/>
    <n v="7819.5"/>
    <n v="0"/>
    <n v="0.111775809843256"/>
    <n v="808.61952005651494"/>
    <s v="Unit"/>
    <s v="Avista"/>
    <s v="N/A"/>
    <n v="0"/>
    <x v="1"/>
    <x v="5"/>
    <n v="108514.47033"/>
    <n v="0"/>
    <n v="117292.5"/>
    <n v="132347.40355123382"/>
    <n v="117292.5"/>
    <n v="1.2637367945728217"/>
    <n v="9.5406201681044092"/>
    <n v="137133.72889960176"/>
    <n v="40096.345186410479"/>
    <n v="1.8834196625868245"/>
    <n v="0.87130526141913889"/>
    <n v="95578.131451516339"/>
    <n v="0"/>
    <n v="95578.131451516339"/>
    <n v="157388.84518641047"/>
  </r>
  <r>
    <x v="44"/>
    <n v="1"/>
    <s v="Res Misc"/>
    <s v="Res Winter"/>
    <n v="1"/>
    <n v="1"/>
    <n v="0"/>
    <n v="1"/>
    <n v="1"/>
    <n v="250000"/>
    <n v="2.5793786734219101E-2"/>
    <n v="2.5793786734219101E-2"/>
    <s v="Unit"/>
    <s v="Avista"/>
    <s v="N/A"/>
    <n v="0.3"/>
    <x v="1"/>
    <x v="5"/>
    <n v="1"/>
    <n v="0"/>
    <n v="1"/>
    <n v="250000.02473749567"/>
    <n v="1"/>
    <n v="0.13034168090927176"/>
    <n v="2.0751542657607067"/>
    <n v="0.13034168090927176"/>
    <n v="0.33811042747726455"/>
    <n v="205513.80883082363"/>
    <n v="9.7407267915103624E-2"/>
    <n v="7.7416148635099366E-2"/>
    <n v="0"/>
    <n v="7.7416148635099366E-2"/>
    <n v="1.3381104274772646"/>
  </r>
  <r>
    <x v="45"/>
    <n v="30"/>
    <s v="Res Lighting"/>
    <s v="Res Annual"/>
    <n v="1.1000000000000001"/>
    <n v="9"/>
    <n v="0"/>
    <n v="13"/>
    <n v="1.1000000000000001"/>
    <n v="0"/>
    <n v="6.3892460096552306E-2"/>
    <n v="0.5750321408689707"/>
    <s v="Unit"/>
    <s v="Avista"/>
    <s v="N/A"/>
    <n v="9.57"/>
    <x v="1"/>
    <x v="5"/>
    <n v="270"/>
    <n v="0"/>
    <n v="33"/>
    <n v="169.41160530283963"/>
    <n v="33"/>
    <n v="0.97701138198465576"/>
    <n v="8.2322006748253056"/>
    <n v="263.79307313585707"/>
    <n v="86.700099233158568"/>
    <n v="3.9809920738191202"/>
    <n v="2.2037832451753121"/>
    <n v="214.03484512069514"/>
    <n v="0"/>
    <n v="214.03484512069514"/>
    <n v="119.70009923315857"/>
  </r>
  <r>
    <x v="46"/>
    <n v="1"/>
    <s v="Res Space Heat"/>
    <s v="Res Winter"/>
    <n v="16.738486450182716"/>
    <n v="16.070522095305463"/>
    <n v="0"/>
    <n v="5"/>
    <n v="20"/>
    <n v="0"/>
    <n v="0.44043387578069898"/>
    <n v="7.0780023322547452"/>
    <s v="Unit"/>
    <s v="ResDoorSweep_v2_1"/>
    <s v="DoorSweep - CFM50 reduction - Heating Zone 2/3 (Zonal or DHP) - Leave Behind"/>
    <n v="24"/>
    <x v="1"/>
    <x v="5"/>
    <n v="16.070522095305463"/>
    <n v="0"/>
    <n v="16.738486450182716"/>
    <n v="31.27242824501419"/>
    <n v="20"/>
    <n v="0.51536228732460598"/>
    <n v="4.6339660270664194"/>
    <n v="8.2821410255372427"/>
    <n v="26.421603992739072"/>
    <n v="1.0081078549904239"/>
    <n v="0.17841134974208722"/>
    <n v="5.7315465628600402"/>
    <n v="0"/>
    <n v="5.7315465628600402"/>
    <n v="46.421603992739072"/>
  </r>
  <r>
    <x v="16"/>
    <n v="0"/>
    <s v="Res Space Heat"/>
    <s v="Res Winter"/>
    <n v="10.47"/>
    <n v="6.17"/>
    <n v="0"/>
    <n v="20"/>
    <n v="10.47"/>
    <n v="0"/>
    <n v="0.46156657398244505"/>
    <n v="2.8478657614716858"/>
    <s v="SQFT"/>
    <s v="ResSFWx_v6_2"/>
    <m/>
    <n v="0"/>
    <x v="1"/>
    <x v="5"/>
    <n v="0"/>
    <n v="0"/>
    <n v="0"/>
    <n v="0"/>
    <n v="0"/>
    <n v="1.5763721980130481"/>
    <n v="11.518504018723075"/>
    <n v="0"/>
    <n v="0"/>
    <n v="0"/>
    <n v="0"/>
    <n v="0"/>
    <n v="0"/>
    <n v="0"/>
    <n v="0"/>
  </r>
  <r>
    <x v="47"/>
    <n v="1"/>
    <s v="Res Space Heat"/>
    <s v="Res Winter"/>
    <n v="57040.824871519762"/>
    <n v="103651"/>
    <n v="0"/>
    <n v="20"/>
    <n v="26949.232427313964"/>
    <n v="0"/>
    <n v="0.46000000000000008"/>
    <n v="47679.460000000006"/>
    <s v="Unit"/>
    <s v="Avista"/>
    <s v="N/A"/>
    <n v="0"/>
    <x v="0"/>
    <x v="6"/>
    <n v="103651"/>
    <n v="0"/>
    <n v="57040.824871519762"/>
    <n v="632759.1538264422"/>
    <n v="26949.232427313964"/>
    <n v="1.5763721980130481"/>
    <n v="11.518504018723075"/>
    <n v="163392.55469625044"/>
    <n v="47774.127682233091"/>
    <n v="8.3553620741834287"/>
    <n v="2.1866328609515318"/>
    <n v="111037.97688708518"/>
    <n v="0"/>
    <n v="111037.97688708518"/>
    <n v="74723.360109547051"/>
  </r>
  <r>
    <x v="48"/>
    <n v="722"/>
    <s v="Res Space Heat"/>
    <s v="Res Winter"/>
    <n v="634.41"/>
    <n v="1613.0079365079366"/>
    <n v="0"/>
    <n v="13"/>
    <n v="212.30158730158729"/>
    <n v="0"/>
    <n v="2.6794872628757198E-3"/>
    <n v="4.3220342207904636"/>
    <s v="Unit"/>
    <s v="2023 Evaluation Results"/>
    <s v="N/A"/>
    <n v="0"/>
    <x v="0"/>
    <x v="7"/>
    <n v="1164591.7301587302"/>
    <n v="0"/>
    <n v="458044.01999999996"/>
    <n v="30644.686439327157"/>
    <n v="153281.74603174604"/>
    <n v="1.1290749420459538"/>
    <n v="8.680255915629008"/>
    <n v="1314911.3402361653"/>
    <n v="384465.14515939797"/>
    <n v="1.756789944312372"/>
    <n v="2.4452235090072802"/>
    <n v="923197.07627172663"/>
    <n v="0"/>
    <n v="923197.07627172663"/>
    <n v="537746.89119114401"/>
  </r>
  <r>
    <x v="49"/>
    <n v="2230"/>
    <s v="Res Water Heating"/>
    <s v="Res Winter"/>
    <n v="775.88"/>
    <n v="2023.5382308845578"/>
    <n v="0"/>
    <n v="15"/>
    <n v="425.71214392803597"/>
    <n v="0"/>
    <n v="6.1837538488303506E-2"/>
    <n v="125.13062323487743"/>
    <s v="Unit"/>
    <s v="2023 Evaluation Results"/>
    <s v="N/A"/>
    <n v="0"/>
    <x v="0"/>
    <x v="7"/>
    <n v="4512490.2548725642"/>
    <n v="0"/>
    <n v="1730212.4"/>
    <n v="3044727.4047057056"/>
    <n v="949338.08095952019"/>
    <n v="0.95494501118451747"/>
    <n v="9.5406201681044092"/>
    <n v="4309180.0569093069"/>
    <n v="1259955.3182042385"/>
    <n v="2.7052991571437963"/>
    <n v="1.950478853800214"/>
    <n v="3974542.6157663334"/>
    <n v="0"/>
    <n v="3974542.6157663334"/>
    <n v="2209293.3991637588"/>
  </r>
  <r>
    <x v="50"/>
    <n v="1"/>
    <s v="Res Space Heat"/>
    <s v="Res Winter"/>
    <n v="2000000"/>
    <n v="0"/>
    <n v="0"/>
    <n v="12"/>
    <n v="2000000"/>
    <n v="0"/>
    <n v="0.46000000000000008"/>
    <n v="0"/>
    <s v="Unit"/>
    <s v="Avista"/>
    <s v="N/A"/>
    <n v="0"/>
    <x v="2"/>
    <x v="8"/>
    <n v="0"/>
    <n v="0"/>
    <n v="2000000"/>
    <n v="0"/>
    <n v="2000000"/>
    <n v="1.0592064232112075"/>
    <n v="8.2409523422861337"/>
    <n v="0"/>
    <n v="0"/>
    <n v="0"/>
    <n v="0"/>
    <n v="0"/>
    <n v="0"/>
    <n v="0"/>
    <n v="2000000"/>
  </r>
  <r>
    <x v="51"/>
    <n v="0"/>
    <s v="Res Misc"/>
    <s v="Res Winter"/>
    <n v="228888.88888888888"/>
    <n v="257500"/>
    <n v="0"/>
    <n v="15"/>
    <n v="206000"/>
    <n v="0"/>
    <n v="0"/>
    <n v="0"/>
    <s v="Unit"/>
    <s v="Avista"/>
    <s v="N/A"/>
    <n v="0"/>
    <x v="0"/>
    <x v="9"/>
    <n v="0"/>
    <n v="0"/>
    <n v="0"/>
    <n v="0"/>
    <n v="0"/>
    <n v="0.87313812138574998"/>
    <n v="9.5406201681044092"/>
    <n v="0"/>
    <n v="0"/>
    <n v="0"/>
    <n v="0"/>
    <n v="0"/>
    <n v="0"/>
    <n v="0"/>
    <n v="0"/>
  </r>
  <r>
    <x v="52"/>
    <n v="2000"/>
    <s v="NonRes Interior Lighting"/>
    <s v="Com Annual"/>
    <n v="18.817234087169748"/>
    <n v="26.325000000000003"/>
    <n v="0"/>
    <n v="12"/>
    <n v="6"/>
    <n v="0"/>
    <n v="2.6991026764868101E-2"/>
    <n v="0.71053877958515288"/>
    <s v="Unit"/>
    <s v="Avista"/>
    <s v="N/A"/>
    <n v="0"/>
    <x v="3"/>
    <x v="10"/>
    <n v="52650.000000000007"/>
    <n v="0"/>
    <n v="37634.468174339498"/>
    <n v="13130.394780236833"/>
    <n v="12000"/>
    <n v="0.7435008907391103"/>
    <n v="7.4795347883823"/>
    <n v="39145.321897414164"/>
    <n v="11445.647630430833"/>
    <n v="1.1716208774680008"/>
    <n v="1.6696199872340587"/>
    <n v="39268.952209160299"/>
    <n v="0"/>
    <n v="39268.952209160299"/>
    <n v="23445.647630430831"/>
  </r>
  <r>
    <x v="53"/>
    <n v="200"/>
    <s v="NonRes Interior Lighting"/>
    <s v="Com Annual"/>
    <n v="19.216742047807266"/>
    <n v="38.564897959183668"/>
    <n v="0"/>
    <n v="12"/>
    <n v="10"/>
    <n v="0"/>
    <n v="2.6991026764868101E-2"/>
    <n v="1.0409061930007335"/>
    <s v="Unit"/>
    <s v="Avista"/>
    <s v="N/A"/>
    <n v="0"/>
    <x v="3"/>
    <x v="10"/>
    <n v="7712.9795918367336"/>
    <n v="0"/>
    <n v="3843.3484095614531"/>
    <n v="1923.5416329102798"/>
    <n v="2000"/>
    <n v="0.7435008907391103"/>
    <n v="7.4795347883823"/>
    <n v="5734.6071967831904"/>
    <n v="1676.7340282785842"/>
    <n v="1.5260575919875294"/>
    <n v="1.5597013960425319"/>
    <n v="5752.7184611978237"/>
    <n v="0"/>
    <n v="5752.7184611978237"/>
    <n v="3676.7340282785844"/>
  </r>
  <r>
    <x v="54"/>
    <n v="17500"/>
    <s v="NonRes Interior Lighting"/>
    <s v="Com Annual"/>
    <n v="21.178934796493305"/>
    <n v="52.675244395953186"/>
    <n v="0"/>
    <n v="12"/>
    <n v="12"/>
    <n v="0"/>
    <n v="2.6991026764868101E-2"/>
    <n v="1.4217589313371408"/>
    <s v="Unit"/>
    <s v="Avista"/>
    <s v="N/A"/>
    <n v="0"/>
    <x v="3"/>
    <x v="10"/>
    <n v="921816.77692918072"/>
    <n v="0"/>
    <n v="370631.35893863282"/>
    <n v="229892.08349716343"/>
    <n v="210000"/>
    <n v="0.7435008907391103"/>
    <n v="7.4795347883823"/>
    <n v="685371.59474510164"/>
    <n v="200394.87195728137"/>
    <n v="1.7631239890449235"/>
    <n v="1.6700296265311108"/>
    <n v="687536.16256095306"/>
    <n v="0"/>
    <n v="687536.16256095306"/>
    <n v="410394.87195728137"/>
  </r>
  <r>
    <x v="55"/>
    <n v="700"/>
    <s v="NonRes Interior Lighting"/>
    <s v="Com Annual"/>
    <n v="43.319454639656684"/>
    <n v="109.48840336134452"/>
    <n v="0"/>
    <n v="12"/>
    <n v="25"/>
    <n v="0"/>
    <n v="2.5250287948902599E-2"/>
    <n v="2.7646137119395444"/>
    <s v="Unit"/>
    <s v="Avista"/>
    <s v="N/A"/>
    <n v="0"/>
    <x v="3"/>
    <x v="10"/>
    <n v="76641.88235294116"/>
    <n v="0"/>
    <n v="30323.618247759678"/>
    <n v="17881.02869745639"/>
    <n v="17500"/>
    <n v="0.7435008907391103"/>
    <n v="7.4795347883823"/>
    <n v="56983.307797333851"/>
    <n v="16661.272158493819"/>
    <n v="1.7527075072906571"/>
    <n v="1.6680674985684216"/>
    <n v="57163.274745256072"/>
    <n v="0"/>
    <n v="57163.274745256072"/>
    <n v="34161.272158493819"/>
  </r>
  <r>
    <x v="56"/>
    <n v="200"/>
    <s v="NonRes Interior Lighting"/>
    <s v="Com Annual"/>
    <n v="32.129354575163404"/>
    <n v="64.61866666666667"/>
    <n v="0"/>
    <n v="12"/>
    <n v="15"/>
    <n v="0"/>
    <n v="2.6991026764868101E-2"/>
    <n v="1.7441241615100902"/>
    <s v="Unit"/>
    <s v="Avista"/>
    <s v="N/A"/>
    <n v="0"/>
    <x v="3"/>
    <x v="10"/>
    <n v="12923.733333333334"/>
    <n v="0"/>
    <n v="6425.8709150326813"/>
    <n v="3223.0526249035656"/>
    <n v="3000"/>
    <n v="0.7435008907391103"/>
    <n v="7.4795347883823"/>
    <n v="9608.8072450080654"/>
    <n v="2809.506131110857"/>
    <n v="1.528367037575026"/>
    <n v="1.6539800506537603"/>
    <n v="9639.1541620246644"/>
    <n v="0"/>
    <n v="9639.1541620246644"/>
    <n v="5809.5061311108566"/>
  </r>
  <r>
    <x v="57"/>
    <n v="50"/>
    <s v="NonRes Interior Lighting"/>
    <s v="Com Annual"/>
    <n v="18.153024691358027"/>
    <n v="110.63"/>
    <n v="0"/>
    <n v="12"/>
    <n v="17"/>
    <n v="0"/>
    <n v="2.5250287948902599E-2"/>
    <n v="2.7934393557870942"/>
    <s v="Unit"/>
    <s v="Avista"/>
    <s v="N/A"/>
    <n v="0"/>
    <x v="3"/>
    <x v="10"/>
    <n v="5531.5"/>
    <n v="0"/>
    <n v="907.65123456790138"/>
    <n v="1290.5334159787155"/>
    <n v="850"/>
    <n v="0.7435008907391103"/>
    <n v="7.4795347883823"/>
    <n v="4112.6751771233885"/>
    <n v="1202.4995226539058"/>
    <n v="2.8166373573409875"/>
    <n v="2.0037398945679907"/>
    <n v="4125.6639913574591"/>
    <n v="0"/>
    <n v="4125.6639913574591"/>
    <n v="2052.4995226539058"/>
  </r>
  <r>
    <x v="58"/>
    <n v="500"/>
    <s v="NonRes Interior Lighting"/>
    <s v="Com Annual"/>
    <n v="38.7834285122455"/>
    <n v="115.44427555555558"/>
    <n v="0"/>
    <n v="12"/>
    <n v="30"/>
    <n v="0"/>
    <n v="2.6991026764868101E-2"/>
    <n v="3.1159595313708088"/>
    <s v="Unit"/>
    <s v="Avista"/>
    <s v="N/A"/>
    <n v="0"/>
    <x v="3"/>
    <x v="10"/>
    <n v="57722.137777777789"/>
    <n v="0"/>
    <n v="19391.714256122748"/>
    <n v="14395.336307339878"/>
    <n v="15000"/>
    <n v="0.7435008907391103"/>
    <n v="7.4795347883823"/>
    <n v="42916.460853143435"/>
    <n v="12548.285840068836"/>
    <n v="1.9737938849927765"/>
    <n v="1.5578632043494216"/>
    <n v="43052.001325852274"/>
    <n v="0"/>
    <n v="43052.001325852274"/>
    <n v="27548.285840068835"/>
  </r>
  <r>
    <x v="59"/>
    <n v="5"/>
    <s v="NonRes Interior Lighting"/>
    <s v="Com Annual"/>
    <n v="52.187423483923489"/>
    <n v="21.84"/>
    <n v="0"/>
    <n v="12"/>
    <n v="5"/>
    <n v="0"/>
    <n v="2.5250287948902599E-2"/>
    <n v="0.5514662888040327"/>
    <s v="Unit"/>
    <s v="Avista"/>
    <s v="N/A"/>
    <n v="0"/>
    <x v="3"/>
    <x v="10"/>
    <n v="109.2"/>
    <n v="0"/>
    <n v="260.93711741961744"/>
    <n v="25.477040409450552"/>
    <n v="25"/>
    <n v="0.7435008907391103"/>
    <n v="7.4795347883823"/>
    <n v="81.19029726871085"/>
    <n v="23.739121011263951"/>
    <n v="0.41216671996481347"/>
    <n v="1.6658137361555456"/>
    <n v="81.446715693073216"/>
    <n v="0"/>
    <n v="81.446715693073216"/>
    <n v="48.739121011263947"/>
  </r>
  <r>
    <x v="60"/>
    <n v="5"/>
    <s v="NonRes Interior Lighting"/>
    <s v="Com Annual"/>
    <n v="20"/>
    <n v="15.288"/>
    <n v="0"/>
    <n v="12"/>
    <n v="3"/>
    <n v="0"/>
    <n v="2.5250287948902599E-2"/>
    <n v="0.38602640216282291"/>
    <s v="Unit"/>
    <s v="Avista"/>
    <s v="N/A"/>
    <n v="0"/>
    <x v="3"/>
    <x v="10"/>
    <n v="76.44"/>
    <n v="0"/>
    <n v="100"/>
    <n v="17.833928286615389"/>
    <n v="15"/>
    <n v="0.7435008907391103"/>
    <n v="7.4795347883823"/>
    <n v="56.833208088097592"/>
    <n v="16.617384707884764"/>
    <n v="0.70430193763924309"/>
    <n v="1.797530333807922"/>
    <n v="57.012700985151248"/>
    <n v="0"/>
    <n v="57.012700985151248"/>
    <n v="31.617384707884764"/>
  </r>
  <r>
    <x v="61"/>
    <n v="25"/>
    <s v="NonRes Interior Lighting"/>
    <s v="Com Annual"/>
    <n v="34.257603725380903"/>
    <n v="76.207733333333323"/>
    <n v="0"/>
    <n v="12"/>
    <n v="17"/>
    <n v="0"/>
    <n v="2.5250287948902599E-2"/>
    <n v="1.9242672105998493"/>
    <s v="Unit"/>
    <s v="Avista"/>
    <s v="N/A"/>
    <n v="0"/>
    <x v="3"/>
    <x v="10"/>
    <n v="1905.1933333333332"/>
    <n v="0"/>
    <n v="856.44009313452261"/>
    <n v="444.49347565154886"/>
    <n v="425"/>
    <n v="0.7435008907391103"/>
    <n v="7.4795347883823"/>
    <n v="1416.5129403635478"/>
    <n v="414.17229935763118"/>
    <n v="1.611118441558288"/>
    <n v="1.6879882015265029"/>
    <n v="1420.9866278419272"/>
    <n v="0"/>
    <n v="1420.9866278419272"/>
    <n v="839.17229935763112"/>
  </r>
  <r>
    <x v="62"/>
    <n v="5"/>
    <s v="NonRes Interior Lighting"/>
    <s v="Com Annual"/>
    <n v="28.343333333333334"/>
    <n v="80.73866666666666"/>
    <n v="0"/>
    <n v="12"/>
    <n v="9"/>
    <n v="0"/>
    <n v="2.5250287948902599E-2"/>
    <n v="2.038674581943797"/>
    <s v="Unit"/>
    <s v="Avista"/>
    <s v="N/A"/>
    <n v="0"/>
    <x v="3"/>
    <x v="10"/>
    <n v="403.69333333333327"/>
    <n v="0"/>
    <n v="141.71666666666667"/>
    <n v="94.184170021603705"/>
    <n v="45"/>
    <n v="0.7435008907391103"/>
    <n v="7.4795347883823"/>
    <n v="300.14635291877386"/>
    <n v="87.759385452751943"/>
    <n v="1.8902346071767269"/>
    <n v="2.2608296347198271"/>
    <n v="301.09428706217062"/>
    <n v="0"/>
    <n v="301.09428706217062"/>
    <n v="132.75938545275193"/>
  </r>
  <r>
    <x v="63"/>
    <n v="300"/>
    <s v="NonRes Interior Lighting"/>
    <s v="Com Annual"/>
    <n v="153.76790967224497"/>
    <n v="122.38964050480111"/>
    <n v="0"/>
    <n v="12"/>
    <n v="30"/>
    <n v="0"/>
    <n v="2.6991026764868101E-2"/>
    <n v="3.3034220626076718"/>
    <s v="Unit"/>
    <s v="Avista"/>
    <s v="N/A"/>
    <n v="0"/>
    <x v="3"/>
    <x v="10"/>
    <n v="36716.892151440334"/>
    <n v="0"/>
    <n v="46130.372901673487"/>
    <n v="9156.8336002239466"/>
    <n v="9000"/>
    <n v="0.7435008907391103"/>
    <n v="7.4795347883823"/>
    <n v="27299.042019767738"/>
    <n v="7981.9299078806735"/>
    <n v="0.74107848123052844"/>
    <n v="1.6075347247252083"/>
    <n v="27385.258939483443"/>
    <n v="0"/>
    <n v="27385.258939483443"/>
    <n v="16981.929907880673"/>
  </r>
  <r>
    <x v="64"/>
    <n v="500"/>
    <s v="NonRes Interior Lighting"/>
    <s v="Com Annual"/>
    <n v="115.39267271925192"/>
    <n v="111.20735033217994"/>
    <n v="0"/>
    <n v="12"/>
    <n v="25"/>
    <n v="0"/>
    <n v="2.5250287948902599E-2"/>
    <n v="2.8080176179220326"/>
    <s v="Unit"/>
    <s v="Avista"/>
    <s v="N/A"/>
    <n v="0"/>
    <x v="3"/>
    <x v="10"/>
    <n v="55603.675166089968"/>
    <n v="0"/>
    <n v="57696.336359625959"/>
    <n v="12972.683874729273"/>
    <n v="12500"/>
    <n v="0.7435008907391103"/>
    <n v="7.4795347883823"/>
    <n v="41341.382014356037"/>
    <n v="12087.75067251668"/>
    <n v="0.85614751183138649"/>
    <n v="1.6813812115219622"/>
    <n v="41471.948010462678"/>
    <n v="0"/>
    <n v="41471.948010462678"/>
    <n v="24587.750672516682"/>
  </r>
  <r>
    <x v="65"/>
    <n v="1500"/>
    <s v="NonRes Interior Lighting"/>
    <s v="Com Annual"/>
    <n v="178.3030596375973"/>
    <n v="241.3422072163556"/>
    <n v="0"/>
    <n v="12"/>
    <n v="50"/>
    <n v="0"/>
    <n v="2.5250287948902599E-2"/>
    <n v="6.0939602264366979"/>
    <s v="Unit"/>
    <s v="Avista"/>
    <s v="N/A"/>
    <n v="0"/>
    <x v="3"/>
    <x v="10"/>
    <n v="362013.3108245334"/>
    <n v="0"/>
    <n v="267454.58945639594"/>
    <n v="84459.961068091798"/>
    <n v="75000"/>
    <n v="0.7435008907391103"/>
    <n v="7.4795347883823"/>
    <n v="269157.21905745496"/>
    <n v="78698.514591134677"/>
    <n v="1.1237192259431259"/>
    <n v="1.7512024743600219"/>
    <n v="270007.28208639118"/>
    <n v="0"/>
    <n v="270007.28208639118"/>
    <n v="153698.51459113468"/>
  </r>
  <r>
    <x v="66"/>
    <n v="150"/>
    <s v="NonRes Interior Lighting"/>
    <s v="Com Annual"/>
    <n v="215.40337250782392"/>
    <n v="291.04988331250001"/>
    <n v="0"/>
    <n v="12"/>
    <n v="70"/>
    <n v="0"/>
    <n v="2.5250287948902599E-2"/>
    <n v="7.349093361135127"/>
    <s v="Unit"/>
    <s v="Avista"/>
    <s v="N/A"/>
    <n v="0"/>
    <x v="3"/>
    <x v="10"/>
    <n v="43657.482496875004"/>
    <n v="0"/>
    <n v="32310.505876173589"/>
    <n v="10185.562689997845"/>
    <n v="10500"/>
    <n v="0.7435008907391103"/>
    <n v="7.4795347883823"/>
    <n v="32459.377123853683"/>
    <n v="9490.7532970737484"/>
    <n v="1.122201453329869"/>
    <n v="1.6237195588124782"/>
    <n v="32561.891619032034"/>
    <n v="0"/>
    <n v="32561.891619032034"/>
    <n v="19990.753297073748"/>
  </r>
  <r>
    <x v="67"/>
    <n v="100"/>
    <s v="NonRes Interior Lighting"/>
    <s v="Com Annual"/>
    <n v="320.74232400240794"/>
    <n v="427.80785185185186"/>
    <n v="0"/>
    <n v="12"/>
    <n v="110"/>
    <n v="0"/>
    <n v="2.5250287948902599E-2"/>
    <n v="10.802271446060724"/>
    <s v="Unit"/>
    <s v="Avista"/>
    <s v="N/A"/>
    <n v="0"/>
    <x v="3"/>
    <x v="10"/>
    <n v="42780.785185185188"/>
    <n v="0"/>
    <n v="32074.232400240795"/>
    <n v="9981.0237446061074"/>
    <n v="11000"/>
    <n v="0.7435008907391103"/>
    <n v="7.4795347883823"/>
    <n v="31807.551891703723"/>
    <n v="9300.1670006227014"/>
    <n v="1.1110114917820768"/>
    <n v="1.5668615874306866"/>
    <n v="31908.007766522129"/>
    <n v="0"/>
    <n v="31908.007766522129"/>
    <n v="20300.1670006227"/>
  </r>
  <r>
    <x v="68"/>
    <n v="150"/>
    <s v="NonRes Interior Lighting"/>
    <s v="Com Annual"/>
    <n v="313.91146751777637"/>
    <n v="527.64353217993084"/>
    <n v="0"/>
    <n v="12"/>
    <n v="140"/>
    <n v="0"/>
    <n v="2.5250287948902602E-2"/>
    <n v="13.32315112191931"/>
    <s v="Unit"/>
    <s v="Avista"/>
    <s v="N/A"/>
    <n v="0"/>
    <x v="3"/>
    <x v="10"/>
    <n v="79146.52982698963"/>
    <n v="0"/>
    <n v="47086.720127666456"/>
    <n v="18465.378559249075"/>
    <n v="21000"/>
    <n v="0.7435008907391103"/>
    <n v="7.4795347883823"/>
    <n v="58845.515425276353"/>
    <n v="17205.760523667748"/>
    <n v="1.3227360730436084"/>
    <n v="1.5402262543320573"/>
    <n v="59031.363671356812"/>
    <n v="0"/>
    <n v="59031.363671356812"/>
    <n v="38205.760523667748"/>
  </r>
  <r>
    <x v="69"/>
    <n v="5"/>
    <s v="NonRes Interior Lighting"/>
    <s v="Com Annual"/>
    <n v="320"/>
    <n v="777"/>
    <n v="0"/>
    <n v="12"/>
    <n v="200"/>
    <n v="0"/>
    <n v="2.5250287948902599E-2"/>
    <n v="19.619473736297319"/>
    <s v="Unit"/>
    <s v="Avista"/>
    <s v="N/A"/>
    <n v="0"/>
    <x v="3"/>
    <x v="10"/>
    <n v="3885"/>
    <n v="0"/>
    <n v="1600"/>
    <n v="906.39470687468338"/>
    <n v="1000"/>
    <n v="0.7435008907391103"/>
    <n v="7.4795347883823"/>
    <n v="2888.5009605214436"/>
    <n v="844.56488213150578"/>
    <n v="1.7076189160076374"/>
    <n v="1.5659524847852502"/>
    <n v="2897.6235390804895"/>
    <n v="0"/>
    <n v="2897.6235390804895"/>
    <n v="1844.5648821315058"/>
  </r>
  <r>
    <x v="70"/>
    <n v="250"/>
    <s v="NonRes Interior Lighting"/>
    <s v="Com Annual"/>
    <n v="76.812904922353383"/>
    <n v="114.48115714285714"/>
    <n v="0"/>
    <n v="12"/>
    <n v="20"/>
    <n v="0"/>
    <n v="2.5250287948902599E-2"/>
    <n v="2.8906821825807105"/>
    <s v="Unit"/>
    <s v="Avista"/>
    <s v="N/A"/>
    <n v="0"/>
    <x v="3"/>
    <x v="10"/>
    <n v="28620.289285714287"/>
    <n v="0"/>
    <n v="19203.226230588345"/>
    <n v="6677.2918192519019"/>
    <n v="5000"/>
    <n v="0.7435008907391103"/>
    <n v="7.4795347883823"/>
    <n v="21279.210577139587"/>
    <n v="6221.7995488182451"/>
    <n v="1.2095229677579655"/>
    <n v="1.8962386990222504"/>
    <n v="21346.415425889019"/>
    <n v="0"/>
    <n v="21346.415425889019"/>
    <n v="11221.799548818246"/>
  </r>
  <r>
    <x v="71"/>
    <n v="50"/>
    <s v="NonRes Interior Lighting"/>
    <s v="Com Annual"/>
    <n v="163.81439021164022"/>
    <n v="170.97888888888892"/>
    <n v="0"/>
    <n v="12"/>
    <n v="30"/>
    <n v="0"/>
    <n v="2.5250287948902599E-2"/>
    <n v="4.317266177627868"/>
    <s v="Unit"/>
    <s v="Avista"/>
    <s v="N/A"/>
    <n v="0"/>
    <x v="3"/>
    <x v="10"/>
    <n v="8548.9444444444453"/>
    <n v="0"/>
    <n v="8190.719510582011"/>
    <n v="1994.5220061287455"/>
    <n v="1500"/>
    <n v="0.7435008907391103"/>
    <n v="7.4795347883823"/>
    <n v="6356.1478093236137"/>
    <n v="1858.4654458355251"/>
    <n v="0.91407779206327255"/>
    <n v="1.8925750202983909"/>
    <n v="6376.2220480086489"/>
    <n v="0"/>
    <n v="6376.2220480086489"/>
    <n v="3358.4654458355253"/>
  </r>
  <r>
    <x v="72"/>
    <n v="250"/>
    <s v="NonRes Interior Lighting"/>
    <s v="Com Annual"/>
    <n v="161.89051091292717"/>
    <n v="183.64744636678199"/>
    <n v="0"/>
    <n v="12"/>
    <n v="40"/>
    <n v="0"/>
    <n v="2.5250287948902599E-2"/>
    <n v="4.6371509018418919"/>
    <s v="Unit"/>
    <s v="Avista"/>
    <s v="N/A"/>
    <n v="0"/>
    <x v="3"/>
    <x v="10"/>
    <n v="45911.861591695495"/>
    <n v="0"/>
    <n v="40472.62772823179"/>
    <n v="10711.523379530468"/>
    <n v="10000"/>
    <n v="0.7435008907391103"/>
    <n v="7.4795347883823"/>
    <n v="34135.509988916347"/>
    <n v="9980.8355144474426"/>
    <n v="0.97776710526307642"/>
    <n v="1.708412541819593"/>
    <n v="34243.318113539841"/>
    <n v="0"/>
    <n v="34243.318113539841"/>
    <n v="19980.835514447441"/>
  </r>
  <r>
    <x v="73"/>
    <n v="25"/>
    <s v="NonRes Interior Lighting"/>
    <s v="Com Annual"/>
    <n v="114.69615628815629"/>
    <n v="411.56700000000001"/>
    <n v="0"/>
    <n v="12"/>
    <n v="75"/>
    <n v="0"/>
    <n v="2.5250287948902599E-2"/>
    <n v="10.392185260265997"/>
    <s v="Unit"/>
    <s v="Avista"/>
    <s v="N/A"/>
    <n v="0"/>
    <x v="3"/>
    <x v="10"/>
    <n v="10289.174999999999"/>
    <n v="0"/>
    <n v="2867.4039072039072"/>
    <n v="2400.5286378654619"/>
    <n v="1875"/>
    <n v="0.7435008907391103"/>
    <n v="7.4795347883823"/>
    <n v="7650.0107774705848"/>
    <n v="2236.7762859988252"/>
    <n v="2.165988060451403"/>
    <n v="1.8605124027588622"/>
    <n v="7674.1713456160851"/>
    <n v="0"/>
    <n v="7674.1713456160851"/>
    <n v="4111.7762859988252"/>
  </r>
  <r>
    <x v="74"/>
    <n v="25"/>
    <s v="NonRes Interior Lighting"/>
    <s v="Com Annual"/>
    <n v="271.65483333333333"/>
    <n v="546"/>
    <n v="0"/>
    <n v="12"/>
    <n v="140"/>
    <n v="0"/>
    <n v="2.5250287948902599E-2"/>
    <n v="13.786657220100819"/>
    <s v="Unit"/>
    <s v="Avista"/>
    <s v="N/A"/>
    <n v="0"/>
    <x v="3"/>
    <x v="10"/>
    <n v="13650"/>
    <n v="0"/>
    <n v="6791.3708333333334"/>
    <n v="3184.6300511813197"/>
    <n v="3500"/>
    <n v="0.7435008907391103"/>
    <n v="7.4795347883823"/>
    <n v="10148.787158588855"/>
    <n v="2967.3901264079936"/>
    <n v="1.5029324922757366"/>
    <n v="1.569224518735739"/>
    <n v="10180.839461634152"/>
    <n v="0"/>
    <n v="10180.839461634152"/>
    <n v="6467.3901264079941"/>
  </r>
  <r>
    <x v="75"/>
    <n v="50"/>
    <s v="NonRes Interior Lighting"/>
    <s v="Com Annual"/>
    <n v="516.1812083333333"/>
    <n v="1007.1644142857142"/>
    <n v="0"/>
    <n v="20"/>
    <n v="260"/>
    <n v="0"/>
    <n v="2.5250287948902599E-2"/>
    <n v="25.431191472602112"/>
    <s v="Unit"/>
    <s v="Avista"/>
    <s v="N/A"/>
    <n v="0"/>
    <x v="3"/>
    <x v="10"/>
    <n v="50358.220714285708"/>
    <n v="0"/>
    <n v="25809.060416666664"/>
    <n v="16875.001517426939"/>
    <n v="13000"/>
    <n v="1.099250665822983"/>
    <n v="10.603965060189148"/>
    <n v="55356.307649839298"/>
    <n v="16185.555789838492"/>
    <n v="1.8920149119420937"/>
    <n v="1.8967021922917311"/>
    <n v="53947.139417348524"/>
    <n v="0"/>
    <n v="53947.139417348524"/>
    <n v="29185.555789838494"/>
  </r>
  <r>
    <x v="76"/>
    <n v="500"/>
    <s v="NonRes Interior Lighting"/>
    <s v="Com Annual"/>
    <n v="500.36170114044052"/>
    <n v="1195.7442230721088"/>
    <n v="0"/>
    <n v="20"/>
    <n v="310"/>
    <n v="0"/>
    <n v="2.5250287948902599E-2"/>
    <n v="30.192885945807568"/>
    <s v="Unit"/>
    <s v="Avista"/>
    <s v="N/A"/>
    <n v="0"/>
    <x v="3"/>
    <x v="10"/>
    <n v="597872.11153605441"/>
    <n v="0"/>
    <n v="250180.85057022027"/>
    <n v="200346.49052912381"/>
    <n v="155000"/>
    <n v="1.099250665822983"/>
    <n v="10.603965060189148"/>
    <n v="657211.31668300054"/>
    <n v="192161.12640989703"/>
    <n v="2.1325436811884071"/>
    <n v="1.893101694534266"/>
    <n v="640481.13093142596"/>
    <n v="0"/>
    <n v="640481.13093142596"/>
    <n v="347161.126409897"/>
  </r>
  <r>
    <x v="77"/>
    <n v="25"/>
    <s v="NonRes Interior Lighting"/>
    <s v="Com Annual"/>
    <n v="612.56837763409965"/>
    <n v="3175.27808"/>
    <n v="0"/>
    <n v="20"/>
    <n v="600"/>
    <n v="0"/>
    <n v="2.5250287948902599E-2"/>
    <n v="80.176685837838576"/>
    <s v="Unit"/>
    <s v="Avista"/>
    <s v="N/A"/>
    <n v="0"/>
    <x v="3"/>
    <x v="10"/>
    <n v="79381.952000000005"/>
    <n v="0"/>
    <n v="15314.209440852492"/>
    <n v="26600.831829554714"/>
    <n v="15000"/>
    <n v="1.099250665822983"/>
    <n v="10.603965060189148"/>
    <n v="87260.663590328084"/>
    <n v="25514.027195122791"/>
    <n v="3.0676721622483862"/>
    <n v="2.1538383032144681"/>
    <n v="85039.327661360789"/>
    <n v="0"/>
    <n v="85039.327661360789"/>
    <n v="40514.027195122791"/>
  </r>
  <r>
    <x v="78"/>
    <n v="50"/>
    <s v="NonRes Interior Lighting"/>
    <s v="Com Annual"/>
    <n v="201.89115918803418"/>
    <n v="48.898142222222241"/>
    <n v="0"/>
    <n v="12"/>
    <n v="10"/>
    <n v="0"/>
    <n v="2.5250287948902599E-2"/>
    <n v="1.2346921712775036"/>
    <s v="Unit"/>
    <s v="Avista"/>
    <s v="N/A"/>
    <n v="0"/>
    <x v="3"/>
    <x v="10"/>
    <n v="2444.907111111112"/>
    <n v="0"/>
    <n v="10094.557959401709"/>
    <n v="570.41206288581338"/>
    <n v="500"/>
    <n v="0.7435008907391103"/>
    <n v="7.4795347883823"/>
    <n v="1817.7906148854968"/>
    <n v="531.50133490811754"/>
    <n v="0.24722457053812899"/>
    <n v="1.7622765510501439"/>
    <n v="1823.5316334673967"/>
    <n v="0"/>
    <n v="1823.5316334673967"/>
    <n v="1031.5013349081175"/>
  </r>
  <r>
    <x v="79"/>
    <n v="75"/>
    <s v="NonRes Interior Lighting"/>
    <s v="Com Annual"/>
    <n v="145.58447480364694"/>
    <n v="190.73512345713189"/>
    <n v="0"/>
    <n v="12"/>
    <n v="30"/>
    <n v="0"/>
    <n v="2.5250287948902599E-2"/>
    <n v="4.8161167892620664"/>
    <s v="Unit"/>
    <s v="Avista"/>
    <s v="N/A"/>
    <n v="0"/>
    <x v="3"/>
    <x v="10"/>
    <n v="14305.134259284892"/>
    <n v="0"/>
    <n v="10918.83561027352"/>
    <n v="3337.4769559195674"/>
    <n v="2250"/>
    <n v="0.7435008907391103"/>
    <n v="7.4795347883823"/>
    <n v="10635.88006392088"/>
    <n v="3109.8105610214438"/>
    <n v="1.0956647230347565"/>
    <n v="1.9843761160644362"/>
    <n v="10669.470723143022"/>
    <n v="0"/>
    <n v="10669.470723143022"/>
    <n v="5359.8105610214443"/>
  </r>
  <r>
    <x v="80"/>
    <n v="500"/>
    <s v="NonRes Interior Lighting"/>
    <s v="Com Annual"/>
    <n v="201.64374601079913"/>
    <n v="94.726615984950286"/>
    <n v="0"/>
    <n v="12"/>
    <n v="50"/>
    <n v="0"/>
    <n v="2.5250287948902599E-2"/>
    <n v="2.3918743300451144"/>
    <s v="Unit"/>
    <s v="Avista"/>
    <s v="N/A"/>
    <n v="0"/>
    <x v="3"/>
    <x v="10"/>
    <n v="47363.307992475144"/>
    <n v="0"/>
    <n v="100821.87300539957"/>
    <n v="11050.154868585545"/>
    <n v="25000"/>
    <n v="0.7435008907391103"/>
    <n v="7.4795347883823"/>
    <n v="35214.661680756093"/>
    <n v="10296.367215449929"/>
    <n v="0.45799229814230719"/>
    <n v="0.99768515739324948"/>
    <n v="35325.878025151876"/>
    <n v="0"/>
    <n v="35325.878025151876"/>
    <n v="35296.367215449929"/>
  </r>
  <r>
    <x v="81"/>
    <n v="50"/>
    <s v="NonRes Exterior Lighting"/>
    <s v="Com Annual"/>
    <n v="155.13800189393942"/>
    <n v="322.91454000000004"/>
    <n v="0"/>
    <n v="12"/>
    <n v="85"/>
    <n v="0"/>
    <n v="2.5250287948902599E-2"/>
    <n v="8.1536851178874272"/>
    <s v="Unit"/>
    <s v="Avista"/>
    <s v="N/A"/>
    <n v="0"/>
    <x v="3"/>
    <x v="11"/>
    <n v="16145.727000000003"/>
    <n v="0"/>
    <n v="7756.9000946969709"/>
    <n v="3766.8987107963098"/>
    <n v="4250"/>
    <n v="0.84096067193161306"/>
    <n v="7.4795347883823"/>
    <n v="13577.921426744389"/>
    <n v="3970.0300488385769"/>
    <n v="1.6269647655240964"/>
    <n v="1.6518092204131103"/>
    <n v="12042.275060686594"/>
    <n v="0"/>
    <n v="12042.275060686594"/>
    <n v="8220.0300488385765"/>
  </r>
  <r>
    <x v="82"/>
    <n v="100"/>
    <s v="NonRes Exterior Lighting"/>
    <s v="Com Annual"/>
    <n v="193.66124949979991"/>
    <n v="467.06849142857141"/>
    <n v="0"/>
    <n v="12"/>
    <n v="120"/>
    <n v="0"/>
    <n v="2.5250287948902602E-2"/>
    <n v="11.793613900430975"/>
    <s v="Unit"/>
    <s v="Avista"/>
    <s v="N/A"/>
    <n v="0"/>
    <x v="3"/>
    <x v="11"/>
    <n v="46706.849142857143"/>
    <n v="0"/>
    <n v="19366.124949979992"/>
    <n v="10896.998928669254"/>
    <n v="12000"/>
    <n v="0.84096067193161306"/>
    <n v="7.4795347883823"/>
    <n v="39278.62323898563"/>
    <n v="11484.623429078985"/>
    <n v="1.7890387521971651"/>
    <n v="1.6725251464049575"/>
    <n v="34836.258819208299"/>
    <n v="0"/>
    <n v="34836.258819208299"/>
    <n v="23484.623429078987"/>
  </r>
  <r>
    <x v="83"/>
    <n v="100"/>
    <s v="NonRes Exterior Lighting"/>
    <s v="Com Annual"/>
    <n v="287.99345238095242"/>
    <n v="729.50567624999985"/>
    <n v="0"/>
    <n v="12"/>
    <n v="180"/>
    <n v="0"/>
    <n v="2.5250287948902595E-2"/>
    <n v="18.420228385671411"/>
    <s v="Unit"/>
    <s v="Avista"/>
    <s v="N/A"/>
    <n v="0"/>
    <x v="3"/>
    <x v="11"/>
    <n v="72950.567624999981"/>
    <n v="0"/>
    <n v="28799.34523809524"/>
    <n v="17019.821971378024"/>
    <n v="18000"/>
    <n v="0.84096067193161306"/>
    <n v="7.4795347883823"/>
    <n v="61348.558367712561"/>
    <n v="17937.621858159779"/>
    <n v="1.8444760909594236"/>
    <n v="1.7070845313539613"/>
    <n v="54410.111181334105"/>
    <n v="0"/>
    <n v="54410.111181334105"/>
    <n v="35937.621858159779"/>
  </r>
  <r>
    <x v="84"/>
    <n v="100"/>
    <s v="NonRes Exterior Lighting"/>
    <s v="Com Annual"/>
    <n v="309.50288154413806"/>
    <n v="639.93971646543196"/>
    <n v="0"/>
    <n v="12"/>
    <n v="180"/>
    <n v="0"/>
    <n v="2.5250287948902599E-2"/>
    <n v="16.158662110691242"/>
    <s v="Unit"/>
    <s v="Avista"/>
    <s v="N/A"/>
    <n v="0"/>
    <x v="3"/>
    <x v="11"/>
    <n v="63993.971646543199"/>
    <n v="0"/>
    <n v="30950.288154413807"/>
    <n v="14930.192322346287"/>
    <n v="18000"/>
    <n v="0.84096067193161306"/>
    <n v="7.4795347883823"/>
    <n v="53816.413395449563"/>
    <n v="15735.308195245736"/>
    <n v="1.6197986574530905"/>
    <n v="1.5952548316435369"/>
    <n v="47729.842626067701"/>
    <n v="0"/>
    <n v="47729.842626067701"/>
    <n v="33735.308195245736"/>
  </r>
  <r>
    <x v="85"/>
    <n v="25"/>
    <s v="NonRes Exterior Lighting"/>
    <s v="Com Annual"/>
    <n v="156.44900568181816"/>
    <n v="534.73972500000002"/>
    <n v="0"/>
    <n v="12"/>
    <n v="120"/>
    <n v="0"/>
    <n v="2.5250287948902599E-2"/>
    <n v="13.50233203396699"/>
    <s v="Unit"/>
    <s v="Avista"/>
    <s v="N/A"/>
    <n v="0"/>
    <x v="3"/>
    <x v="11"/>
    <n v="13368.493125000001"/>
    <n v="0"/>
    <n v="3911.225142045454"/>
    <n v="3118.9527432150821"/>
    <n v="3000"/>
    <n v="0.84096067193161306"/>
    <n v="7.4795347883823"/>
    <n v="11242.37696111315"/>
    <n v="3287.1433670309129"/>
    <n v="2.1945893232393092"/>
    <n v="1.7881534275275059"/>
    <n v="9970.8778278084155"/>
    <n v="0"/>
    <n v="9970.8778278084155"/>
    <n v="6287.1433670309125"/>
  </r>
  <r>
    <x v="86"/>
    <n v="100"/>
    <s v="NonRes Exterior Lighting"/>
    <s v="Com Annual"/>
    <n v="446.04367973461734"/>
    <n v="849.24147850308634"/>
    <n v="0"/>
    <n v="12"/>
    <n v="230"/>
    <n v="0"/>
    <n v="2.5250287948902599E-2"/>
    <n v="21.443591870354705"/>
    <s v="Unit"/>
    <s v="Avista"/>
    <s v="N/A"/>
    <n v="0"/>
    <x v="3"/>
    <x v="11"/>
    <n v="84924.14785030864"/>
    <n v="0"/>
    <n v="44604.367973461733"/>
    <n v="19813.33284359402"/>
    <n v="23000"/>
    <n v="0.84096067193161306"/>
    <n v="7.4795347883823"/>
    <n v="71417.868439415208"/>
    <n v="20881.773786818969"/>
    <n v="1.532451274632552"/>
    <n v="1.6275064172740303"/>
    <n v="63340.594555316879"/>
    <n v="0"/>
    <n v="63340.594555316879"/>
    <n v="43881.773786818972"/>
  </r>
  <r>
    <x v="87"/>
    <n v="150"/>
    <s v="NonRes Exterior Lighting"/>
    <s v="Com Annual"/>
    <n v="444.87567278672032"/>
    <n v="1026.5852628571429"/>
    <n v="0"/>
    <n v="12"/>
    <n v="280"/>
    <n v="0"/>
    <n v="2.5250287948902602E-2"/>
    <n v="25.921573491242725"/>
    <s v="Unit"/>
    <s v="Avista"/>
    <s v="N/A"/>
    <n v="0"/>
    <x v="3"/>
    <x v="11"/>
    <n v="153987.78942857144"/>
    <n v="0"/>
    <n v="66731.350918008044"/>
    <n v="35926.310749392658"/>
    <n v="42000"/>
    <n v="0.84096067193161306"/>
    <n v="7.4795347883823"/>
    <n v="129497.67486711519"/>
    <n v="37863.649694167121"/>
    <n v="1.7397235347114404"/>
    <n v="1.6214845597843133"/>
    <n v="114851.6456574513"/>
    <n v="0"/>
    <n v="114851.6456574513"/>
    <n v="79863.649694167121"/>
  </r>
  <r>
    <x v="88"/>
    <n v="200"/>
    <s v="NonRes Exterior Lighting"/>
    <s v="Com Annual"/>
    <n v="619.61269392662177"/>
    <n v="1444.6779411458333"/>
    <n v="0"/>
    <n v="12"/>
    <n v="375"/>
    <n v="0"/>
    <n v="2.5250287948902602E-2"/>
    <n v="36.478534007360054"/>
    <s v="Unit"/>
    <s v="Avista"/>
    <s v="N/A"/>
    <n v="0"/>
    <x v="3"/>
    <x v="11"/>
    <n v="288935.58822916663"/>
    <n v="0"/>
    <n v="123922.53878532436"/>
    <n v="67410.473049842913"/>
    <n v="75000"/>
    <n v="0.84096067193161306"/>
    <n v="7.4795347883823"/>
    <n v="242983.46642215585"/>
    <n v="71045.606521690919"/>
    <n v="1.7512262471469147"/>
    <n v="1.663750606465985"/>
    <n v="215502.33249186637"/>
    <n v="0"/>
    <n v="215502.33249186637"/>
    <n v="146045.6065216909"/>
  </r>
  <r>
    <x v="89"/>
    <n v="100"/>
    <s v="NonRes Exterior Lighting"/>
    <s v="Com Annual"/>
    <n v="731.2"/>
    <n v="1677.3120000000001"/>
    <n v="0"/>
    <n v="12"/>
    <n v="400"/>
    <n v="0"/>
    <n v="2.5250287948902595E-2"/>
    <n v="42.352610980149713"/>
    <s v="Unit"/>
    <s v="Avista"/>
    <s v="N/A"/>
    <n v="0"/>
    <x v="3"/>
    <x v="11"/>
    <n v="167731.20000000001"/>
    <n v="0"/>
    <n v="73120"/>
    <n v="39132.734068916056"/>
    <n v="40000"/>
    <n v="0.84096067193161306"/>
    <n v="7.4795347883823"/>
    <n v="141055.34265589577"/>
    <n v="41242.98051910285"/>
    <n v="1.733138498993432"/>
    <n v="1.736215753713382"/>
    <n v="125102.15530456047"/>
    <n v="0"/>
    <n v="125102.15530456047"/>
    <n v="81242.980519102857"/>
  </r>
  <r>
    <x v="90"/>
    <n v="10"/>
    <s v="NonRes Exterior Lighting"/>
    <s v="Com Annual"/>
    <n v="750"/>
    <n v="3563.8511999999996"/>
    <n v="0"/>
    <n v="12"/>
    <n v="750"/>
    <n v="0"/>
    <n v="2.5250287948902599E-2"/>
    <n v="89.988269007042049"/>
    <s v="Unit"/>
    <s v="Avista"/>
    <s v="N/A"/>
    <n v="0"/>
    <x v="3"/>
    <x v="11"/>
    <n v="35638.511999999995"/>
    <n v="0"/>
    <n v="7500"/>
    <n v="8314.6869080282831"/>
    <n v="7500"/>
    <n v="0.84096067193161306"/>
    <n v="7.4795347883823"/>
    <n v="29970.586998162849"/>
    <n v="8763.0593243583353"/>
    <n v="2.5895374576746102"/>
    <n v="1.8428627972397407"/>
    <n v="26580.950133591374"/>
    <n v="0"/>
    <n v="26580.950133591374"/>
    <n v="16263.059324358335"/>
  </r>
  <r>
    <x v="91"/>
    <n v="40"/>
    <s v="NonRes Exterior Lighting"/>
    <s v="Com Annual"/>
    <n v="1065.6756547619048"/>
    <n v="3627.3439149999999"/>
    <n v="0"/>
    <n v="12"/>
    <n v="930"/>
    <n v="0"/>
    <n v="2.5250287948902599E-2"/>
    <n v="91.591478343449666"/>
    <s v="Unit"/>
    <s v="Avista"/>
    <s v="N/A"/>
    <n v="0"/>
    <x v="3"/>
    <x v="11"/>
    <n v="145093.75659999999"/>
    <n v="0"/>
    <n v="42627.026190476186"/>
    <n v="33851.27747305113"/>
    <n v="37200"/>
    <n v="0.84096067193161306"/>
    <n v="7.4795347883823"/>
    <n v="122018.14304341791"/>
    <n v="35676.719518475096"/>
    <n v="2.1896316838456928"/>
    <n v="1.674308940490727"/>
    <n v="108218.03976776707"/>
    <n v="0"/>
    <n v="108218.03976776707"/>
    <n v="72876.719518475089"/>
  </r>
  <r>
    <x v="92"/>
    <n v="25"/>
    <s v="NonRes Exterior Lighting"/>
    <s v="Com Annual"/>
    <n v="1050"/>
    <n v="5192.6783999999998"/>
    <n v="0"/>
    <n v="12"/>
    <n v="1050"/>
    <n v="0"/>
    <n v="2.5250287948902599E-2"/>
    <n v="131.11662482604683"/>
    <s v="Unit"/>
    <s v="Avista"/>
    <s v="N/A"/>
    <n v="0"/>
    <x v="3"/>
    <x v="11"/>
    <n v="129816.95999999999"/>
    <n v="0"/>
    <n v="26250"/>
    <n v="30287.105638754827"/>
    <n v="26250"/>
    <n v="0.84096067193161306"/>
    <n v="7.4795347883823"/>
    <n v="109170.95790971933"/>
    <n v="31920.348464263978"/>
    <n v="2.6371488903416624"/>
    <n v="1.8767458128050714"/>
    <n v="96823.855615925422"/>
    <n v="0"/>
    <n v="96823.855615925422"/>
    <n v="58170.348464263981"/>
  </r>
  <r>
    <x v="93"/>
    <n v="25"/>
    <s v="NonRes Exterior Lighting"/>
    <s v="Com Annual"/>
    <n v="246.42674603174601"/>
    <n v="624.50985999999989"/>
    <n v="0"/>
    <n v="12"/>
    <n v="170"/>
    <n v="0"/>
    <n v="2.6991026764868101E-2"/>
    <n v="16.856162346184028"/>
    <s v="Unit"/>
    <s v="Avista"/>
    <s v="N/A"/>
    <n v="0"/>
    <x v="3"/>
    <x v="11"/>
    <n v="15612.746499999997"/>
    <n v="0"/>
    <n v="6160.6686507936502"/>
    <n v="3893.6661946583249"/>
    <n v="4250"/>
    <n v="0.84096067193161306"/>
    <n v="7.4795347883823"/>
    <n v="13129.705787337938"/>
    <n v="3838.9768853331475"/>
    <n v="1.8726372962465021"/>
    <n v="1.6231602554266893"/>
    <n v="11644.752063860109"/>
    <n v="0"/>
    <n v="11644.752063860109"/>
    <n v="8088.9768853331479"/>
  </r>
  <r>
    <x v="94"/>
    <n v="5"/>
    <s v="NonRes Exterior Lighting"/>
    <s v="Com Annual"/>
    <n v="755.26749999999993"/>
    <n v="987.16800000000001"/>
    <n v="0"/>
    <n v="12"/>
    <n v="225"/>
    <n v="0"/>
    <n v="2.6991026764868101E-2"/>
    <n v="26.644677909421315"/>
    <s v="Unit"/>
    <s v="Avista"/>
    <s v="N/A"/>
    <n v="0"/>
    <x v="3"/>
    <x v="11"/>
    <n v="4935.84"/>
    <n v="0"/>
    <n v="3776.3374999999996"/>
    <n v="1230.9501951013135"/>
    <n v="1125"/>
    <n v="0.84096067193161306"/>
    <n v="7.4795347883823"/>
    <n v="4150.8473229469328"/>
    <n v="1213.6606246506828"/>
    <n v="1.1863686362141652"/>
    <n v="1.7748822891166305"/>
    <n v="3681.3915493269087"/>
    <n v="0"/>
    <n v="3681.3915493269087"/>
    <n v="2338.6606246506826"/>
  </r>
  <r>
    <x v="95"/>
    <n v="25"/>
    <s v="NonRes Exterior Lighting"/>
    <s v="Com Annual"/>
    <n v="780.04297916666667"/>
    <n v="931.71600860000035"/>
    <n v="0"/>
    <n v="10"/>
    <n v="250"/>
    <n v="0"/>
    <n v="2.6991026764868101E-2"/>
    <n v="25.147971725378685"/>
    <s v="Unit"/>
    <s v="Avista"/>
    <s v="N/A"/>
    <n v="0"/>
    <x v="3"/>
    <x v="11"/>
    <n v="23292.900215000009"/>
    <n v="0"/>
    <n v="19501.074479166666"/>
    <n v="5031.4592850431281"/>
    <n v="6250"/>
    <n v="0.72535467586235602"/>
    <n v="6.5703091088618146"/>
    <n v="16895.614085345533"/>
    <n v="4940.0857100470839"/>
    <n v="0.98685089090295941"/>
    <n v="1.5098735186787449"/>
    <n v="15047.539507653004"/>
    <n v="0"/>
    <n v="15047.539507653004"/>
    <n v="11190.085710047084"/>
  </r>
  <r>
    <x v="96"/>
    <n v="3000"/>
    <s v="NonRes Exterior Lighting"/>
    <s v="Com Annual"/>
    <n v="35.61"/>
    <n v="48.66583289719626"/>
    <n v="0"/>
    <n v="20"/>
    <n v="13"/>
    <n v="0"/>
    <n v="2.5250287948902599E-2"/>
    <n v="1.2288262939273824"/>
    <s v="Unit"/>
    <s v="Avista"/>
    <s v="N/A"/>
    <n v="0"/>
    <x v="3"/>
    <x v="11"/>
    <n v="145997.49869158879"/>
    <n v="0"/>
    <n v="106830"/>
    <n v="48923.650935550038"/>
    <n v="39000"/>
    <n v="1.2527674273762004"/>
    <n v="10.603965060189148"/>
    <n v="182900.91083922188"/>
    <n v="53478.14950242795"/>
    <n v="1.5907302201650508"/>
    <n v="1.9777743372170302"/>
    <n v="156402.41662201894"/>
    <n v="0"/>
    <n v="156402.41662201894"/>
    <n v="92478.149502427957"/>
  </r>
  <r>
    <x v="97"/>
    <n v="10"/>
    <s v="NonRes Exterior Lighting"/>
    <s v="Com Annual"/>
    <n v="30"/>
    <n v="78.623999999999995"/>
    <n v="0"/>
    <n v="12"/>
    <n v="20"/>
    <n v="0"/>
    <n v="2.5250287948902599E-2"/>
    <n v="1.9852786396945179"/>
    <s v="Unit"/>
    <s v="Avista"/>
    <s v="N/A"/>
    <n v="0"/>
    <x v="3"/>
    <x v="11"/>
    <n v="786.24"/>
    <n v="0"/>
    <n v="300"/>
    <n v="183.43469094804402"/>
    <n v="200"/>
    <n v="0.84096067193161306"/>
    <n v="7.4795347883823"/>
    <n v="661.19691869951146"/>
    <n v="193.32647118329464"/>
    <n v="1.883326407325723"/>
    <n v="1.681038442976766"/>
    <n v="586.41635299012717"/>
    <n v="0"/>
    <n v="586.41635299012717"/>
    <n v="393.32647118329464"/>
  </r>
  <r>
    <x v="98"/>
    <n v="0"/>
    <s v="Res Misc"/>
    <s v="Res Winter"/>
    <n v="0"/>
    <n v="0"/>
    <n v="0"/>
    <n v="1"/>
    <n v="0"/>
    <n v="0"/>
    <n v="0"/>
    <n v="0"/>
    <s v="Unit"/>
    <s v="Bidgely"/>
    <s v="N/A"/>
    <n v="0"/>
    <x v="0"/>
    <x v="12"/>
    <n v="0"/>
    <n v="0"/>
    <n v="0"/>
    <n v="0"/>
    <n v="0"/>
    <n v="0.13034168090927176"/>
    <n v="2.0751542657607067"/>
    <n v="0"/>
    <n v="0"/>
    <n v="0"/>
    <n v="0"/>
    <n v="0"/>
    <n v="0"/>
    <n v="0"/>
    <n v="0"/>
  </r>
  <r>
    <x v="99"/>
    <n v="0"/>
    <s v="Res Space Heat"/>
    <s v="Res Annual"/>
    <n v="0"/>
    <n v="617232"/>
    <n v="0"/>
    <n v="3"/>
    <n v="493786"/>
    <n v="0"/>
    <n v="0"/>
    <n v="0"/>
    <s v="Unit"/>
    <s v="Avista"/>
    <s v="N/A"/>
    <n v="0"/>
    <x v="0"/>
    <x v="13"/>
    <n v="0"/>
    <n v="0"/>
    <n v="0"/>
    <n v="0"/>
    <n v="0"/>
    <n v="0.34512724148205232"/>
    <n v="2.9805491257936647"/>
    <n v="0"/>
    <n v="0"/>
    <n v="0"/>
    <n v="0"/>
    <n v="0"/>
    <n v="0"/>
    <n v="0"/>
    <n v="0"/>
  </r>
  <r>
    <x v="100"/>
    <n v="1"/>
    <s v="NonRes Interior Lighting"/>
    <s v="Com Annual"/>
    <n v="4316288.16"/>
    <n v="8992267"/>
    <n v="0"/>
    <n v="12"/>
    <n v="4496133.5"/>
    <n v="0"/>
    <n v="2.5250287948902599E-2"/>
    <n v="227057.33106341452"/>
    <s v="Unit"/>
    <s v="Avista"/>
    <s v="N/A"/>
    <n v="0"/>
    <x v="3"/>
    <x v="14"/>
    <n v="8992267"/>
    <n v="0"/>
    <n v="4316288.16"/>
    <n v="2097951.9206187613"/>
    <n v="4496133.5"/>
    <n v="0.7435008907391103"/>
    <n v="7.4795347883823"/>
    <n v="6685758.5242639072"/>
    <n v="1954839.8761776139"/>
    <n v="1.5407246405481112"/>
    <n v="1.0363953056996509"/>
    <n v="6706873.7526117619"/>
    <n v="0"/>
    <n v="6706873.7526117619"/>
    <n v="6450973.3761776136"/>
  </r>
  <r>
    <x v="101"/>
    <n v="1"/>
    <s v="NonRes Misc"/>
    <s v="Com Winter"/>
    <n v="4990992.1282000002"/>
    <n v="11358653"/>
    <n v="0"/>
    <n v="18"/>
    <n v="3051878.7951068138"/>
    <n v="0"/>
    <n v="2.5250287948902602E-2"/>
    <n v="286809.25896166638"/>
    <s v="Unit"/>
    <s v="Avista"/>
    <s v="N/A"/>
    <n v="0"/>
    <x v="3"/>
    <x v="15"/>
    <n v="11358653"/>
    <n v="0"/>
    <n v="4990992.1282000002"/>
    <n v="3552406.6356843244"/>
    <n v="3051878.7951068138"/>
    <n v="0.99612955435591799"/>
    <n v="10.619861644871106"/>
    <n v="11314689.950973511"/>
    <n v="3308286.8641571756"/>
    <n v="1.9705092768159591"/>
    <n v="1.7789929629416081"/>
    <n v="11356572.373902658"/>
    <n v="0"/>
    <n v="11356572.373902658"/>
    <n v="6360165.659263989"/>
  </r>
  <r>
    <x v="102"/>
    <n v="1"/>
    <s v="NonRes Interior Lighting"/>
    <s v="Com Winter"/>
    <n v="2495495.8444000003"/>
    <n v="5679326"/>
    <n v="0"/>
    <n v="16"/>
    <n v="1525939.2632118263"/>
    <n v="0"/>
    <n v="2.5250287948902602E-2"/>
    <n v="143404.61685568921"/>
    <s v="Unit"/>
    <s v="Avista"/>
    <s v="N/A"/>
    <n v="0"/>
    <x v="3"/>
    <x v="15"/>
    <n v="5679326"/>
    <n v="0"/>
    <n v="2495495.8444000003"/>
    <n v="1638196.8340681919"/>
    <n v="1525939.2632118263"/>
    <n v="0.92996448247564767"/>
    <n v="9.8375387624174682"/>
    <n v="5281571.4644004898"/>
    <n v="1544271.5243187156"/>
    <n v="1.884203825016229"/>
    <n v="1.7202634704598274"/>
    <n v="5237097.7809554031"/>
    <n v="0"/>
    <n v="5237097.7809554031"/>
    <n v="3070210.7875305419"/>
  </r>
  <r>
    <x v="103"/>
    <n v="0"/>
    <s v="NonRes Space Heating"/>
    <s v="Com Winter"/>
    <n v="0.76"/>
    <n v="1.02"/>
    <n v="0"/>
    <n v="22"/>
    <n v="1"/>
    <n v="0"/>
    <n v="0"/>
    <n v="0"/>
    <s v="SQFT"/>
    <s v="Avista"/>
    <s v="N/A"/>
    <n v="0"/>
    <x v="3"/>
    <x v="16"/>
    <n v="0"/>
    <n v="0"/>
    <n v="0"/>
    <n v="0"/>
    <n v="0"/>
    <n v="1.7272571864145831"/>
    <n v="12.380584267177699"/>
    <n v="0"/>
    <n v="0"/>
    <n v="0"/>
    <n v="0"/>
    <n v="0"/>
    <n v="0"/>
    <n v="0"/>
    <n v="0"/>
  </r>
  <r>
    <x v="104"/>
    <n v="1203"/>
    <s v="NonRes Space Heating"/>
    <s v="Com Winter"/>
    <n v="0.62"/>
    <n v="1.36"/>
    <n v="0"/>
    <n v="22"/>
    <n v="1"/>
    <n v="0"/>
    <n v="0"/>
    <n v="0"/>
    <s v="SQFT"/>
    <s v="Avista"/>
    <s v="N/A"/>
    <n v="0"/>
    <x v="3"/>
    <x v="16"/>
    <n v="1636.0800000000002"/>
    <n v="0"/>
    <n v="745.86"/>
    <n v="0"/>
    <n v="1203"/>
    <n v="1.7272571864145831"/>
    <n v="12.380584267177699"/>
    <n v="2825.9309375491716"/>
    <n v="826.27011789261746"/>
    <n v="1.9772689269962918"/>
    <n v="1.3925849065790614"/>
    <n v="1860.2009284919"/>
    <n v="0"/>
    <n v="1860.2009284919"/>
    <n v="2029.2701178926175"/>
  </r>
  <r>
    <x v="105"/>
    <n v="2148"/>
    <s v="NonRes Space Heating"/>
    <s v="Com Winter"/>
    <n v="0.61"/>
    <n v="2.82"/>
    <n v="0"/>
    <n v="22"/>
    <n v="1"/>
    <n v="0"/>
    <n v="0"/>
    <n v="0"/>
    <s v="SQFT"/>
    <s v="Avista"/>
    <s v="N/A"/>
    <n v="0"/>
    <x v="3"/>
    <x v="16"/>
    <n v="6057.36"/>
    <n v="0"/>
    <n v="1310.28"/>
    <n v="0"/>
    <n v="2148"/>
    <n v="1.7272571864145831"/>
    <n v="12.380584267177699"/>
    <n v="10462.618590700238"/>
    <n v="3059.1508736235537"/>
    <n v="2.6339541195730116"/>
    <n v="2.0092789405618872"/>
    <n v="6887.1367513872747"/>
    <n v="0"/>
    <n v="6887.1367513872747"/>
    <n v="5207.1508736235537"/>
  </r>
  <r>
    <x v="106"/>
    <n v="707"/>
    <s v="NonRes Space Heating"/>
    <s v="Com Winter"/>
    <n v="0.65"/>
    <n v="4.1100000000000003"/>
    <n v="0"/>
    <n v="22"/>
    <n v="1.25"/>
    <n v="0"/>
    <n v="0"/>
    <n v="0"/>
    <s v="SQFT"/>
    <s v="Avista"/>
    <s v="N/A"/>
    <n v="0"/>
    <x v="3"/>
    <x v="16"/>
    <n v="2905.7700000000004"/>
    <n v="0"/>
    <n v="459.55"/>
    <n v="0"/>
    <n v="883.75"/>
    <n v="1.7272571864145831"/>
    <n v="12.380584267177699"/>
    <n v="5019.0121145679041"/>
    <n v="1467.5021517705925"/>
    <n v="2.8649527315345518"/>
    <n v="2.1346124492808545"/>
    <n v="3303.8213608038163"/>
    <n v="0"/>
    <n v="3303.8213608038163"/>
    <n v="2351.2521517705927"/>
  </r>
  <r>
    <x v="107"/>
    <n v="0"/>
    <s v="NonRes Motors"/>
    <s v="Com Winter"/>
    <n v="106.53040254620578"/>
    <n v="389.83545171153673"/>
    <n v="0"/>
    <n v="6"/>
    <n v="30"/>
    <n v="0"/>
    <n v="9.8238604836347592E-3"/>
    <n v="3.829689089188872"/>
    <s v="Unit"/>
    <s v="Ind_and_AG_GreenMotorRewind_v5_2"/>
    <m/>
    <n v="0"/>
    <x v="3"/>
    <x v="17"/>
    <n v="0"/>
    <n v="0"/>
    <n v="0"/>
    <n v="0"/>
    <n v="0"/>
    <n v="0.401707609984926"/>
    <n v="5.1382757681862161"/>
    <n v="0"/>
    <n v="0"/>
    <n v="0"/>
    <n v="0"/>
    <n v="0"/>
    <n v="0"/>
    <n v="0"/>
    <n v="0"/>
  </r>
  <r>
    <x v="108"/>
    <n v="0"/>
    <s v="NonRes Motors"/>
    <s v="Com Winter"/>
    <n v="135.79417577576578"/>
    <n v="622.21393887557497"/>
    <n v="0"/>
    <n v="7"/>
    <n v="50"/>
    <n v="0"/>
    <n v="9.8238604836347592E-3"/>
    <n v="6.1125429264864941"/>
    <s v="Unit"/>
    <s v="Ind_and_AG_GreenMotorRewind_v5_2"/>
    <m/>
    <n v="0"/>
    <x v="3"/>
    <x v="17"/>
    <n v="0"/>
    <n v="0"/>
    <n v="0"/>
    <n v="0"/>
    <n v="0"/>
    <n v="0.45642284156511131"/>
    <n v="5.6824373074613614"/>
    <n v="0"/>
    <n v="0"/>
    <n v="0"/>
    <n v="0"/>
    <n v="0"/>
    <n v="0"/>
    <n v="0"/>
    <n v="0"/>
  </r>
  <r>
    <x v="109"/>
    <n v="0"/>
    <s v="NonRes Motors"/>
    <s v="Com Winter"/>
    <n v="149.14256356468809"/>
    <n v="670.22430365323089"/>
    <n v="0"/>
    <n v="7"/>
    <n v="60"/>
    <n v="0"/>
    <n v="9.8238604836347592E-3"/>
    <n v="6.5841900518305989"/>
    <s v="Unit"/>
    <s v="Ind_and_AG_GreenMotorRewind_v5_2"/>
    <m/>
    <n v="0"/>
    <x v="3"/>
    <x v="17"/>
    <n v="0"/>
    <n v="0"/>
    <n v="0"/>
    <n v="0"/>
    <n v="0"/>
    <n v="0.45642284156511131"/>
    <n v="5.6824373074613614"/>
    <n v="0"/>
    <n v="0"/>
    <n v="0"/>
    <n v="0"/>
    <n v="0"/>
    <n v="0"/>
    <n v="0"/>
    <n v="0"/>
  </r>
  <r>
    <x v="110"/>
    <n v="0"/>
    <s v="NonRes Motors"/>
    <s v="Com Winter"/>
    <n v="182.25683327182196"/>
    <n v="780.49873686494539"/>
    <n v="0"/>
    <n v="7"/>
    <n v="80"/>
    <n v="0"/>
    <n v="9.8238604836347592E-3"/>
    <n v="7.6675106986143806"/>
    <s v="Unit"/>
    <s v="Ind_and_AG_GreenMotorRewind_v5_2"/>
    <m/>
    <n v="0"/>
    <x v="3"/>
    <x v="17"/>
    <n v="0"/>
    <n v="0"/>
    <n v="0"/>
    <n v="0"/>
    <n v="0"/>
    <n v="0.45642284156511131"/>
    <n v="5.6824373074613614"/>
    <n v="0"/>
    <n v="0"/>
    <n v="0"/>
    <n v="0"/>
    <n v="0"/>
    <n v="0"/>
    <n v="0"/>
    <n v="0"/>
  </r>
  <r>
    <x v="111"/>
    <n v="0"/>
    <s v="NonRes Motors"/>
    <s v="Com Winter"/>
    <n v="201.76601542486196"/>
    <n v="839.97586520505138"/>
    <n v="0"/>
    <n v="7"/>
    <n v="100"/>
    <n v="0"/>
    <n v="9.8238604836347592E-3"/>
    <n v="8.2518057093948212"/>
    <s v="Unit"/>
    <s v="Ind_and_AG_GreenMotorRewind_v5_2"/>
    <m/>
    <n v="0"/>
    <x v="3"/>
    <x v="17"/>
    <n v="0"/>
    <n v="0"/>
    <n v="0"/>
    <n v="0"/>
    <n v="0"/>
    <n v="0.45642284156511131"/>
    <n v="5.6824373074613614"/>
    <n v="0"/>
    <n v="0"/>
    <n v="0"/>
    <n v="0"/>
    <n v="0"/>
    <n v="0"/>
    <n v="0"/>
    <n v="0"/>
  </r>
  <r>
    <x v="112"/>
    <n v="0"/>
    <s v="NonRes Motors"/>
    <s v="Com Winter"/>
    <n v="237.96068231405502"/>
    <n v="846.27202631538967"/>
    <n v="0"/>
    <n v="8"/>
    <n v="120"/>
    <n v="0"/>
    <n v="9.8238604836347592E-3"/>
    <n v="8.3136583177252721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13"/>
    <n v="0"/>
    <s v="NonRes Motors"/>
    <s v="Com Winter"/>
    <n v="257.21316470192323"/>
    <n v="870.94945640777587"/>
    <n v="0"/>
    <n v="8"/>
    <n v="150"/>
    <n v="0"/>
    <n v="9.8238604836347592E-3"/>
    <n v="8.5560859480475244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14"/>
    <n v="0"/>
    <s v="NonRes Motors"/>
    <s v="Com Winter"/>
    <n v="319.07780810827398"/>
    <n v="1149.5371503325878"/>
    <n v="0"/>
    <n v="8"/>
    <n v="200"/>
    <n v="0"/>
    <n v="9.8238604836347592E-3"/>
    <n v="11.292892585622418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15"/>
    <n v="1"/>
    <s v="NonRes Motors"/>
    <s v="Com Winter"/>
    <n v="358.352872179526"/>
    <n v="1319.4664798090234"/>
    <n v="0"/>
    <n v="8"/>
    <n v="250"/>
    <n v="0"/>
    <n v="9.8238604836347592E-3"/>
    <n v="12.962254610476526"/>
    <s v="Unit"/>
    <s v="Ind_and_AG_GreenMotorRewind_v5_2"/>
    <m/>
    <n v="0"/>
    <x v="3"/>
    <x v="17"/>
    <n v="1319.4664798090234"/>
    <n v="0"/>
    <n v="358.352872179526"/>
    <n v="86.306727656054264"/>
    <n v="250"/>
    <n v="0.50924309297678105"/>
    <n v="6.190684367436047"/>
    <n v="671.92919125713252"/>
    <n v="196.46446581494402"/>
    <n v="1.5033046981181739"/>
    <n v="1.5050003812299855"/>
    <n v="709.17497142040349"/>
    <n v="0"/>
    <n v="709.17497142040349"/>
    <n v="446.46446581494399"/>
  </r>
  <r>
    <x v="116"/>
    <n v="0"/>
    <s v="NonRes Motors"/>
    <s v="Com Winter"/>
    <n v="399.16813484180739"/>
    <n v="1568.4817971016164"/>
    <n v="0"/>
    <n v="8"/>
    <n v="300"/>
    <n v="0"/>
    <n v="9.8238604836347592E-3"/>
    <n v="15.408546345847002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17"/>
    <n v="0"/>
    <s v="NonRes Motors"/>
    <s v="Com Winter"/>
    <n v="480.54196040119768"/>
    <n v="2080.4669241597876"/>
    <n v="0"/>
    <n v="8"/>
    <n v="400"/>
    <n v="0"/>
    <n v="9.8238604836347592E-3"/>
    <n v="20.4382168037624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18"/>
    <n v="0"/>
    <s v="NonRes Motors"/>
    <s v="Com Winter"/>
    <n v="617.61963500282218"/>
    <n v="2750.9841270818142"/>
    <n v="0"/>
    <n v="8"/>
    <n v="500"/>
    <n v="0"/>
    <n v="9.8238604836347592E-3"/>
    <n v="27.02528425714549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19"/>
    <n v="0"/>
    <s v="NonRes Motors"/>
    <s v="Com Winter"/>
    <n v="624.29382889728276"/>
    <n v="3284.1062099578558"/>
    <n v="0"/>
    <n v="8"/>
    <n v="600"/>
    <n v="0"/>
    <n v="9.8238604836347592E-3"/>
    <n v="32.262601220064496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20"/>
    <n v="2"/>
    <s v="NonRes Motors"/>
    <s v="Com Winter"/>
    <n v="654.32770142235677"/>
    <n v="3828.6487355234567"/>
    <n v="0"/>
    <n v="8"/>
    <n v="700"/>
    <n v="0"/>
    <n v="9.8238604836347592E-3"/>
    <n v="37.612111018627076"/>
    <s v="Unit"/>
    <s v="Ind_and_AG_GreenMotorRewind_v5_2"/>
    <m/>
    <n v="0"/>
    <x v="3"/>
    <x v="17"/>
    <n v="7657.2974710469134"/>
    <n v="0"/>
    <n v="1308.6554028447135"/>
    <n v="500.86629522463716"/>
    <n v="1400"/>
    <n v="0.50924309297678105"/>
    <n v="6.190684367436047"/>
    <n v="3899.4258479992136"/>
    <n v="1140.1478402491098"/>
    <n v="1.9766068879551808"/>
    <n v="1.5351176755195479"/>
    <n v="4115.5753467668246"/>
    <n v="0"/>
    <n v="4115.5753467668246"/>
    <n v="2540.1478402491098"/>
  </r>
  <r>
    <x v="121"/>
    <n v="0"/>
    <s v="NonRes Motors"/>
    <s v="Com Winter"/>
    <n v="730.82423144348832"/>
    <n v="4341.1009293007664"/>
    <n v="0"/>
    <n v="8"/>
    <n v="800"/>
    <n v="0"/>
    <n v="9.8238604836347592E-3"/>
    <n v="42.646369874827933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22"/>
    <n v="0"/>
    <s v="NonRes Motors"/>
    <s v="Com Winter"/>
    <n v="798.84966921395699"/>
    <n v="4875.5516385687515"/>
    <n v="0"/>
    <n v="8"/>
    <n v="900"/>
    <n v="0"/>
    <n v="9.8238604836347592E-3"/>
    <n v="47.89673907805625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23"/>
    <n v="1"/>
    <s v="NonRes Motors"/>
    <s v="Com Winter"/>
    <n v="863.0246105068527"/>
    <n v="5424.8348373563495"/>
    <n v="0"/>
    <n v="8"/>
    <n v="1000"/>
    <n v="0"/>
    <n v="9.8238604836347592E-3"/>
    <n v="53.292820588950235"/>
    <s v="Unit"/>
    <s v="Ind_and_AG_GreenMotorRewind_v5_2"/>
    <m/>
    <n v="0"/>
    <x v="3"/>
    <x v="17"/>
    <n v="5424.8348373563495"/>
    <n v="0"/>
    <n v="863.0246105068527"/>
    <n v="354.8401949207198"/>
    <n v="1000"/>
    <n v="0.50924309297678105"/>
    <n v="6.190684367436047"/>
    <n v="2762.5596714635403"/>
    <n v="807.74107926544184"/>
    <n v="2.0524361219615646"/>
    <n v="1.5281832686935897"/>
    <n v="2915.6914174124586"/>
    <n v="0"/>
    <n v="2915.6914174124586"/>
    <n v="1807.7410792654418"/>
  </r>
  <r>
    <x v="124"/>
    <n v="0"/>
    <s v="NonRes Motors"/>
    <s v="Com Winter"/>
    <n v="1271.7789413792252"/>
    <n v="5895.5149037446827"/>
    <n v="0"/>
    <n v="8"/>
    <n v="1200"/>
    <n v="0"/>
    <n v="9.8238604836347592E-3"/>
    <n v="57.9167158935771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25"/>
    <n v="0"/>
    <s v="NonRes Motors"/>
    <s v="Com Winter"/>
    <n v="1387.5094635091809"/>
    <n v="6848.9096697540954"/>
    <n v="0"/>
    <n v="8"/>
    <n v="1400"/>
    <n v="0"/>
    <n v="9.8238604836347609E-3"/>
    <n v="67.282733060681252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26"/>
    <n v="0"/>
    <s v="NonRes Motors"/>
    <s v="Com Winter"/>
    <n v="1539.477778088878"/>
    <n v="7810.7243226380087"/>
    <n v="0"/>
    <n v="8"/>
    <n v="1600"/>
    <n v="0"/>
    <n v="9.8238604836347592E-3"/>
    <n v="76.73146602172840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27"/>
    <n v="0"/>
    <s v="NonRes Motors"/>
    <s v="Com Winter"/>
    <n v="1697.2064353990281"/>
    <n v="8768.4480746430345"/>
    <n v="0"/>
    <n v="8"/>
    <n v="1800"/>
    <n v="0"/>
    <n v="9.8238604836347592E-3"/>
    <n v="86.140010543288994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28"/>
    <n v="0"/>
    <s v="NonRes Motors"/>
    <s v="Com Winter"/>
    <n v="1829.0659171742409"/>
    <n v="9701.5461693643592"/>
    <n v="0"/>
    <n v="8"/>
    <n v="2000"/>
    <n v="0"/>
    <n v="9.8238604836347592E-3"/>
    <n v="95.30663604337669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29"/>
    <n v="0"/>
    <s v="NonRes Motors"/>
    <s v="Com Winter"/>
    <n v="2184.9503644118813"/>
    <n v="11451.181019748095"/>
    <n v="0"/>
    <n v="8"/>
    <n v="2500"/>
    <n v="0"/>
    <n v="9.8238604836347592E-3"/>
    <n v="112.494804710851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0"/>
    <n v="0"/>
    <s v="NonRes Motors"/>
    <s v="Com Winter"/>
    <n v="2502.9212831327313"/>
    <n v="13712.457247156184"/>
    <n v="0"/>
    <n v="8"/>
    <n v="3000"/>
    <n v="0"/>
    <n v="9.8238604836347592E-3"/>
    <n v="134.70926688386871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1"/>
    <n v="0"/>
    <s v="NonRes Motors"/>
    <s v="Com Winter"/>
    <n v="2856.7110602865723"/>
    <n v="15930.613147766329"/>
    <n v="0"/>
    <n v="8"/>
    <n v="3500"/>
    <n v="0"/>
    <n v="9.8238604836347592E-3"/>
    <n v="156.5001209824139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2"/>
    <n v="0"/>
    <s v="NonRes Motors"/>
    <s v="Com Winter"/>
    <n v="3204.5310277015742"/>
    <n v="18130.037384145893"/>
    <n v="0"/>
    <n v="8"/>
    <n v="4000"/>
    <n v="0"/>
    <n v="9.8238604836347592E-3"/>
    <n v="178.10695782493173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3"/>
    <n v="0"/>
    <s v="NonRes Motors"/>
    <s v="Com Winter"/>
    <n v="3491.0818951654219"/>
    <n v="20268.415057671256"/>
    <n v="0"/>
    <n v="8"/>
    <n v="4500"/>
    <n v="0"/>
    <n v="9.8238604836347592E-3"/>
    <n v="199.1140817509643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4"/>
    <n v="0"/>
    <s v="NonRes Motors"/>
    <s v="Com Winter"/>
    <n v="3819.5261643052727"/>
    <n v="22473.396161880344"/>
    <n v="0"/>
    <n v="8"/>
    <n v="5000"/>
    <n v="0"/>
    <n v="9.8238604836347592E-3"/>
    <n v="220.77550848776539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5"/>
    <n v="0"/>
    <s v="NonRes Motors"/>
    <s v="Com Winter"/>
    <n v="4465.7318851576129"/>
    <n v="26799.699582190253"/>
    <n v="0"/>
    <n v="8"/>
    <n v="6000"/>
    <n v="0"/>
    <n v="9.8238604836347592E-3"/>
    <n v="263.2765096987618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6"/>
    <n v="0"/>
    <s v="NonRes Motors"/>
    <s v="Com Winter"/>
    <n v="4934.8332504246428"/>
    <n v="31201.245378959924"/>
    <n v="0"/>
    <n v="8"/>
    <n v="7000"/>
    <n v="0"/>
    <n v="9.8238604836347592E-3"/>
    <n v="306.51668151855603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7"/>
    <n v="0"/>
    <s v="NonRes Motors"/>
    <s v="Com Winter"/>
    <n v="5509.5059879151959"/>
    <n v="35658.566147383302"/>
    <n v="0"/>
    <n v="8"/>
    <n v="8000"/>
    <n v="0"/>
    <n v="9.8238604836347592E-3"/>
    <n v="350.30477887835497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8"/>
    <n v="0"/>
    <s v="NonRes Motors"/>
    <s v="Com Winter"/>
    <n v="5937.5518195397453"/>
    <n v="40032.485362220556"/>
    <n v="0"/>
    <n v="8"/>
    <n v="9000"/>
    <n v="0"/>
    <n v="9.8238604836347592E-3"/>
    <n v="393.27355101160543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39"/>
    <n v="0"/>
    <s v="NonRes Motors"/>
    <s v="Com Winter"/>
    <n v="6338.0527395623285"/>
    <n v="44388.159587558359"/>
    <n v="0"/>
    <n v="8"/>
    <n v="10000"/>
    <n v="0"/>
    <n v="9.8238604836347592E-3"/>
    <n v="436.06308691348795"/>
    <s v="Unit"/>
    <s v="Ind_and_AG_GreenMotorRewind_v5_2"/>
    <m/>
    <n v="0"/>
    <x v="3"/>
    <x v="17"/>
    <n v="0"/>
    <n v="0"/>
    <n v="0"/>
    <n v="0"/>
    <n v="0"/>
    <n v="0.50924309297678105"/>
    <n v="6.190684367436047"/>
    <n v="0"/>
    <n v="0"/>
    <n v="0"/>
    <n v="0"/>
    <n v="0"/>
    <n v="0"/>
    <n v="0"/>
    <n v="0"/>
  </r>
  <r>
    <x v="140"/>
    <n v="2"/>
    <s v="NonRes Misc"/>
    <s v="Com Winter"/>
    <n v="2095"/>
    <n v="94466"/>
    <n v="0"/>
    <n v="5"/>
    <n v="200"/>
    <n v="0"/>
    <n v="0"/>
    <n v="0"/>
    <s v="Unit"/>
    <s v="https://www.theboc.info/why-boc/energy-savings-evaluation-reports/"/>
    <m/>
    <n v="0"/>
    <x v="3"/>
    <x v="18"/>
    <n v="188932"/>
    <n v="0"/>
    <n v="4190"/>
    <n v="0"/>
    <n v="400"/>
    <n v="0.35726782014982422"/>
    <n v="4.5743548642727507"/>
    <n v="67499.323796546596"/>
    <n v="19736.035828042615"/>
    <n v="3.1032828300447957"/>
    <n v="3.352165459625529"/>
    <n v="67382.537343363787"/>
    <n v="0"/>
    <n v="67382.537343363787"/>
    <n v="20136.035828042615"/>
  </r>
  <r>
    <x v="141"/>
    <n v="0"/>
    <s v="NonRes Compressed Air"/>
    <s v="Com Winter"/>
    <n v="1440"/>
    <n v="6000"/>
    <n v="0"/>
    <n v="10"/>
    <n v="1440"/>
    <n v="0"/>
    <n v="9.6600000000000005E-2"/>
    <n v="579.6"/>
    <s v="Unit"/>
    <s v="Avista"/>
    <s v="N/A"/>
    <n v="0"/>
    <x v="3"/>
    <x v="19"/>
    <n v="0"/>
    <n v="0"/>
    <n v="0"/>
    <n v="0"/>
    <n v="0"/>
    <n v="0.63751634292780057"/>
    <n v="7.1955923949164964"/>
    <n v="0"/>
    <n v="0"/>
    <n v="0"/>
    <n v="0"/>
    <n v="0"/>
    <n v="0"/>
    <n v="0"/>
    <n v="0"/>
  </r>
  <r>
    <x v="142"/>
    <n v="0"/>
    <s v="NonRes Ventilation"/>
    <s v="Com Winter"/>
    <n v="200"/>
    <n v="1091"/>
    <n v="0"/>
    <n v="16"/>
    <n v="200"/>
    <n v="0"/>
    <n v="2.7997786299667799E-3"/>
    <n v="3.0545584852937568"/>
    <s v="Unit"/>
    <s v="Avista"/>
    <s v="N/A"/>
    <n v="0"/>
    <x v="3"/>
    <x v="20"/>
    <n v="0"/>
    <n v="0"/>
    <n v="0"/>
    <n v="0"/>
    <n v="0"/>
    <n v="0.89419338325962394"/>
    <n v="9.8375387624174682"/>
    <n v="0"/>
    <n v="0"/>
    <n v="0"/>
    <n v="0"/>
    <n v="0"/>
    <n v="0"/>
    <n v="0"/>
    <n v="0"/>
  </r>
  <r>
    <x v="143"/>
    <n v="0"/>
    <s v="NonRes Ventilation"/>
    <s v="Com Winter"/>
    <n v="200"/>
    <n v="1756"/>
    <n v="0"/>
    <n v="16"/>
    <n v="200"/>
    <n v="0"/>
    <n v="2.7997786299667794E-3"/>
    <n v="4.916411274221665"/>
    <s v="Unit"/>
    <s v="Avista"/>
    <s v="N/A"/>
    <n v="0"/>
    <x v="3"/>
    <x v="20"/>
    <n v="0"/>
    <n v="0"/>
    <n v="0"/>
    <n v="0"/>
    <n v="0"/>
    <n v="0.89419338325962394"/>
    <n v="9.8375387624174682"/>
    <n v="0"/>
    <n v="0"/>
    <n v="0"/>
    <n v="0"/>
    <n v="0"/>
    <n v="0"/>
    <n v="0"/>
    <n v="0"/>
  </r>
  <r>
    <x v="144"/>
    <n v="0"/>
    <s v="NonRes Space Heating"/>
    <s v="Com Winter"/>
    <n v="74.219420509518642"/>
    <n v="264.92817420736992"/>
    <n v="0"/>
    <n v="5"/>
    <n v="150"/>
    <n v="0"/>
    <n v="0"/>
    <n v="0"/>
    <s v="Unit"/>
    <s v="ComConnectedThermostas_v2.1"/>
    <m/>
    <n v="0"/>
    <x v="3"/>
    <x v="21"/>
    <n v="0"/>
    <n v="0"/>
    <n v="0"/>
    <n v="0"/>
    <n v="0"/>
    <n v="0.52673383355723413"/>
    <n v="4.5743548642727507"/>
    <n v="0"/>
    <n v="0"/>
    <n v="0"/>
    <n v="0"/>
    <n v="0"/>
    <n v="0"/>
    <n v="0"/>
    <n v="0"/>
  </r>
  <r>
    <x v="145"/>
    <n v="0"/>
    <s v="NonRes Space Heating"/>
    <s v="Com Winter"/>
    <n v="74.219420509518642"/>
    <n v="162.24352337188563"/>
    <n v="0"/>
    <n v="5"/>
    <n v="150"/>
    <n v="0"/>
    <n v="0"/>
    <n v="0"/>
    <s v="Unit"/>
    <s v="ComConnectedThermostas_v2.1"/>
    <m/>
    <n v="0"/>
    <x v="3"/>
    <x v="21"/>
    <n v="0"/>
    <n v="0"/>
    <n v="0"/>
    <n v="0"/>
    <n v="0"/>
    <n v="0.52673383355723413"/>
    <n v="4.5743548642727507"/>
    <n v="0"/>
    <n v="0"/>
    <n v="0"/>
    <n v="0"/>
    <n v="0"/>
    <n v="0"/>
    <n v="0"/>
    <n v="0"/>
  </r>
  <r>
    <x v="146"/>
    <n v="0"/>
    <s v="NonRes Space Heating"/>
    <s v="Com Winter"/>
    <n v="74.219420509518642"/>
    <n v="256.97670077580392"/>
    <n v="0"/>
    <n v="5"/>
    <n v="150"/>
    <n v="0"/>
    <n v="0"/>
    <n v="0"/>
    <s v="Unit"/>
    <s v="ComConnectedThermostas_v2.1"/>
    <m/>
    <n v="0"/>
    <x v="3"/>
    <x v="21"/>
    <n v="0"/>
    <n v="0"/>
    <n v="0"/>
    <n v="0"/>
    <n v="0"/>
    <n v="0.52673383355723413"/>
    <n v="4.5743548642727507"/>
    <n v="0"/>
    <n v="0"/>
    <n v="0"/>
    <n v="0"/>
    <n v="0"/>
    <n v="0"/>
    <n v="0"/>
    <n v="0"/>
  </r>
  <r>
    <x v="147"/>
    <n v="0"/>
    <s v="NonRes Space Heating"/>
    <s v="Com Winter"/>
    <n v="74.219420509518642"/>
    <n v="154.29204994031963"/>
    <n v="0"/>
    <n v="5"/>
    <n v="150"/>
    <n v="0"/>
    <n v="0"/>
    <n v="0"/>
    <s v="Unit"/>
    <s v="ComConnectedThermostas_v2.1"/>
    <m/>
    <n v="0"/>
    <x v="3"/>
    <x v="21"/>
    <n v="0"/>
    <n v="0"/>
    <n v="0"/>
    <n v="0"/>
    <n v="0"/>
    <n v="0.52673383355723413"/>
    <n v="4.5743548642727507"/>
    <n v="0"/>
    <n v="0"/>
    <n v="0"/>
    <n v="0"/>
    <n v="0"/>
    <n v="0"/>
    <n v="0"/>
    <n v="0"/>
  </r>
  <r>
    <x v="148"/>
    <n v="0"/>
    <s v="NonRes Misc"/>
    <s v="Com Winter"/>
    <n v="426.57335926530232"/>
    <n v="950.13863278242536"/>
    <n v="0"/>
    <n v="11"/>
    <n v="200"/>
    <n v="0"/>
    <n v="0"/>
    <n v="0"/>
    <s v="Unit"/>
    <s v="ComClothesWashers_v7_1"/>
    <m/>
    <n v="0"/>
    <x v="3"/>
    <x v="21"/>
    <n v="0"/>
    <n v="0"/>
    <n v="0"/>
    <n v="0"/>
    <n v="0"/>
    <n v="0.68058178508819822"/>
    <n v="7.6892677087561063"/>
    <n v="0"/>
    <n v="0"/>
    <n v="0"/>
    <n v="0"/>
    <n v="0"/>
    <n v="0"/>
    <n v="0"/>
    <n v="0"/>
  </r>
  <r>
    <x v="149"/>
    <n v="0"/>
    <s v="NonRes Misc"/>
    <s v="Com Winter"/>
    <n v="426.57335926530232"/>
    <n v="654.41389504467293"/>
    <n v="0"/>
    <n v="11"/>
    <n v="200"/>
    <n v="0"/>
    <n v="0"/>
    <n v="0"/>
    <s v="Unit"/>
    <s v="ComClothesWashers_v7_1"/>
    <m/>
    <n v="0"/>
    <x v="3"/>
    <x v="21"/>
    <n v="0"/>
    <n v="0"/>
    <n v="0"/>
    <n v="0"/>
    <n v="0"/>
    <n v="0.68058178508819822"/>
    <n v="7.6892677087561063"/>
    <n v="0"/>
    <n v="0"/>
    <n v="0"/>
    <n v="0"/>
    <n v="0"/>
    <n v="0"/>
    <n v="0"/>
    <n v="0"/>
  </r>
  <r>
    <x v="150"/>
    <n v="0"/>
    <s v="NonRes Misc"/>
    <s v="Com Winter"/>
    <n v="426.57335926530232"/>
    <n v="674.03170108251766"/>
    <n v="0"/>
    <n v="11"/>
    <n v="200"/>
    <n v="0"/>
    <n v="0"/>
    <n v="0"/>
    <s v="Unit"/>
    <s v="ComClothesWashers_v7_1"/>
    <m/>
    <n v="0"/>
    <x v="3"/>
    <x v="21"/>
    <n v="0"/>
    <n v="0"/>
    <n v="0"/>
    <n v="0"/>
    <n v="0"/>
    <n v="0.68058178508819822"/>
    <n v="7.6892677087561063"/>
    <n v="0"/>
    <n v="0"/>
    <n v="0"/>
    <n v="0"/>
    <n v="0"/>
    <n v="0"/>
    <n v="0"/>
    <n v="0"/>
  </r>
  <r>
    <x v="151"/>
    <n v="0"/>
    <s v="NonRes Misc"/>
    <s v="Com Winter"/>
    <n v="35000"/>
    <n v="5306"/>
    <n v="0"/>
    <n v="5"/>
    <n v="4245"/>
    <n v="0"/>
    <n v="0"/>
    <n v="0"/>
    <s v="Unit"/>
    <s v="Edo Estimate"/>
    <s v="N/A"/>
    <n v="0"/>
    <x v="3"/>
    <x v="22"/>
    <n v="0"/>
    <n v="0"/>
    <n v="0"/>
    <n v="0"/>
    <n v="0"/>
    <n v="0.35726782014982422"/>
    <n v="4.5743548642727507"/>
    <n v="0"/>
    <n v="0"/>
    <n v="0"/>
    <n v="0"/>
    <n v="0"/>
    <n v="0"/>
    <n v="0"/>
    <n v="0"/>
  </r>
  <r>
    <x v="152"/>
    <n v="0"/>
    <s v="NonRes Interior Lighting"/>
    <s v="Com Winter"/>
    <n v="35000"/>
    <n v="1429340"/>
    <n v="0"/>
    <n v="5"/>
    <n v="0"/>
    <n v="0"/>
    <n v="2.5250287948902599E-2"/>
    <n v="36091.246576884441"/>
    <s v="Unit"/>
    <s v="Edo Estimate"/>
    <s v="N/A"/>
    <n v="0"/>
    <x v="3"/>
    <x v="23"/>
    <n v="0"/>
    <n v="0"/>
    <n v="0"/>
    <n v="0"/>
    <n v="0"/>
    <n v="0.3641992731243871"/>
    <n v="4.5743548642727507"/>
    <n v="0"/>
    <n v="0"/>
    <n v="0"/>
    <n v="0"/>
    <n v="0"/>
    <n v="0"/>
    <n v="0"/>
    <n v="0"/>
  </r>
  <r>
    <x v="153"/>
    <n v="0"/>
    <s v="NonRes Misc"/>
    <s v="Com Annual"/>
    <n v="0"/>
    <n v="500000"/>
    <n v="0"/>
    <n v="10"/>
    <n v="400000"/>
    <n v="0"/>
    <n v="0"/>
    <n v="0"/>
    <s v="Unit"/>
    <s v="Avista"/>
    <s v="N/A"/>
    <n v="0"/>
    <x v="3"/>
    <x v="24"/>
    <n v="0"/>
    <n v="0"/>
    <n v="0"/>
    <n v="0"/>
    <n v="0"/>
    <n v="0.63048562376596884"/>
    <n v="6.5703091088618146"/>
    <n v="0"/>
    <n v="0"/>
    <n v="0"/>
    <n v="0"/>
    <n v="0"/>
    <n v="0"/>
    <n v="0"/>
    <n v="0"/>
  </r>
  <r>
    <x v="154"/>
    <n v="5"/>
    <s v="NonRes Cooking"/>
    <s v="Com Annual"/>
    <n v="161.04"/>
    <n v="1495.5"/>
    <n v="0"/>
    <n v="8"/>
    <n v="959.70500000000004"/>
    <n v="0"/>
    <n v="0"/>
    <n v="0"/>
    <s v="Unit"/>
    <s v="2023 Evaluation Results"/>
    <s v="N/A"/>
    <n v="0"/>
    <x v="3"/>
    <x v="25"/>
    <n v="7477.5"/>
    <n v="0"/>
    <n v="805.19999999999993"/>
    <n v="0"/>
    <n v="4798.5250000000005"/>
    <n v="0.48379246214647065"/>
    <n v="5.5906674752183614"/>
    <n v="3617.5581357002343"/>
    <n v="1057.7329217609088"/>
    <n v="2.1360478967266694"/>
    <n v="0.61772520678400655"/>
    <n v="4018.9394197900278"/>
    <n v="0"/>
    <n v="4018.9394197900278"/>
    <n v="5856.2579217609091"/>
  </r>
  <r>
    <x v="155"/>
    <n v="13"/>
    <s v="NonRes Misc"/>
    <s v="Com Annual"/>
    <n v="2297"/>
    <n v="1900.5"/>
    <n v="0"/>
    <n v="12"/>
    <n v="2467.8150000000001"/>
    <n v="0"/>
    <n v="0"/>
    <n v="0"/>
    <s v="Unit"/>
    <s v="2023 Evaluation Results"/>
    <s v="N/A"/>
    <n v="0"/>
    <x v="3"/>
    <x v="25"/>
    <n v="24706.5"/>
    <n v="0"/>
    <n v="29861"/>
    <n v="0"/>
    <n v="32081.595000000001"/>
    <n v="0.72883305969951229"/>
    <n v="7.4795347883823"/>
    <n v="18006.913989466"/>
    <n v="5265.0171832797678"/>
    <n v="0.56390126113817318"/>
    <n v="0.48215655816641306"/>
    <n v="18427.319425557816"/>
    <n v="0"/>
    <n v="18427.319425557816"/>
    <n v="37346.612183279765"/>
  </r>
  <r>
    <x v="156"/>
    <n v="13"/>
    <s v="NonRes Misc"/>
    <s v="Com Annual"/>
    <n v="300.16000000000003"/>
    <n v="258.60000000000002"/>
    <n v="0"/>
    <n v="8"/>
    <n v="265.06200000000001"/>
    <n v="0"/>
    <n v="0"/>
    <n v="0"/>
    <s v="Unit"/>
    <s v="2023 Evaluation Results"/>
    <s v="N/A"/>
    <n v="0"/>
    <x v="3"/>
    <x v="25"/>
    <n v="3361.8"/>
    <n v="0"/>
    <n v="3902.0800000000004"/>
    <n v="0"/>
    <n v="3445.806"/>
    <n v="0.52583575422878048"/>
    <n v="5.5906674752183614"/>
    <n v="1767.7546385663143"/>
    <n v="516.87138358737559"/>
    <n v="0.4400433346348212"/>
    <n v="0.44610107446243386"/>
    <n v="1806.8700155734025"/>
    <n v="0"/>
    <n v="1806.8700155734025"/>
    <n v="3962.6773835873755"/>
  </r>
  <r>
    <x v="157"/>
    <n v="252"/>
    <s v="NonRes Space Heating"/>
    <s v="Com Winter"/>
    <n v="2601.0300000000002"/>
    <n v="947.47619047619048"/>
    <n v="0"/>
    <n v="15"/>
    <n v="493.99857142857138"/>
    <n v="0"/>
    <n v="0"/>
    <n v="0"/>
    <s v="Unit"/>
    <s v="2023 Evaluation Results"/>
    <s v="N/A"/>
    <n v="0"/>
    <x v="3"/>
    <x v="25"/>
    <n v="238764"/>
    <n v="0"/>
    <n v="655459.56000000006"/>
    <n v="0"/>
    <n v="124487.63999999998"/>
    <n v="1.2914963808201403"/>
    <n v="9.4305413738174693"/>
    <n v="308362.84187013999"/>
    <n v="90161.793524478053"/>
    <n v="0.45492142151481235"/>
    <n v="1.4365881931618287"/>
    <n v="210300.2199475404"/>
    <n v="0"/>
    <n v="210300.2199475404"/>
    <n v="214649.43352447805"/>
  </r>
  <r>
    <x v="158"/>
    <n v="31"/>
    <s v="NonRes Space Heating"/>
    <s v="Com Winter"/>
    <n v="829.5"/>
    <n v="3229.75"/>
    <n v="0"/>
    <n v="10"/>
    <n v="902.58124999999995"/>
    <n v="0"/>
    <n v="0"/>
    <n v="0"/>
    <s v="Unit"/>
    <s v="2023 Evaluation Results"/>
    <s v="N/A"/>
    <n v="0"/>
    <x v="3"/>
    <x v="25"/>
    <n v="100122.25"/>
    <n v="0"/>
    <n v="25714.5"/>
    <n v="0"/>
    <n v="27980.018749999999"/>
    <n v="0.934418764205455"/>
    <n v="7.1955923949164964"/>
    <n v="93556.109114469611"/>
    <n v="27354.743982041247"/>
    <n v="1.9391970245655308"/>
    <n v="1.6907293805074282"/>
    <n v="64680.374644798627"/>
    <n v="0"/>
    <n v="64680.374644798627"/>
    <n v="55334.762732041243"/>
  </r>
  <r>
    <x v="159"/>
    <n v="9"/>
    <s v="NonRes Misc"/>
    <s v="Com Annual"/>
    <n v="3200"/>
    <n v="246.83333333333334"/>
    <n v="0"/>
    <n v="16"/>
    <n v="167.18666666666667"/>
    <n v="0"/>
    <n v="0"/>
    <n v="0"/>
    <s v="Unit"/>
    <s v="2023 Evaluation Results"/>
    <s v="N/A"/>
    <n v="0"/>
    <x v="3"/>
    <x v="25"/>
    <n v="2221.5"/>
    <n v="0"/>
    <n v="28800"/>
    <n v="0"/>
    <n v="1504.68"/>
    <n v="0.91119151839909662"/>
    <n v="9.1017064176152367"/>
    <n v="2024.2119581235931"/>
    <n v="591.85659177112314"/>
    <n v="7.5756805187983459E-2"/>
    <n v="0.96550280403814404"/>
    <n v="2048.5199688118673"/>
    <n v="0"/>
    <n v="2048.5199688118673"/>
    <n v="2096.5365917711233"/>
  </r>
  <r>
    <x v="160"/>
    <n v="258"/>
    <s v="NonRes Misc"/>
    <s v="Com Annual"/>
    <n v="24.282902074280965"/>
    <n v="41.548562514127411"/>
    <n v="0"/>
    <n v="7"/>
    <n v="20"/>
    <n v="0"/>
    <n v="0"/>
    <n v="0"/>
    <s v="Unit"/>
    <s v="ComGroceryDisplayCaseLighting_v4_2"/>
    <s v="WA_Double Row T8_High Power LED_Med Temp Open Case_Self-Contained"/>
    <n v="0"/>
    <x v="3"/>
    <x v="26"/>
    <n v="10719.529128644872"/>
    <n v="0"/>
    <n v="6264.9887351644893"/>
    <n v="0"/>
    <n v="5160"/>
    <n v="0.47135543617977316"/>
    <n v="5.0980659541706199"/>
    <n v="5052.7083280741872"/>
    <n v="1477.3545419816987"/>
    <n v="0.71786782914774949"/>
    <n v="0.76125334214339146"/>
    <n v="5142.1495037504756"/>
    <n v="0"/>
    <n v="5142.1495037504756"/>
    <n v="6637.3545419816983"/>
  </r>
  <r>
    <x v="161"/>
    <n v="173"/>
    <s v="NonRes Misc"/>
    <s v="Com Annual"/>
    <n v="24.282902074280965"/>
    <n v="41.548562514127411"/>
    <n v="0"/>
    <n v="7"/>
    <n v="20"/>
    <n v="0"/>
    <n v="0"/>
    <n v="0"/>
    <s v="Unit"/>
    <s v="ComGroceryDisplayCaseLighting_v4_2"/>
    <s v="WA_Double Row T12_High Power LED_Med Temp Open Case_Self-Contained"/>
    <n v="0"/>
    <x v="3"/>
    <x v="26"/>
    <n v="7187.9013149440425"/>
    <n v="0"/>
    <n v="4200.9420588506073"/>
    <n v="0"/>
    <n v="3460"/>
    <n v="0.47135543617977316"/>
    <n v="5.0980659541706199"/>
    <n v="3388.056359522614"/>
    <n v="990.62920838307696"/>
    <n v="0.71786782914774949"/>
    <n v="0.76125334214339146"/>
    <n v="3448.0304811970245"/>
    <n v="0"/>
    <n v="3448.0304811970245"/>
    <n v="4450.6292083830767"/>
  </r>
  <r>
    <x v="162"/>
    <n v="431"/>
    <s v="NonRes Misc"/>
    <s v="Com Annual"/>
    <n v="24.282902074280965"/>
    <n v="41.548562514127411"/>
    <n v="0"/>
    <n v="7"/>
    <n v="20"/>
    <n v="0"/>
    <n v="0"/>
    <n v="0"/>
    <s v="Unit"/>
    <s v="ComGroceryDisplayCaseLighting_v4_2"/>
    <s v="WA_Double Row T8_High Power LED_Low Temp Open Case_Remote Condensing"/>
    <n v="0"/>
    <x v="3"/>
    <x v="26"/>
    <n v="17907.430443588913"/>
    <n v="0"/>
    <n v="10465.930794015096"/>
    <n v="0"/>
    <n v="8620"/>
    <n v="0.47135543617977316"/>
    <n v="5.0980659541706199"/>
    <n v="8440.7646875968003"/>
    <n v="2467.9837503647755"/>
    <n v="0.71786782914774938"/>
    <n v="0.76125334214339135"/>
    <n v="8590.179984947501"/>
    <n v="0"/>
    <n v="8590.179984947501"/>
    <n v="11087.983750364776"/>
  </r>
  <r>
    <x v="163"/>
    <n v="86"/>
    <s v="NonRes Misc"/>
    <s v="Com Annual"/>
    <n v="15.015247675140364"/>
    <n v="48.753868994422973"/>
    <n v="0"/>
    <n v="7"/>
    <n v="20"/>
    <n v="0"/>
    <n v="0"/>
    <n v="0"/>
    <s v="Unit"/>
    <s v="ComGroceryDisplayCaseLighting_v4_2"/>
    <s v="WA_Double Row T12_Low Power LED_Low Temp Closed Case_Remote Condensing"/>
    <n v="0"/>
    <x v="3"/>
    <x v="26"/>
    <n v="4192.8327335203758"/>
    <n v="0"/>
    <n v="1291.3113000620713"/>
    <n v="0"/>
    <n v="1720"/>
    <n v="0.47135543617977316"/>
    <n v="5.0980659541706199"/>
    <n v="1976.3145019373273"/>
    <n v="577.85191945450049"/>
    <n v="1.163058383255217"/>
    <n v="0.86007043587321119"/>
    <n v="2011.2984909353124"/>
    <n v="0"/>
    <n v="2011.2984909353124"/>
    <n v="2297.8519194545006"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  <r>
    <x v="164"/>
    <m/>
    <m/>
    <m/>
    <m/>
    <m/>
    <m/>
    <m/>
    <m/>
    <m/>
    <m/>
    <m/>
    <m/>
    <m/>
    <m/>
    <m/>
    <x v="4"/>
    <x v="27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C574DD-E3C8-4B28-AF1A-0ED6DF822C1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:A14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0">
        <item h="1" x="7"/>
        <item x="17"/>
        <item x="16"/>
        <item h="1" x="18"/>
        <item h="1" m="1" x="28"/>
        <item x="14"/>
        <item x="4"/>
        <item x="3"/>
        <item x="0"/>
        <item m="1" x="24"/>
        <item x="8"/>
        <item x="9"/>
        <item m="1" x="27"/>
        <item m="1" x="25"/>
        <item m="1" x="21"/>
        <item x="1"/>
        <item m="1" x="22"/>
        <item x="2"/>
        <item m="1" x="26"/>
        <item m="1" x="23"/>
        <item h="1" x="20"/>
        <item h="1" x="12"/>
        <item x="6"/>
        <item h="1" x="11"/>
        <item h="1" x="15"/>
        <item h="1" x="13"/>
        <item h="1" x="5"/>
        <item h="1" x="10"/>
        <item h="1" x="19"/>
        <item t="default"/>
      </items>
    </pivotField>
  </pivotFields>
  <rowFields count="1">
    <field x="13"/>
  </rowFields>
  <rowItems count="12">
    <i>
      <x v="1"/>
    </i>
    <i>
      <x v="2"/>
    </i>
    <i>
      <x v="5"/>
    </i>
    <i>
      <x v="6"/>
    </i>
    <i>
      <x v="7"/>
    </i>
    <i>
      <x v="8"/>
    </i>
    <i>
      <x v="10"/>
    </i>
    <i>
      <x v="11"/>
    </i>
    <i>
      <x v="15"/>
    </i>
    <i>
      <x v="17"/>
    </i>
    <i>
      <x v="2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3C0E3A-7015-4104-8254-B1DB72075EB5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2:E15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0">
        <item h="1" x="7"/>
        <item x="17"/>
        <item x="16"/>
        <item h="1" x="18"/>
        <item h="1" m="1" x="28"/>
        <item x="14"/>
        <item x="4"/>
        <item x="3"/>
        <item x="0"/>
        <item m="1" x="24"/>
        <item x="8"/>
        <item x="9"/>
        <item m="1" x="27"/>
        <item m="1" x="25"/>
        <item m="1" x="21"/>
        <item x="1"/>
        <item m="1" x="22"/>
        <item x="2"/>
        <item m="1" x="26"/>
        <item m="1" x="23"/>
        <item h="1" x="20"/>
        <item h="1" x="12"/>
        <item h="1" x="6"/>
        <item h="1" x="11"/>
        <item h="1" x="15"/>
        <item h="1" x="13"/>
        <item h="1" x="5"/>
        <item h="1" x="10"/>
        <item h="1" x="19"/>
        <item t="default"/>
      </items>
    </pivotField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showAll="0"/>
  </pivotFields>
  <rowFields count="2">
    <field x="16"/>
    <field x="13"/>
  </rowFields>
  <rowItems count="13">
    <i>
      <x v="1"/>
    </i>
    <i r="1">
      <x v="1"/>
    </i>
    <i r="1">
      <x v="2"/>
    </i>
    <i r="1">
      <x v="5"/>
    </i>
    <i>
      <x v="2"/>
    </i>
    <i r="1">
      <x v="6"/>
    </i>
    <i r="1">
      <x v="7"/>
    </i>
    <i r="1">
      <x v="8"/>
    </i>
    <i r="1">
      <x v="10"/>
    </i>
    <i r="1">
      <x v="11"/>
    </i>
    <i r="1">
      <x v="15"/>
    </i>
    <i r="1">
      <x v="1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B5A05-E890-44B4-9F20-30822A03E6A2}" name="PivotTable6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34" firstHeaderRow="0" firstDataRow="1" firstDataCol="1" rowPageCount="1" colPageCount="1"/>
  <pivotFields count="33">
    <pivotField axis="axisRow" showAll="0" measureFilter="1">
      <items count="261">
        <item m="1" x="220"/>
        <item m="1" x="188"/>
        <item m="1" x="186"/>
        <item m="1" x="216"/>
        <item m="1" x="189"/>
        <item m="1" x="179"/>
        <item m="1" x="187"/>
        <item m="1" x="212"/>
        <item m="1" x="190"/>
        <item m="1" x="180"/>
        <item m="1" x="213"/>
        <item m="1" x="203"/>
        <item m="1" x="193"/>
        <item m="1" x="181"/>
        <item m="1" x="214"/>
        <item m="1" x="204"/>
        <item m="1" x="205"/>
        <item m="1" x="182"/>
        <item m="1" x="183"/>
        <item m="1" x="215"/>
        <item m="1" x="209"/>
        <item m="1" x="207"/>
        <item m="1" x="184"/>
        <item m="1" x="210"/>
        <item m="1" x="208"/>
        <item m="1" x="185"/>
        <item m="1" x="211"/>
        <item m="1" x="177"/>
        <item m="1" x="178"/>
        <item x="152"/>
        <item x="32"/>
        <item m="1" x="234"/>
        <item m="1" x="235"/>
        <item m="1" x="236"/>
        <item m="1" x="255"/>
        <item m="1" x="237"/>
        <item m="1" x="239"/>
        <item m="1" x="228"/>
        <item m="1" x="229"/>
        <item m="1" x="230"/>
        <item m="1" x="238"/>
        <item m="1" x="246"/>
        <item m="1" x="251"/>
        <item m="1" x="231"/>
        <item m="1" x="232"/>
        <item m="1" x="247"/>
        <item m="1" x="248"/>
        <item x="35"/>
        <item m="1" x="166"/>
        <item x="8"/>
        <item x="36"/>
        <item m="1" x="202"/>
        <item x="153"/>
        <item m="1" x="257"/>
        <item m="1" x="253"/>
        <item m="1" x="252"/>
        <item x="141"/>
        <item x="43"/>
        <item x="100"/>
        <item x="46"/>
        <item x="37"/>
        <item x="39"/>
        <item x="18"/>
        <item m="1" x="242"/>
        <item m="1" x="241"/>
        <item m="1" x="258"/>
        <item m="1" x="256"/>
        <item m="1" x="254"/>
        <item m="1" x="245"/>
        <item m="1" x="233"/>
        <item m="1" x="250"/>
        <item m="1" x="240"/>
        <item x="41"/>
        <item x="40"/>
        <item m="1" x="222"/>
        <item m="1" x="169"/>
        <item m="1" x="171"/>
        <item m="1" x="168"/>
        <item m="1" x="170"/>
        <item x="5"/>
        <item x="1"/>
        <item x="33"/>
        <item x="4"/>
        <item x="10"/>
        <item x="9"/>
        <item x="38"/>
        <item x="22"/>
        <item x="21"/>
        <item x="128"/>
        <item x="114"/>
        <item x="129"/>
        <item x="115"/>
        <item x="130"/>
        <item x="116"/>
        <item x="107"/>
        <item x="131"/>
        <item x="132"/>
        <item x="117"/>
        <item x="133"/>
        <item x="134"/>
        <item x="118"/>
        <item x="108"/>
        <item x="135"/>
        <item x="119"/>
        <item x="109"/>
        <item x="136"/>
        <item x="120"/>
        <item x="137"/>
        <item x="121"/>
        <item x="110"/>
        <item x="138"/>
        <item x="122"/>
        <item x="139"/>
        <item x="123"/>
        <item x="111"/>
        <item x="124"/>
        <item x="112"/>
        <item x="125"/>
        <item x="113"/>
        <item x="126"/>
        <item x="127"/>
        <item m="1" x="227"/>
        <item m="1" x="225"/>
        <item m="1" x="226"/>
        <item m="1" x="224"/>
        <item m="1" x="223"/>
        <item m="1" x="249"/>
        <item m="1" x="244"/>
        <item x="48"/>
        <item x="44"/>
        <item x="99"/>
        <item x="6"/>
        <item m="1" x="172"/>
        <item x="103"/>
        <item x="104"/>
        <item x="105"/>
        <item x="106"/>
        <item x="19"/>
        <item m="1" x="219"/>
        <item m="1" x="167"/>
        <item x="150"/>
        <item x="148"/>
        <item x="149"/>
        <item x="50"/>
        <item x="11"/>
        <item m="1" x="191"/>
        <item x="147"/>
        <item x="145"/>
        <item x="146"/>
        <item x="144"/>
        <item m="1" x="217"/>
        <item m="1" x="218"/>
        <item x="51"/>
        <item x="45"/>
        <item x="151"/>
        <item x="142"/>
        <item x="143"/>
        <item m="1" x="243"/>
        <item m="1" x="259"/>
        <item x="96"/>
        <item m="1" x="165"/>
        <item x="20"/>
        <item x="0"/>
        <item x="3"/>
        <item x="2"/>
        <item x="16"/>
        <item x="17"/>
        <item m="1" x="175"/>
        <item m="1" x="176"/>
        <item m="1" x="192"/>
        <item m="1" x="199"/>
        <item m="1" x="200"/>
        <item m="1" x="206"/>
        <item m="1" x="194"/>
        <item m="1" x="195"/>
        <item m="1" x="196"/>
        <item m="1" x="197"/>
        <item x="42"/>
        <item m="1" x="201"/>
        <item m="1" x="221"/>
        <item m="1" x="198"/>
        <item x="7"/>
        <item x="34"/>
        <item x="14"/>
        <item m="1" x="173"/>
        <item m="1" x="174"/>
        <item x="164"/>
        <item x="49"/>
        <item x="154"/>
        <item x="155"/>
        <item x="156"/>
        <item x="157"/>
        <item x="158"/>
        <item x="159"/>
        <item x="13"/>
        <item x="15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4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12"/>
        <item x="23"/>
        <item x="24"/>
        <item x="25"/>
        <item x="26"/>
        <item x="27"/>
        <item x="28"/>
        <item x="29"/>
        <item x="30"/>
        <item x="31"/>
        <item x="47"/>
        <item x="101"/>
        <item x="102"/>
        <item x="160"/>
        <item x="161"/>
        <item x="162"/>
        <item x="163"/>
        <item t="default"/>
      </items>
    </pivotField>
    <pivotField dataField="1" numFmtId="3" showAll="0"/>
    <pivotField showAll="0"/>
    <pivotField showAll="0"/>
    <pivotField dataField="1" numFmtId="164" showAll="0"/>
    <pivotField dataField="1" numFmtId="4" showAll="0"/>
    <pivotField dataField="1" showAll="0"/>
    <pivotField numFmtId="1" showAll="0"/>
    <pivotField dataField="1" showAll="0"/>
    <pivotField numFmtId="164" showAll="0"/>
    <pivotField numFmtId="164" showAll="0"/>
    <pivotField numFmtId="164" showAll="0"/>
    <pivotField showAll="0"/>
    <pivotField showAll="0"/>
    <pivotField showAll="0"/>
    <pivotField numFmtId="164" showAll="0"/>
    <pivotField axis="axisPage" showAll="0">
      <items count="6">
        <item x="1"/>
        <item x="3"/>
        <item x="0"/>
        <item x="4"/>
        <item x="2"/>
        <item t="default"/>
      </items>
    </pivotField>
    <pivotField axis="axisRow" multipleItemSelectionAllowed="1" showAll="0">
      <items count="32">
        <item x="23"/>
        <item m="1" x="29"/>
        <item x="21"/>
        <item x="24"/>
        <item x="19"/>
        <item x="14"/>
        <item x="11"/>
        <item x="17"/>
        <item x="13"/>
        <item x="10"/>
        <item x="5"/>
        <item m="1" x="30"/>
        <item x="4"/>
        <item x="8"/>
        <item x="25"/>
        <item x="16"/>
        <item x="9"/>
        <item x="22"/>
        <item x="7"/>
        <item m="1" x="28"/>
        <item x="15"/>
        <item x="20"/>
        <item x="27"/>
        <item x="18"/>
        <item x="6"/>
        <item x="0"/>
        <item x="1"/>
        <item x="2"/>
        <item x="3"/>
        <item x="12"/>
        <item x="26"/>
        <item t="default"/>
      </items>
    </pivotField>
    <pivotField dataField="1" numFmtId="166" showAll="0"/>
    <pivotField dataField="1" numFmtId="166" showAll="0"/>
    <pivotField numFmtId="165" showAll="0"/>
    <pivotField dataField="1" numFmtId="165" showAll="0"/>
    <pivotField dataField="1" numFmtId="164" showAll="0"/>
    <pivotField numFmtId="44" showAll="0"/>
    <pivotField numFmtId="44" showAll="0"/>
    <pivotField dataField="1" numFmtId="44" showAll="0"/>
    <pivotField dataField="1" numFmtId="44" showAll="0"/>
    <pivotField numFmtId="43" showAll="0"/>
    <pivotField numFmtId="43" showAll="0"/>
    <pivotField numFmtId="44" showAll="0"/>
    <pivotField numFmtId="44" showAll="0"/>
    <pivotField numFmtId="44" showAll="0"/>
    <pivotField dataField="1" numFmtId="44" showAll="0"/>
  </pivotFields>
  <rowFields count="2">
    <field x="17"/>
    <field x="0"/>
  </rowFields>
  <rowItems count="31">
    <i>
      <x v="12"/>
    </i>
    <i r="1">
      <x v="49"/>
    </i>
    <i r="1">
      <x v="62"/>
    </i>
    <i r="1">
      <x v="194"/>
    </i>
    <i r="1">
      <x v="244"/>
    </i>
    <i r="1">
      <x v="245"/>
    </i>
    <i r="1">
      <x v="246"/>
    </i>
    <i r="1">
      <x v="247"/>
    </i>
    <i r="1">
      <x v="248"/>
    </i>
    <i r="1">
      <x v="251"/>
    </i>
    <i r="1">
      <x v="252"/>
    </i>
    <i>
      <x v="18"/>
    </i>
    <i r="1">
      <x v="128"/>
    </i>
    <i r="1">
      <x v="187"/>
    </i>
    <i>
      <x v="24"/>
    </i>
    <i r="1">
      <x v="253"/>
    </i>
    <i>
      <x v="26"/>
    </i>
    <i r="1">
      <x v="80"/>
    </i>
    <i r="1">
      <x v="144"/>
    </i>
    <i>
      <x v="27"/>
    </i>
    <i r="1">
      <x v="79"/>
    </i>
    <i r="1">
      <x v="82"/>
    </i>
    <i r="1">
      <x v="163"/>
    </i>
    <i r="1">
      <x v="164"/>
    </i>
    <i>
      <x v="28"/>
    </i>
    <i r="1">
      <x v="49"/>
    </i>
    <i r="1">
      <x v="83"/>
    </i>
    <i r="1">
      <x v="84"/>
    </i>
    <i r="1">
      <x v="131"/>
    </i>
    <i r="1">
      <x v="18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16" item="2" hier="-1"/>
  </pageFields>
  <dataFields count="12">
    <dataField name="Units" fld="1" baseField="0" baseItem="49" numFmtId="166"/>
    <dataField name="Year 1 KWh Savings" fld="5" baseField="0" baseItem="49" numFmtId="43"/>
    <dataField name="Year 1 Therm Savings" fld="6" baseField="0" baseItem="49" numFmtId="43"/>
    <dataField name="Customer Incremental Cost (CIC)" fld="4" baseField="0" baseItem="49" numFmtId="44"/>
    <dataField name="Incentive ($)" fld="8" baseField="0" baseItem="49" numFmtId="44"/>
    <dataField name="Program Total kWh" fld="18" baseField="0" baseItem="49" numFmtId="43"/>
    <dataField name="Program Total Therms" fld="19" baseField="0" baseItem="49" numFmtId="43"/>
    <dataField name="Program Total AC" fld="25" baseField="0" baseItem="49" numFmtId="44"/>
    <dataField name="Program Total NEI" fld="21" baseField="0" baseItem="49" numFmtId="44"/>
    <dataField name="Program Total Incentive" fld="22" baseField="0" baseItem="49" numFmtId="44"/>
    <dataField name="Program NIUC" fld="26" baseField="0" baseItem="49" numFmtId="44"/>
    <dataField name="Program Total Budget" fld="32" baseField="0" baseItem="49" numFmtId="44"/>
  </dataFields>
  <formats count="21">
    <format dxfId="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8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6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6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65">
      <pivotArea outline="0" collapsedLevelsAreSubtotals="1" fieldPosition="0">
        <references count="1">
          <reference field="4294967294" count="5" selected="0">
            <x v="7"/>
            <x v="8"/>
            <x v="9"/>
            <x v="10"/>
            <x v="11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11"/>
          </reference>
        </references>
      </pivotArea>
    </format>
    <format dxfId="63">
      <pivotArea outline="0" collapsedLevelsAreSubtotals="1" fieldPosition="0">
        <references count="1">
          <reference field="4294967294" count="2" selected="0">
            <x v="5"/>
            <x v="6"/>
          </reference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17" type="button" dataOnly="0" labelOnly="1" outline="0" axis="axisRow" fieldPosition="0"/>
    </format>
    <format dxfId="59">
      <pivotArea dataOnly="0" labelOnly="1" fieldPosition="0">
        <references count="1">
          <reference field="17" count="7">
            <x v="1"/>
            <x v="8"/>
            <x v="11"/>
            <x v="12"/>
            <x v="16"/>
            <x v="18"/>
            <x v="19"/>
          </reference>
        </references>
      </pivotArea>
    </format>
    <format dxfId="58">
      <pivotArea dataOnly="0" labelOnly="1" grandRow="1" outline="0" fieldPosition="0"/>
    </format>
    <format dxfId="57">
      <pivotArea dataOnly="0" labelOnly="1" fieldPosition="0">
        <references count="2">
          <reference field="0" count="1">
            <x v="48"/>
          </reference>
          <reference field="17" count="1" selected="0">
            <x v="1"/>
          </reference>
        </references>
      </pivotArea>
    </format>
    <format dxfId="56">
      <pivotArea dataOnly="0" labelOnly="1" fieldPosition="0">
        <references count="2">
          <reference field="0" count="1">
            <x v="130"/>
          </reference>
          <reference field="17" count="1" selected="0">
            <x v="8"/>
          </reference>
        </references>
      </pivotArea>
    </format>
    <format dxfId="55">
      <pivotArea dataOnly="0" labelOnly="1" fieldPosition="0">
        <references count="2">
          <reference field="0" count="1">
            <x v="139"/>
          </reference>
          <reference field="17" count="1" selected="0">
            <x v="11"/>
          </reference>
        </references>
      </pivotArea>
    </format>
    <format dxfId="54">
      <pivotArea dataOnly="0" labelOnly="1" fieldPosition="0">
        <references count="2">
          <reference field="0" count="15">
            <x v="47"/>
            <x v="49"/>
            <x v="62"/>
            <x v="74"/>
            <x v="86"/>
            <x v="87"/>
            <x v="125"/>
            <x v="132"/>
            <x v="137"/>
            <x v="161"/>
            <x v="162"/>
            <x v="167"/>
            <x v="168"/>
            <x v="184"/>
            <x v="185"/>
          </reference>
          <reference field="17" count="1" selected="0">
            <x v="12"/>
          </reference>
        </references>
      </pivotArea>
    </format>
    <format dxfId="53">
      <pivotArea dataOnly="0" labelOnly="1" fieldPosition="0">
        <references count="2">
          <reference field="0" count="1">
            <x v="152"/>
          </reference>
          <reference field="17" count="1" selected="0">
            <x v="16"/>
          </reference>
        </references>
      </pivotArea>
    </format>
    <format dxfId="52">
      <pivotArea dataOnly="0" labelOnly="1" fieldPosition="0">
        <references count="2">
          <reference field="0" count="2">
            <x v="128"/>
            <x v="187"/>
          </reference>
          <reference field="17" count="1" selected="0">
            <x v="18"/>
          </reference>
        </references>
      </pivotArea>
    </format>
    <format dxfId="51">
      <pivotArea dataOnly="0" labelOnly="1" fieldPosition="0">
        <references count="2">
          <reference field="0" count="20">
            <x v="49"/>
            <x v="75"/>
            <x v="76"/>
            <x v="77"/>
            <x v="78"/>
            <x v="79"/>
            <x v="80"/>
            <x v="82"/>
            <x v="83"/>
            <x v="84"/>
            <x v="131"/>
            <x v="144"/>
            <x v="162"/>
            <x v="163"/>
            <x v="164"/>
            <x v="165"/>
            <x v="166"/>
            <x v="181"/>
            <x v="182"/>
            <x v="183"/>
          </reference>
          <reference field="17" count="1" selected="0">
            <x v="19"/>
          </reference>
        </references>
      </pivotArea>
    </format>
    <format dxfId="5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6E28EC-992B-460B-ACA8-6D7F6D71B676}" name="PivotTable6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N22" firstHeaderRow="0" firstDataRow="1" firstDataCol="1" rowPageCount="1" colPageCount="1"/>
  <pivotFields count="33">
    <pivotField axis="axisRow" showAll="0" measureFilter="1">
      <items count="261">
        <item m="1" x="220"/>
        <item m="1" x="188"/>
        <item m="1" x="186"/>
        <item m="1" x="216"/>
        <item m="1" x="189"/>
        <item m="1" x="179"/>
        <item m="1" x="187"/>
        <item m="1" x="212"/>
        <item m="1" x="190"/>
        <item m="1" x="180"/>
        <item m="1" x="213"/>
        <item m="1" x="203"/>
        <item m="1" x="193"/>
        <item m="1" x="181"/>
        <item m="1" x="214"/>
        <item m="1" x="204"/>
        <item m="1" x="205"/>
        <item m="1" x="182"/>
        <item m="1" x="183"/>
        <item m="1" x="215"/>
        <item m="1" x="209"/>
        <item m="1" x="207"/>
        <item m="1" x="184"/>
        <item m="1" x="210"/>
        <item m="1" x="208"/>
        <item m="1" x="185"/>
        <item m="1" x="211"/>
        <item m="1" x="177"/>
        <item m="1" x="178"/>
        <item x="152"/>
        <item x="32"/>
        <item m="1" x="234"/>
        <item m="1" x="235"/>
        <item m="1" x="236"/>
        <item m="1" x="255"/>
        <item m="1" x="237"/>
        <item m="1" x="239"/>
        <item m="1" x="228"/>
        <item m="1" x="229"/>
        <item m="1" x="230"/>
        <item m="1" x="238"/>
        <item m="1" x="246"/>
        <item m="1" x="251"/>
        <item m="1" x="231"/>
        <item m="1" x="232"/>
        <item m="1" x="247"/>
        <item m="1" x="248"/>
        <item x="35"/>
        <item m="1" x="166"/>
        <item x="8"/>
        <item x="36"/>
        <item m="1" x="202"/>
        <item x="153"/>
        <item m="1" x="257"/>
        <item m="1" x="253"/>
        <item m="1" x="252"/>
        <item x="141"/>
        <item x="43"/>
        <item x="100"/>
        <item x="46"/>
        <item x="37"/>
        <item x="39"/>
        <item x="18"/>
        <item m="1" x="242"/>
        <item m="1" x="241"/>
        <item m="1" x="258"/>
        <item m="1" x="256"/>
        <item m="1" x="254"/>
        <item m="1" x="245"/>
        <item m="1" x="233"/>
        <item m="1" x="250"/>
        <item m="1" x="240"/>
        <item x="41"/>
        <item x="40"/>
        <item m="1" x="222"/>
        <item m="1" x="169"/>
        <item m="1" x="171"/>
        <item m="1" x="168"/>
        <item m="1" x="170"/>
        <item x="5"/>
        <item x="1"/>
        <item x="33"/>
        <item x="4"/>
        <item x="10"/>
        <item x="9"/>
        <item x="38"/>
        <item x="22"/>
        <item x="21"/>
        <item x="128"/>
        <item x="114"/>
        <item x="129"/>
        <item x="115"/>
        <item x="130"/>
        <item x="116"/>
        <item x="107"/>
        <item x="131"/>
        <item x="132"/>
        <item x="117"/>
        <item x="133"/>
        <item x="134"/>
        <item x="118"/>
        <item x="108"/>
        <item x="135"/>
        <item x="119"/>
        <item x="109"/>
        <item x="136"/>
        <item x="120"/>
        <item x="137"/>
        <item x="121"/>
        <item x="110"/>
        <item x="138"/>
        <item x="122"/>
        <item x="139"/>
        <item x="123"/>
        <item x="111"/>
        <item x="124"/>
        <item x="112"/>
        <item x="125"/>
        <item x="113"/>
        <item x="126"/>
        <item x="127"/>
        <item m="1" x="227"/>
        <item m="1" x="225"/>
        <item m="1" x="226"/>
        <item m="1" x="224"/>
        <item m="1" x="223"/>
        <item m="1" x="249"/>
        <item m="1" x="244"/>
        <item x="48"/>
        <item x="44"/>
        <item x="99"/>
        <item x="6"/>
        <item m="1" x="172"/>
        <item x="103"/>
        <item x="104"/>
        <item x="105"/>
        <item x="106"/>
        <item x="19"/>
        <item m="1" x="219"/>
        <item m="1" x="167"/>
        <item x="150"/>
        <item x="148"/>
        <item x="149"/>
        <item x="50"/>
        <item x="11"/>
        <item m="1" x="191"/>
        <item x="147"/>
        <item x="145"/>
        <item x="146"/>
        <item x="144"/>
        <item m="1" x="217"/>
        <item m="1" x="218"/>
        <item x="51"/>
        <item x="45"/>
        <item x="151"/>
        <item x="142"/>
        <item x="143"/>
        <item m="1" x="243"/>
        <item m="1" x="259"/>
        <item x="96"/>
        <item m="1" x="165"/>
        <item x="20"/>
        <item x="0"/>
        <item x="3"/>
        <item x="2"/>
        <item x="16"/>
        <item x="17"/>
        <item m="1" x="175"/>
        <item m="1" x="176"/>
        <item m="1" x="192"/>
        <item m="1" x="199"/>
        <item m="1" x="200"/>
        <item m="1" x="206"/>
        <item m="1" x="194"/>
        <item m="1" x="195"/>
        <item m="1" x="196"/>
        <item m="1" x="197"/>
        <item x="42"/>
        <item m="1" x="201"/>
        <item m="1" x="221"/>
        <item m="1" x="198"/>
        <item x="7"/>
        <item x="34"/>
        <item x="14"/>
        <item m="1" x="173"/>
        <item m="1" x="174"/>
        <item x="164"/>
        <item x="49"/>
        <item x="154"/>
        <item x="155"/>
        <item x="156"/>
        <item x="157"/>
        <item x="158"/>
        <item x="159"/>
        <item x="13"/>
        <item x="15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4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12"/>
        <item x="23"/>
        <item x="24"/>
        <item x="25"/>
        <item x="26"/>
        <item x="27"/>
        <item x="28"/>
        <item x="29"/>
        <item x="30"/>
        <item x="31"/>
        <item x="47"/>
        <item x="101"/>
        <item x="102"/>
        <item x="160"/>
        <item x="161"/>
        <item x="162"/>
        <item x="163"/>
        <item t="default"/>
      </items>
    </pivotField>
    <pivotField dataField="1" numFmtId="3" showAll="0"/>
    <pivotField showAll="0"/>
    <pivotField showAll="0"/>
    <pivotField dataField="1" numFmtId="164" showAll="0"/>
    <pivotField dataField="1" numFmtId="4" showAll="0"/>
    <pivotField dataField="1" showAll="0"/>
    <pivotField numFmtId="1" showAll="0"/>
    <pivotField dataField="1" showAll="0"/>
    <pivotField numFmtId="164" showAll="0"/>
    <pivotField numFmtId="164" showAll="0"/>
    <pivotField numFmtId="164" showAll="0"/>
    <pivotField showAll="0"/>
    <pivotField showAll="0"/>
    <pivotField showAll="0"/>
    <pivotField dataField="1" numFmtId="164" showAll="0"/>
    <pivotField axis="axisPage" multipleItemSelectionAllowed="1" showAll="0">
      <items count="6">
        <item x="1"/>
        <item h="1" x="3"/>
        <item h="1" x="0"/>
        <item h="1" x="4"/>
        <item x="2"/>
        <item t="default"/>
      </items>
    </pivotField>
    <pivotField axis="axisRow" multipleItemSelectionAllowed="1" showAll="0">
      <items count="32">
        <item x="23"/>
        <item m="1" x="29"/>
        <item x="21"/>
        <item x="24"/>
        <item x="19"/>
        <item x="14"/>
        <item x="11"/>
        <item x="17"/>
        <item x="13"/>
        <item x="10"/>
        <item x="5"/>
        <item m="1" x="30"/>
        <item x="4"/>
        <item x="8"/>
        <item x="25"/>
        <item x="16"/>
        <item x="9"/>
        <item x="22"/>
        <item x="7"/>
        <item m="1" x="28"/>
        <item x="15"/>
        <item x="20"/>
        <item x="27"/>
        <item x="18"/>
        <item x="6"/>
        <item x="0"/>
        <item x="1"/>
        <item x="2"/>
        <item x="3"/>
        <item x="12"/>
        <item x="26"/>
        <item t="default"/>
      </items>
    </pivotField>
    <pivotField dataField="1" numFmtId="166" showAll="0"/>
    <pivotField dataField="1" numFmtId="166" showAll="0"/>
    <pivotField numFmtId="165" showAll="0"/>
    <pivotField dataField="1" numFmtId="165" showAll="0"/>
    <pivotField dataField="1" numFmtId="164" showAll="0"/>
    <pivotField numFmtId="44" showAll="0"/>
    <pivotField numFmtId="44" showAll="0"/>
    <pivotField dataField="1" numFmtId="44" showAll="0"/>
    <pivotField dataField="1" numFmtId="44" showAll="0"/>
    <pivotField numFmtId="43" showAll="0"/>
    <pivotField numFmtId="43" showAll="0"/>
    <pivotField numFmtId="44" showAll="0"/>
    <pivotField numFmtId="44" showAll="0"/>
    <pivotField numFmtId="44" showAll="0"/>
    <pivotField dataField="1" numFmtId="44" showAll="0"/>
  </pivotFields>
  <rowFields count="2">
    <field x="17"/>
    <field x="0"/>
  </rowFields>
  <rowItems count="19">
    <i>
      <x v="10"/>
    </i>
    <i r="1">
      <x v="30"/>
    </i>
    <i r="1">
      <x v="47"/>
    </i>
    <i r="1">
      <x v="50"/>
    </i>
    <i r="1">
      <x v="57"/>
    </i>
    <i r="1">
      <x v="59"/>
    </i>
    <i r="1">
      <x v="60"/>
    </i>
    <i r="1">
      <x v="61"/>
    </i>
    <i r="1">
      <x v="72"/>
    </i>
    <i r="1">
      <x v="73"/>
    </i>
    <i r="1">
      <x v="81"/>
    </i>
    <i r="1">
      <x v="85"/>
    </i>
    <i r="1">
      <x v="129"/>
    </i>
    <i r="1">
      <x v="153"/>
    </i>
    <i r="1">
      <x v="181"/>
    </i>
    <i r="1">
      <x v="182"/>
    </i>
    <i>
      <x v="13"/>
    </i>
    <i r="1">
      <x v="14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16" hier="-1"/>
  </pageFields>
  <dataFields count="13">
    <dataField name="Units" fld="1" baseField="0" baseItem="49" numFmtId="166"/>
    <dataField name="Year 1 KWh Savings" fld="5" baseField="0" baseItem="49" numFmtId="43"/>
    <dataField name="Year 1 Therm Savings" fld="6" baseField="0" baseItem="49" numFmtId="43"/>
    <dataField name="Customer Incremental Cost (CIC)" fld="4" baseField="0" baseItem="49" numFmtId="44"/>
    <dataField name="Incentive ($)" fld="8" baseField="0" baseItem="49" numFmtId="44"/>
    <dataField name="Sum of Third Party Costs" fld="15" baseField="0" baseItem="0" numFmtId="44"/>
    <dataField name="Program Total kWh" fld="18" baseField="0" baseItem="49" numFmtId="43"/>
    <dataField name="Program Total Therms" fld="19" baseField="0" baseItem="49" numFmtId="43"/>
    <dataField name="Program Total AC" fld="25" baseField="0" baseItem="49" numFmtId="44"/>
    <dataField name="Program Total NEI" fld="21" baseField="0" baseItem="49" numFmtId="44"/>
    <dataField name="Program Total Incentive" fld="22" baseField="0" baseItem="49" numFmtId="44"/>
    <dataField name="Program NIUC" fld="26" baseField="0" baseItem="49" numFmtId="44"/>
    <dataField name="Program Total Budget" fld="32" baseField="0" baseItem="49" numFmtId="44"/>
  </dataFields>
  <formats count="9">
    <format dxfId="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47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4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5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44">
      <pivotArea outline="0" collapsedLevelsAreSubtotals="1" fieldPosition="0">
        <references count="1">
          <reference field="4294967294" count="5" selected="0">
            <x v="8"/>
            <x v="9"/>
            <x v="10"/>
            <x v="11"/>
            <x v="12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42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4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D80C5C-BDEB-4968-8F1B-2DCB0E4FF2B5}" name="PivotTable6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N79" firstHeaderRow="0" firstDataRow="1" firstDataCol="1" rowPageCount="1" colPageCount="1"/>
  <pivotFields count="33">
    <pivotField axis="axisRow" showAll="0" measureFilter="1" sortType="ascending">
      <items count="261">
        <item x="73"/>
        <item x="70"/>
        <item m="1" x="220"/>
        <item m="1" x="188"/>
        <item m="1" x="186"/>
        <item x="77"/>
        <item x="91"/>
        <item m="1" x="216"/>
        <item m="1" x="189"/>
        <item m="1" x="179"/>
        <item x="83"/>
        <item m="1" x="187"/>
        <item x="92"/>
        <item m="1" x="212"/>
        <item m="1" x="190"/>
        <item m="1" x="180"/>
        <item x="93"/>
        <item x="84"/>
        <item m="1" x="213"/>
        <item x="74"/>
        <item m="1" x="203"/>
        <item x="65"/>
        <item x="85"/>
        <item m="1" x="193"/>
        <item x="62"/>
        <item m="1" x="181"/>
        <item x="94"/>
        <item x="86"/>
        <item m="1" x="214"/>
        <item x="75"/>
        <item x="63"/>
        <item x="64"/>
        <item m="1" x="204"/>
        <item m="1" x="205"/>
        <item x="95"/>
        <item m="1" x="182"/>
        <item x="87"/>
        <item m="1" x="183"/>
        <item x="76"/>
        <item x="88"/>
        <item m="1" x="215"/>
        <item m="1" x="209"/>
        <item m="1" x="207"/>
        <item m="1" x="184"/>
        <item x="89"/>
        <item x="71"/>
        <item m="1" x="210"/>
        <item m="1" x="208"/>
        <item x="81"/>
        <item m="1" x="185"/>
        <item x="90"/>
        <item x="72"/>
        <item m="1" x="211"/>
        <item m="1" x="177"/>
        <item m="1" x="178"/>
        <item x="82"/>
        <item x="152"/>
        <item x="32"/>
        <item m="1" x="234"/>
        <item m="1" x="235"/>
        <item m="1" x="236"/>
        <item m="1" x="255"/>
        <item m="1" x="237"/>
        <item m="1" x="239"/>
        <item m="1" x="228"/>
        <item m="1" x="229"/>
        <item m="1" x="230"/>
        <item m="1" x="238"/>
        <item m="1" x="246"/>
        <item m="1" x="251"/>
        <item m="1" x="231"/>
        <item m="1" x="232"/>
        <item m="1" x="247"/>
        <item m="1" x="248"/>
        <item x="35"/>
        <item m="1" x="166"/>
        <item x="8"/>
        <item x="36"/>
        <item x="140"/>
        <item x="79"/>
        <item m="1" x="202"/>
        <item x="153"/>
        <item m="1" x="257"/>
        <item m="1" x="253"/>
        <item m="1" x="252"/>
        <item x="141"/>
        <item x="154"/>
        <item x="43"/>
        <item x="100"/>
        <item x="155"/>
        <item x="80"/>
        <item x="46"/>
        <item x="37"/>
        <item x="39"/>
        <item x="18"/>
        <item m="1" x="242"/>
        <item m="1" x="241"/>
        <item m="1" x="258"/>
        <item m="1" x="256"/>
        <item m="1" x="254"/>
        <item m="1" x="245"/>
        <item m="1" x="233"/>
        <item m="1" x="250"/>
        <item m="1" x="240"/>
        <item x="41"/>
        <item x="40"/>
        <item m="1" x="222"/>
        <item m="1" x="169"/>
        <item m="1" x="171"/>
        <item m="1" x="168"/>
        <item m="1" x="170"/>
        <item x="5"/>
        <item x="1"/>
        <item x="33"/>
        <item x="4"/>
        <item x="10"/>
        <item x="9"/>
        <item x="38"/>
        <item x="22"/>
        <item x="21"/>
        <item x="61"/>
        <item x="128"/>
        <item x="114"/>
        <item x="129"/>
        <item x="115"/>
        <item x="130"/>
        <item x="116"/>
        <item x="107"/>
        <item x="131"/>
        <item x="132"/>
        <item x="117"/>
        <item x="133"/>
        <item x="134"/>
        <item x="118"/>
        <item x="108"/>
        <item x="135"/>
        <item x="119"/>
        <item x="109"/>
        <item x="136"/>
        <item x="120"/>
        <item x="137"/>
        <item x="121"/>
        <item x="110"/>
        <item x="138"/>
        <item x="122"/>
        <item x="139"/>
        <item x="123"/>
        <item x="111"/>
        <item x="124"/>
        <item x="112"/>
        <item x="125"/>
        <item x="113"/>
        <item x="126"/>
        <item x="127"/>
        <item m="1" x="227"/>
        <item m="1" x="225"/>
        <item m="1" x="226"/>
        <item m="1" x="224"/>
        <item m="1" x="223"/>
        <item m="1" x="249"/>
        <item m="1" x="244"/>
        <item x="48"/>
        <item x="98"/>
        <item x="44"/>
        <item x="99"/>
        <item x="156"/>
        <item x="6"/>
        <item m="1" x="172"/>
        <item x="103"/>
        <item x="104"/>
        <item x="105"/>
        <item x="106"/>
        <item x="19"/>
        <item m="1" x="219"/>
        <item x="163"/>
        <item x="162"/>
        <item x="47"/>
        <item x="157"/>
        <item x="161"/>
        <item x="160"/>
        <item m="1" x="167"/>
        <item x="150"/>
        <item x="148"/>
        <item x="149"/>
        <item x="50"/>
        <item x="11"/>
        <item m="1" x="191"/>
        <item x="147"/>
        <item x="145"/>
        <item x="146"/>
        <item x="144"/>
        <item m="1" x="217"/>
        <item m="1" x="218"/>
        <item x="51"/>
        <item x="45"/>
        <item x="158"/>
        <item x="151"/>
        <item x="142"/>
        <item x="143"/>
        <item m="1" x="243"/>
        <item m="1" x="259"/>
        <item x="96"/>
        <item m="1" x="165"/>
        <item x="102"/>
        <item x="101"/>
        <item x="13"/>
        <item x="15"/>
        <item x="27"/>
        <item x="20"/>
        <item x="0"/>
        <item x="49"/>
        <item x="3"/>
        <item x="2"/>
        <item x="16"/>
        <item x="17"/>
        <item x="29"/>
        <item x="31"/>
        <item x="28"/>
        <item x="30"/>
        <item m="1" x="175"/>
        <item m="1" x="176"/>
        <item x="52"/>
        <item x="53"/>
        <item x="54"/>
        <item x="66"/>
        <item x="55"/>
        <item x="97"/>
        <item m="1" x="192"/>
        <item x="56"/>
        <item x="57"/>
        <item m="1" x="199"/>
        <item x="67"/>
        <item x="68"/>
        <item x="69"/>
        <item x="58"/>
        <item m="1" x="200"/>
        <item m="1" x="206"/>
        <item m="1" x="194"/>
        <item m="1" x="195"/>
        <item m="1" x="196"/>
        <item m="1" x="197"/>
        <item x="42"/>
        <item x="60"/>
        <item x="59"/>
        <item m="1" x="201"/>
        <item m="1" x="221"/>
        <item m="1" x="198"/>
        <item x="7"/>
        <item x="78"/>
        <item x="159"/>
        <item x="34"/>
        <item x="14"/>
        <item x="24"/>
        <item x="26"/>
        <item x="12"/>
        <item x="23"/>
        <item x="25"/>
        <item m="1" x="173"/>
        <item m="1" x="174"/>
        <item x="164"/>
        <item t="default"/>
      </items>
    </pivotField>
    <pivotField dataField="1" numFmtId="3" showAll="0"/>
    <pivotField showAll="0"/>
    <pivotField showAll="0"/>
    <pivotField dataField="1" numFmtId="164" showAll="0"/>
    <pivotField dataField="1" numFmtId="4" showAll="0"/>
    <pivotField dataField="1" showAll="0"/>
    <pivotField numFmtId="1" showAll="0"/>
    <pivotField dataField="1" showAll="0"/>
    <pivotField numFmtId="164" showAll="0"/>
    <pivotField numFmtId="164" showAll="0"/>
    <pivotField numFmtId="164" showAll="0"/>
    <pivotField showAll="0"/>
    <pivotField showAll="0"/>
    <pivotField showAll="0"/>
    <pivotField dataField="1" numFmtId="164" showAll="0"/>
    <pivotField axis="axisPage" showAll="0">
      <items count="6">
        <item x="1"/>
        <item x="3"/>
        <item x="0"/>
        <item x="4"/>
        <item x="2"/>
        <item t="default"/>
      </items>
    </pivotField>
    <pivotField axis="axisRow" multipleItemSelectionAllowed="1" showAll="0">
      <items count="32">
        <item x="23"/>
        <item m="1" x="29"/>
        <item x="21"/>
        <item x="24"/>
        <item x="19"/>
        <item x="14"/>
        <item x="11"/>
        <item x="17"/>
        <item x="13"/>
        <item x="10"/>
        <item x="5"/>
        <item m="1" x="30"/>
        <item x="4"/>
        <item x="8"/>
        <item x="25"/>
        <item x="16"/>
        <item x="9"/>
        <item x="22"/>
        <item x="7"/>
        <item m="1" x="28"/>
        <item x="15"/>
        <item x="20"/>
        <item x="27"/>
        <item x="18"/>
        <item x="6"/>
        <item x="0"/>
        <item x="1"/>
        <item x="2"/>
        <item x="3"/>
        <item x="12"/>
        <item x="26"/>
        <item t="default"/>
      </items>
    </pivotField>
    <pivotField dataField="1" numFmtId="166" showAll="0"/>
    <pivotField dataField="1" numFmtId="166" showAll="0"/>
    <pivotField numFmtId="165" showAll="0"/>
    <pivotField dataField="1" numFmtId="165" showAll="0"/>
    <pivotField dataField="1" numFmtId="164" showAll="0"/>
    <pivotField numFmtId="44" showAll="0"/>
    <pivotField numFmtId="44" showAll="0"/>
    <pivotField dataField="1" numFmtId="44" showAll="0"/>
    <pivotField dataField="1" numFmtId="44" showAll="0"/>
    <pivotField numFmtId="43" showAll="0"/>
    <pivotField numFmtId="43" showAll="0"/>
    <pivotField numFmtId="44" showAll="0"/>
    <pivotField numFmtId="44" showAll="0"/>
    <pivotField numFmtId="44" showAll="0"/>
    <pivotField dataField="1" numFmtId="44" showAll="0"/>
  </pivotFields>
  <rowFields count="2">
    <field x="17"/>
    <field x="0"/>
  </rowFields>
  <rowItems count="76">
    <i>
      <x v="5"/>
    </i>
    <i r="1">
      <x v="88"/>
    </i>
    <i>
      <x v="6"/>
    </i>
    <i r="1">
      <x v="6"/>
    </i>
    <i r="1">
      <x v="10"/>
    </i>
    <i r="1">
      <x v="12"/>
    </i>
    <i r="1">
      <x v="16"/>
    </i>
    <i r="1">
      <x v="17"/>
    </i>
    <i r="1">
      <x v="22"/>
    </i>
    <i r="1">
      <x v="26"/>
    </i>
    <i r="1">
      <x v="27"/>
    </i>
    <i r="1">
      <x v="34"/>
    </i>
    <i r="1">
      <x v="36"/>
    </i>
    <i r="1">
      <x v="39"/>
    </i>
    <i r="1">
      <x v="44"/>
    </i>
    <i r="1">
      <x v="48"/>
    </i>
    <i r="1">
      <x v="50"/>
    </i>
    <i r="1">
      <x v="55"/>
    </i>
    <i r="1">
      <x v="201"/>
    </i>
    <i r="1">
      <x v="226"/>
    </i>
    <i>
      <x v="7"/>
    </i>
    <i r="1">
      <x v="124"/>
    </i>
    <i r="1">
      <x v="139"/>
    </i>
    <i r="1">
      <x v="146"/>
    </i>
    <i>
      <x v="9"/>
    </i>
    <i r="1">
      <x/>
    </i>
    <i r="1">
      <x v="1"/>
    </i>
    <i r="1">
      <x v="5"/>
    </i>
    <i r="1">
      <x v="19"/>
    </i>
    <i r="1">
      <x v="21"/>
    </i>
    <i r="1">
      <x v="24"/>
    </i>
    <i r="1">
      <x v="29"/>
    </i>
    <i r="1">
      <x v="30"/>
    </i>
    <i r="1">
      <x v="31"/>
    </i>
    <i r="1">
      <x v="38"/>
    </i>
    <i r="1">
      <x v="45"/>
    </i>
    <i r="1">
      <x v="51"/>
    </i>
    <i r="1">
      <x v="79"/>
    </i>
    <i r="1">
      <x v="90"/>
    </i>
    <i r="1">
      <x v="120"/>
    </i>
    <i r="1">
      <x v="221"/>
    </i>
    <i r="1">
      <x v="222"/>
    </i>
    <i r="1">
      <x v="223"/>
    </i>
    <i r="1">
      <x v="224"/>
    </i>
    <i r="1">
      <x v="225"/>
    </i>
    <i r="1">
      <x v="228"/>
    </i>
    <i r="1">
      <x v="229"/>
    </i>
    <i r="1">
      <x v="231"/>
    </i>
    <i r="1">
      <x v="232"/>
    </i>
    <i r="1">
      <x v="233"/>
    </i>
    <i r="1">
      <x v="234"/>
    </i>
    <i r="1">
      <x v="242"/>
    </i>
    <i r="1">
      <x v="243"/>
    </i>
    <i r="1">
      <x v="248"/>
    </i>
    <i>
      <x v="14"/>
    </i>
    <i r="1">
      <x v="86"/>
    </i>
    <i r="1">
      <x v="89"/>
    </i>
    <i r="1">
      <x v="165"/>
    </i>
    <i r="1">
      <x v="177"/>
    </i>
    <i r="1">
      <x v="195"/>
    </i>
    <i r="1">
      <x v="249"/>
    </i>
    <i>
      <x v="15"/>
    </i>
    <i r="1">
      <x v="169"/>
    </i>
    <i r="1">
      <x v="170"/>
    </i>
    <i r="1">
      <x v="171"/>
    </i>
    <i>
      <x v="20"/>
    </i>
    <i r="1">
      <x v="203"/>
    </i>
    <i r="1">
      <x v="204"/>
    </i>
    <i>
      <x v="23"/>
    </i>
    <i r="1">
      <x v="78"/>
    </i>
    <i>
      <x v="30"/>
    </i>
    <i r="1">
      <x v="174"/>
    </i>
    <i r="1">
      <x v="175"/>
    </i>
    <i r="1">
      <x v="178"/>
    </i>
    <i r="1">
      <x v="179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16" item="1" hier="-1"/>
  </pageFields>
  <dataFields count="13">
    <dataField name="Units" fld="1" baseField="0" baseItem="49" numFmtId="166"/>
    <dataField name="Year 1 KWh Savings" fld="5" baseField="0" baseItem="49" numFmtId="43"/>
    <dataField name="Year 1 Therm Savings" fld="6" baseField="0" baseItem="49" numFmtId="43"/>
    <dataField name="Customer Incremental Cost (CIC)" fld="4" baseField="0" baseItem="49" numFmtId="44"/>
    <dataField name="Incentive ($)" fld="8" baseField="0" baseItem="49" numFmtId="44"/>
    <dataField name="Sum of Third Party Costs" fld="15" baseField="0" baseItem="0"/>
    <dataField name="Program Total kWh" fld="18" baseField="0" baseItem="49" numFmtId="43"/>
    <dataField name="Program Total Therms" fld="19" baseField="0" baseItem="49" numFmtId="43"/>
    <dataField name="Program Total AC" fld="25" baseField="0" baseItem="49" numFmtId="44"/>
    <dataField name="Program Total NEI" fld="21" baseField="0" baseItem="49" numFmtId="44"/>
    <dataField name="Program Total Incentive" fld="22" baseField="0" baseItem="49" numFmtId="44"/>
    <dataField name="Program NIUC" fld="26" baseField="0" baseItem="49" numFmtId="44"/>
    <dataField name="Program Total Budget" fld="32" baseField="0" baseItem="49" numFmtId="44"/>
  </dataFields>
  <formats count="8"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8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6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35">
      <pivotArea outline="0" collapsedLevelsAreSubtotals="1" fieldPosition="0">
        <references count="1">
          <reference field="4294967294" count="5" selected="0">
            <x v="8"/>
            <x v="9"/>
            <x v="10"/>
            <x v="11"/>
            <x v="12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33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952A2F-2509-4B0D-901F-AAB7DC29E006}" name="PivotTable3" cacheId="3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Programs">
  <location ref="A2:J7" firstHeaderRow="0" firstDataRow="1" firstDataCol="1"/>
  <pivotFields count="33">
    <pivotField showAll="0"/>
    <pivotField numFmtId="3" showAll="0"/>
    <pivotField showAll="0"/>
    <pivotField showAll="0"/>
    <pivotField numFmtId="164" showAll="0"/>
    <pivotField numFmtId="4" showAll="0"/>
    <pivotField showAll="0"/>
    <pivotField numFmtId="1"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numFmtId="164" showAll="0"/>
    <pivotField axis="axisRow" showAll="0" sortType="ascending">
      <items count="6">
        <item x="1"/>
        <item x="2"/>
        <item x="3"/>
        <item x="0"/>
        <item h="1" x="4"/>
        <item t="default"/>
      </items>
    </pivotField>
    <pivotField showAll="0"/>
    <pivotField dataField="1" numFmtId="166" showAll="0"/>
    <pivotField dataField="1" numFmtId="166" showAll="0"/>
    <pivotField dataField="1" numFmtId="165" showAll="0"/>
    <pivotField dataField="1" numFmtId="165" showAll="0"/>
    <pivotField dataField="1" numFmtId="164" showAll="0"/>
    <pivotField numFmtId="44" showAll="0"/>
    <pivotField numFmtId="44" showAll="0"/>
    <pivotField dataField="1" numFmtId="44" showAll="0"/>
    <pivotField dataField="1" numFmtId="44" showAll="0"/>
    <pivotField numFmtId="43" showAll="0"/>
    <pivotField numFmtId="43" showAll="0"/>
    <pivotField numFmtId="44" showAll="0"/>
    <pivotField numFmtId="44" showAll="0"/>
    <pivotField dataField="1" numFmtId="44" showAll="0"/>
    <pivotField dataField="1" showAll="0"/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Total kWh Savings" fld="18" baseField="15" baseItem="0"/>
    <dataField name="Total Therms Savings" fld="19" baseField="15" baseItem="0"/>
    <dataField name="Total Program Incentive" fld="22" baseField="15" baseItem="0" numFmtId="44"/>
    <dataField name="Total Program CIC" fld="20" baseField="15" baseItem="0" numFmtId="44"/>
    <dataField name="Total NIUC" fld="26" baseField="15" baseItem="0" numFmtId="44"/>
    <dataField name="Total Program NEI" fld="21" baseField="15" baseItem="0" numFmtId="44"/>
    <dataField name="Total Program AC" fld="25" baseField="15" baseItem="0" numFmtId="44"/>
    <dataField name="Total Energy Savings" fld="31" baseField="15" baseItem="0" numFmtId="44"/>
    <dataField name="Total Program Budget" fld="32" baseField="15" baseItem="0"/>
  </dataFields>
  <formats count="7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3" selected="0">
            <x v="2"/>
            <x v="3"/>
            <x v="5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5">
      <pivotArea field="16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6">
            <x v="2"/>
            <x v="3"/>
            <x v="4"/>
            <x v="5"/>
            <x v="6"/>
            <x v="7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565054-6B60-4829-B3BB-DBF35820C3FA}" name="PivotTable5" cacheId="3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Programs">
  <location ref="A14:J36" firstHeaderRow="0" firstDataRow="1" firstDataCol="1"/>
  <pivotFields count="33">
    <pivotField multipleItemSelectionAllowed="1" showAll="0"/>
    <pivotField numFmtId="3" showAll="0"/>
    <pivotField showAll="0"/>
    <pivotField showAll="0"/>
    <pivotField numFmtId="164" showAll="0"/>
    <pivotField numFmtId="4" showAll="0"/>
    <pivotField showAll="0"/>
    <pivotField numFmtId="1"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numFmtId="164" showAll="0"/>
    <pivotField axis="axisRow" showAll="0" sortType="ascending">
      <items count="6">
        <item x="1"/>
        <item x="2"/>
        <item x="3"/>
        <item x="0"/>
        <item h="1" x="4"/>
        <item t="default"/>
      </items>
    </pivotField>
    <pivotField axis="axisRow" showAll="0" measureFilter="1" sortType="ascending">
      <items count="32">
        <item x="23"/>
        <item m="1" x="29"/>
        <item x="21"/>
        <item x="2"/>
        <item x="18"/>
        <item x="24"/>
        <item x="19"/>
        <item x="14"/>
        <item x="1"/>
        <item x="11"/>
        <item x="17"/>
        <item x="26"/>
        <item x="12"/>
        <item x="13"/>
        <item x="0"/>
        <item x="10"/>
        <item x="5"/>
        <item x="6"/>
        <item m="1" x="30"/>
        <item x="4"/>
        <item x="8"/>
        <item x="25"/>
        <item x="16"/>
        <item x="9"/>
        <item x="22"/>
        <item x="7"/>
        <item m="1" x="28"/>
        <item x="3"/>
        <item x="15"/>
        <item x="20"/>
        <item x="27"/>
        <item t="default"/>
      </items>
    </pivotField>
    <pivotField dataField="1" numFmtId="166" showAll="0"/>
    <pivotField dataField="1" numFmtId="166" showAll="0"/>
    <pivotField dataField="1" numFmtId="165" showAll="0"/>
    <pivotField dataField="1" numFmtId="165" showAll="0"/>
    <pivotField dataField="1" numFmtId="164" showAll="0"/>
    <pivotField numFmtId="44" showAll="0"/>
    <pivotField numFmtId="44" showAll="0"/>
    <pivotField dataField="1" numFmtId="44" showAll="0"/>
    <pivotField dataField="1" numFmtId="44" showAll="0"/>
    <pivotField numFmtId="43" showAll="0"/>
    <pivotField numFmtId="43" showAll="0"/>
    <pivotField numFmtId="44" showAll="0"/>
    <pivotField numFmtId="44" showAll="0"/>
    <pivotField dataField="1" numFmtId="44" showAll="0"/>
    <pivotField dataField="1" showAll="0"/>
  </pivotFields>
  <rowFields count="2">
    <field x="16"/>
    <field x="17"/>
  </rowFields>
  <rowItems count="22">
    <i>
      <x/>
    </i>
    <i r="1">
      <x v="16"/>
    </i>
    <i>
      <x v="1"/>
    </i>
    <i r="1">
      <x v="20"/>
    </i>
    <i>
      <x v="2"/>
    </i>
    <i r="1">
      <x v="4"/>
    </i>
    <i r="1">
      <x v="7"/>
    </i>
    <i r="1">
      <x v="9"/>
    </i>
    <i r="1">
      <x v="10"/>
    </i>
    <i r="1">
      <x v="11"/>
    </i>
    <i r="1">
      <x v="15"/>
    </i>
    <i r="1">
      <x v="21"/>
    </i>
    <i r="1">
      <x v="22"/>
    </i>
    <i r="1">
      <x v="28"/>
    </i>
    <i>
      <x v="3"/>
    </i>
    <i r="1">
      <x v="3"/>
    </i>
    <i r="1">
      <x v="8"/>
    </i>
    <i r="1">
      <x v="17"/>
    </i>
    <i r="1">
      <x v="19"/>
    </i>
    <i r="1">
      <x v="25"/>
    </i>
    <i r="1">
      <x v="2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Total kWh Savings" fld="18" baseField="15" baseItem="0"/>
    <dataField name="Total Therms Savings" fld="19" baseField="15" baseItem="0"/>
    <dataField name="Total Program Incentive" fld="22" baseField="15" baseItem="0" numFmtId="44"/>
    <dataField name="Total Program CIC" fld="20" baseField="15" baseItem="0" numFmtId="44"/>
    <dataField name="Total NIUC" fld="26" baseField="15" baseItem="0" numFmtId="44"/>
    <dataField name="Total Program NEI" fld="21" baseField="15" baseItem="0" numFmtId="44"/>
    <dataField name="Total Program AC" fld="25" baseField="15" baseItem="0" numFmtId="44"/>
    <dataField name="Total Energy Savings" fld="31" baseField="15" baseItem="0" numFmtId="44"/>
    <dataField name="Total Program Budget" fld="32" baseField="15" baseItem="0"/>
  </dataFields>
  <formats count="15">
    <format dxfId="24">
      <pivotArea outline="0" collapsedLevelsAreSubtotals="1" fieldPosition="0"/>
    </format>
    <format dxfId="23">
      <pivotArea outline="0" collapsedLevelsAreSubtotals="1" fieldPosition="0">
        <references count="1">
          <reference field="4294967294" count="3" selected="0">
            <x v="2"/>
            <x v="3"/>
            <x v="5"/>
          </reference>
        </references>
      </pivotArea>
    </format>
    <format dxfId="22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21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20">
      <pivotArea field="16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6">
            <x v="2"/>
            <x v="3"/>
            <x v="4"/>
            <x v="5"/>
            <x v="6"/>
            <x v="7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collapsedLevelsAreSubtotals="1" fieldPosition="0">
        <references count="1">
          <reference field="16" count="1">
            <x v="3"/>
          </reference>
        </references>
      </pivotArea>
    </format>
    <format dxfId="14">
      <pivotArea dataOnly="0" labelOnly="1" fieldPosition="0">
        <references count="1">
          <reference field="16" count="1">
            <x v="3"/>
          </reference>
        </references>
      </pivotArea>
    </format>
    <format dxfId="13">
      <pivotArea collapsedLevelsAreSubtotals="1" fieldPosition="0">
        <references count="1">
          <reference field="16" count="1">
            <x v="2"/>
          </reference>
        </references>
      </pivotArea>
    </format>
    <format dxfId="12">
      <pivotArea dataOnly="0" labelOnly="1" fieldPosition="0">
        <references count="1">
          <reference field="16" count="1">
            <x v="2"/>
          </reference>
        </references>
      </pivotArea>
    </format>
    <format dxfId="11">
      <pivotArea collapsedLevelsAreSubtotals="1" fieldPosition="0">
        <references count="1">
          <reference field="16" count="1">
            <x v="0"/>
          </reference>
        </references>
      </pivotArea>
    </format>
    <format dxfId="10">
      <pivotArea dataOnly="0" labelOnly="1" fieldPosition="0">
        <references count="1">
          <reference field="16" count="1">
            <x v="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7" type="valueGreaterThan" evalOrder="-1" id="7" iMeasureFld="8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810C29-62B0-4DA4-A2D9-9663E1B6C88A}" name="PivotTable4" cacheId="2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>
  <location ref="A3:F34" firstHeaderRow="0" firstDataRow="1" firstDataCol="1"/>
  <pivotFields count="33">
    <pivotField showAll="0"/>
    <pivotField numFmtId="3" showAll="0"/>
    <pivotField showAll="0"/>
    <pivotField showAll="0"/>
    <pivotField numFmtId="164" showAll="0"/>
    <pivotField numFmtId="4" showAll="0"/>
    <pivotField showAll="0"/>
    <pivotField numFmtId="1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numFmtId="164" showAll="0"/>
    <pivotField axis="axisRow" showAll="0">
      <items count="5">
        <item x="1"/>
        <item x="3"/>
        <item x="0"/>
        <item x="2"/>
        <item t="default"/>
      </items>
    </pivotField>
    <pivotField axis="axisRow" showAll="0">
      <items count="30">
        <item x="23"/>
        <item m="1" x="27"/>
        <item x="21"/>
        <item x="24"/>
        <item x="19"/>
        <item x="14"/>
        <item x="11"/>
        <item x="17"/>
        <item x="13"/>
        <item x="10"/>
        <item x="5"/>
        <item m="1" x="28"/>
        <item x="4"/>
        <item x="8"/>
        <item x="25"/>
        <item x="16"/>
        <item x="9"/>
        <item x="22"/>
        <item x="7"/>
        <item m="1" x="26"/>
        <item x="15"/>
        <item x="20"/>
        <item x="18"/>
        <item x="6"/>
        <item x="0"/>
        <item x="1"/>
        <item x="2"/>
        <item x="3"/>
        <item x="12"/>
        <item t="default"/>
      </items>
    </pivotField>
    <pivotField dataField="1" numFmtId="166" showAll="0"/>
    <pivotField dataField="1" numFmtId="166" showAll="0"/>
    <pivotField numFmtId="165" showAll="0"/>
    <pivotField numFmtId="165" showAll="0"/>
    <pivotField dataField="1" numFmtId="164" showAll="0"/>
    <pivotField numFmtId="44" showAll="0"/>
    <pivotField numFmtId="44" showAll="0"/>
    <pivotField numFmtId="44" showAll="0"/>
    <pivotField dataField="1" numFmtId="44" showAll="0"/>
    <pivotField numFmtId="43" showAll="0"/>
    <pivotField numFmtId="43" showAll="0"/>
    <pivotField numFmtId="44" showAll="0"/>
    <pivotField numFmtId="44" showAll="0"/>
    <pivotField numFmtId="44" showAll="0"/>
    <pivotField dataField="1" numFmtId="44" showAll="0"/>
  </pivotFields>
  <rowFields count="2">
    <field x="16"/>
    <field x="17"/>
  </rowFields>
  <rowItems count="31">
    <i>
      <x/>
    </i>
    <i r="1">
      <x v="10"/>
    </i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4"/>
    </i>
    <i r="1">
      <x v="15"/>
    </i>
    <i r="1">
      <x v="17"/>
    </i>
    <i r="1">
      <x v="20"/>
    </i>
    <i r="1">
      <x v="21"/>
    </i>
    <i r="1">
      <x v="22"/>
    </i>
    <i>
      <x v="2"/>
    </i>
    <i r="1">
      <x v="8"/>
    </i>
    <i r="1">
      <x v="12"/>
    </i>
    <i r="1">
      <x v="16"/>
    </i>
    <i r="1">
      <x v="18"/>
    </i>
    <i r="1">
      <x v="23"/>
    </i>
    <i r="1">
      <x v="24"/>
    </i>
    <i r="1">
      <x v="25"/>
    </i>
    <i r="1">
      <x v="26"/>
    </i>
    <i r="1">
      <x v="27"/>
    </i>
    <i r="1">
      <x v="28"/>
    </i>
    <i>
      <x v="3"/>
    </i>
    <i r="1"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Total kWh - Summary" fld="18" baseField="15" baseItem="0" numFmtId="43"/>
    <dataField name="Total Therms - Summary" fld="19" baseField="15" baseItem="0" numFmtId="43"/>
    <dataField name="Incentive Spend" fld="22" baseField="15" baseItem="0" numFmtId="44"/>
    <dataField name="Admin Costs plus 3rd-Party" fld="26" baseField="15" baseItem="0" numFmtId="44"/>
    <dataField name="Program Budget - Summary" fld="32" baseField="15" baseItem="0" numFmtId="44"/>
  </dataFields>
  <formats count="3">
    <format dxfId="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3-11-20T21:05:53.18" personId="{74825F95-94DF-4D9F-AAA2-AB4D17B8AF7A}" id="{3A7BBBF7-CC50-4AD4-B3EC-AE662732991D}">
    <text>Each one is the product of a constant and the kWh savings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7" dT="2024-09-25T21:58:12.41" personId="{15519DBA-DF45-4F57-8C22-86F0F06CED45}" id="{1B7388A6-9079-4166-9BB6-062A3F45E79D}">
    <text>I think this has to be $2 million flat per the CEIP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6B1D-96CC-46DC-BE8E-5ABD76582C91}">
  <sheetPr codeName="Sheet1"/>
  <dimension ref="A1:E15"/>
  <sheetViews>
    <sheetView workbookViewId="0">
      <selection activeCell="B39" sqref="B39"/>
    </sheetView>
  </sheetViews>
  <sheetFormatPr defaultRowHeight="15" x14ac:dyDescent="0.25"/>
  <cols>
    <col min="1" max="1" width="36.140625" bestFit="1" customWidth="1"/>
    <col min="5" max="5" width="39.85546875" bestFit="1" customWidth="1"/>
  </cols>
  <sheetData>
    <row r="1" spans="1:5" x14ac:dyDescent="0.25">
      <c r="A1" t="s">
        <v>190</v>
      </c>
      <c r="E1" t="s">
        <v>191</v>
      </c>
    </row>
    <row r="2" spans="1:5" x14ac:dyDescent="0.25">
      <c r="A2" s="17" t="s">
        <v>188</v>
      </c>
      <c r="E2" s="17" t="s">
        <v>188</v>
      </c>
    </row>
    <row r="3" spans="1:5" x14ac:dyDescent="0.25">
      <c r="A3" s="18" t="s">
        <v>145</v>
      </c>
      <c r="E3" s="18" t="s">
        <v>78</v>
      </c>
    </row>
    <row r="4" spans="1:5" x14ac:dyDescent="0.25">
      <c r="A4" s="18" t="s">
        <v>144</v>
      </c>
      <c r="E4" s="19" t="s">
        <v>145</v>
      </c>
    </row>
    <row r="5" spans="1:5" x14ac:dyDescent="0.25">
      <c r="A5" s="18" t="s">
        <v>96</v>
      </c>
      <c r="E5" s="19" t="s">
        <v>144</v>
      </c>
    </row>
    <row r="6" spans="1:5" x14ac:dyDescent="0.25">
      <c r="A6" s="18" t="s">
        <v>20</v>
      </c>
      <c r="E6" s="19" t="s">
        <v>96</v>
      </c>
    </row>
    <row r="7" spans="1:5" x14ac:dyDescent="0.25">
      <c r="A7" s="18" t="s">
        <v>19</v>
      </c>
      <c r="E7" s="18" t="s">
        <v>41</v>
      </c>
    </row>
    <row r="8" spans="1:5" x14ac:dyDescent="0.25">
      <c r="A8" s="18" t="s">
        <v>14</v>
      </c>
      <c r="E8" s="19" t="s">
        <v>20</v>
      </c>
    </row>
    <row r="9" spans="1:5" x14ac:dyDescent="0.25">
      <c r="A9" s="18" t="s">
        <v>43</v>
      </c>
      <c r="E9" s="19" t="s">
        <v>19</v>
      </c>
    </row>
    <row r="10" spans="1:5" x14ac:dyDescent="0.25">
      <c r="A10" s="18" t="s">
        <v>45</v>
      </c>
      <c r="E10" s="19" t="s">
        <v>14</v>
      </c>
    </row>
    <row r="11" spans="1:5" x14ac:dyDescent="0.25">
      <c r="A11" s="18" t="s">
        <v>15</v>
      </c>
      <c r="E11" s="19" t="s">
        <v>43</v>
      </c>
    </row>
    <row r="12" spans="1:5" x14ac:dyDescent="0.25">
      <c r="A12" s="18" t="s">
        <v>17</v>
      </c>
      <c r="E12" s="19" t="s">
        <v>45</v>
      </c>
    </row>
    <row r="13" spans="1:5" x14ac:dyDescent="0.25">
      <c r="A13" s="18" t="s">
        <v>308</v>
      </c>
      <c r="E13" s="19" t="s">
        <v>15</v>
      </c>
    </row>
    <row r="14" spans="1:5" x14ac:dyDescent="0.25">
      <c r="A14" s="18" t="s">
        <v>189</v>
      </c>
      <c r="E14" s="19" t="s">
        <v>17</v>
      </c>
    </row>
    <row r="15" spans="1:5" x14ac:dyDescent="0.25">
      <c r="E15" s="18" t="s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240C-2C4F-4683-A3C0-E75443CAF2B3}">
  <sheetPr codeName="Sheet2"/>
  <dimension ref="A1:AG178"/>
  <sheetViews>
    <sheetView tabSelected="1" workbookViewId="0">
      <pane xSplit="1" ySplit="1" topLeftCell="B2" activePane="bottomRight" state="frozenSplit"/>
      <selection pane="topRight" activeCell="D1" sqref="D1"/>
      <selection pane="bottomLeft" activeCell="A17" sqref="A17"/>
      <selection pane="bottomRight" activeCell="A32" sqref="A32"/>
    </sheetView>
  </sheetViews>
  <sheetFormatPr defaultRowHeight="15" x14ac:dyDescent="0.25"/>
  <cols>
    <col min="1" max="1" width="81.5703125" bestFit="1" customWidth="1"/>
    <col min="2" max="2" width="12" style="46" bestFit="1" customWidth="1"/>
    <col min="3" max="3" width="23.140625" bestFit="1" customWidth="1"/>
    <col min="4" max="4" width="18.7109375" bestFit="1" customWidth="1"/>
    <col min="5" max="5" width="27" style="40" bestFit="1" customWidth="1"/>
    <col min="6" max="7" width="16.42578125" style="43" bestFit="1" customWidth="1"/>
    <col min="8" max="8" width="12.5703125" style="42" bestFit="1" customWidth="1"/>
    <col min="9" max="9" width="15.7109375" style="40" bestFit="1" customWidth="1"/>
    <col min="10" max="10" width="11.5703125" style="2" bestFit="1" customWidth="1"/>
    <col min="11" max="11" width="23.85546875" style="2" bestFit="1" customWidth="1"/>
    <col min="12" max="12" width="15.28515625" style="2" bestFit="1" customWidth="1"/>
    <col min="13" max="13" width="5.7109375" bestFit="1" customWidth="1"/>
    <col min="14" max="14" width="36.140625" style="41" bestFit="1" customWidth="1"/>
    <col min="15" max="15" width="36.140625" style="41" customWidth="1"/>
    <col min="16" max="16" width="15.85546875" style="40" bestFit="1" customWidth="1"/>
    <col min="17" max="17" width="15.5703125" bestFit="1" customWidth="1"/>
    <col min="18" max="18" width="27" bestFit="1" customWidth="1"/>
    <col min="19" max="19" width="13.28515625" bestFit="1" customWidth="1"/>
    <col min="20" max="20" width="12.5703125" bestFit="1" customWidth="1"/>
    <col min="21" max="22" width="12.5703125" style="39" customWidth="1"/>
    <col min="23" max="23" width="15.7109375" style="39" bestFit="1" customWidth="1"/>
    <col min="24" max="24" width="17.42578125" style="3" bestFit="1" customWidth="1"/>
    <col min="25" max="25" width="17" style="3" bestFit="1" customWidth="1"/>
    <col min="26" max="26" width="15.28515625" bestFit="1" customWidth="1"/>
    <col min="27" max="27" width="14.28515625" bestFit="1" customWidth="1"/>
    <col min="28" max="28" width="11.5703125" style="44" bestFit="1" customWidth="1"/>
    <col min="29" max="29" width="9.28515625" style="44" bestFit="1" customWidth="1"/>
    <col min="30" max="30" width="19.5703125" bestFit="1" customWidth="1"/>
    <col min="31" max="31" width="16.28515625" bestFit="1" customWidth="1"/>
    <col min="32" max="32" width="19.140625" bestFit="1" customWidth="1"/>
    <col min="33" max="33" width="14.28515625" bestFit="1" customWidth="1"/>
  </cols>
  <sheetData>
    <row r="1" spans="1:33" s="1" customFormat="1" x14ac:dyDescent="0.25">
      <c r="A1" s="76" t="s">
        <v>22</v>
      </c>
      <c r="B1" s="77" t="s">
        <v>23</v>
      </c>
      <c r="C1" s="76" t="s">
        <v>0</v>
      </c>
      <c r="D1" s="76" t="s">
        <v>1</v>
      </c>
      <c r="E1" s="78" t="s">
        <v>2</v>
      </c>
      <c r="F1" s="79" t="s">
        <v>3</v>
      </c>
      <c r="G1" s="80" t="s">
        <v>4</v>
      </c>
      <c r="H1" s="81" t="s">
        <v>5</v>
      </c>
      <c r="I1" s="78" t="s">
        <v>265</v>
      </c>
      <c r="J1" s="82" t="s">
        <v>7</v>
      </c>
      <c r="K1" s="82" t="s">
        <v>152</v>
      </c>
      <c r="L1" s="83" t="s">
        <v>8</v>
      </c>
      <c r="M1" s="76" t="s">
        <v>9</v>
      </c>
      <c r="N1" s="84" t="s">
        <v>10</v>
      </c>
      <c r="O1" s="84" t="s">
        <v>305</v>
      </c>
      <c r="P1" s="85" t="s">
        <v>11</v>
      </c>
      <c r="Q1" s="76" t="s">
        <v>71</v>
      </c>
      <c r="R1" s="76" t="s">
        <v>40</v>
      </c>
      <c r="S1" s="76" t="s">
        <v>200</v>
      </c>
      <c r="T1" s="76" t="s">
        <v>201</v>
      </c>
      <c r="U1" s="86" t="s">
        <v>204</v>
      </c>
      <c r="V1" s="86" t="s">
        <v>205</v>
      </c>
      <c r="W1" s="86" t="s">
        <v>6</v>
      </c>
      <c r="X1" s="87" t="s">
        <v>192</v>
      </c>
      <c r="Y1" s="87" t="s">
        <v>193</v>
      </c>
      <c r="Z1" s="76" t="s">
        <v>198</v>
      </c>
      <c r="AA1" s="76" t="s">
        <v>199</v>
      </c>
      <c r="AB1" s="88" t="s">
        <v>202</v>
      </c>
      <c r="AC1" s="88" t="s">
        <v>203</v>
      </c>
      <c r="AD1" s="76" t="s">
        <v>208</v>
      </c>
      <c r="AE1" s="76" t="s">
        <v>209</v>
      </c>
      <c r="AF1" s="76" t="s">
        <v>210</v>
      </c>
      <c r="AG1" s="76" t="s">
        <v>249</v>
      </c>
    </row>
    <row r="2" spans="1:33" x14ac:dyDescent="0.25">
      <c r="A2" s="21" t="s">
        <v>24</v>
      </c>
      <c r="B2" s="89">
        <v>0</v>
      </c>
      <c r="C2" s="21" t="s">
        <v>12</v>
      </c>
      <c r="D2" s="21" t="s">
        <v>153</v>
      </c>
      <c r="E2" s="90">
        <v>222.03</v>
      </c>
      <c r="F2" s="91">
        <v>474.10112359550561</v>
      </c>
      <c r="G2" s="91">
        <v>0.20030713761100352</v>
      </c>
      <c r="H2" s="92">
        <v>7</v>
      </c>
      <c r="I2" s="90">
        <v>150</v>
      </c>
      <c r="J2" s="93">
        <v>0</v>
      </c>
      <c r="K2" s="93">
        <v>3.6176761872079799E-2</v>
      </c>
      <c r="L2" s="94">
        <f>K2*F2</f>
        <v>17.15144345160008</v>
      </c>
      <c r="M2" s="21" t="s">
        <v>13</v>
      </c>
      <c r="N2" s="24" t="s">
        <v>14</v>
      </c>
      <c r="O2" s="24"/>
      <c r="P2" s="95">
        <v>0</v>
      </c>
      <c r="Q2" s="21" t="s">
        <v>41</v>
      </c>
      <c r="R2" s="21" t="s">
        <v>385</v>
      </c>
      <c r="S2" s="96">
        <f>B2*F2</f>
        <v>0</v>
      </c>
      <c r="T2" s="96">
        <f>B2*G2</f>
        <v>0</v>
      </c>
      <c r="U2" s="97">
        <f>E2*B2</f>
        <v>0</v>
      </c>
      <c r="V2" s="97">
        <f t="shared" ref="V2:V35" si="0">B2*SUM(-PV(Electric_Discount_Rate,H2,L2),J2)</f>
        <v>0</v>
      </c>
      <c r="W2" s="97">
        <f>I2*B2</f>
        <v>0</v>
      </c>
      <c r="X2" s="25">
        <f>INDEX(Electric_AC, MATCH(ROUND(H2,0),Elec_AC_Measure_Life,0),MATCH(C2,Elec_Heat_Curve,0))</f>
        <v>0.68092219236682128</v>
      </c>
      <c r="Y2" s="25">
        <f t="shared" ref="Y2:Y35" si="1">INDEX(Gas_AC, MATCH(ROUND(H2,0),Gas_AC_Measure_Life,0),MATCH(D2,Gas_Heat_Load,0))</f>
        <v>5.753949098523548</v>
      </c>
      <c r="Z2" s="98">
        <f>SUM(X2*S2,Y2*T2)</f>
        <v>0</v>
      </c>
      <c r="AA2" s="98">
        <f t="shared" ref="AA2:AA33" si="2">WA_Elec_NIUC*(Z2/SUM(Z:Z))+IF(Z2&lt;&gt;0,P2,0)</f>
        <v>0</v>
      </c>
      <c r="AB2" s="99">
        <f>IFERROR(1.1*SUM(Z2,V2)/SUM(AA2,U2),0)</f>
        <v>0</v>
      </c>
      <c r="AC2" s="99">
        <f>IFERROR(Z2/SUM(W2,AA2),0)</f>
        <v>0</v>
      </c>
      <c r="AD2" s="25">
        <f t="shared" ref="AD2:AD33" si="3">-PV(Electric_Discount_Rate,H2,S2*PCT_Elec_Constant)</f>
        <v>0</v>
      </c>
      <c r="AE2" s="25">
        <f t="shared" ref="AE2:AE33" si="4">-PV(Gas_Discount_Rate,H2,T2*PCT_Gas_Constant)</f>
        <v>0</v>
      </c>
      <c r="AF2" s="98">
        <f>SUM(AD2:AE2)</f>
        <v>0</v>
      </c>
      <c r="AG2" s="98">
        <f>SUM(AA2,W2)</f>
        <v>0</v>
      </c>
    </row>
    <row r="3" spans="1:33" x14ac:dyDescent="0.25">
      <c r="A3" s="21" t="s">
        <v>25</v>
      </c>
      <c r="B3" s="89">
        <v>10</v>
      </c>
      <c r="C3" s="21" t="s">
        <v>12</v>
      </c>
      <c r="D3" s="21" t="s">
        <v>154</v>
      </c>
      <c r="E3" s="90">
        <v>2675.93</v>
      </c>
      <c r="F3" s="91">
        <v>43</v>
      </c>
      <c r="G3" s="91">
        <v>150</v>
      </c>
      <c r="H3" s="92">
        <v>45</v>
      </c>
      <c r="I3" s="90">
        <v>1000</v>
      </c>
      <c r="J3" s="93">
        <v>0</v>
      </c>
      <c r="K3" s="93">
        <v>0</v>
      </c>
      <c r="L3" s="94">
        <f t="shared" ref="L3:L65" si="5">K3*F3</f>
        <v>0</v>
      </c>
      <c r="M3" s="21" t="s">
        <v>13</v>
      </c>
      <c r="N3" s="24" t="s">
        <v>15</v>
      </c>
      <c r="O3" s="24"/>
      <c r="P3" s="95">
        <v>0</v>
      </c>
      <c r="Q3" s="21" t="s">
        <v>41</v>
      </c>
      <c r="R3" s="21" t="s">
        <v>384</v>
      </c>
      <c r="S3" s="96">
        <f t="shared" ref="S3:S64" si="6">B3*F3</f>
        <v>430</v>
      </c>
      <c r="T3" s="96">
        <f t="shared" ref="T3:T64" si="7">B3*G3</f>
        <v>1500</v>
      </c>
      <c r="U3" s="97">
        <f t="shared" ref="U3:U64" si="8">E3*B3</f>
        <v>26759.3</v>
      </c>
      <c r="V3" s="97">
        <f t="shared" si="0"/>
        <v>0</v>
      </c>
      <c r="W3" s="97">
        <f t="shared" ref="W3:W64" si="9">I3*B3</f>
        <v>10000</v>
      </c>
      <c r="X3" s="25">
        <f t="shared" ref="X3:X35" si="10">INDEX(Electric_AC, MATCH(ROUND(H3,0),Elec_AC_Measure_Life,0),MATCH(C3,Elec_Heat_Curve,0))</f>
        <v>2.613850243840278</v>
      </c>
      <c r="Y3" s="25">
        <f>INDEX(Gas_AC, MATCH(ROUND(H3,0),Gas_AC_Measure_Life,0),MATCH(D3,Gas_Heat_Load,0))</f>
        <v>21.16163334942404</v>
      </c>
      <c r="Z3" s="98">
        <f t="shared" ref="Z3:Z64" si="11">SUM(X3*S3,Y3*T3)</f>
        <v>32866.405628987377</v>
      </c>
      <c r="AA3" s="98">
        <f t="shared" si="2"/>
        <v>9609.7638101948342</v>
      </c>
      <c r="AB3" s="99">
        <f t="shared" ref="AB3:AB65" si="12">IFERROR(1.1*SUM(Z3,V3)/SUM(AA3,U3),0)</f>
        <v>0.99406040200990375</v>
      </c>
      <c r="AC3" s="99">
        <f t="shared" ref="AC3:AC64" si="13">IFERROR(Z3/SUM(W3,AA3),0)</f>
        <v>1.6760225134328548</v>
      </c>
      <c r="AD3" s="25">
        <f t="shared" si="3"/>
        <v>689.04985659096144</v>
      </c>
      <c r="AE3" s="25">
        <f t="shared" si="4"/>
        <v>17607.779224582187</v>
      </c>
      <c r="AF3" s="98">
        <f>SUM(AD3:AE3)</f>
        <v>18296.829081173149</v>
      </c>
      <c r="AG3" s="98">
        <f t="shared" ref="AG3:AG64" si="14">SUM(AA3,W3)</f>
        <v>19609.763810194832</v>
      </c>
    </row>
    <row r="4" spans="1:33" x14ac:dyDescent="0.25">
      <c r="A4" s="21" t="s">
        <v>26</v>
      </c>
      <c r="B4" s="89">
        <v>694</v>
      </c>
      <c r="C4" s="21" t="s">
        <v>16</v>
      </c>
      <c r="D4" s="21" t="s">
        <v>154</v>
      </c>
      <c r="E4" s="90">
        <v>106.88</v>
      </c>
      <c r="F4" s="91">
        <v>49</v>
      </c>
      <c r="G4" s="91">
        <v>2.0408163265306123</v>
      </c>
      <c r="H4" s="92">
        <v>15</v>
      </c>
      <c r="I4" s="90">
        <v>100</v>
      </c>
      <c r="J4" s="93">
        <v>0</v>
      </c>
      <c r="K4" s="93">
        <v>1.5603527910890102E-5</v>
      </c>
      <c r="L4" s="94">
        <f t="shared" si="5"/>
        <v>7.6457286763361495E-4</v>
      </c>
      <c r="M4" s="21" t="s">
        <v>13</v>
      </c>
      <c r="N4" s="24" t="s">
        <v>17</v>
      </c>
      <c r="O4" s="24"/>
      <c r="P4" s="95">
        <v>0</v>
      </c>
      <c r="Q4" s="21" t="s">
        <v>41</v>
      </c>
      <c r="R4" s="21" t="s">
        <v>383</v>
      </c>
      <c r="S4" s="96">
        <f t="shared" si="6"/>
        <v>34006</v>
      </c>
      <c r="T4" s="96">
        <f t="shared" si="7"/>
        <v>1416.3265306122448</v>
      </c>
      <c r="U4" s="97">
        <f t="shared" si="8"/>
        <v>74174.720000000001</v>
      </c>
      <c r="V4" s="97">
        <f t="shared" si="0"/>
        <v>5.7897298259524907</v>
      </c>
      <c r="W4" s="97">
        <f t="shared" si="9"/>
        <v>69400</v>
      </c>
      <c r="X4" s="25">
        <f t="shared" si="10"/>
        <v>0.84212249264822436</v>
      </c>
      <c r="Y4" s="25">
        <f t="shared" si="1"/>
        <v>9.0831981910440085</v>
      </c>
      <c r="Z4" s="98">
        <f t="shared" si="11"/>
        <v>41501.992065780301</v>
      </c>
      <c r="AA4" s="98">
        <f t="shared" si="2"/>
        <v>12134.711227837313</v>
      </c>
      <c r="AB4" s="99">
        <f t="shared" si="12"/>
        <v>0.52901008992445619</v>
      </c>
      <c r="AC4" s="99">
        <f t="shared" si="13"/>
        <v>0.50901010674838609</v>
      </c>
      <c r="AD4" s="25">
        <f t="shared" si="3"/>
        <v>29952.041679382393</v>
      </c>
      <c r="AE4" s="25">
        <f t="shared" si="4"/>
        <v>9555.0961614266198</v>
      </c>
      <c r="AF4" s="98">
        <f t="shared" ref="AF4:AF65" si="15">SUM(AD4:AE4)</f>
        <v>39507.13784080901</v>
      </c>
      <c r="AG4" s="98">
        <f t="shared" si="14"/>
        <v>81534.71122783731</v>
      </c>
    </row>
    <row r="5" spans="1:33" x14ac:dyDescent="0.25">
      <c r="A5" s="21" t="s">
        <v>27</v>
      </c>
      <c r="B5" s="89">
        <v>63</v>
      </c>
      <c r="C5" s="21" t="s">
        <v>16</v>
      </c>
      <c r="D5" s="21" t="s">
        <v>154</v>
      </c>
      <c r="E5" s="90">
        <v>72.239999999999995</v>
      </c>
      <c r="F5" s="91">
        <v>20</v>
      </c>
      <c r="G5" s="91">
        <v>2.5</v>
      </c>
      <c r="H5" s="92">
        <v>22</v>
      </c>
      <c r="I5" s="90">
        <v>50</v>
      </c>
      <c r="J5" s="93">
        <v>0</v>
      </c>
      <c r="K5" s="93">
        <v>1.5603527910890102E-5</v>
      </c>
      <c r="L5" s="94">
        <f t="shared" si="5"/>
        <v>3.1207055821780202E-4</v>
      </c>
      <c r="M5" s="21" t="s">
        <v>13</v>
      </c>
      <c r="N5" s="24" t="s">
        <v>17</v>
      </c>
      <c r="O5" s="24"/>
      <c r="P5" s="95">
        <v>0</v>
      </c>
      <c r="Q5" s="21" t="s">
        <v>41</v>
      </c>
      <c r="R5" s="21" t="s">
        <v>383</v>
      </c>
      <c r="S5" s="96">
        <f t="shared" si="6"/>
        <v>1260</v>
      </c>
      <c r="T5" s="96">
        <f t="shared" si="7"/>
        <v>157.5</v>
      </c>
      <c r="U5" s="97">
        <f t="shared" si="8"/>
        <v>4551.12</v>
      </c>
      <c r="V5" s="97">
        <f t="shared" si="0"/>
        <v>0.27692217433874566</v>
      </c>
      <c r="W5" s="97">
        <f t="shared" si="9"/>
        <v>3150</v>
      </c>
      <c r="X5" s="25">
        <f t="shared" si="10"/>
        <v>1.1218909778828292</v>
      </c>
      <c r="Y5" s="25">
        <f t="shared" si="1"/>
        <v>12.112483798255813</v>
      </c>
      <c r="Z5" s="98">
        <f t="shared" si="11"/>
        <v>3321.2988303576553</v>
      </c>
      <c r="AA5" s="98">
        <f t="shared" si="2"/>
        <v>971.11006488228486</v>
      </c>
      <c r="AB5" s="99">
        <f t="shared" si="12"/>
        <v>0.66164091043951812</v>
      </c>
      <c r="AC5" s="99">
        <f t="shared" si="13"/>
        <v>0.80592335027881001</v>
      </c>
      <c r="AD5" s="25">
        <f t="shared" si="3"/>
        <v>1432.6030327977812</v>
      </c>
      <c r="AE5" s="25">
        <f t="shared" si="4"/>
        <v>1353.9098391061434</v>
      </c>
      <c r="AF5" s="98">
        <f t="shared" si="15"/>
        <v>2786.5128719039249</v>
      </c>
      <c r="AG5" s="98">
        <f t="shared" si="14"/>
        <v>4121.1100648822849</v>
      </c>
    </row>
    <row r="6" spans="1:33" x14ac:dyDescent="0.25">
      <c r="A6" s="21" t="s">
        <v>28</v>
      </c>
      <c r="B6" s="89">
        <v>235</v>
      </c>
      <c r="C6" s="21" t="s">
        <v>18</v>
      </c>
      <c r="D6" s="21" t="s">
        <v>154</v>
      </c>
      <c r="E6" s="90">
        <v>59</v>
      </c>
      <c r="F6" s="91">
        <v>171.29</v>
      </c>
      <c r="G6" s="91">
        <v>0.29190262128553918</v>
      </c>
      <c r="H6" s="92">
        <v>14</v>
      </c>
      <c r="I6" s="90">
        <v>50</v>
      </c>
      <c r="J6" s="93">
        <v>0</v>
      </c>
      <c r="K6" s="93">
        <v>0.13900000000000001</v>
      </c>
      <c r="L6" s="94">
        <f t="shared" si="5"/>
        <v>23.80931</v>
      </c>
      <c r="M6" s="21" t="s">
        <v>13</v>
      </c>
      <c r="N6" s="24" t="s">
        <v>19</v>
      </c>
      <c r="O6" s="24"/>
      <c r="P6" s="95">
        <v>0</v>
      </c>
      <c r="Q6" s="21" t="s">
        <v>41</v>
      </c>
      <c r="R6" s="21" t="s">
        <v>383</v>
      </c>
      <c r="S6" s="96">
        <f t="shared" si="6"/>
        <v>40253.15</v>
      </c>
      <c r="T6" s="96">
        <f t="shared" si="7"/>
        <v>68.5971160021017</v>
      </c>
      <c r="U6" s="97">
        <f t="shared" si="8"/>
        <v>13865</v>
      </c>
      <c r="V6" s="97">
        <f t="shared" si="0"/>
        <v>58062.958882659492</v>
      </c>
      <c r="W6" s="97">
        <f t="shared" si="9"/>
        <v>11750</v>
      </c>
      <c r="X6" s="25">
        <f t="shared" si="10"/>
        <v>0.87945992406582729</v>
      </c>
      <c r="Y6" s="25">
        <f t="shared" si="1"/>
        <v>8.6580677762046925</v>
      </c>
      <c r="Z6" s="98">
        <f t="shared" si="11"/>
        <v>35994.950722008733</v>
      </c>
      <c r="AA6" s="98">
        <f t="shared" si="2"/>
        <v>10524.514870985096</v>
      </c>
      <c r="AB6" s="99">
        <f t="shared" si="12"/>
        <v>4.2421385219195269</v>
      </c>
      <c r="AC6" s="99">
        <f t="shared" si="13"/>
        <v>1.6159701313583241</v>
      </c>
      <c r="AD6" s="25">
        <f t="shared" si="3"/>
        <v>33719.047554132558</v>
      </c>
      <c r="AE6" s="25">
        <f t="shared" si="4"/>
        <v>441.01184887070389</v>
      </c>
      <c r="AF6" s="98">
        <f t="shared" si="15"/>
        <v>34160.059403003259</v>
      </c>
      <c r="AG6" s="98">
        <f t="shared" si="14"/>
        <v>22274.514870985098</v>
      </c>
    </row>
    <row r="7" spans="1:33" x14ac:dyDescent="0.25">
      <c r="A7" s="21" t="s">
        <v>29</v>
      </c>
      <c r="B7" s="89">
        <v>435</v>
      </c>
      <c r="C7" s="21" t="s">
        <v>18</v>
      </c>
      <c r="D7" s="21" t="s">
        <v>154</v>
      </c>
      <c r="E7" s="90">
        <v>411.53</v>
      </c>
      <c r="F7" s="91">
        <v>318</v>
      </c>
      <c r="G7" s="91">
        <v>0.15723270440251572</v>
      </c>
      <c r="H7" s="92">
        <v>12</v>
      </c>
      <c r="I7" s="90">
        <v>50</v>
      </c>
      <c r="J7" s="93">
        <v>0</v>
      </c>
      <c r="K7" s="93">
        <v>0.13900000000000001</v>
      </c>
      <c r="L7" s="94">
        <f t="shared" si="5"/>
        <v>44.202000000000005</v>
      </c>
      <c r="M7" s="21" t="s">
        <v>13</v>
      </c>
      <c r="N7" s="24" t="s">
        <v>20</v>
      </c>
      <c r="O7" s="24"/>
      <c r="P7" s="95">
        <v>0</v>
      </c>
      <c r="Q7" s="21" t="s">
        <v>41</v>
      </c>
      <c r="R7" s="21" t="s">
        <v>383</v>
      </c>
      <c r="S7" s="96">
        <f t="shared" si="6"/>
        <v>138330</v>
      </c>
      <c r="T7" s="96">
        <f t="shared" si="7"/>
        <v>68.396226415094333</v>
      </c>
      <c r="U7" s="97">
        <f t="shared" si="8"/>
        <v>179015.55</v>
      </c>
      <c r="V7" s="97">
        <f t="shared" si="0"/>
        <v>177660.62257043622</v>
      </c>
      <c r="W7" s="97">
        <f t="shared" si="9"/>
        <v>21750</v>
      </c>
      <c r="X7" s="25">
        <f t="shared" si="10"/>
        <v>0.77982372959016932</v>
      </c>
      <c r="Y7" s="25">
        <f t="shared" si="1"/>
        <v>7.7879729909295285</v>
      </c>
      <c r="Z7" s="98">
        <f t="shared" si="11"/>
        <v>108405.68447821037</v>
      </c>
      <c r="AA7" s="98">
        <f t="shared" si="2"/>
        <v>31696.591202516676</v>
      </c>
      <c r="AB7" s="99">
        <f t="shared" si="12"/>
        <v>1.493378293048037</v>
      </c>
      <c r="AC7" s="99">
        <f t="shared" si="13"/>
        <v>2.0282993178638078</v>
      </c>
      <c r="AD7" s="25">
        <f t="shared" si="3"/>
        <v>103173.29836834082</v>
      </c>
      <c r="AE7" s="25">
        <f t="shared" si="4"/>
        <v>393.1293609179927</v>
      </c>
      <c r="AF7" s="98">
        <f t="shared" si="15"/>
        <v>103566.42772925882</v>
      </c>
      <c r="AG7" s="98">
        <f t="shared" si="14"/>
        <v>53446.591202516676</v>
      </c>
    </row>
    <row r="8" spans="1:33" x14ac:dyDescent="0.25">
      <c r="A8" s="21" t="s">
        <v>30</v>
      </c>
      <c r="B8" s="89">
        <v>2</v>
      </c>
      <c r="C8" s="21" t="s">
        <v>12</v>
      </c>
      <c r="D8" s="21" t="s">
        <v>153</v>
      </c>
      <c r="E8" s="90">
        <v>371</v>
      </c>
      <c r="F8" s="91">
        <v>800</v>
      </c>
      <c r="G8" s="91">
        <v>0</v>
      </c>
      <c r="H8" s="92">
        <v>45</v>
      </c>
      <c r="I8" s="90">
        <v>100</v>
      </c>
      <c r="J8" s="93">
        <v>0</v>
      </c>
      <c r="K8" s="93">
        <v>0</v>
      </c>
      <c r="L8" s="94">
        <f t="shared" si="5"/>
        <v>0</v>
      </c>
      <c r="M8" s="21" t="s">
        <v>13</v>
      </c>
      <c r="N8" s="24" t="s">
        <v>380</v>
      </c>
      <c r="O8" s="24"/>
      <c r="P8" s="95">
        <v>0</v>
      </c>
      <c r="Q8" s="21" t="s">
        <v>41</v>
      </c>
      <c r="R8" s="21" t="s">
        <v>386</v>
      </c>
      <c r="S8" s="96">
        <f t="shared" si="6"/>
        <v>1600</v>
      </c>
      <c r="T8" s="96">
        <f t="shared" si="7"/>
        <v>0</v>
      </c>
      <c r="U8" s="97">
        <f t="shared" si="8"/>
        <v>742</v>
      </c>
      <c r="V8" s="97">
        <f t="shared" si="0"/>
        <v>0</v>
      </c>
      <c r="W8" s="97">
        <f t="shared" si="9"/>
        <v>200</v>
      </c>
      <c r="X8" s="25">
        <f t="shared" si="10"/>
        <v>2.613850243840278</v>
      </c>
      <c r="Y8" s="25">
        <f t="shared" si="1"/>
        <v>21.866298478700472</v>
      </c>
      <c r="Z8" s="98">
        <f t="shared" si="11"/>
        <v>4182.160390144445</v>
      </c>
      <c r="AA8" s="98">
        <f t="shared" si="2"/>
        <v>1222.8162099415629</v>
      </c>
      <c r="AB8" s="99">
        <f t="shared" si="12"/>
        <v>2.3413774814570125</v>
      </c>
      <c r="AC8" s="99">
        <f t="shared" si="13"/>
        <v>2.9393539101696153</v>
      </c>
      <c r="AD8" s="25">
        <f t="shared" si="3"/>
        <v>2563.9064431291586</v>
      </c>
      <c r="AE8" s="25">
        <f t="shared" si="4"/>
        <v>0</v>
      </c>
      <c r="AF8" s="98">
        <f t="shared" si="15"/>
        <v>2563.9064431291586</v>
      </c>
      <c r="AG8" s="98">
        <f t="shared" si="14"/>
        <v>1422.8162099415629</v>
      </c>
    </row>
    <row r="9" spans="1:33" x14ac:dyDescent="0.25">
      <c r="A9" s="21" t="s">
        <v>31</v>
      </c>
      <c r="B9" s="89">
        <v>19586</v>
      </c>
      <c r="C9" s="21" t="s">
        <v>12</v>
      </c>
      <c r="D9" s="21" t="s">
        <v>153</v>
      </c>
      <c r="E9" s="90">
        <v>2.5168065892018188</v>
      </c>
      <c r="F9" s="91">
        <v>1.4896786060150637</v>
      </c>
      <c r="G9" s="91">
        <v>0</v>
      </c>
      <c r="H9" s="92">
        <v>45</v>
      </c>
      <c r="I9" s="90">
        <v>1.5</v>
      </c>
      <c r="J9" s="93">
        <v>0</v>
      </c>
      <c r="K9" s="93">
        <v>1.1851238867931199E-2</v>
      </c>
      <c r="L9" s="94">
        <f t="shared" si="5"/>
        <v>1.765453699633129E-2</v>
      </c>
      <c r="M9" s="21" t="s">
        <v>21</v>
      </c>
      <c r="N9" s="24" t="s">
        <v>308</v>
      </c>
      <c r="O9" s="24" t="s">
        <v>361</v>
      </c>
      <c r="P9" s="95">
        <v>0</v>
      </c>
      <c r="Q9" s="21" t="s">
        <v>41</v>
      </c>
      <c r="R9" s="21" t="s">
        <v>386</v>
      </c>
      <c r="S9" s="96">
        <f t="shared" si="6"/>
        <v>29176.84517741104</v>
      </c>
      <c r="T9" s="96">
        <f t="shared" si="7"/>
        <v>0</v>
      </c>
      <c r="U9" s="97">
        <f t="shared" si="8"/>
        <v>49294.17385610682</v>
      </c>
      <c r="V9" s="97">
        <f t="shared" si="0"/>
        <v>6864.2538851138634</v>
      </c>
      <c r="W9" s="97">
        <f t="shared" si="9"/>
        <v>29379</v>
      </c>
      <c r="X9" s="25">
        <f t="shared" si="10"/>
        <v>2.613850243840278</v>
      </c>
      <c r="Y9" s="25">
        <f t="shared" si="1"/>
        <v>21.866298478700472</v>
      </c>
      <c r="Z9" s="98">
        <f t="shared" si="11"/>
        <v>76263.903881465885</v>
      </c>
      <c r="AA9" s="98">
        <f t="shared" si="2"/>
        <v>22298.699523683455</v>
      </c>
      <c r="AB9" s="99">
        <f t="shared" si="12"/>
        <v>1.2772356971643815</v>
      </c>
      <c r="AC9" s="99">
        <f t="shared" si="13"/>
        <v>1.4757604263424067</v>
      </c>
      <c r="AD9" s="25">
        <f t="shared" si="3"/>
        <v>46754.188337841304</v>
      </c>
      <c r="AE9" s="25">
        <f t="shared" si="4"/>
        <v>0</v>
      </c>
      <c r="AF9" s="98">
        <f t="shared" si="15"/>
        <v>46754.188337841304</v>
      </c>
      <c r="AG9" s="98">
        <f t="shared" si="14"/>
        <v>51677.699523683455</v>
      </c>
    </row>
    <row r="10" spans="1:33" x14ac:dyDescent="0.25">
      <c r="A10" s="21" t="s">
        <v>32</v>
      </c>
      <c r="B10" s="89">
        <v>35242</v>
      </c>
      <c r="C10" s="21" t="s">
        <v>12</v>
      </c>
      <c r="D10" s="21" t="s">
        <v>153</v>
      </c>
      <c r="E10" s="90">
        <v>1.3737162511552601</v>
      </c>
      <c r="F10" s="91">
        <v>0.70954110122347303</v>
      </c>
      <c r="G10" s="91">
        <v>0</v>
      </c>
      <c r="H10" s="92">
        <v>45</v>
      </c>
      <c r="I10" s="90">
        <v>1.5</v>
      </c>
      <c r="J10" s="93">
        <v>0</v>
      </c>
      <c r="K10" s="93">
        <v>1.0582984355072E-2</v>
      </c>
      <c r="L10" s="94">
        <f t="shared" si="5"/>
        <v>7.509062373528573E-3</v>
      </c>
      <c r="M10" s="21" t="s">
        <v>21</v>
      </c>
      <c r="N10" s="24" t="s">
        <v>308</v>
      </c>
      <c r="O10" s="24" t="s">
        <v>309</v>
      </c>
      <c r="P10" s="95">
        <v>0</v>
      </c>
      <c r="Q10" s="21" t="s">
        <v>41</v>
      </c>
      <c r="R10" s="21" t="s">
        <v>386</v>
      </c>
      <c r="S10" s="96">
        <f t="shared" si="6"/>
        <v>25005.647489317635</v>
      </c>
      <c r="T10" s="96">
        <f t="shared" si="7"/>
        <v>0</v>
      </c>
      <c r="U10" s="97">
        <f t="shared" si="8"/>
        <v>48412.508123213673</v>
      </c>
      <c r="V10" s="97">
        <f>B10*SUM(-PV(Electric_Discount_Rate,H10,L10),J10)</f>
        <v>5253.3642500011383</v>
      </c>
      <c r="W10" s="97">
        <f t="shared" si="9"/>
        <v>52863</v>
      </c>
      <c r="X10" s="25">
        <f t="shared" si="10"/>
        <v>2.613850243840278</v>
      </c>
      <c r="Y10" s="25">
        <f t="shared" si="1"/>
        <v>21.866298478700472</v>
      </c>
      <c r="Z10" s="98">
        <f t="shared" si="11"/>
        <v>65361.017787336932</v>
      </c>
      <c r="AA10" s="98">
        <f t="shared" si="2"/>
        <v>19110.819431263841</v>
      </c>
      <c r="AB10" s="99">
        <f t="shared" si="12"/>
        <v>1.1503553372484996</v>
      </c>
      <c r="AC10" s="99">
        <f t="shared" si="13"/>
        <v>0.9081221241809706</v>
      </c>
      <c r="AD10" s="25">
        <f t="shared" si="3"/>
        <v>40070.087945298721</v>
      </c>
      <c r="AE10" s="25">
        <f t="shared" si="4"/>
        <v>0</v>
      </c>
      <c r="AF10" s="98">
        <f t="shared" si="15"/>
        <v>40070.087945298721</v>
      </c>
      <c r="AG10" s="98">
        <f t="shared" si="14"/>
        <v>71973.819431263837</v>
      </c>
    </row>
    <row r="11" spans="1:33" x14ac:dyDescent="0.25">
      <c r="A11" s="21" t="s">
        <v>33</v>
      </c>
      <c r="B11" s="89">
        <v>800</v>
      </c>
      <c r="C11" s="21" t="s">
        <v>12</v>
      </c>
      <c r="D11" s="21" t="s">
        <v>153</v>
      </c>
      <c r="E11" s="90">
        <v>1.86</v>
      </c>
      <c r="F11" s="91">
        <v>0.46904069199999998</v>
      </c>
      <c r="G11" s="91">
        <v>0</v>
      </c>
      <c r="H11" s="92">
        <v>45</v>
      </c>
      <c r="I11" s="90">
        <v>1</v>
      </c>
      <c r="J11" s="93">
        <v>0</v>
      </c>
      <c r="K11" s="93">
        <v>1.0582984355072E-2</v>
      </c>
      <c r="L11" s="94">
        <f t="shared" si="5"/>
        <v>4.9638503053281444E-3</v>
      </c>
      <c r="M11" s="21" t="s">
        <v>21</v>
      </c>
      <c r="N11" s="24" t="s">
        <v>54</v>
      </c>
      <c r="O11" s="24"/>
      <c r="P11" s="95">
        <v>0</v>
      </c>
      <c r="Q11" s="21" t="s">
        <v>41</v>
      </c>
      <c r="R11" s="21" t="s">
        <v>386</v>
      </c>
      <c r="S11" s="96">
        <f t="shared" si="6"/>
        <v>375.23255359999996</v>
      </c>
      <c r="T11" s="96">
        <f t="shared" si="7"/>
        <v>0</v>
      </c>
      <c r="U11" s="97">
        <f t="shared" si="8"/>
        <v>1488</v>
      </c>
      <c r="V11" s="97">
        <f t="shared" si="0"/>
        <v>78.831523293327351</v>
      </c>
      <c r="W11" s="97">
        <f t="shared" si="9"/>
        <v>800</v>
      </c>
      <c r="X11" s="25">
        <f t="shared" si="10"/>
        <v>2.613850243840278</v>
      </c>
      <c r="Y11" s="25">
        <f t="shared" si="1"/>
        <v>21.866298478700472</v>
      </c>
      <c r="Z11" s="98">
        <f t="shared" si="11"/>
        <v>980.80170172417002</v>
      </c>
      <c r="AA11" s="98">
        <f t="shared" si="2"/>
        <v>286.77528064990389</v>
      </c>
      <c r="AB11" s="99">
        <f t="shared" si="12"/>
        <v>0.65675725835691046</v>
      </c>
      <c r="AC11" s="99">
        <f t="shared" si="13"/>
        <v>0.90248804806973482</v>
      </c>
      <c r="AD11" s="25">
        <f t="shared" si="3"/>
        <v>601.28822615427953</v>
      </c>
      <c r="AE11" s="25">
        <f t="shared" si="4"/>
        <v>0</v>
      </c>
      <c r="AF11" s="98">
        <f t="shared" si="15"/>
        <v>601.28822615427953</v>
      </c>
      <c r="AG11" s="98">
        <f t="shared" si="14"/>
        <v>1086.7752806499038</v>
      </c>
    </row>
    <row r="12" spans="1:33" x14ac:dyDescent="0.25">
      <c r="A12" s="21" t="s">
        <v>34</v>
      </c>
      <c r="B12" s="89">
        <v>6000</v>
      </c>
      <c r="C12" s="21" t="s">
        <v>12</v>
      </c>
      <c r="D12" s="21" t="s">
        <v>153</v>
      </c>
      <c r="E12" s="90">
        <v>1.68</v>
      </c>
      <c r="F12" s="91">
        <v>0.161409779</v>
      </c>
      <c r="G12" s="91">
        <v>0</v>
      </c>
      <c r="H12" s="92">
        <v>45</v>
      </c>
      <c r="I12" s="90">
        <v>1.5</v>
      </c>
      <c r="J12" s="93">
        <v>0</v>
      </c>
      <c r="K12" s="93">
        <v>1.0582984355072E-2</v>
      </c>
      <c r="L12" s="94">
        <f t="shared" si="5"/>
        <v>1.708197165912629E-3</v>
      </c>
      <c r="M12" s="21" t="s">
        <v>21</v>
      </c>
      <c r="N12" s="24" t="s">
        <v>308</v>
      </c>
      <c r="O12" s="24" t="s">
        <v>362</v>
      </c>
      <c r="P12" s="95">
        <v>0</v>
      </c>
      <c r="Q12" s="21" t="s">
        <v>41</v>
      </c>
      <c r="R12" s="21" t="s">
        <v>386</v>
      </c>
      <c r="S12" s="96">
        <f t="shared" si="6"/>
        <v>968.45867399999997</v>
      </c>
      <c r="T12" s="96">
        <f t="shared" si="7"/>
        <v>0</v>
      </c>
      <c r="U12" s="97">
        <f t="shared" si="8"/>
        <v>10080</v>
      </c>
      <c r="V12" s="97">
        <f t="shared" si="0"/>
        <v>203.46068534192318</v>
      </c>
      <c r="W12" s="97">
        <f t="shared" si="9"/>
        <v>9000</v>
      </c>
      <c r="X12" s="25">
        <f t="shared" si="10"/>
        <v>2.613850243840278</v>
      </c>
      <c r="Y12" s="25">
        <f t="shared" si="1"/>
        <v>21.866298478700472</v>
      </c>
      <c r="Z12" s="98">
        <f t="shared" si="11"/>
        <v>2531.4059411841322</v>
      </c>
      <c r="AA12" s="98">
        <f t="shared" si="2"/>
        <v>740.15435326606973</v>
      </c>
      <c r="AB12" s="99">
        <f t="shared" si="12"/>
        <v>0.27803238206769099</v>
      </c>
      <c r="AC12" s="99">
        <f t="shared" si="13"/>
        <v>0.25989382194290389</v>
      </c>
      <c r="AD12" s="25">
        <f t="shared" si="3"/>
        <v>1551.8983963580761</v>
      </c>
      <c r="AE12" s="25">
        <f t="shared" si="4"/>
        <v>0</v>
      </c>
      <c r="AF12" s="98">
        <f t="shared" si="15"/>
        <v>1551.8983963580761</v>
      </c>
      <c r="AG12" s="98">
        <f t="shared" si="14"/>
        <v>9740.1543532660689</v>
      </c>
    </row>
    <row r="13" spans="1:33" x14ac:dyDescent="0.25">
      <c r="A13" s="21" t="s">
        <v>35</v>
      </c>
      <c r="B13" s="89">
        <v>28</v>
      </c>
      <c r="C13" s="21" t="s">
        <v>12</v>
      </c>
      <c r="D13" s="21" t="s">
        <v>154</v>
      </c>
      <c r="E13" s="90">
        <v>4428.42</v>
      </c>
      <c r="F13" s="91">
        <v>3735.6</v>
      </c>
      <c r="G13" s="91">
        <v>0.26769461398436661</v>
      </c>
      <c r="H13" s="92">
        <v>43</v>
      </c>
      <c r="I13" s="90">
        <v>1000</v>
      </c>
      <c r="J13" s="93">
        <v>0</v>
      </c>
      <c r="K13" s="93">
        <v>1.0582984355072E-2</v>
      </c>
      <c r="L13" s="94">
        <f t="shared" si="5"/>
        <v>39.53379635680696</v>
      </c>
      <c r="M13" s="21" t="s">
        <v>13</v>
      </c>
      <c r="N13" s="24" t="s">
        <v>15</v>
      </c>
      <c r="O13" s="24"/>
      <c r="P13" s="95">
        <v>0</v>
      </c>
      <c r="Q13" s="21" t="s">
        <v>41</v>
      </c>
      <c r="R13" s="21" t="s">
        <v>384</v>
      </c>
      <c r="S13" s="96">
        <f t="shared" si="6"/>
        <v>104596.8</v>
      </c>
      <c r="T13" s="96">
        <f t="shared" si="7"/>
        <v>7.4954491915622654</v>
      </c>
      <c r="U13" s="97">
        <f t="shared" si="8"/>
        <v>123995.76000000001</v>
      </c>
      <c r="V13" s="97">
        <f t="shared" si="0"/>
        <v>21629.963287591363</v>
      </c>
      <c r="W13" s="97">
        <f t="shared" si="9"/>
        <v>28000</v>
      </c>
      <c r="X13" s="25">
        <f t="shared" si="10"/>
        <v>2.5559454571500804</v>
      </c>
      <c r="Y13" s="25">
        <f t="shared" si="1"/>
        <v>20.566335306081957</v>
      </c>
      <c r="Z13" s="98">
        <f t="shared" si="11"/>
        <v>267497.8697137789</v>
      </c>
      <c r="AA13" s="98">
        <f t="shared" si="2"/>
        <v>78213.33968483872</v>
      </c>
      <c r="AB13" s="99">
        <f t="shared" si="12"/>
        <v>1.5728303859579145</v>
      </c>
      <c r="AC13" s="99">
        <f t="shared" si="13"/>
        <v>2.5184959865447345</v>
      </c>
      <c r="AD13" s="25">
        <f t="shared" si="3"/>
        <v>164982.75960727088</v>
      </c>
      <c r="AE13" s="25">
        <f t="shared" si="4"/>
        <v>86.791852554041199</v>
      </c>
      <c r="AF13" s="98">
        <f t="shared" si="15"/>
        <v>165069.55145982493</v>
      </c>
      <c r="AG13" s="98">
        <f t="shared" si="14"/>
        <v>106213.33968483872</v>
      </c>
    </row>
    <row r="14" spans="1:33" x14ac:dyDescent="0.25">
      <c r="A14" s="142" t="s">
        <v>364</v>
      </c>
      <c r="B14" s="89">
        <v>0</v>
      </c>
      <c r="C14" s="21" t="s">
        <v>12</v>
      </c>
      <c r="D14" s="21" t="s">
        <v>153</v>
      </c>
      <c r="E14" s="90">
        <v>31.8</v>
      </c>
      <c r="F14" s="91">
        <v>4.7300000000000004</v>
      </c>
      <c r="G14" s="91">
        <v>0</v>
      </c>
      <c r="H14" s="92">
        <v>45</v>
      </c>
      <c r="I14" s="90">
        <v>10</v>
      </c>
      <c r="J14" s="93">
        <v>0</v>
      </c>
      <c r="K14" s="93">
        <v>1.8394725536443701E-4</v>
      </c>
      <c r="L14" s="94">
        <f>K14*F14</f>
        <v>8.7007051787378717E-4</v>
      </c>
      <c r="M14" s="21" t="s">
        <v>21</v>
      </c>
      <c r="N14" s="24" t="s">
        <v>308</v>
      </c>
      <c r="O14" s="24"/>
      <c r="P14" s="95">
        <v>0</v>
      </c>
      <c r="Q14" s="21" t="s">
        <v>41</v>
      </c>
      <c r="R14" s="21" t="s">
        <v>386</v>
      </c>
      <c r="S14" s="96">
        <f>B14*F14</f>
        <v>0</v>
      </c>
      <c r="T14" s="96">
        <f>B14*G14</f>
        <v>0</v>
      </c>
      <c r="U14" s="97">
        <f>E14*B14</f>
        <v>0</v>
      </c>
      <c r="V14" s="97">
        <f>B14*SUM(-PV(Electric_Discount_Rate,H14,L14),J14)</f>
        <v>0</v>
      </c>
      <c r="W14" s="97">
        <f>I14*B14</f>
        <v>0</v>
      </c>
      <c r="X14" s="25">
        <f>INDEX(Electric_AC, MATCH(ROUND(H14,0),Elec_AC_Measure_Life,0),MATCH(C14,Elec_Heat_Curve,0))</f>
        <v>2.613850243840278</v>
      </c>
      <c r="Y14" s="25">
        <f>INDEX(Gas_AC, MATCH(ROUND(H14,0),Gas_AC_Measure_Life,0),MATCH(D14,Gas_Heat_Load,0))</f>
        <v>21.866298478700472</v>
      </c>
      <c r="Z14" s="98">
        <f>SUM(X14*S14,Y14*T14)</f>
        <v>0</v>
      </c>
      <c r="AA14" s="98">
        <f t="shared" si="2"/>
        <v>0</v>
      </c>
      <c r="AB14" s="99">
        <f>IFERROR(1.1*SUM(Z14,V14)/SUM(AA14,U14),0)</f>
        <v>0</v>
      </c>
      <c r="AC14" s="99">
        <f>IFERROR(Z14/SUM(W14,AA14),0)</f>
        <v>0</v>
      </c>
      <c r="AD14" s="25">
        <f t="shared" si="3"/>
        <v>0</v>
      </c>
      <c r="AE14" s="25">
        <f t="shared" si="4"/>
        <v>0</v>
      </c>
      <c r="AF14" s="98">
        <f>SUM(AD14:AE14)</f>
        <v>0</v>
      </c>
      <c r="AG14" s="98">
        <f>SUM(AA14,W14)</f>
        <v>0</v>
      </c>
    </row>
    <row r="15" spans="1:33" x14ac:dyDescent="0.25">
      <c r="A15" s="142" t="s">
        <v>310</v>
      </c>
      <c r="B15" s="89">
        <v>0</v>
      </c>
      <c r="C15" s="21" t="s">
        <v>12</v>
      </c>
      <c r="D15" s="21" t="s">
        <v>153</v>
      </c>
      <c r="E15" s="90">
        <v>1272</v>
      </c>
      <c r="F15" s="91">
        <v>189.20000000000002</v>
      </c>
      <c r="G15" s="91">
        <v>0</v>
      </c>
      <c r="H15" s="92">
        <v>45</v>
      </c>
      <c r="I15" s="90">
        <v>400</v>
      </c>
      <c r="J15" s="93">
        <v>0</v>
      </c>
      <c r="K15" s="93">
        <v>1.8394725536443701E-4</v>
      </c>
      <c r="L15" s="94">
        <f>K15*F15</f>
        <v>3.4802820714951485E-2</v>
      </c>
      <c r="M15" s="21" t="s">
        <v>21</v>
      </c>
      <c r="N15" s="24" t="s">
        <v>308</v>
      </c>
      <c r="O15" s="24"/>
      <c r="P15" s="95">
        <v>0</v>
      </c>
      <c r="Q15" s="21" t="s">
        <v>41</v>
      </c>
      <c r="R15" s="21" t="s">
        <v>386</v>
      </c>
      <c r="S15" s="96">
        <f>B15*F15</f>
        <v>0</v>
      </c>
      <c r="T15" s="96">
        <f>B15*G15</f>
        <v>0</v>
      </c>
      <c r="U15" s="97">
        <f>E15*B15</f>
        <v>0</v>
      </c>
      <c r="V15" s="97">
        <f>B15*SUM(-PV(Electric_Discount_Rate,H15,L15),J15)</f>
        <v>0</v>
      </c>
      <c r="W15" s="97">
        <f>I15*B15</f>
        <v>0</v>
      </c>
      <c r="X15" s="25">
        <f>INDEX(Electric_AC, MATCH(ROUND(H15,0),Elec_AC_Measure_Life,0),MATCH(C15,Elec_Heat_Curve,0))</f>
        <v>2.613850243840278</v>
      </c>
      <c r="Y15" s="25">
        <f>INDEX(Gas_AC, MATCH(ROUND(H15,0),Gas_AC_Measure_Life,0),MATCH(D15,Gas_Heat_Load,0))</f>
        <v>21.866298478700472</v>
      </c>
      <c r="Z15" s="98">
        <f>SUM(X15*S15,Y15*T15)</f>
        <v>0</v>
      </c>
      <c r="AA15" s="98">
        <f t="shared" si="2"/>
        <v>0</v>
      </c>
      <c r="AB15" s="99">
        <f>IFERROR(1.1*SUM(Z15,V15)/SUM(AA15,U15),0)</f>
        <v>0</v>
      </c>
      <c r="AC15" s="99">
        <f>IFERROR(Z15/SUM(W15,AA15),0)</f>
        <v>0</v>
      </c>
      <c r="AD15" s="25">
        <f t="shared" si="3"/>
        <v>0</v>
      </c>
      <c r="AE15" s="25">
        <f t="shared" si="4"/>
        <v>0</v>
      </c>
      <c r="AF15" s="98">
        <f>SUM(AD15:AE15)</f>
        <v>0</v>
      </c>
      <c r="AG15" s="98">
        <f>SUM(AA15,W15)</f>
        <v>0</v>
      </c>
    </row>
    <row r="16" spans="1:33" x14ac:dyDescent="0.25">
      <c r="A16" s="142" t="s">
        <v>37</v>
      </c>
      <c r="B16" s="89">
        <v>0</v>
      </c>
      <c r="C16" s="21" t="s">
        <v>12</v>
      </c>
      <c r="D16" s="21" t="s">
        <v>153</v>
      </c>
      <c r="E16" s="90">
        <v>31.8</v>
      </c>
      <c r="F16" s="91">
        <v>4.7300000000000004</v>
      </c>
      <c r="G16" s="91">
        <v>0</v>
      </c>
      <c r="H16" s="92">
        <v>45</v>
      </c>
      <c r="I16" s="90">
        <v>5</v>
      </c>
      <c r="J16" s="93">
        <v>0</v>
      </c>
      <c r="K16" s="93">
        <v>5.5177029496346806E-2</v>
      </c>
      <c r="L16" s="94">
        <f>K16*F16</f>
        <v>0.2609873495177204</v>
      </c>
      <c r="M16" s="21" t="s">
        <v>21</v>
      </c>
      <c r="N16" s="24" t="s">
        <v>308</v>
      </c>
      <c r="O16" s="24"/>
      <c r="P16" s="95">
        <v>0</v>
      </c>
      <c r="Q16" s="21" t="s">
        <v>41</v>
      </c>
      <c r="R16" s="21" t="s">
        <v>386</v>
      </c>
      <c r="S16" s="96">
        <f>B16*F16</f>
        <v>0</v>
      </c>
      <c r="T16" s="96">
        <f>B16*G16</f>
        <v>0</v>
      </c>
      <c r="U16" s="97">
        <f>E16*B16</f>
        <v>0</v>
      </c>
      <c r="V16" s="97">
        <f>B16*SUM(-PV(Electric_Discount_Rate,H16,L16),J16)</f>
        <v>0</v>
      </c>
      <c r="W16" s="97">
        <f>I16*B16</f>
        <v>0</v>
      </c>
      <c r="X16" s="25">
        <f>INDEX(Electric_AC, MATCH(ROUND(H16,0),Elec_AC_Measure_Life,0),MATCH(C16,Elec_Heat_Curve,0))</f>
        <v>2.613850243840278</v>
      </c>
      <c r="Y16" s="25">
        <f>INDEX(Gas_AC, MATCH(ROUND(H16,0),Gas_AC_Measure_Life,0),MATCH(D16,Gas_Heat_Load,0))</f>
        <v>21.866298478700472</v>
      </c>
      <c r="Z16" s="98">
        <f>SUM(X16*S16,Y16*T16)</f>
        <v>0</v>
      </c>
      <c r="AA16" s="98">
        <f t="shared" si="2"/>
        <v>0</v>
      </c>
      <c r="AB16" s="99">
        <f>IFERROR(1.1*SUM(Z16,V16)/SUM(AA16,U16),0)</f>
        <v>0</v>
      </c>
      <c r="AC16" s="99">
        <f>IFERROR(Z16/SUM(W16,AA16),0)</f>
        <v>0</v>
      </c>
      <c r="AD16" s="25">
        <f t="shared" si="3"/>
        <v>0</v>
      </c>
      <c r="AE16" s="25">
        <f t="shared" si="4"/>
        <v>0</v>
      </c>
      <c r="AF16" s="98">
        <f>SUM(AD16:AE16)</f>
        <v>0</v>
      </c>
      <c r="AG16" s="98">
        <f>SUM(AA16,W16)</f>
        <v>0</v>
      </c>
    </row>
    <row r="17" spans="1:33" x14ac:dyDescent="0.25">
      <c r="A17" s="142" t="s">
        <v>311</v>
      </c>
      <c r="B17" s="89">
        <v>0</v>
      </c>
      <c r="C17" s="21" t="s">
        <v>12</v>
      </c>
      <c r="D17" s="21" t="s">
        <v>153</v>
      </c>
      <c r="E17" s="90">
        <v>1272</v>
      </c>
      <c r="F17" s="91">
        <v>189.20000000000002</v>
      </c>
      <c r="G17" s="91">
        <v>0</v>
      </c>
      <c r="H17" s="92">
        <v>45</v>
      </c>
      <c r="I17" s="90">
        <v>200</v>
      </c>
      <c r="J17" s="93">
        <v>0</v>
      </c>
      <c r="K17" s="93">
        <v>5.5177029496346806E-2</v>
      </c>
      <c r="L17" s="94">
        <f>K17*F17</f>
        <v>10.439493980708816</v>
      </c>
      <c r="M17" s="21" t="s">
        <v>21</v>
      </c>
      <c r="N17" s="24" t="s">
        <v>308</v>
      </c>
      <c r="O17" s="24"/>
      <c r="P17" s="95">
        <v>0</v>
      </c>
      <c r="Q17" s="21" t="s">
        <v>41</v>
      </c>
      <c r="R17" s="21" t="s">
        <v>386</v>
      </c>
      <c r="S17" s="96">
        <f>B17*F17</f>
        <v>0</v>
      </c>
      <c r="T17" s="96">
        <f>B17*G17</f>
        <v>0</v>
      </c>
      <c r="U17" s="97">
        <f>E17*B17</f>
        <v>0</v>
      </c>
      <c r="V17" s="97">
        <f>B17*SUM(-PV(Electric_Discount_Rate,H17,L17),J17)</f>
        <v>0</v>
      </c>
      <c r="W17" s="97">
        <f>I17*B17</f>
        <v>0</v>
      </c>
      <c r="X17" s="25">
        <f>INDEX(Electric_AC, MATCH(ROUND(H17,0),Elec_AC_Measure_Life,0),MATCH(C17,Elec_Heat_Curve,0))</f>
        <v>2.613850243840278</v>
      </c>
      <c r="Y17" s="25">
        <f>INDEX(Gas_AC, MATCH(ROUND(H17,0),Gas_AC_Measure_Life,0),MATCH(D17,Gas_Heat_Load,0))</f>
        <v>21.866298478700472</v>
      </c>
      <c r="Z17" s="98">
        <f>SUM(X17*S17,Y17*T17)</f>
        <v>0</v>
      </c>
      <c r="AA17" s="98">
        <f t="shared" si="2"/>
        <v>0</v>
      </c>
      <c r="AB17" s="99">
        <f>IFERROR(1.1*SUM(Z17,V17)/SUM(AA17,U17),0)</f>
        <v>0</v>
      </c>
      <c r="AC17" s="99">
        <f>IFERROR(Z17/SUM(W17,AA17),0)</f>
        <v>0</v>
      </c>
      <c r="AD17" s="25">
        <f t="shared" si="3"/>
        <v>0</v>
      </c>
      <c r="AE17" s="25">
        <f t="shared" si="4"/>
        <v>0</v>
      </c>
      <c r="AF17" s="98">
        <f>SUM(AD17:AE17)</f>
        <v>0</v>
      </c>
      <c r="AG17" s="98">
        <f>SUM(AA17,W17)</f>
        <v>0</v>
      </c>
    </row>
    <row r="18" spans="1:33" x14ac:dyDescent="0.25">
      <c r="A18" s="21" t="s">
        <v>38</v>
      </c>
      <c r="B18" s="89">
        <v>0</v>
      </c>
      <c r="C18" s="21" t="s">
        <v>12</v>
      </c>
      <c r="D18" s="21" t="s">
        <v>153</v>
      </c>
      <c r="E18" s="90">
        <v>13.7938417954024</v>
      </c>
      <c r="F18" s="91">
        <v>5.4661370093530302</v>
      </c>
      <c r="G18" s="91">
        <v>0</v>
      </c>
      <c r="H18" s="92">
        <v>20</v>
      </c>
      <c r="I18" s="90">
        <v>5</v>
      </c>
      <c r="J18" s="93">
        <v>0</v>
      </c>
      <c r="K18" s="93">
        <v>1.8394725536443701E-4</v>
      </c>
      <c r="L18" s="94">
        <f t="shared" si="5"/>
        <v>1.0054809003164618E-3</v>
      </c>
      <c r="M18" s="21" t="s">
        <v>21</v>
      </c>
      <c r="N18" s="24" t="s">
        <v>308</v>
      </c>
      <c r="O18" s="24" t="s">
        <v>363</v>
      </c>
      <c r="P18" s="95">
        <v>0</v>
      </c>
      <c r="Q18" s="21" t="s">
        <v>41</v>
      </c>
      <c r="R18" s="21" t="s">
        <v>386</v>
      </c>
      <c r="S18" s="96">
        <f t="shared" si="6"/>
        <v>0</v>
      </c>
      <c r="T18" s="96">
        <f t="shared" si="7"/>
        <v>0</v>
      </c>
      <c r="U18" s="97">
        <f t="shared" si="8"/>
        <v>0</v>
      </c>
      <c r="V18" s="97">
        <f t="shared" si="0"/>
        <v>0</v>
      </c>
      <c r="W18" s="97">
        <f t="shared" si="9"/>
        <v>0</v>
      </c>
      <c r="X18" s="25">
        <f t="shared" si="10"/>
        <v>1.5763721980130481</v>
      </c>
      <c r="Y18" s="25">
        <f t="shared" si="1"/>
        <v>11.518504018723075</v>
      </c>
      <c r="Z18" s="98">
        <f t="shared" si="11"/>
        <v>0</v>
      </c>
      <c r="AA18" s="98">
        <f t="shared" si="2"/>
        <v>0</v>
      </c>
      <c r="AB18" s="99">
        <f t="shared" si="12"/>
        <v>0</v>
      </c>
      <c r="AC18" s="99">
        <f t="shared" si="13"/>
        <v>0</v>
      </c>
      <c r="AD18" s="25">
        <f t="shared" si="3"/>
        <v>0</v>
      </c>
      <c r="AE18" s="25">
        <f t="shared" si="4"/>
        <v>0</v>
      </c>
      <c r="AF18" s="98">
        <f t="shared" si="15"/>
        <v>0</v>
      </c>
      <c r="AG18" s="98">
        <f t="shared" si="14"/>
        <v>0</v>
      </c>
    </row>
    <row r="19" spans="1:33" x14ac:dyDescent="0.25">
      <c r="A19" s="21" t="s">
        <v>39</v>
      </c>
      <c r="B19" s="89">
        <v>0</v>
      </c>
      <c r="C19" s="21" t="s">
        <v>12</v>
      </c>
      <c r="D19" s="21" t="s">
        <v>153</v>
      </c>
      <c r="E19" s="90">
        <v>13.7938417954024</v>
      </c>
      <c r="F19" s="91">
        <v>5.4661370093530302</v>
      </c>
      <c r="G19" s="91">
        <v>0</v>
      </c>
      <c r="H19" s="92">
        <v>20</v>
      </c>
      <c r="I19" s="90">
        <v>4</v>
      </c>
      <c r="J19" s="93">
        <v>0</v>
      </c>
      <c r="K19" s="93">
        <v>1.6572221127298301E-4</v>
      </c>
      <c r="L19" s="94">
        <f t="shared" si="5"/>
        <v>9.0586031231107433E-4</v>
      </c>
      <c r="M19" s="21" t="s">
        <v>21</v>
      </c>
      <c r="N19" s="24" t="s">
        <v>308</v>
      </c>
      <c r="O19" s="24" t="s">
        <v>363</v>
      </c>
      <c r="P19" s="95">
        <v>0</v>
      </c>
      <c r="Q19" s="21" t="s">
        <v>41</v>
      </c>
      <c r="R19" s="21" t="s">
        <v>386</v>
      </c>
      <c r="S19" s="96">
        <f t="shared" si="6"/>
        <v>0</v>
      </c>
      <c r="T19" s="96">
        <f t="shared" si="7"/>
        <v>0</v>
      </c>
      <c r="U19" s="97">
        <f t="shared" si="8"/>
        <v>0</v>
      </c>
      <c r="V19" s="97">
        <f t="shared" si="0"/>
        <v>0</v>
      </c>
      <c r="W19" s="97">
        <f t="shared" si="9"/>
        <v>0</v>
      </c>
      <c r="X19" s="25">
        <f t="shared" si="10"/>
        <v>1.5763721980130481</v>
      </c>
      <c r="Y19" s="25">
        <f t="shared" si="1"/>
        <v>11.518504018723075</v>
      </c>
      <c r="Z19" s="98">
        <f t="shared" si="11"/>
        <v>0</v>
      </c>
      <c r="AA19" s="98">
        <f t="shared" si="2"/>
        <v>0</v>
      </c>
      <c r="AB19" s="99">
        <f t="shared" si="12"/>
        <v>0</v>
      </c>
      <c r="AC19" s="99">
        <f t="shared" si="13"/>
        <v>0</v>
      </c>
      <c r="AD19" s="25">
        <f t="shared" si="3"/>
        <v>0</v>
      </c>
      <c r="AE19" s="25">
        <f t="shared" si="4"/>
        <v>0</v>
      </c>
      <c r="AF19" s="98">
        <f t="shared" si="15"/>
        <v>0</v>
      </c>
      <c r="AG19" s="98">
        <f t="shared" si="14"/>
        <v>0</v>
      </c>
    </row>
    <row r="20" spans="1:33" x14ac:dyDescent="0.25">
      <c r="A20" s="21" t="s">
        <v>42</v>
      </c>
      <c r="B20" s="89">
        <v>3</v>
      </c>
      <c r="C20" s="21" t="s">
        <v>12</v>
      </c>
      <c r="D20" s="21" t="s">
        <v>153</v>
      </c>
      <c r="E20" s="90">
        <v>488.7</v>
      </c>
      <c r="F20" s="100">
        <v>488.7</v>
      </c>
      <c r="G20" s="91">
        <v>0</v>
      </c>
      <c r="H20" s="92">
        <v>18</v>
      </c>
      <c r="I20" s="90">
        <v>230.88884000000002</v>
      </c>
      <c r="J20" s="93">
        <v>0</v>
      </c>
      <c r="K20" s="93">
        <v>0</v>
      </c>
      <c r="L20" s="94">
        <f t="shared" si="5"/>
        <v>0</v>
      </c>
      <c r="M20" s="21" t="s">
        <v>13</v>
      </c>
      <c r="N20" s="24" t="s">
        <v>43</v>
      </c>
      <c r="O20" s="24"/>
      <c r="P20" s="95">
        <v>0</v>
      </c>
      <c r="Q20" s="21" t="s">
        <v>41</v>
      </c>
      <c r="R20" s="21" t="s">
        <v>52</v>
      </c>
      <c r="S20" s="96">
        <f t="shared" si="6"/>
        <v>1466.1</v>
      </c>
      <c r="T20" s="96">
        <f t="shared" si="7"/>
        <v>0</v>
      </c>
      <c r="U20" s="97">
        <f t="shared" si="8"/>
        <v>1466.1</v>
      </c>
      <c r="V20" s="97">
        <f t="shared" si="0"/>
        <v>0</v>
      </c>
      <c r="W20" s="97">
        <f t="shared" si="9"/>
        <v>692.66651999999999</v>
      </c>
      <c r="X20" s="25">
        <f t="shared" si="10"/>
        <v>1.4556567120506028</v>
      </c>
      <c r="Y20" s="25">
        <f t="shared" si="1"/>
        <v>10.745347994861634</v>
      </c>
      <c r="Z20" s="98">
        <f t="shared" si="11"/>
        <v>2134.1383055373885</v>
      </c>
      <c r="AA20" s="98">
        <f t="shared" si="2"/>
        <v>623.99780754898427</v>
      </c>
      <c r="AB20" s="99">
        <f t="shared" si="12"/>
        <v>1.1231781247807033</v>
      </c>
      <c r="AC20" s="99">
        <f t="shared" si="13"/>
        <v>1.6208674153952058</v>
      </c>
      <c r="AD20" s="25">
        <f t="shared" si="3"/>
        <v>1465.8314465085502</v>
      </c>
      <c r="AE20" s="25">
        <f t="shared" si="4"/>
        <v>0</v>
      </c>
      <c r="AF20" s="98">
        <f t="shared" si="15"/>
        <v>1465.8314465085502</v>
      </c>
      <c r="AG20" s="98">
        <f t="shared" si="14"/>
        <v>1316.6643275489841</v>
      </c>
    </row>
    <row r="21" spans="1:33" x14ac:dyDescent="0.25">
      <c r="A21" s="21" t="s">
        <v>44</v>
      </c>
      <c r="B21" s="89">
        <v>0</v>
      </c>
      <c r="C21" s="21" t="s">
        <v>12</v>
      </c>
      <c r="D21" s="21" t="s">
        <v>153</v>
      </c>
      <c r="E21" s="90">
        <v>142.63</v>
      </c>
      <c r="F21" s="100">
        <v>142.63</v>
      </c>
      <c r="G21" s="91">
        <v>0</v>
      </c>
      <c r="H21" s="92">
        <v>15</v>
      </c>
      <c r="I21" s="90">
        <v>20</v>
      </c>
      <c r="J21" s="93">
        <v>0</v>
      </c>
      <c r="K21" s="93">
        <v>7.9687098923800298E-2</v>
      </c>
      <c r="L21" s="94">
        <f t="shared" si="5"/>
        <v>11.365770919501637</v>
      </c>
      <c r="M21" s="21" t="s">
        <v>13</v>
      </c>
      <c r="N21" s="24" t="s">
        <v>45</v>
      </c>
      <c r="O21" s="24"/>
      <c r="P21" s="95">
        <v>0</v>
      </c>
      <c r="Q21" s="21" t="s">
        <v>41</v>
      </c>
      <c r="R21" s="21" t="s">
        <v>52</v>
      </c>
      <c r="S21" s="96">
        <f t="shared" si="6"/>
        <v>0</v>
      </c>
      <c r="T21" s="96">
        <f t="shared" si="7"/>
        <v>0</v>
      </c>
      <c r="U21" s="97">
        <f t="shared" si="8"/>
        <v>0</v>
      </c>
      <c r="V21" s="97">
        <f t="shared" si="0"/>
        <v>0</v>
      </c>
      <c r="W21" s="97">
        <f t="shared" si="9"/>
        <v>0</v>
      </c>
      <c r="X21" s="25">
        <f t="shared" si="10"/>
        <v>1.2637367945728217</v>
      </c>
      <c r="Y21" s="25">
        <f t="shared" si="1"/>
        <v>9.5406201681044092</v>
      </c>
      <c r="Z21" s="98">
        <f t="shared" si="11"/>
        <v>0</v>
      </c>
      <c r="AA21" s="98">
        <f t="shared" si="2"/>
        <v>0</v>
      </c>
      <c r="AB21" s="99">
        <f t="shared" si="12"/>
        <v>0</v>
      </c>
      <c r="AC21" s="99">
        <f t="shared" si="13"/>
        <v>0</v>
      </c>
      <c r="AD21" s="25">
        <f t="shared" si="3"/>
        <v>0</v>
      </c>
      <c r="AE21" s="25">
        <f t="shared" si="4"/>
        <v>0</v>
      </c>
      <c r="AF21" s="98">
        <f t="shared" si="15"/>
        <v>0</v>
      </c>
      <c r="AG21" s="98">
        <f t="shared" si="14"/>
        <v>0</v>
      </c>
    </row>
    <row r="22" spans="1:33" x14ac:dyDescent="0.25">
      <c r="A22" s="21" t="s">
        <v>24</v>
      </c>
      <c r="B22" s="89">
        <v>0</v>
      </c>
      <c r="C22" s="21" t="s">
        <v>12</v>
      </c>
      <c r="D22" s="21" t="s">
        <v>153</v>
      </c>
      <c r="E22" s="90">
        <v>222.03</v>
      </c>
      <c r="F22" s="100">
        <v>222.03</v>
      </c>
      <c r="G22" s="91">
        <v>0</v>
      </c>
      <c r="H22" s="92">
        <v>7</v>
      </c>
      <c r="I22" s="90">
        <v>150</v>
      </c>
      <c r="J22" s="93">
        <v>0</v>
      </c>
      <c r="K22" s="93">
        <v>3.6176761872079799E-2</v>
      </c>
      <c r="L22" s="94">
        <f t="shared" si="5"/>
        <v>8.0323264384578774</v>
      </c>
      <c r="M22" s="21" t="s">
        <v>13</v>
      </c>
      <c r="N22" s="24" t="s">
        <v>14</v>
      </c>
      <c r="O22" s="24"/>
      <c r="P22" s="95">
        <v>0</v>
      </c>
      <c r="Q22" s="21" t="s">
        <v>41</v>
      </c>
      <c r="R22" s="21" t="s">
        <v>52</v>
      </c>
      <c r="S22" s="96">
        <f t="shared" si="6"/>
        <v>0</v>
      </c>
      <c r="T22" s="96">
        <f t="shared" si="7"/>
        <v>0</v>
      </c>
      <c r="U22" s="97">
        <f t="shared" si="8"/>
        <v>0</v>
      </c>
      <c r="V22" s="97">
        <f t="shared" si="0"/>
        <v>0</v>
      </c>
      <c r="W22" s="97">
        <f t="shared" si="9"/>
        <v>0</v>
      </c>
      <c r="X22" s="25">
        <f t="shared" si="10"/>
        <v>0.68092219236682128</v>
      </c>
      <c r="Y22" s="25">
        <f t="shared" si="1"/>
        <v>5.753949098523548</v>
      </c>
      <c r="Z22" s="98">
        <f t="shared" si="11"/>
        <v>0</v>
      </c>
      <c r="AA22" s="98">
        <f t="shared" si="2"/>
        <v>0</v>
      </c>
      <c r="AB22" s="99">
        <f t="shared" si="12"/>
        <v>0</v>
      </c>
      <c r="AC22" s="99">
        <f t="shared" si="13"/>
        <v>0</v>
      </c>
      <c r="AD22" s="25">
        <f t="shared" si="3"/>
        <v>0</v>
      </c>
      <c r="AE22" s="25">
        <f t="shared" si="4"/>
        <v>0</v>
      </c>
      <c r="AF22" s="98">
        <f t="shared" si="15"/>
        <v>0</v>
      </c>
      <c r="AG22" s="98">
        <f t="shared" si="14"/>
        <v>0</v>
      </c>
    </row>
    <row r="23" spans="1:33" x14ac:dyDescent="0.25">
      <c r="A23" s="21" t="s">
        <v>46</v>
      </c>
      <c r="B23" s="89">
        <v>0</v>
      </c>
      <c r="C23" s="21" t="s">
        <v>12</v>
      </c>
      <c r="D23" s="21" t="s">
        <v>153</v>
      </c>
      <c r="E23" s="90">
        <v>222.03</v>
      </c>
      <c r="F23" s="100">
        <v>222.03</v>
      </c>
      <c r="G23" s="91">
        <v>0</v>
      </c>
      <c r="H23" s="92">
        <v>7</v>
      </c>
      <c r="I23" s="90">
        <v>200</v>
      </c>
      <c r="J23" s="93">
        <v>0</v>
      </c>
      <c r="K23" s="93">
        <v>3.5676488966641801E-2</v>
      </c>
      <c r="L23" s="94">
        <f t="shared" si="5"/>
        <v>7.9212508452634793</v>
      </c>
      <c r="M23" s="21" t="s">
        <v>13</v>
      </c>
      <c r="N23" s="24" t="s">
        <v>14</v>
      </c>
      <c r="O23" s="24"/>
      <c r="P23" s="95">
        <v>0</v>
      </c>
      <c r="Q23" s="21" t="s">
        <v>41</v>
      </c>
      <c r="R23" s="21" t="s">
        <v>52</v>
      </c>
      <c r="S23" s="96">
        <f t="shared" si="6"/>
        <v>0</v>
      </c>
      <c r="T23" s="96">
        <f t="shared" si="7"/>
        <v>0</v>
      </c>
      <c r="U23" s="97">
        <f t="shared" si="8"/>
        <v>0</v>
      </c>
      <c r="V23" s="97">
        <f t="shared" si="0"/>
        <v>0</v>
      </c>
      <c r="W23" s="97">
        <f t="shared" si="9"/>
        <v>0</v>
      </c>
      <c r="X23" s="25">
        <f t="shared" si="10"/>
        <v>0.68092219236682128</v>
      </c>
      <c r="Y23" s="25">
        <f t="shared" si="1"/>
        <v>5.753949098523548</v>
      </c>
      <c r="Z23" s="98">
        <f t="shared" si="11"/>
        <v>0</v>
      </c>
      <c r="AA23" s="98">
        <f t="shared" si="2"/>
        <v>0</v>
      </c>
      <c r="AB23" s="99">
        <f t="shared" si="12"/>
        <v>0</v>
      </c>
      <c r="AC23" s="99">
        <f t="shared" si="13"/>
        <v>0</v>
      </c>
      <c r="AD23" s="25">
        <f t="shared" si="3"/>
        <v>0</v>
      </c>
      <c r="AE23" s="25">
        <f t="shared" si="4"/>
        <v>0</v>
      </c>
      <c r="AF23" s="98">
        <f t="shared" si="15"/>
        <v>0</v>
      </c>
      <c r="AG23" s="98">
        <f t="shared" si="14"/>
        <v>0</v>
      </c>
    </row>
    <row r="24" spans="1:33" x14ac:dyDescent="0.25">
      <c r="A24" s="21" t="s">
        <v>32</v>
      </c>
      <c r="B24" s="89">
        <v>14261</v>
      </c>
      <c r="C24" s="21" t="s">
        <v>12</v>
      </c>
      <c r="D24" s="21" t="s">
        <v>153</v>
      </c>
      <c r="E24" s="90">
        <v>1.19</v>
      </c>
      <c r="F24" s="100">
        <v>1.19</v>
      </c>
      <c r="G24" s="91">
        <v>0</v>
      </c>
      <c r="H24" s="92">
        <v>45</v>
      </c>
      <c r="I24" s="90">
        <v>1.5</v>
      </c>
      <c r="J24" s="93">
        <v>0</v>
      </c>
      <c r="K24" s="93">
        <v>0.17126164400424687</v>
      </c>
      <c r="L24" s="94">
        <f t="shared" si="5"/>
        <v>0.20380135636505375</v>
      </c>
      <c r="M24" s="21" t="s">
        <v>49</v>
      </c>
      <c r="N24" s="24" t="s">
        <v>54</v>
      </c>
      <c r="O24" s="24"/>
      <c r="P24" s="95">
        <v>0</v>
      </c>
      <c r="Q24" s="21" t="s">
        <v>41</v>
      </c>
      <c r="R24" s="21" t="s">
        <v>52</v>
      </c>
      <c r="S24" s="96">
        <f t="shared" si="6"/>
        <v>16970.59</v>
      </c>
      <c r="T24" s="96">
        <f t="shared" si="7"/>
        <v>0</v>
      </c>
      <c r="U24" s="97">
        <f t="shared" si="8"/>
        <v>16970.59</v>
      </c>
      <c r="V24" s="97">
        <f t="shared" si="0"/>
        <v>57696.34548685902</v>
      </c>
      <c r="W24" s="97">
        <f t="shared" si="9"/>
        <v>21391.5</v>
      </c>
      <c r="X24" s="25">
        <f t="shared" si="10"/>
        <v>2.613850243840278</v>
      </c>
      <c r="Y24" s="25">
        <f t="shared" si="1"/>
        <v>21.866298478700472</v>
      </c>
      <c r="Z24" s="98">
        <f t="shared" si="11"/>
        <v>44358.580809613384</v>
      </c>
      <c r="AA24" s="98">
        <f t="shared" si="2"/>
        <v>12969.945340170118</v>
      </c>
      <c r="AB24" s="99">
        <f t="shared" si="12"/>
        <v>3.749445948466525</v>
      </c>
      <c r="AC24" s="99">
        <f t="shared" si="13"/>
        <v>1.2909404819987638</v>
      </c>
      <c r="AD24" s="25">
        <f t="shared" si="3"/>
        <v>27194.378152939542</v>
      </c>
      <c r="AE24" s="25">
        <f t="shared" si="4"/>
        <v>0</v>
      </c>
      <c r="AF24" s="98">
        <f t="shared" si="15"/>
        <v>27194.378152939542</v>
      </c>
      <c r="AG24" s="98">
        <f t="shared" si="14"/>
        <v>34361.445340170118</v>
      </c>
    </row>
    <row r="25" spans="1:33" x14ac:dyDescent="0.25">
      <c r="A25" s="21" t="s">
        <v>50</v>
      </c>
      <c r="B25" s="89">
        <v>0</v>
      </c>
      <c r="C25" s="21" t="s">
        <v>12</v>
      </c>
      <c r="D25" s="21" t="s">
        <v>153</v>
      </c>
      <c r="E25" s="90">
        <v>1.9478912018971424</v>
      </c>
      <c r="F25" s="100">
        <v>1.3023854988102705</v>
      </c>
      <c r="G25" s="91">
        <v>0</v>
      </c>
      <c r="H25" s="92">
        <v>45</v>
      </c>
      <c r="I25" s="90">
        <v>1</v>
      </c>
      <c r="J25" s="93">
        <v>0</v>
      </c>
      <c r="K25" s="93">
        <v>0.26171897953706269</v>
      </c>
      <c r="L25" s="94">
        <f t="shared" si="5"/>
        <v>0.34085900371249239</v>
      </c>
      <c r="M25" s="21" t="s">
        <v>49</v>
      </c>
      <c r="N25" s="24" t="s">
        <v>379</v>
      </c>
      <c r="O25" s="24" t="s">
        <v>366</v>
      </c>
      <c r="P25" s="95">
        <v>0</v>
      </c>
      <c r="Q25" s="21" t="s">
        <v>41</v>
      </c>
      <c r="R25" s="21" t="s">
        <v>52</v>
      </c>
      <c r="S25" s="96">
        <f t="shared" si="6"/>
        <v>0</v>
      </c>
      <c r="T25" s="96">
        <f t="shared" si="7"/>
        <v>0</v>
      </c>
      <c r="U25" s="97">
        <f t="shared" si="8"/>
        <v>0</v>
      </c>
      <c r="V25" s="97">
        <f t="shared" si="0"/>
        <v>0</v>
      </c>
      <c r="W25" s="97">
        <f t="shared" si="9"/>
        <v>0</v>
      </c>
      <c r="X25" s="25">
        <f t="shared" si="10"/>
        <v>2.613850243840278</v>
      </c>
      <c r="Y25" s="25">
        <f t="shared" si="1"/>
        <v>21.866298478700472</v>
      </c>
      <c r="Z25" s="98">
        <f t="shared" si="11"/>
        <v>0</v>
      </c>
      <c r="AA25" s="98">
        <f t="shared" si="2"/>
        <v>0</v>
      </c>
      <c r="AB25" s="99">
        <f t="shared" si="12"/>
        <v>0</v>
      </c>
      <c r="AC25" s="99">
        <f t="shared" si="13"/>
        <v>0</v>
      </c>
      <c r="AD25" s="25">
        <f t="shared" si="3"/>
        <v>0</v>
      </c>
      <c r="AE25" s="25">
        <f t="shared" si="4"/>
        <v>0</v>
      </c>
      <c r="AF25" s="98">
        <f t="shared" si="15"/>
        <v>0</v>
      </c>
      <c r="AG25" s="98">
        <f t="shared" si="14"/>
        <v>0</v>
      </c>
    </row>
    <row r="26" spans="1:33" x14ac:dyDescent="0.25">
      <c r="A26" s="21" t="s">
        <v>51</v>
      </c>
      <c r="B26" s="89">
        <v>0</v>
      </c>
      <c r="C26" s="21" t="s">
        <v>12</v>
      </c>
      <c r="D26" s="21" t="s">
        <v>153</v>
      </c>
      <c r="E26" s="90">
        <v>2.7493375167722496</v>
      </c>
      <c r="F26" s="100">
        <v>1.7387289490161653</v>
      </c>
      <c r="G26" s="91">
        <v>0</v>
      </c>
      <c r="H26" s="92">
        <v>45</v>
      </c>
      <c r="I26" s="90">
        <v>1.5</v>
      </c>
      <c r="J26" s="93">
        <v>0</v>
      </c>
      <c r="K26" s="93">
        <v>0.1941131841018737</v>
      </c>
      <c r="L26" s="94">
        <f t="shared" si="5"/>
        <v>0.33751021258363223</v>
      </c>
      <c r="M26" s="21" t="s">
        <v>49</v>
      </c>
      <c r="N26" s="24" t="s">
        <v>379</v>
      </c>
      <c r="O26" s="24" t="s">
        <v>365</v>
      </c>
      <c r="P26" s="95">
        <v>0</v>
      </c>
      <c r="Q26" s="21" t="s">
        <v>41</v>
      </c>
      <c r="R26" s="21" t="s">
        <v>52</v>
      </c>
      <c r="S26" s="96">
        <f t="shared" ref="S26:S35" si="16">B26*F26</f>
        <v>0</v>
      </c>
      <c r="T26" s="96">
        <f t="shared" ref="T26:T35" si="17">B26*G26</f>
        <v>0</v>
      </c>
      <c r="U26" s="97">
        <f t="shared" ref="U26:U35" si="18">E26*B26</f>
        <v>0</v>
      </c>
      <c r="V26" s="97">
        <f t="shared" si="0"/>
        <v>0</v>
      </c>
      <c r="W26" s="97">
        <f t="shared" ref="W26:W35" si="19">I26*B26</f>
        <v>0</v>
      </c>
      <c r="X26" s="25">
        <f t="shared" si="10"/>
        <v>2.613850243840278</v>
      </c>
      <c r="Y26" s="25">
        <f t="shared" si="1"/>
        <v>21.866298478700472</v>
      </c>
      <c r="Z26" s="98">
        <f t="shared" ref="Z26:Z35" si="20">SUM(X26*S26,Y26*T26)</f>
        <v>0</v>
      </c>
      <c r="AA26" s="98">
        <f t="shared" si="2"/>
        <v>0</v>
      </c>
      <c r="AB26" s="99">
        <f t="shared" ref="AB26:AB35" si="21">IFERROR(1.1*SUM(Z26,V26)/SUM(AA26,U26),0)</f>
        <v>0</v>
      </c>
      <c r="AC26" s="99">
        <f t="shared" ref="AC26:AC35" si="22">IFERROR(Z26/SUM(W26,AA26),0)</f>
        <v>0</v>
      </c>
      <c r="AD26" s="25">
        <f t="shared" si="3"/>
        <v>0</v>
      </c>
      <c r="AE26" s="25">
        <f t="shared" si="4"/>
        <v>0</v>
      </c>
      <c r="AF26" s="98">
        <f t="shared" ref="AF26:AF35" si="23">SUM(AD26:AE26)</f>
        <v>0</v>
      </c>
      <c r="AG26" s="98">
        <f t="shared" ref="AG26:AG35" si="24">SUM(AA26,W26)</f>
        <v>0</v>
      </c>
    </row>
    <row r="27" spans="1:33" x14ac:dyDescent="0.25">
      <c r="A27" s="21" t="s">
        <v>368</v>
      </c>
      <c r="B27" s="89">
        <v>260</v>
      </c>
      <c r="C27" s="21" t="s">
        <v>12</v>
      </c>
      <c r="D27" s="21" t="s">
        <v>153</v>
      </c>
      <c r="E27" s="90">
        <v>31.803566470010896</v>
      </c>
      <c r="F27" s="100">
        <v>31.568913523447165</v>
      </c>
      <c r="G27" s="91">
        <v>0</v>
      </c>
      <c r="H27" s="92">
        <v>45</v>
      </c>
      <c r="I27" s="90">
        <v>10</v>
      </c>
      <c r="J27" s="93">
        <v>0</v>
      </c>
      <c r="K27" s="93">
        <v>0.4567079784668403</v>
      </c>
      <c r="L27" s="94">
        <f t="shared" si="5"/>
        <v>14.417774677688051</v>
      </c>
      <c r="M27" s="21" t="s">
        <v>49</v>
      </c>
      <c r="N27" s="24" t="s">
        <v>379</v>
      </c>
      <c r="O27" s="24" t="s">
        <v>371</v>
      </c>
      <c r="P27" s="95">
        <v>0</v>
      </c>
      <c r="Q27" s="21" t="s">
        <v>41</v>
      </c>
      <c r="R27" s="21" t="s">
        <v>52</v>
      </c>
      <c r="S27" s="96">
        <f t="shared" si="16"/>
        <v>8207.9175160962623</v>
      </c>
      <c r="T27" s="96">
        <f t="shared" si="17"/>
        <v>0</v>
      </c>
      <c r="U27" s="97">
        <f t="shared" si="18"/>
        <v>8268.9272822028324</v>
      </c>
      <c r="V27" s="97">
        <f t="shared" si="0"/>
        <v>74415.402941279273</v>
      </c>
      <c r="W27" s="97">
        <f t="shared" si="19"/>
        <v>2600</v>
      </c>
      <c r="X27" s="25">
        <f t="shared" si="10"/>
        <v>2.613850243840278</v>
      </c>
      <c r="Y27" s="25">
        <f t="shared" si="1"/>
        <v>21.866298478700472</v>
      </c>
      <c r="Z27" s="98">
        <f t="shared" si="20"/>
        <v>21454.267200869104</v>
      </c>
      <c r="AA27" s="98">
        <f t="shared" si="2"/>
        <v>6272.9841178411243</v>
      </c>
      <c r="AB27" s="99">
        <f t="shared" si="21"/>
        <v>7.251910306374473</v>
      </c>
      <c r="AC27" s="99">
        <f t="shared" si="22"/>
        <v>2.417931432755581</v>
      </c>
      <c r="AD27" s="25">
        <f t="shared" si="3"/>
        <v>13152.707877619929</v>
      </c>
      <c r="AE27" s="25">
        <f t="shared" si="4"/>
        <v>0</v>
      </c>
      <c r="AF27" s="98">
        <f t="shared" si="23"/>
        <v>13152.707877619929</v>
      </c>
      <c r="AG27" s="98">
        <f t="shared" si="24"/>
        <v>8872.9841178411243</v>
      </c>
    </row>
    <row r="28" spans="1:33" x14ac:dyDescent="0.25">
      <c r="A28" s="21" t="s">
        <v>367</v>
      </c>
      <c r="B28" s="89">
        <v>187</v>
      </c>
      <c r="C28" s="21" t="s">
        <v>12</v>
      </c>
      <c r="D28" s="21" t="s">
        <v>153</v>
      </c>
      <c r="E28" s="90">
        <v>31.803566470010896</v>
      </c>
      <c r="F28" s="100">
        <v>17.313866707026396</v>
      </c>
      <c r="G28" s="91">
        <v>0</v>
      </c>
      <c r="H28" s="92">
        <v>45</v>
      </c>
      <c r="I28" s="90">
        <v>10</v>
      </c>
      <c r="J28" s="93">
        <v>0</v>
      </c>
      <c r="K28" s="93">
        <v>0.4567079784668403</v>
      </c>
      <c r="L28" s="94">
        <f t="shared" si="5"/>
        <v>7.9073810632103543</v>
      </c>
      <c r="M28" s="21" t="s">
        <v>49</v>
      </c>
      <c r="N28" s="24" t="s">
        <v>379</v>
      </c>
      <c r="O28" s="24" t="s">
        <v>372</v>
      </c>
      <c r="P28" s="95">
        <v>0</v>
      </c>
      <c r="Q28" s="21" t="s">
        <v>41</v>
      </c>
      <c r="R28" s="21" t="s">
        <v>52</v>
      </c>
      <c r="S28" s="96">
        <f t="shared" si="16"/>
        <v>3237.6930742139361</v>
      </c>
      <c r="T28" s="96">
        <f t="shared" si="17"/>
        <v>0</v>
      </c>
      <c r="U28" s="97">
        <f t="shared" si="18"/>
        <v>5947.2669298920373</v>
      </c>
      <c r="V28" s="97">
        <f t="shared" si="0"/>
        <v>29353.881084371453</v>
      </c>
      <c r="W28" s="97">
        <f t="shared" si="19"/>
        <v>1870</v>
      </c>
      <c r="X28" s="25">
        <f t="shared" si="10"/>
        <v>2.613850243840278</v>
      </c>
      <c r="Y28" s="25">
        <f t="shared" si="1"/>
        <v>21.866298478700472</v>
      </c>
      <c r="Z28" s="98">
        <f t="shared" si="20"/>
        <v>8462.8448315140758</v>
      </c>
      <c r="AA28" s="98">
        <f t="shared" si="2"/>
        <v>2474.4397337277078</v>
      </c>
      <c r="AB28" s="99">
        <f t="shared" si="21"/>
        <v>4.9394261957818681</v>
      </c>
      <c r="AC28" s="99">
        <f t="shared" si="22"/>
        <v>1.9479715107597102</v>
      </c>
      <c r="AD28" s="25">
        <f t="shared" si="3"/>
        <v>5188.2138336573516</v>
      </c>
      <c r="AE28" s="25">
        <f t="shared" si="4"/>
        <v>0</v>
      </c>
      <c r="AF28" s="98">
        <f t="shared" si="23"/>
        <v>5188.2138336573516</v>
      </c>
      <c r="AG28" s="98">
        <f t="shared" si="24"/>
        <v>4344.4397337277078</v>
      </c>
    </row>
    <row r="29" spans="1:33" x14ac:dyDescent="0.25">
      <c r="A29" s="21" t="s">
        <v>310</v>
      </c>
      <c r="B29" s="89">
        <v>2</v>
      </c>
      <c r="C29" s="21" t="s">
        <v>12</v>
      </c>
      <c r="D29" s="21" t="s">
        <v>153</v>
      </c>
      <c r="E29" s="90">
        <v>1272.1426588004358</v>
      </c>
      <c r="F29" s="100">
        <v>692.5546682810558</v>
      </c>
      <c r="G29" s="91">
        <v>0</v>
      </c>
      <c r="H29" s="92">
        <v>45</v>
      </c>
      <c r="I29" s="90">
        <v>400</v>
      </c>
      <c r="J29" s="93">
        <v>0</v>
      </c>
      <c r="K29" s="93">
        <v>0.4567079784668403</v>
      </c>
      <c r="L29" s="94">
        <f>K29*F29</f>
        <v>316.29524252841418</v>
      </c>
      <c r="M29" s="21" t="s">
        <v>49</v>
      </c>
      <c r="N29" s="24" t="s">
        <v>54</v>
      </c>
      <c r="O29" s="24"/>
      <c r="P29" s="95">
        <v>0</v>
      </c>
      <c r="Q29" s="21" t="s">
        <v>41</v>
      </c>
      <c r="R29" s="21" t="s">
        <v>52</v>
      </c>
      <c r="S29" s="96">
        <f>B29*F29</f>
        <v>1385.1093365621116</v>
      </c>
      <c r="T29" s="96">
        <f>B29*G29</f>
        <v>0</v>
      </c>
      <c r="U29" s="97">
        <f>E29*B29</f>
        <v>2544.2853176008716</v>
      </c>
      <c r="V29" s="97">
        <f>B29*SUM(-PV(Electric_Discount_Rate,H29,L29),J29)</f>
        <v>12557.810089570678</v>
      </c>
      <c r="W29" s="97">
        <f>I29*B29</f>
        <v>800</v>
      </c>
      <c r="X29" s="25">
        <f>INDEX(Electric_AC, MATCH(ROUND(H29,0),Elec_AC_Measure_Life,0),MATCH(C29,Elec_Heat_Curve,0))</f>
        <v>2.613850243840278</v>
      </c>
      <c r="Y29" s="25">
        <f>INDEX(Gas_AC, MATCH(ROUND(H29,0),Gas_AC_Measure_Life,0),MATCH(D29,Gas_Heat_Load,0))</f>
        <v>21.866298478700472</v>
      </c>
      <c r="Z29" s="98">
        <f>SUM(X29*S29,Y29*T29)</f>
        <v>3620.4683771183209</v>
      </c>
      <c r="AA29" s="98">
        <f t="shared" si="2"/>
        <v>1058.5838433059712</v>
      </c>
      <c r="AB29" s="99">
        <f>IFERROR(1.1*SUM(Z29,V29)/SUM(AA29,U29),0)</f>
        <v>4.939426195781869</v>
      </c>
      <c r="AC29" s="99">
        <f>IFERROR(Z29/SUM(W29,AA29),0)</f>
        <v>1.94797151075971</v>
      </c>
      <c r="AD29" s="25">
        <f t="shared" si="3"/>
        <v>2219.5567202812204</v>
      </c>
      <c r="AE29" s="25">
        <f t="shared" si="4"/>
        <v>0</v>
      </c>
      <c r="AF29" s="98">
        <f>SUM(AD29:AE29)</f>
        <v>2219.5567202812204</v>
      </c>
      <c r="AG29" s="98">
        <f>SUM(AA29,W29)</f>
        <v>1858.5838433059712</v>
      </c>
    </row>
    <row r="30" spans="1:33" x14ac:dyDescent="0.25">
      <c r="A30" s="21" t="s">
        <v>369</v>
      </c>
      <c r="B30" s="89">
        <v>98</v>
      </c>
      <c r="C30" s="21" t="s">
        <v>12</v>
      </c>
      <c r="D30" s="21" t="s">
        <v>153</v>
      </c>
      <c r="E30" s="90">
        <v>31.803566470010896</v>
      </c>
      <c r="F30" s="100">
        <v>31.568913523447165</v>
      </c>
      <c r="G30" s="91">
        <v>0</v>
      </c>
      <c r="H30" s="92">
        <v>45</v>
      </c>
      <c r="I30" s="90">
        <v>5</v>
      </c>
      <c r="J30" s="93">
        <v>0</v>
      </c>
      <c r="K30" s="93">
        <v>0.4567079784668403</v>
      </c>
      <c r="L30" s="94">
        <f t="shared" si="5"/>
        <v>14.417774677688051</v>
      </c>
      <c r="M30" s="21" t="s">
        <v>49</v>
      </c>
      <c r="N30" s="24" t="s">
        <v>379</v>
      </c>
      <c r="O30" s="24" t="s">
        <v>371</v>
      </c>
      <c r="P30" s="95">
        <v>0</v>
      </c>
      <c r="Q30" s="21" t="s">
        <v>41</v>
      </c>
      <c r="R30" s="21" t="s">
        <v>52</v>
      </c>
      <c r="S30" s="96">
        <f>B30*F30</f>
        <v>3093.7535252978223</v>
      </c>
      <c r="T30" s="96">
        <f>B30*G30</f>
        <v>0</v>
      </c>
      <c r="U30" s="97">
        <f>E30*B30</f>
        <v>3116.7495140610677</v>
      </c>
      <c r="V30" s="97">
        <f>B30*SUM(-PV(Electric_Discount_Rate,H30,L30),J30)</f>
        <v>28048.882647097569</v>
      </c>
      <c r="W30" s="97">
        <f>I30*B30</f>
        <v>490</v>
      </c>
      <c r="X30" s="25">
        <f>INDEX(Electric_AC, MATCH(ROUND(H30,0),Elec_AC_Measure_Life,0),MATCH(C30,Elec_Heat_Curve,0))</f>
        <v>2.613850243840278</v>
      </c>
      <c r="Y30" s="25">
        <f>INDEX(Gas_AC, MATCH(ROUND(H30,0),Gas_AC_Measure_Life,0),MATCH(D30,Gas_Heat_Load,0))</f>
        <v>21.866298478700472</v>
      </c>
      <c r="Z30" s="98">
        <f>SUM(X30*S30,Y30*T30)</f>
        <v>8086.6084064814322</v>
      </c>
      <c r="AA30" s="98">
        <f t="shared" si="2"/>
        <v>2364.43247518627</v>
      </c>
      <c r="AB30" s="99">
        <f>IFERROR(1.1*SUM(Z30,V30)/SUM(AA30,U30),0)</f>
        <v>7.2519103063744739</v>
      </c>
      <c r="AC30" s="99">
        <f>IFERROR(Z30/SUM(W30,AA30),0)</f>
        <v>2.8330004218977818</v>
      </c>
      <c r="AD30" s="25">
        <f t="shared" si="3"/>
        <v>4957.5591231028975</v>
      </c>
      <c r="AE30" s="25">
        <f t="shared" si="4"/>
        <v>0</v>
      </c>
      <c r="AF30" s="98">
        <f>SUM(AD30:AE30)</f>
        <v>4957.5591231028975</v>
      </c>
      <c r="AG30" s="98">
        <f>SUM(AA30,W30)</f>
        <v>2854.43247518627</v>
      </c>
    </row>
    <row r="31" spans="1:33" x14ac:dyDescent="0.25">
      <c r="A31" s="21" t="s">
        <v>370</v>
      </c>
      <c r="B31" s="89">
        <v>103</v>
      </c>
      <c r="C31" s="21" t="s">
        <v>12</v>
      </c>
      <c r="D31" s="21" t="s">
        <v>153</v>
      </c>
      <c r="E31" s="90">
        <v>31.803566470010896</v>
      </c>
      <c r="F31" s="100">
        <v>17.313866707026396</v>
      </c>
      <c r="G31" s="91">
        <v>0</v>
      </c>
      <c r="H31" s="92">
        <v>45</v>
      </c>
      <c r="I31" s="90">
        <v>5</v>
      </c>
      <c r="J31" s="93">
        <v>0</v>
      </c>
      <c r="K31" s="93">
        <v>0.4567079784668403</v>
      </c>
      <c r="L31" s="94">
        <f t="shared" si="5"/>
        <v>7.9073810632103543</v>
      </c>
      <c r="M31" s="21" t="s">
        <v>49</v>
      </c>
      <c r="N31" s="24" t="s">
        <v>379</v>
      </c>
      <c r="O31" s="24" t="s">
        <v>372</v>
      </c>
      <c r="P31" s="95">
        <v>0</v>
      </c>
      <c r="Q31" s="21" t="s">
        <v>41</v>
      </c>
      <c r="R31" s="21" t="s">
        <v>52</v>
      </c>
      <c r="S31" s="96">
        <f>B31*F31</f>
        <v>1783.3282708237186</v>
      </c>
      <c r="T31" s="96">
        <f>B31*G31</f>
        <v>0</v>
      </c>
      <c r="U31" s="97">
        <f>E31*B31</f>
        <v>3275.7673464111222</v>
      </c>
      <c r="V31" s="97">
        <f>B31*SUM(-PV(Electric_Discount_Rate,H31,L31),J31)</f>
        <v>16168.180490322246</v>
      </c>
      <c r="W31" s="97">
        <f>I31*B31</f>
        <v>515</v>
      </c>
      <c r="X31" s="25">
        <f>INDEX(Electric_AC, MATCH(ROUND(H31,0),Elec_AC_Measure_Life,0),MATCH(C31,Elec_Heat_Curve,0))</f>
        <v>2.613850243840278</v>
      </c>
      <c r="Y31" s="25">
        <f>INDEX(Gas_AC, MATCH(ROUND(H31,0),Gas_AC_Measure_Life,0),MATCH(D31,Gas_Heat_Load,0))</f>
        <v>21.866298478700472</v>
      </c>
      <c r="Z31" s="98">
        <f>SUM(X31*S31,Y31*T31)</f>
        <v>4661.3530355398379</v>
      </c>
      <c r="AA31" s="98">
        <f t="shared" si="2"/>
        <v>1362.9266982564377</v>
      </c>
      <c r="AB31" s="99">
        <f>IFERROR(1.1*SUM(Z31,V31)/SUM(AA31,U31),0)</f>
        <v>4.9394261957818681</v>
      </c>
      <c r="AC31" s="99">
        <f>IFERROR(Z31/SUM(W31,AA31),0)</f>
        <v>2.4821805025018677</v>
      </c>
      <c r="AD31" s="25">
        <f t="shared" si="3"/>
        <v>2857.6792773620714</v>
      </c>
      <c r="AE31" s="25">
        <f t="shared" si="4"/>
        <v>0</v>
      </c>
      <c r="AF31" s="98">
        <f>SUM(AD31:AE31)</f>
        <v>2857.6792773620714</v>
      </c>
      <c r="AG31" s="98">
        <f>SUM(AA31,W31)</f>
        <v>1877.9266982564377</v>
      </c>
    </row>
    <row r="32" spans="1:33" x14ac:dyDescent="0.25">
      <c r="A32" s="21" t="s">
        <v>381</v>
      </c>
      <c r="B32" s="89">
        <v>2</v>
      </c>
      <c r="C32" s="21" t="s">
        <v>12</v>
      </c>
      <c r="D32" s="21" t="s">
        <v>153</v>
      </c>
      <c r="E32" s="90">
        <v>1272.1426588004358</v>
      </c>
      <c r="F32" s="100">
        <f>F31*40</f>
        <v>692.5546682810558</v>
      </c>
      <c r="G32" s="91">
        <v>0</v>
      </c>
      <c r="H32" s="92">
        <v>45</v>
      </c>
      <c r="I32" s="90">
        <v>200</v>
      </c>
      <c r="J32" s="93">
        <v>0</v>
      </c>
      <c r="K32" s="93">
        <v>0.4567079784668403</v>
      </c>
      <c r="L32" s="94">
        <f>K32*F32</f>
        <v>316.29524252841418</v>
      </c>
      <c r="M32" s="21" t="s">
        <v>49</v>
      </c>
      <c r="N32" s="24" t="s">
        <v>54</v>
      </c>
      <c r="O32" s="24"/>
      <c r="P32" s="95">
        <v>0</v>
      </c>
      <c r="Q32" s="21" t="s">
        <v>41</v>
      </c>
      <c r="R32" s="21" t="s">
        <v>52</v>
      </c>
      <c r="S32" s="96">
        <f>B32*F32</f>
        <v>1385.1093365621116</v>
      </c>
      <c r="T32" s="96">
        <f>B32*G32</f>
        <v>0</v>
      </c>
      <c r="U32" s="97">
        <f>E32*B32</f>
        <v>2544.2853176008716</v>
      </c>
      <c r="V32" s="97">
        <f>B32*SUM(-PV(Electric_Discount_Rate,H32,L32),J32)</f>
        <v>12557.810089570678</v>
      </c>
      <c r="W32" s="97">
        <f>I32*B32</f>
        <v>400</v>
      </c>
      <c r="X32" s="25">
        <f>INDEX(Electric_AC, MATCH(ROUND(H32,0),Elec_AC_Measure_Life,0),MATCH(C32,Elec_Heat_Curve,0))</f>
        <v>2.613850243840278</v>
      </c>
      <c r="Y32" s="25">
        <f>INDEX(Gas_AC, MATCH(ROUND(H32,0),Gas_AC_Measure_Life,0),MATCH(D32,Gas_Heat_Load,0))</f>
        <v>21.866298478700472</v>
      </c>
      <c r="Z32" s="98">
        <f>SUM(X32*S32,Y32*T32)</f>
        <v>3620.4683771183209</v>
      </c>
      <c r="AA32" s="98">
        <f t="shared" si="2"/>
        <v>1058.5838433059712</v>
      </c>
      <c r="AB32" s="99">
        <f>IFERROR(1.1*SUM(Z32,V32)/SUM(AA32,U32),0)</f>
        <v>4.939426195781869</v>
      </c>
      <c r="AC32" s="99">
        <f>IFERROR(Z32/SUM(W32,AA32),0)</f>
        <v>2.4821805025018677</v>
      </c>
      <c r="AD32" s="25">
        <f t="shared" si="3"/>
        <v>2219.5567202812204</v>
      </c>
      <c r="AE32" s="25">
        <f t="shared" si="4"/>
        <v>0</v>
      </c>
      <c r="AF32" s="98">
        <f>SUM(AD32:AE32)</f>
        <v>2219.5567202812204</v>
      </c>
      <c r="AG32" s="98">
        <f>SUM(AA32,W32)</f>
        <v>1458.5838433059712</v>
      </c>
    </row>
    <row r="33" spans="1:33" x14ac:dyDescent="0.25">
      <c r="A33" s="21" t="s">
        <v>375</v>
      </c>
      <c r="B33" s="89">
        <v>0</v>
      </c>
      <c r="C33" s="21" t="s">
        <v>12</v>
      </c>
      <c r="D33" s="21" t="s">
        <v>153</v>
      </c>
      <c r="E33" s="90">
        <v>13.793841795402404</v>
      </c>
      <c r="F33" s="100">
        <v>31.900576478228739</v>
      </c>
      <c r="G33" s="91">
        <v>0</v>
      </c>
      <c r="H33" s="92">
        <v>20</v>
      </c>
      <c r="I33" s="90">
        <v>5</v>
      </c>
      <c r="J33" s="93">
        <v>0</v>
      </c>
      <c r="K33" s="93">
        <v>1.0802246396835806</v>
      </c>
      <c r="L33" s="94">
        <f t="shared" si="5"/>
        <v>34.459788731893148</v>
      </c>
      <c r="M33" s="21" t="s">
        <v>49</v>
      </c>
      <c r="N33" s="24" t="s">
        <v>379</v>
      </c>
      <c r="O33" s="24" t="s">
        <v>377</v>
      </c>
      <c r="P33" s="95">
        <v>0</v>
      </c>
      <c r="Q33" s="21" t="s">
        <v>41</v>
      </c>
      <c r="R33" s="21" t="s">
        <v>52</v>
      </c>
      <c r="S33" s="96">
        <f t="shared" si="16"/>
        <v>0</v>
      </c>
      <c r="T33" s="96">
        <f t="shared" si="17"/>
        <v>0</v>
      </c>
      <c r="U33" s="97">
        <f t="shared" si="18"/>
        <v>0</v>
      </c>
      <c r="V33" s="97">
        <f t="shared" si="0"/>
        <v>0</v>
      </c>
      <c r="W33" s="97">
        <f t="shared" si="19"/>
        <v>0</v>
      </c>
      <c r="X33" s="25">
        <f t="shared" si="10"/>
        <v>1.5763721980130481</v>
      </c>
      <c r="Y33" s="25">
        <f t="shared" si="1"/>
        <v>11.518504018723075</v>
      </c>
      <c r="Z33" s="98">
        <f t="shared" si="20"/>
        <v>0</v>
      </c>
      <c r="AA33" s="98">
        <f t="shared" si="2"/>
        <v>0</v>
      </c>
      <c r="AB33" s="99">
        <f t="shared" si="21"/>
        <v>0</v>
      </c>
      <c r="AC33" s="99">
        <f t="shared" si="22"/>
        <v>0</v>
      </c>
      <c r="AD33" s="25">
        <f t="shared" si="3"/>
        <v>0</v>
      </c>
      <c r="AE33" s="25">
        <f t="shared" si="4"/>
        <v>0</v>
      </c>
      <c r="AF33" s="98">
        <f t="shared" si="23"/>
        <v>0</v>
      </c>
      <c r="AG33" s="98">
        <f t="shared" si="24"/>
        <v>0</v>
      </c>
    </row>
    <row r="34" spans="1:33" x14ac:dyDescent="0.25">
      <c r="A34" s="21" t="s">
        <v>376</v>
      </c>
      <c r="B34" s="89">
        <v>0</v>
      </c>
      <c r="C34" s="21" t="s">
        <v>12</v>
      </c>
      <c r="D34" s="21" t="s">
        <v>153</v>
      </c>
      <c r="E34" s="90">
        <v>13.793841795402404</v>
      </c>
      <c r="F34" s="100">
        <v>16.474888642234884</v>
      </c>
      <c r="G34" s="91">
        <v>0</v>
      </c>
      <c r="H34" s="92">
        <v>20</v>
      </c>
      <c r="I34" s="90">
        <v>5</v>
      </c>
      <c r="J34" s="93">
        <v>0</v>
      </c>
      <c r="K34" s="93">
        <v>1.0802246396835806</v>
      </c>
      <c r="L34" s="94">
        <f t="shared" si="5"/>
        <v>17.796580647385291</v>
      </c>
      <c r="M34" s="21" t="s">
        <v>49</v>
      </c>
      <c r="N34" s="24" t="s">
        <v>379</v>
      </c>
      <c r="O34" s="24" t="s">
        <v>378</v>
      </c>
      <c r="P34" s="95">
        <v>0</v>
      </c>
      <c r="Q34" s="21" t="s">
        <v>41</v>
      </c>
      <c r="R34" s="21" t="s">
        <v>52</v>
      </c>
      <c r="S34" s="96">
        <f t="shared" si="16"/>
        <v>0</v>
      </c>
      <c r="T34" s="96">
        <f t="shared" si="17"/>
        <v>0</v>
      </c>
      <c r="U34" s="97">
        <f t="shared" si="18"/>
        <v>0</v>
      </c>
      <c r="V34" s="97">
        <f t="shared" si="0"/>
        <v>0</v>
      </c>
      <c r="W34" s="97">
        <f t="shared" si="19"/>
        <v>0</v>
      </c>
      <c r="X34" s="25">
        <f t="shared" si="10"/>
        <v>1.5763721980130481</v>
      </c>
      <c r="Y34" s="25">
        <f t="shared" si="1"/>
        <v>11.518504018723075</v>
      </c>
      <c r="Z34" s="98">
        <f t="shared" si="20"/>
        <v>0</v>
      </c>
      <c r="AA34" s="98">
        <f t="shared" ref="AA34:AA65" si="25">WA_Elec_NIUC*(Z34/SUM(Z:Z))+IF(Z34&lt;&gt;0,P34,0)</f>
        <v>0</v>
      </c>
      <c r="AB34" s="99">
        <f t="shared" si="21"/>
        <v>0</v>
      </c>
      <c r="AC34" s="99">
        <f t="shared" si="22"/>
        <v>0</v>
      </c>
      <c r="AD34" s="25">
        <f t="shared" ref="AD34:AD65" si="26">-PV(Electric_Discount_Rate,H34,S34*PCT_Elec_Constant)</f>
        <v>0</v>
      </c>
      <c r="AE34" s="25">
        <f t="shared" ref="AE34:AE65" si="27">-PV(Gas_Discount_Rate,H34,T34*PCT_Gas_Constant)</f>
        <v>0</v>
      </c>
      <c r="AF34" s="98">
        <f t="shared" si="23"/>
        <v>0</v>
      </c>
      <c r="AG34" s="98">
        <f t="shared" si="24"/>
        <v>0</v>
      </c>
    </row>
    <row r="35" spans="1:33" x14ac:dyDescent="0.25">
      <c r="A35" s="21" t="s">
        <v>373</v>
      </c>
      <c r="B35" s="89">
        <v>20</v>
      </c>
      <c r="C35" s="21" t="s">
        <v>12</v>
      </c>
      <c r="D35" s="21" t="s">
        <v>153</v>
      </c>
      <c r="E35" s="90">
        <v>13.793841795402404</v>
      </c>
      <c r="F35" s="100">
        <v>31.900576478228739</v>
      </c>
      <c r="G35" s="91">
        <v>0</v>
      </c>
      <c r="H35" s="92">
        <v>20</v>
      </c>
      <c r="I35" s="90">
        <v>4</v>
      </c>
      <c r="J35" s="93">
        <v>0</v>
      </c>
      <c r="K35" s="93">
        <v>1.0802246396835806</v>
      </c>
      <c r="L35" s="94">
        <f t="shared" si="5"/>
        <v>34.459788731893148</v>
      </c>
      <c r="M35" s="21" t="s">
        <v>49</v>
      </c>
      <c r="N35" s="24" t="s">
        <v>379</v>
      </c>
      <c r="O35" s="24" t="s">
        <v>377</v>
      </c>
      <c r="P35" s="95">
        <v>0</v>
      </c>
      <c r="Q35" s="21" t="s">
        <v>41</v>
      </c>
      <c r="R35" s="21" t="s">
        <v>52</v>
      </c>
      <c r="S35" s="96">
        <f t="shared" si="16"/>
        <v>638.01152956457474</v>
      </c>
      <c r="T35" s="96">
        <f t="shared" si="17"/>
        <v>0</v>
      </c>
      <c r="U35" s="97">
        <f t="shared" si="18"/>
        <v>275.87683590804806</v>
      </c>
      <c r="V35" s="97">
        <f t="shared" si="0"/>
        <v>9146.3899796812602</v>
      </c>
      <c r="W35" s="97">
        <f t="shared" si="19"/>
        <v>80</v>
      </c>
      <c r="X35" s="25">
        <f t="shared" si="10"/>
        <v>1.5763721980130481</v>
      </c>
      <c r="Y35" s="25">
        <f t="shared" si="1"/>
        <v>11.518504018723075</v>
      </c>
      <c r="Z35" s="98">
        <f t="shared" si="20"/>
        <v>1005.7436372173755</v>
      </c>
      <c r="AA35" s="98">
        <f t="shared" si="25"/>
        <v>294.06801937419635</v>
      </c>
      <c r="AB35" s="99">
        <f t="shared" si="21"/>
        <v>19.593732402511609</v>
      </c>
      <c r="AC35" s="99">
        <f t="shared" si="22"/>
        <v>2.6886651227227389</v>
      </c>
      <c r="AD35" s="25">
        <f t="shared" si="26"/>
        <v>683.48119625941979</v>
      </c>
      <c r="AE35" s="25">
        <f t="shared" si="27"/>
        <v>0</v>
      </c>
      <c r="AF35" s="98">
        <f t="shared" si="23"/>
        <v>683.48119625941979</v>
      </c>
      <c r="AG35" s="98">
        <f t="shared" si="24"/>
        <v>374.06801937419635</v>
      </c>
    </row>
    <row r="36" spans="1:33" x14ac:dyDescent="0.25">
      <c r="A36" s="21" t="s">
        <v>374</v>
      </c>
      <c r="B36" s="89">
        <v>10</v>
      </c>
      <c r="C36" s="21" t="s">
        <v>12</v>
      </c>
      <c r="D36" s="21" t="s">
        <v>153</v>
      </c>
      <c r="E36" s="90">
        <v>13.793841795402404</v>
      </c>
      <c r="F36" s="100">
        <v>16.474888642234884</v>
      </c>
      <c r="G36" s="91">
        <v>0</v>
      </c>
      <c r="H36" s="92">
        <v>20</v>
      </c>
      <c r="I36" s="90">
        <v>4</v>
      </c>
      <c r="J36" s="93">
        <v>0</v>
      </c>
      <c r="K36" s="93">
        <v>1.0802246396835806</v>
      </c>
      <c r="L36" s="94">
        <f t="shared" si="5"/>
        <v>17.796580647385291</v>
      </c>
      <c r="M36" s="21" t="s">
        <v>49</v>
      </c>
      <c r="N36" s="24" t="s">
        <v>379</v>
      </c>
      <c r="O36" s="24" t="s">
        <v>378</v>
      </c>
      <c r="P36" s="95">
        <v>0</v>
      </c>
      <c r="Q36" s="21" t="s">
        <v>41</v>
      </c>
      <c r="R36" s="21" t="s">
        <v>52</v>
      </c>
      <c r="S36" s="96">
        <f t="shared" si="6"/>
        <v>164.74888642234885</v>
      </c>
      <c r="T36" s="96">
        <f t="shared" si="7"/>
        <v>0</v>
      </c>
      <c r="U36" s="97">
        <f t="shared" si="8"/>
        <v>137.93841795402403</v>
      </c>
      <c r="V36" s="97">
        <f t="shared" ref="V36:V63" si="28">B36*SUM(-PV(Electric_Discount_Rate,H36,L36),J36)</f>
        <v>2361.803030370636</v>
      </c>
      <c r="W36" s="97">
        <f t="shared" si="9"/>
        <v>40</v>
      </c>
      <c r="X36" s="25">
        <f t="shared" ref="X36:X63" si="29">INDEX(Electric_AC, MATCH(ROUND(H36,0),Elec_AC_Measure_Life,0),MATCH(C36,Elec_Heat_Curve,0))</f>
        <v>1.5763721980130481</v>
      </c>
      <c r="Y36" s="25">
        <f t="shared" ref="Y36:Y63" si="30">INDEX(Gas_AC, MATCH(ROUND(H36,0),Gas_AC_Measure_Life,0),MATCH(D36,Gas_Heat_Load,0))</f>
        <v>11.518504018723075</v>
      </c>
      <c r="Z36" s="98">
        <f t="shared" si="11"/>
        <v>259.70556420980006</v>
      </c>
      <c r="AA36" s="98">
        <f t="shared" si="25"/>
        <v>75.934958036555471</v>
      </c>
      <c r="AB36" s="99">
        <f t="shared" si="12"/>
        <v>13.483022095118075</v>
      </c>
      <c r="AC36" s="99">
        <f t="shared" si="13"/>
        <v>2.2400971079655911</v>
      </c>
      <c r="AD36" s="25">
        <f t="shared" si="26"/>
        <v>176.4901741684865</v>
      </c>
      <c r="AE36" s="25">
        <f t="shared" si="27"/>
        <v>0</v>
      </c>
      <c r="AF36" s="98">
        <f t="shared" si="15"/>
        <v>176.4901741684865</v>
      </c>
      <c r="AG36" s="98">
        <f t="shared" si="14"/>
        <v>115.93495803655547</v>
      </c>
    </row>
    <row r="37" spans="1:33" x14ac:dyDescent="0.25">
      <c r="A37" s="21" t="s">
        <v>53</v>
      </c>
      <c r="B37" s="89">
        <v>62</v>
      </c>
      <c r="C37" s="21" t="s">
        <v>12</v>
      </c>
      <c r="D37" s="21" t="s">
        <v>153</v>
      </c>
      <c r="E37" s="95">
        <v>1612.9</v>
      </c>
      <c r="F37" s="91">
        <v>802.88440000000003</v>
      </c>
      <c r="G37" s="91">
        <v>0</v>
      </c>
      <c r="H37" s="92">
        <v>15</v>
      </c>
      <c r="I37" s="95">
        <v>1612.9</v>
      </c>
      <c r="J37" s="94">
        <v>0</v>
      </c>
      <c r="K37" s="93">
        <v>0.18999932132924399</v>
      </c>
      <c r="L37" s="94">
        <f t="shared" si="5"/>
        <v>152.54749110583728</v>
      </c>
      <c r="M37" s="21" t="s">
        <v>13</v>
      </c>
      <c r="N37" s="24" t="s">
        <v>54</v>
      </c>
      <c r="O37" s="24" t="s">
        <v>304</v>
      </c>
      <c r="P37" s="95">
        <v>13064.49</v>
      </c>
      <c r="Q37" s="21" t="s">
        <v>70</v>
      </c>
      <c r="R37" s="21" t="s">
        <v>70</v>
      </c>
      <c r="S37" s="96">
        <f t="shared" si="6"/>
        <v>49778.832800000004</v>
      </c>
      <c r="T37" s="96">
        <f t="shared" si="7"/>
        <v>0</v>
      </c>
      <c r="U37" s="97">
        <f t="shared" si="8"/>
        <v>99999.8</v>
      </c>
      <c r="V37" s="97">
        <f t="shared" si="28"/>
        <v>103199.28880037344</v>
      </c>
      <c r="W37" s="97">
        <f t="shared" si="9"/>
        <v>99999.8</v>
      </c>
      <c r="X37" s="25">
        <f t="shared" si="29"/>
        <v>1.2637367945728217</v>
      </c>
      <c r="Y37" s="25">
        <f t="shared" si="30"/>
        <v>9.5406201681044092</v>
      </c>
      <c r="Z37" s="98">
        <f t="shared" si="11"/>
        <v>62907.342600248448</v>
      </c>
      <c r="AA37" s="98">
        <f t="shared" si="25"/>
        <v>31457.8826678681</v>
      </c>
      <c r="AB37" s="99">
        <f t="shared" si="12"/>
        <v>1.3899324165201132</v>
      </c>
      <c r="AC37" s="99">
        <f t="shared" si="13"/>
        <v>0.47853682891387789</v>
      </c>
      <c r="AD37" s="25">
        <f t="shared" si="26"/>
        <v>43844.547279203893</v>
      </c>
      <c r="AE37" s="25">
        <f t="shared" si="27"/>
        <v>0</v>
      </c>
      <c r="AF37" s="98">
        <f t="shared" si="15"/>
        <v>43844.547279203893</v>
      </c>
      <c r="AG37" s="98">
        <f t="shared" si="14"/>
        <v>131457.6826678681</v>
      </c>
    </row>
    <row r="38" spans="1:33" x14ac:dyDescent="0.25">
      <c r="A38" s="21" t="s">
        <v>55</v>
      </c>
      <c r="B38" s="89">
        <v>12</v>
      </c>
      <c r="C38" s="21" t="s">
        <v>12</v>
      </c>
      <c r="D38" s="21" t="s">
        <v>153</v>
      </c>
      <c r="E38" s="95">
        <v>100.23</v>
      </c>
      <c r="F38" s="91">
        <v>39</v>
      </c>
      <c r="G38" s="91">
        <v>0</v>
      </c>
      <c r="H38" s="92">
        <v>20</v>
      </c>
      <c r="I38" s="95">
        <v>640.54999999999995</v>
      </c>
      <c r="J38" s="94">
        <v>55</v>
      </c>
      <c r="K38" s="93">
        <v>1.90514519585486E-5</v>
      </c>
      <c r="L38" s="94">
        <f t="shared" si="5"/>
        <v>7.430066263833954E-4</v>
      </c>
      <c r="M38" s="21" t="s">
        <v>13</v>
      </c>
      <c r="N38" s="24" t="s">
        <v>54</v>
      </c>
      <c r="O38" s="24" t="s">
        <v>304</v>
      </c>
      <c r="P38" s="95">
        <v>0</v>
      </c>
      <c r="Q38" s="21" t="s">
        <v>70</v>
      </c>
      <c r="R38" s="21" t="s">
        <v>70</v>
      </c>
      <c r="S38" s="96">
        <f t="shared" si="6"/>
        <v>468</v>
      </c>
      <c r="T38" s="96">
        <f t="shared" si="7"/>
        <v>0</v>
      </c>
      <c r="U38" s="97">
        <f t="shared" si="8"/>
        <v>1202.76</v>
      </c>
      <c r="V38" s="97">
        <f t="shared" si="28"/>
        <v>660.11832623377813</v>
      </c>
      <c r="W38" s="97">
        <f t="shared" si="9"/>
        <v>7686.5999999999995</v>
      </c>
      <c r="X38" s="25">
        <f t="shared" si="29"/>
        <v>1.5763721980130481</v>
      </c>
      <c r="Y38" s="25">
        <f t="shared" si="30"/>
        <v>11.518504018723075</v>
      </c>
      <c r="Z38" s="98">
        <f t="shared" si="11"/>
        <v>737.74218867010654</v>
      </c>
      <c r="AA38" s="98">
        <f t="shared" si="25"/>
        <v>215.70743895654735</v>
      </c>
      <c r="AB38" s="99">
        <f t="shared" si="12"/>
        <v>1.0840196427246835</v>
      </c>
      <c r="AC38" s="99">
        <f t="shared" si="13"/>
        <v>9.3357819139408355E-2</v>
      </c>
      <c r="AD38" s="25">
        <f t="shared" si="26"/>
        <v>501.35332204374163</v>
      </c>
      <c r="AE38" s="25">
        <f t="shared" si="27"/>
        <v>0</v>
      </c>
      <c r="AF38" s="98">
        <f t="shared" si="15"/>
        <v>501.35332204374163</v>
      </c>
      <c r="AG38" s="98">
        <f t="shared" si="14"/>
        <v>7902.3074389565472</v>
      </c>
    </row>
    <row r="39" spans="1:33" x14ac:dyDescent="0.25">
      <c r="A39" s="21" t="s">
        <v>36</v>
      </c>
      <c r="B39" s="89">
        <v>65843</v>
      </c>
      <c r="C39" s="21" t="s">
        <v>12</v>
      </c>
      <c r="D39" s="21" t="s">
        <v>153</v>
      </c>
      <c r="E39" s="95">
        <v>9.9</v>
      </c>
      <c r="F39" s="91">
        <v>6.04</v>
      </c>
      <c r="G39" s="91">
        <v>0</v>
      </c>
      <c r="H39" s="92">
        <v>45</v>
      </c>
      <c r="I39" s="95">
        <v>20.45</v>
      </c>
      <c r="J39" s="94">
        <v>0</v>
      </c>
      <c r="K39" s="93">
        <v>0.12455658742864401</v>
      </c>
      <c r="L39" s="94">
        <f t="shared" si="5"/>
        <v>0.75232178806900984</v>
      </c>
      <c r="M39" s="21" t="s">
        <v>21</v>
      </c>
      <c r="N39" s="24" t="s">
        <v>54</v>
      </c>
      <c r="O39" s="24" t="s">
        <v>304</v>
      </c>
      <c r="P39" s="95">
        <v>674353.06499999994</v>
      </c>
      <c r="Q39" s="21" t="s">
        <v>70</v>
      </c>
      <c r="R39" s="21" t="s">
        <v>70</v>
      </c>
      <c r="S39" s="96">
        <f t="shared" si="6"/>
        <v>397691.72000000003</v>
      </c>
      <c r="T39" s="96">
        <f t="shared" si="7"/>
        <v>0</v>
      </c>
      <c r="U39" s="97">
        <f t="shared" si="8"/>
        <v>651845.70000000007</v>
      </c>
      <c r="V39" s="97">
        <f t="shared" si="28"/>
        <v>983341.81159541651</v>
      </c>
      <c r="W39" s="97">
        <f t="shared" si="9"/>
        <v>1346489.3499999999</v>
      </c>
      <c r="X39" s="25">
        <f t="shared" si="29"/>
        <v>2.613850243840278</v>
      </c>
      <c r="Y39" s="25">
        <f t="shared" si="30"/>
        <v>21.866298478700472</v>
      </c>
      <c r="Z39" s="98">
        <f t="shared" si="11"/>
        <v>1039506.5992952597</v>
      </c>
      <c r="AA39" s="98">
        <f t="shared" si="25"/>
        <v>978292.99110971321</v>
      </c>
      <c r="AB39" s="99">
        <f t="shared" si="12"/>
        <v>1.3649962816752663</v>
      </c>
      <c r="AC39" s="99">
        <f t="shared" si="13"/>
        <v>0.44714147252127739</v>
      </c>
      <c r="AD39" s="25">
        <f t="shared" si="26"/>
        <v>637277.72705444833</v>
      </c>
      <c r="AE39" s="25">
        <f t="shared" si="27"/>
        <v>0</v>
      </c>
      <c r="AF39" s="98">
        <f t="shared" si="15"/>
        <v>637277.72705444833</v>
      </c>
      <c r="AG39" s="98">
        <f t="shared" si="14"/>
        <v>2324782.3411097131</v>
      </c>
    </row>
    <row r="40" spans="1:33" x14ac:dyDescent="0.25">
      <c r="A40" s="21" t="s">
        <v>47</v>
      </c>
      <c r="B40" s="89">
        <v>41</v>
      </c>
      <c r="C40" s="21" t="s">
        <v>12</v>
      </c>
      <c r="D40" s="21" t="s">
        <v>153</v>
      </c>
      <c r="E40" s="95">
        <v>7819.5</v>
      </c>
      <c r="F40" s="91">
        <v>878.44</v>
      </c>
      <c r="G40" s="91">
        <v>0</v>
      </c>
      <c r="H40" s="92">
        <v>15</v>
      </c>
      <c r="I40" s="95">
        <v>483.28384132419274</v>
      </c>
      <c r="J40" s="94">
        <v>0</v>
      </c>
      <c r="K40" s="93">
        <v>0.152990537929272</v>
      </c>
      <c r="L40" s="94">
        <f t="shared" si="5"/>
        <v>134.39300813858969</v>
      </c>
      <c r="M40" s="21" t="s">
        <v>13</v>
      </c>
      <c r="N40" s="24" t="s">
        <v>54</v>
      </c>
      <c r="O40" s="24" t="s">
        <v>304</v>
      </c>
      <c r="P40" s="95">
        <v>0</v>
      </c>
      <c r="Q40" s="21" t="s">
        <v>70</v>
      </c>
      <c r="R40" s="21" t="s">
        <v>70</v>
      </c>
      <c r="S40" s="96">
        <f t="shared" si="6"/>
        <v>36016.04</v>
      </c>
      <c r="T40" s="96">
        <f t="shared" si="7"/>
        <v>0</v>
      </c>
      <c r="U40" s="97">
        <f t="shared" si="8"/>
        <v>320599.5</v>
      </c>
      <c r="V40" s="97">
        <f t="shared" si="28"/>
        <v>60122.977073725328</v>
      </c>
      <c r="W40" s="97">
        <f t="shared" si="9"/>
        <v>19814.637494291903</v>
      </c>
      <c r="X40" s="25">
        <f t="shared" si="29"/>
        <v>1.2637367945728217</v>
      </c>
      <c r="Y40" s="25">
        <f t="shared" si="30"/>
        <v>9.5406201681044092</v>
      </c>
      <c r="Z40" s="98">
        <f t="shared" si="11"/>
        <v>45514.794942806533</v>
      </c>
      <c r="AA40" s="98">
        <f t="shared" si="25"/>
        <v>13308.009223985746</v>
      </c>
      <c r="AB40" s="99">
        <f t="shared" si="12"/>
        <v>0.34800519906917354</v>
      </c>
      <c r="AC40" s="99">
        <f t="shared" si="13"/>
        <v>1.3741291669693378</v>
      </c>
      <c r="AD40" s="25">
        <f t="shared" si="26"/>
        <v>31722.458719234946</v>
      </c>
      <c r="AE40" s="25">
        <f t="shared" si="27"/>
        <v>0</v>
      </c>
      <c r="AF40" s="98">
        <f t="shared" si="15"/>
        <v>31722.458719234946</v>
      </c>
      <c r="AG40" s="98">
        <f t="shared" si="14"/>
        <v>33122.646718277647</v>
      </c>
    </row>
    <row r="41" spans="1:33" x14ac:dyDescent="0.25">
      <c r="A41" s="21" t="s">
        <v>56</v>
      </c>
      <c r="B41" s="89">
        <v>26385</v>
      </c>
      <c r="C41" s="21" t="s">
        <v>12</v>
      </c>
      <c r="D41" s="21" t="s">
        <v>153</v>
      </c>
      <c r="E41" s="95">
        <v>1.76</v>
      </c>
      <c r="F41" s="91">
        <v>0.56999999999999995</v>
      </c>
      <c r="G41" s="91">
        <v>0</v>
      </c>
      <c r="H41" s="92">
        <v>45</v>
      </c>
      <c r="I41" s="95">
        <v>1.76</v>
      </c>
      <c r="J41" s="94">
        <v>0</v>
      </c>
      <c r="K41" s="93">
        <v>2.0176896710168628</v>
      </c>
      <c r="L41" s="94">
        <f t="shared" si="5"/>
        <v>1.1500831124796116</v>
      </c>
      <c r="M41" s="21" t="s">
        <v>21</v>
      </c>
      <c r="N41" s="24" t="s">
        <v>54</v>
      </c>
      <c r="O41" s="24" t="s">
        <v>304</v>
      </c>
      <c r="P41" s="95">
        <v>21455.280000000002</v>
      </c>
      <c r="Q41" s="21" t="s">
        <v>70</v>
      </c>
      <c r="R41" s="21" t="s">
        <v>70</v>
      </c>
      <c r="S41" s="96">
        <f t="shared" si="6"/>
        <v>15039.449999999999</v>
      </c>
      <c r="T41" s="96">
        <f t="shared" si="7"/>
        <v>0</v>
      </c>
      <c r="U41" s="97">
        <f t="shared" si="8"/>
        <v>46437.599999999999</v>
      </c>
      <c r="V41" s="97">
        <f t="shared" si="28"/>
        <v>602389.75989155413</v>
      </c>
      <c r="W41" s="97">
        <f t="shared" si="9"/>
        <v>46437.599999999999</v>
      </c>
      <c r="X41" s="25">
        <f t="shared" si="29"/>
        <v>2.613850243840278</v>
      </c>
      <c r="Y41" s="25">
        <f t="shared" si="30"/>
        <v>21.866298478700472</v>
      </c>
      <c r="Z41" s="98">
        <f t="shared" si="11"/>
        <v>39310.870049723664</v>
      </c>
      <c r="AA41" s="98">
        <f t="shared" si="25"/>
        <v>32949.332030378522</v>
      </c>
      <c r="AB41" s="99">
        <f t="shared" si="12"/>
        <v>8.8915225073226711</v>
      </c>
      <c r="AC41" s="99">
        <f t="shared" si="13"/>
        <v>0.49518061782108935</v>
      </c>
      <c r="AD41" s="25">
        <f t="shared" si="26"/>
        <v>24099.839222574265</v>
      </c>
      <c r="AE41" s="25">
        <f t="shared" si="27"/>
        <v>0</v>
      </c>
      <c r="AF41" s="98">
        <f t="shared" si="15"/>
        <v>24099.839222574265</v>
      </c>
      <c r="AG41" s="98">
        <f t="shared" si="14"/>
        <v>79386.932030378521</v>
      </c>
    </row>
    <row r="42" spans="1:33" x14ac:dyDescent="0.25">
      <c r="A42" s="21" t="s">
        <v>57</v>
      </c>
      <c r="B42" s="89">
        <v>17705</v>
      </c>
      <c r="C42" s="21" t="s">
        <v>12</v>
      </c>
      <c r="D42" s="21" t="s">
        <v>153</v>
      </c>
      <c r="E42" s="95">
        <v>3.05</v>
      </c>
      <c r="F42" s="91">
        <v>2.68</v>
      </c>
      <c r="G42" s="91">
        <v>0</v>
      </c>
      <c r="H42" s="92">
        <v>45</v>
      </c>
      <c r="I42" s="95">
        <v>3.05</v>
      </c>
      <c r="J42" s="94">
        <v>0</v>
      </c>
      <c r="K42" s="93">
        <v>0.88951662591279201</v>
      </c>
      <c r="L42" s="94">
        <f t="shared" si="5"/>
        <v>2.3839045574462827</v>
      </c>
      <c r="M42" s="21" t="s">
        <v>21</v>
      </c>
      <c r="N42" s="24" t="s">
        <v>54</v>
      </c>
      <c r="O42" s="24" t="s">
        <v>304</v>
      </c>
      <c r="P42" s="95">
        <v>16045.439999999999</v>
      </c>
      <c r="Q42" s="21" t="s">
        <v>70</v>
      </c>
      <c r="R42" s="21" t="s">
        <v>70</v>
      </c>
      <c r="S42" s="96">
        <f t="shared" si="6"/>
        <v>47449.4</v>
      </c>
      <c r="T42" s="96">
        <f t="shared" si="7"/>
        <v>0</v>
      </c>
      <c r="U42" s="97">
        <f t="shared" si="8"/>
        <v>54000.25</v>
      </c>
      <c r="V42" s="97">
        <f t="shared" si="28"/>
        <v>837868.86158742663</v>
      </c>
      <c r="W42" s="97">
        <f t="shared" si="9"/>
        <v>54000.25</v>
      </c>
      <c r="X42" s="25">
        <f t="shared" si="29"/>
        <v>2.613850243840278</v>
      </c>
      <c r="Y42" s="25">
        <f t="shared" si="30"/>
        <v>21.866298478700472</v>
      </c>
      <c r="Z42" s="98">
        <f t="shared" si="11"/>
        <v>124025.62576007489</v>
      </c>
      <c r="AA42" s="98">
        <f t="shared" si="25"/>
        <v>52309.124670000747</v>
      </c>
      <c r="AB42" s="99">
        <f t="shared" si="12"/>
        <v>9.9528751755590061</v>
      </c>
      <c r="AC42" s="99">
        <f t="shared" si="13"/>
        <v>1.1666480603904208</v>
      </c>
      <c r="AD42" s="25">
        <f t="shared" si="26"/>
        <v>76034.888989132945</v>
      </c>
      <c r="AE42" s="25">
        <f t="shared" si="27"/>
        <v>0</v>
      </c>
      <c r="AF42" s="98">
        <f t="shared" si="15"/>
        <v>76034.888989132945</v>
      </c>
      <c r="AG42" s="98">
        <f t="shared" si="14"/>
        <v>106309.37467000075</v>
      </c>
    </row>
    <row r="43" spans="1:33" x14ac:dyDescent="0.25">
      <c r="A43" s="21" t="s">
        <v>58</v>
      </c>
      <c r="B43" s="89">
        <v>24209</v>
      </c>
      <c r="C43" s="21" t="s">
        <v>12</v>
      </c>
      <c r="D43" s="21" t="s">
        <v>153</v>
      </c>
      <c r="E43" s="95">
        <v>3.03</v>
      </c>
      <c r="F43" s="91">
        <v>1.17</v>
      </c>
      <c r="G43" s="91">
        <v>0</v>
      </c>
      <c r="H43" s="92">
        <v>45</v>
      </c>
      <c r="I43" s="95">
        <v>3.03</v>
      </c>
      <c r="J43" s="94">
        <v>0</v>
      </c>
      <c r="K43" s="93">
        <v>1.958369308265123</v>
      </c>
      <c r="L43" s="94">
        <f t="shared" si="5"/>
        <v>2.2912920906701939</v>
      </c>
      <c r="M43" s="21" t="s">
        <v>21</v>
      </c>
      <c r="N43" s="24" t="s">
        <v>54</v>
      </c>
      <c r="O43" s="24" t="s">
        <v>304</v>
      </c>
      <c r="P43" s="95">
        <v>40039.631999999998</v>
      </c>
      <c r="Q43" s="21" t="s">
        <v>70</v>
      </c>
      <c r="R43" s="21" t="s">
        <v>70</v>
      </c>
      <c r="S43" s="96">
        <f t="shared" si="6"/>
        <v>28324.53</v>
      </c>
      <c r="T43" s="96">
        <f t="shared" si="7"/>
        <v>0</v>
      </c>
      <c r="U43" s="97">
        <f t="shared" si="8"/>
        <v>73353.26999999999</v>
      </c>
      <c r="V43" s="97">
        <f t="shared" si="28"/>
        <v>1101155.2711666641</v>
      </c>
      <c r="W43" s="97">
        <f t="shared" si="9"/>
        <v>73353.26999999999</v>
      </c>
      <c r="X43" s="25">
        <f t="shared" si="29"/>
        <v>2.613850243840278</v>
      </c>
      <c r="Y43" s="25">
        <f t="shared" si="30"/>
        <v>21.866298478700472</v>
      </c>
      <c r="Z43" s="98">
        <f t="shared" si="11"/>
        <v>74036.07964716127</v>
      </c>
      <c r="AA43" s="98">
        <f t="shared" si="25"/>
        <v>61686.941014360054</v>
      </c>
      <c r="AB43" s="99">
        <f t="shared" si="12"/>
        <v>9.5727818861134821</v>
      </c>
      <c r="AC43" s="99">
        <f t="shared" si="13"/>
        <v>0.54825210277025072</v>
      </c>
      <c r="AD43" s="25">
        <f t="shared" si="26"/>
        <v>45388.403103503217</v>
      </c>
      <c r="AE43" s="25">
        <f t="shared" si="27"/>
        <v>0</v>
      </c>
      <c r="AF43" s="98">
        <f t="shared" si="15"/>
        <v>45388.403103503217</v>
      </c>
      <c r="AG43" s="98">
        <f t="shared" si="14"/>
        <v>135040.21101436004</v>
      </c>
    </row>
    <row r="44" spans="1:33" x14ac:dyDescent="0.25">
      <c r="A44" s="21" t="s">
        <v>31</v>
      </c>
      <c r="B44" s="89">
        <v>10729</v>
      </c>
      <c r="C44" s="21" t="s">
        <v>12</v>
      </c>
      <c r="D44" s="21" t="s">
        <v>153</v>
      </c>
      <c r="E44" s="95">
        <v>2.17</v>
      </c>
      <c r="F44" s="91">
        <v>2.3068759999999999</v>
      </c>
      <c r="G44" s="91">
        <v>0</v>
      </c>
      <c r="H44" s="92">
        <v>45</v>
      </c>
      <c r="I44" s="95">
        <v>2.17</v>
      </c>
      <c r="J44" s="94">
        <v>0</v>
      </c>
      <c r="K44" s="93">
        <v>2.1752617543823201</v>
      </c>
      <c r="L44" s="94">
        <f t="shared" si="5"/>
        <v>5.0180591349024688</v>
      </c>
      <c r="M44" s="21" t="s">
        <v>21</v>
      </c>
      <c r="N44" s="24" t="s">
        <v>54</v>
      </c>
      <c r="O44" s="24" t="s">
        <v>304</v>
      </c>
      <c r="P44" s="95">
        <v>8606.2199999999993</v>
      </c>
      <c r="Q44" s="21" t="s">
        <v>70</v>
      </c>
      <c r="R44" s="21" t="s">
        <v>70</v>
      </c>
      <c r="S44" s="96">
        <f t="shared" si="6"/>
        <v>24750.472603999999</v>
      </c>
      <c r="T44" s="96">
        <f t="shared" si="7"/>
        <v>0</v>
      </c>
      <c r="U44" s="97">
        <f t="shared" si="8"/>
        <v>23281.93</v>
      </c>
      <c r="V44" s="97">
        <f t="shared" si="28"/>
        <v>1068774.9737527317</v>
      </c>
      <c r="W44" s="97">
        <f t="shared" si="9"/>
        <v>23281.93</v>
      </c>
      <c r="X44" s="25">
        <f t="shared" si="29"/>
        <v>2.613850243840278</v>
      </c>
      <c r="Y44" s="25">
        <f t="shared" si="30"/>
        <v>21.866298478700472</v>
      </c>
      <c r="Z44" s="98">
        <f t="shared" si="11"/>
        <v>64694.028851127514</v>
      </c>
      <c r="AA44" s="98">
        <f t="shared" si="25"/>
        <v>27522.019439928597</v>
      </c>
      <c r="AB44" s="99">
        <f t="shared" si="12"/>
        <v>24.54171214264553</v>
      </c>
      <c r="AC44" s="99">
        <f t="shared" si="13"/>
        <v>1.2734055041847243</v>
      </c>
      <c r="AD44" s="25">
        <f t="shared" si="26"/>
        <v>39661.185112429579</v>
      </c>
      <c r="AE44" s="25">
        <f t="shared" si="27"/>
        <v>0</v>
      </c>
      <c r="AF44" s="98">
        <f t="shared" si="15"/>
        <v>39661.185112429579</v>
      </c>
      <c r="AG44" s="98">
        <f t="shared" si="14"/>
        <v>50803.949439928598</v>
      </c>
    </row>
    <row r="45" spans="1:33" x14ac:dyDescent="0.25">
      <c r="A45" s="21" t="s">
        <v>59</v>
      </c>
      <c r="B45" s="89">
        <v>4</v>
      </c>
      <c r="C45" s="21" t="s">
        <v>12</v>
      </c>
      <c r="D45" s="21" t="s">
        <v>153</v>
      </c>
      <c r="E45" s="95">
        <v>654.20000000000005</v>
      </c>
      <c r="F45" s="91">
        <v>709.93</v>
      </c>
      <c r="G45" s="91">
        <v>0</v>
      </c>
      <c r="H45" s="92">
        <v>20</v>
      </c>
      <c r="I45" s="95">
        <v>654.20000000000005</v>
      </c>
      <c r="J45" s="94">
        <v>0</v>
      </c>
      <c r="K45" s="93">
        <v>0.39855351241470938</v>
      </c>
      <c r="L45" s="94">
        <f t="shared" si="5"/>
        <v>282.94509506857463</v>
      </c>
      <c r="M45" s="21" t="s">
        <v>13</v>
      </c>
      <c r="N45" s="24" t="s">
        <v>54</v>
      </c>
      <c r="O45" s="24" t="s">
        <v>304</v>
      </c>
      <c r="P45" s="95">
        <v>4121.46</v>
      </c>
      <c r="Q45" s="21" t="s">
        <v>70</v>
      </c>
      <c r="R45" s="21" t="s">
        <v>70</v>
      </c>
      <c r="S45" s="96">
        <f t="shared" si="6"/>
        <v>2839.72</v>
      </c>
      <c r="T45" s="96">
        <f t="shared" si="7"/>
        <v>0</v>
      </c>
      <c r="U45" s="97">
        <f t="shared" si="8"/>
        <v>2616.8000000000002</v>
      </c>
      <c r="V45" s="97">
        <f t="shared" si="28"/>
        <v>15019.977066429321</v>
      </c>
      <c r="W45" s="97">
        <f t="shared" si="9"/>
        <v>2616.8000000000002</v>
      </c>
      <c r="X45" s="25">
        <f t="shared" si="29"/>
        <v>1.5763721980130481</v>
      </c>
      <c r="Y45" s="25">
        <f t="shared" si="30"/>
        <v>11.518504018723075</v>
      </c>
      <c r="Z45" s="98">
        <f t="shared" si="11"/>
        <v>4476.4556581416127</v>
      </c>
      <c r="AA45" s="98">
        <f t="shared" si="25"/>
        <v>5430.3248046018944</v>
      </c>
      <c r="AB45" s="99">
        <f t="shared" si="12"/>
        <v>2.6650606915856088</v>
      </c>
      <c r="AC45" s="99">
        <f t="shared" si="13"/>
        <v>0.55628013319510972</v>
      </c>
      <c r="AD45" s="25">
        <f t="shared" si="26"/>
        <v>3042.1005463120814</v>
      </c>
      <c r="AE45" s="25">
        <f t="shared" si="27"/>
        <v>0</v>
      </c>
      <c r="AF45" s="98">
        <f t="shared" si="15"/>
        <v>3042.1005463120814</v>
      </c>
      <c r="AG45" s="98">
        <f t="shared" si="14"/>
        <v>8047.1248046018945</v>
      </c>
    </row>
    <row r="46" spans="1:33" x14ac:dyDescent="0.25">
      <c r="A46" s="21" t="s">
        <v>60</v>
      </c>
      <c r="B46" s="89">
        <v>2</v>
      </c>
      <c r="C46" s="21" t="s">
        <v>12</v>
      </c>
      <c r="D46" s="21" t="s">
        <v>153</v>
      </c>
      <c r="E46" s="95">
        <v>6286.7</v>
      </c>
      <c r="F46" s="91">
        <v>3016.23</v>
      </c>
      <c r="G46" s="91">
        <v>0</v>
      </c>
      <c r="H46" s="92">
        <v>15</v>
      </c>
      <c r="I46" s="95">
        <v>6286.7</v>
      </c>
      <c r="J46" s="94">
        <v>0</v>
      </c>
      <c r="K46" s="93">
        <v>0.115691808568313</v>
      </c>
      <c r="L46" s="94">
        <f t="shared" si="5"/>
        <v>348.95310375800273</v>
      </c>
      <c r="M46" s="21" t="s">
        <v>13</v>
      </c>
      <c r="N46" s="24" t="s">
        <v>54</v>
      </c>
      <c r="O46" s="24" t="s">
        <v>304</v>
      </c>
      <c r="P46" s="95">
        <v>0</v>
      </c>
      <c r="Q46" s="21" t="s">
        <v>70</v>
      </c>
      <c r="R46" s="21" t="s">
        <v>70</v>
      </c>
      <c r="S46" s="96">
        <f t="shared" si="6"/>
        <v>6032.46</v>
      </c>
      <c r="T46" s="96">
        <f t="shared" si="7"/>
        <v>0</v>
      </c>
      <c r="U46" s="97">
        <f t="shared" si="8"/>
        <v>12573.4</v>
      </c>
      <c r="V46" s="97">
        <f t="shared" si="28"/>
        <v>7615.1244762247297</v>
      </c>
      <c r="W46" s="97">
        <f t="shared" si="9"/>
        <v>12573.4</v>
      </c>
      <c r="X46" s="25">
        <f t="shared" si="29"/>
        <v>1.2637367945728217</v>
      </c>
      <c r="Y46" s="25">
        <f t="shared" si="30"/>
        <v>9.5406201681044092</v>
      </c>
      <c r="Z46" s="98">
        <f t="shared" si="11"/>
        <v>7623.4416637887643</v>
      </c>
      <c r="AA46" s="98">
        <f t="shared" si="25"/>
        <v>2229.0077788486751</v>
      </c>
      <c r="AB46" s="99">
        <f t="shared" si="12"/>
        <v>1.1324119024721679</v>
      </c>
      <c r="AC46" s="99">
        <f t="shared" si="13"/>
        <v>0.51501362330268896</v>
      </c>
      <c r="AD46" s="25">
        <f t="shared" si="26"/>
        <v>5313.3121610659045</v>
      </c>
      <c r="AE46" s="25">
        <f t="shared" si="27"/>
        <v>0</v>
      </c>
      <c r="AF46" s="98">
        <f t="shared" si="15"/>
        <v>5313.3121610659045</v>
      </c>
      <c r="AG46" s="98">
        <f t="shared" si="14"/>
        <v>14802.407778848676</v>
      </c>
    </row>
    <row r="47" spans="1:33" x14ac:dyDescent="0.25">
      <c r="A47" s="21" t="s">
        <v>61</v>
      </c>
      <c r="B47" s="89">
        <v>2</v>
      </c>
      <c r="C47" s="21" t="s">
        <v>12</v>
      </c>
      <c r="D47" s="21" t="s">
        <v>153</v>
      </c>
      <c r="E47" s="95">
        <v>6286.7</v>
      </c>
      <c r="F47" s="91">
        <v>3016.23</v>
      </c>
      <c r="G47" s="91">
        <v>0</v>
      </c>
      <c r="H47" s="92">
        <v>15</v>
      </c>
      <c r="I47" s="95">
        <v>6286.7</v>
      </c>
      <c r="J47" s="94">
        <v>0</v>
      </c>
      <c r="K47" s="93">
        <v>9.6951129305975603E-2</v>
      </c>
      <c r="L47" s="94">
        <f t="shared" si="5"/>
        <v>292.4269047465628</v>
      </c>
      <c r="M47" s="21" t="s">
        <v>13</v>
      </c>
      <c r="N47" s="24" t="s">
        <v>54</v>
      </c>
      <c r="O47" s="24" t="s">
        <v>304</v>
      </c>
      <c r="P47" s="95">
        <v>0</v>
      </c>
      <c r="Q47" s="21" t="s">
        <v>70</v>
      </c>
      <c r="R47" s="21" t="s">
        <v>70</v>
      </c>
      <c r="S47" s="96">
        <f t="shared" si="6"/>
        <v>6032.46</v>
      </c>
      <c r="T47" s="96">
        <f t="shared" si="7"/>
        <v>0</v>
      </c>
      <c r="U47" s="97">
        <f t="shared" si="8"/>
        <v>12573.4</v>
      </c>
      <c r="V47" s="97">
        <f t="shared" si="28"/>
        <v>6381.5660495930406</v>
      </c>
      <c r="W47" s="97">
        <f t="shared" si="9"/>
        <v>12573.4</v>
      </c>
      <c r="X47" s="25">
        <f t="shared" si="29"/>
        <v>1.2637367945728217</v>
      </c>
      <c r="Y47" s="25">
        <f t="shared" si="30"/>
        <v>9.5406201681044092</v>
      </c>
      <c r="Z47" s="98">
        <f t="shared" si="11"/>
        <v>7623.4416637887643</v>
      </c>
      <c r="AA47" s="98">
        <f t="shared" si="25"/>
        <v>2229.0077788486751</v>
      </c>
      <c r="AB47" s="99">
        <f t="shared" si="12"/>
        <v>1.0407434192383951</v>
      </c>
      <c r="AC47" s="99">
        <f t="shared" si="13"/>
        <v>0.51501362330268896</v>
      </c>
      <c r="AD47" s="25">
        <f t="shared" si="26"/>
        <v>5313.3121610659045</v>
      </c>
      <c r="AE47" s="25">
        <f t="shared" si="27"/>
        <v>0</v>
      </c>
      <c r="AF47" s="98">
        <f t="shared" si="15"/>
        <v>5313.3121610659045</v>
      </c>
      <c r="AG47" s="98">
        <f t="shared" si="14"/>
        <v>14802.407778848676</v>
      </c>
    </row>
    <row r="48" spans="1:33" x14ac:dyDescent="0.25">
      <c r="A48" s="21" t="s">
        <v>62</v>
      </c>
      <c r="B48" s="89">
        <v>0</v>
      </c>
      <c r="C48" s="21" t="s">
        <v>63</v>
      </c>
      <c r="D48" s="21" t="s">
        <v>154</v>
      </c>
      <c r="E48" s="95">
        <v>697.39</v>
      </c>
      <c r="F48" s="91">
        <v>587.33000000000004</v>
      </c>
      <c r="G48" s="91">
        <v>0</v>
      </c>
      <c r="H48" s="92">
        <v>13</v>
      </c>
      <c r="I48" s="95">
        <v>697.39</v>
      </c>
      <c r="J48" s="94">
        <v>0</v>
      </c>
      <c r="K48" s="93">
        <v>7.2573394824780604E-2</v>
      </c>
      <c r="L48" s="94">
        <f t="shared" si="5"/>
        <v>42.624531982438398</v>
      </c>
      <c r="M48" s="21" t="s">
        <v>13</v>
      </c>
      <c r="N48" s="24" t="s">
        <v>54</v>
      </c>
      <c r="O48" s="24" t="s">
        <v>304</v>
      </c>
      <c r="P48" s="95">
        <v>0</v>
      </c>
      <c r="Q48" s="21" t="s">
        <v>70</v>
      </c>
      <c r="R48" s="21" t="s">
        <v>70</v>
      </c>
      <c r="S48" s="96">
        <f t="shared" si="6"/>
        <v>0</v>
      </c>
      <c r="T48" s="96">
        <f t="shared" si="7"/>
        <v>0</v>
      </c>
      <c r="U48" s="97">
        <f t="shared" si="8"/>
        <v>0</v>
      </c>
      <c r="V48" s="97">
        <f t="shared" si="28"/>
        <v>0</v>
      </c>
      <c r="W48" s="97">
        <f t="shared" si="9"/>
        <v>0</v>
      </c>
      <c r="X48" s="25">
        <f t="shared" si="29"/>
        <v>0.85495862916855769</v>
      </c>
      <c r="Y48" s="25">
        <f t="shared" si="30"/>
        <v>8.2322006748253056</v>
      </c>
      <c r="Z48" s="98">
        <f t="shared" si="11"/>
        <v>0</v>
      </c>
      <c r="AA48" s="98">
        <f t="shared" si="25"/>
        <v>0</v>
      </c>
      <c r="AB48" s="99">
        <f t="shared" si="12"/>
        <v>0</v>
      </c>
      <c r="AC48" s="99">
        <f t="shared" si="13"/>
        <v>0</v>
      </c>
      <c r="AD48" s="25">
        <f t="shared" si="26"/>
        <v>0</v>
      </c>
      <c r="AE48" s="25">
        <f t="shared" si="27"/>
        <v>0</v>
      </c>
      <c r="AF48" s="98">
        <f t="shared" si="15"/>
        <v>0</v>
      </c>
      <c r="AG48" s="98">
        <f t="shared" si="14"/>
        <v>0</v>
      </c>
    </row>
    <row r="49" spans="1:33" x14ac:dyDescent="0.25">
      <c r="A49" s="21" t="s">
        <v>64</v>
      </c>
      <c r="B49" s="89">
        <v>15</v>
      </c>
      <c r="C49" s="21" t="s">
        <v>12</v>
      </c>
      <c r="D49" s="21" t="s">
        <v>153</v>
      </c>
      <c r="E49" s="95">
        <v>7819.5</v>
      </c>
      <c r="F49" s="91">
        <v>7234.2980219999999</v>
      </c>
      <c r="G49" s="91">
        <v>0</v>
      </c>
      <c r="H49" s="92">
        <v>15</v>
      </c>
      <c r="I49" s="95">
        <v>7819.5</v>
      </c>
      <c r="J49" s="94">
        <v>0</v>
      </c>
      <c r="K49" s="93">
        <v>0.111775809843256</v>
      </c>
      <c r="L49" s="94">
        <f t="shared" si="5"/>
        <v>808.61952005651494</v>
      </c>
      <c r="M49" s="21" t="s">
        <v>13</v>
      </c>
      <c r="N49" s="24" t="s">
        <v>54</v>
      </c>
      <c r="O49" s="24" t="s">
        <v>304</v>
      </c>
      <c r="P49" s="95">
        <v>0</v>
      </c>
      <c r="Q49" s="21" t="s">
        <v>70</v>
      </c>
      <c r="R49" s="21" t="s">
        <v>70</v>
      </c>
      <c r="S49" s="96">
        <f t="shared" si="6"/>
        <v>108514.47033</v>
      </c>
      <c r="T49" s="96">
        <f t="shared" si="7"/>
        <v>0</v>
      </c>
      <c r="U49" s="97">
        <f t="shared" si="8"/>
        <v>117292.5</v>
      </c>
      <c r="V49" s="97">
        <f t="shared" si="28"/>
        <v>132347.40355123382</v>
      </c>
      <c r="W49" s="97">
        <f t="shared" si="9"/>
        <v>117292.5</v>
      </c>
      <c r="X49" s="25">
        <f t="shared" si="29"/>
        <v>1.2637367945728217</v>
      </c>
      <c r="Y49" s="25">
        <f t="shared" si="30"/>
        <v>9.5406201681044092</v>
      </c>
      <c r="Z49" s="98">
        <f t="shared" si="11"/>
        <v>137133.72889960176</v>
      </c>
      <c r="AA49" s="98">
        <f t="shared" si="25"/>
        <v>40096.345186410479</v>
      </c>
      <c r="AB49" s="99">
        <f t="shared" si="12"/>
        <v>1.8834196625868245</v>
      </c>
      <c r="AC49" s="99">
        <f t="shared" si="13"/>
        <v>0.87130526141913889</v>
      </c>
      <c r="AD49" s="25">
        <f t="shared" si="26"/>
        <v>95578.131451516339</v>
      </c>
      <c r="AE49" s="25">
        <f t="shared" si="27"/>
        <v>0</v>
      </c>
      <c r="AF49" s="98">
        <f t="shared" si="15"/>
        <v>95578.131451516339</v>
      </c>
      <c r="AG49" s="98">
        <f t="shared" si="14"/>
        <v>157388.84518641047</v>
      </c>
    </row>
    <row r="50" spans="1:33" x14ac:dyDescent="0.25">
      <c r="A50" s="21" t="s">
        <v>65</v>
      </c>
      <c r="B50" s="89">
        <v>1</v>
      </c>
      <c r="C50" s="21" t="s">
        <v>66</v>
      </c>
      <c r="D50" s="21" t="s">
        <v>153</v>
      </c>
      <c r="E50" s="95">
        <v>1</v>
      </c>
      <c r="F50" s="91">
        <v>1</v>
      </c>
      <c r="G50" s="91">
        <v>0</v>
      </c>
      <c r="H50" s="92">
        <v>1</v>
      </c>
      <c r="I50" s="95">
        <v>1</v>
      </c>
      <c r="J50" s="94">
        <v>250000</v>
      </c>
      <c r="K50" s="93">
        <v>2.5793786734219101E-2</v>
      </c>
      <c r="L50" s="94">
        <f t="shared" si="5"/>
        <v>2.5793786734219101E-2</v>
      </c>
      <c r="M50" s="21" t="s">
        <v>13</v>
      </c>
      <c r="N50" s="24" t="s">
        <v>54</v>
      </c>
      <c r="O50" s="24" t="s">
        <v>304</v>
      </c>
      <c r="P50" s="95">
        <v>0.3</v>
      </c>
      <c r="Q50" s="21" t="s">
        <v>70</v>
      </c>
      <c r="R50" s="21" t="s">
        <v>70</v>
      </c>
      <c r="S50" s="96">
        <f t="shared" si="6"/>
        <v>1</v>
      </c>
      <c r="T50" s="96">
        <f t="shared" si="7"/>
        <v>0</v>
      </c>
      <c r="U50" s="97">
        <f t="shared" si="8"/>
        <v>1</v>
      </c>
      <c r="V50" s="97">
        <f t="shared" si="28"/>
        <v>250000.02473749567</v>
      </c>
      <c r="W50" s="97">
        <f t="shared" si="9"/>
        <v>1</v>
      </c>
      <c r="X50" s="25">
        <f t="shared" si="29"/>
        <v>0.13034168090927176</v>
      </c>
      <c r="Y50" s="25">
        <f t="shared" si="30"/>
        <v>2.0751542657607067</v>
      </c>
      <c r="Z50" s="98">
        <f t="shared" si="11"/>
        <v>0.13034168090927176</v>
      </c>
      <c r="AA50" s="98">
        <f t="shared" si="25"/>
        <v>0.33811042747726455</v>
      </c>
      <c r="AB50" s="99">
        <f t="shared" si="12"/>
        <v>205513.80883082363</v>
      </c>
      <c r="AC50" s="99">
        <f t="shared" si="13"/>
        <v>9.7407267915103624E-2</v>
      </c>
      <c r="AD50" s="25">
        <f t="shared" si="26"/>
        <v>7.7416148635099366E-2</v>
      </c>
      <c r="AE50" s="25">
        <f t="shared" si="27"/>
        <v>0</v>
      </c>
      <c r="AF50" s="98">
        <f t="shared" si="15"/>
        <v>7.7416148635099366E-2</v>
      </c>
      <c r="AG50" s="98">
        <f t="shared" si="14"/>
        <v>1.3381104274772646</v>
      </c>
    </row>
    <row r="51" spans="1:33" x14ac:dyDescent="0.25">
      <c r="A51" s="21" t="s">
        <v>67</v>
      </c>
      <c r="B51" s="89">
        <v>30</v>
      </c>
      <c r="C51" s="21" t="s">
        <v>68</v>
      </c>
      <c r="D51" s="21" t="s">
        <v>154</v>
      </c>
      <c r="E51" s="95">
        <v>1.1000000000000001</v>
      </c>
      <c r="F51" s="91">
        <v>9</v>
      </c>
      <c r="G51" s="91">
        <v>0</v>
      </c>
      <c r="H51" s="92">
        <v>13</v>
      </c>
      <c r="I51" s="95">
        <v>1.1000000000000001</v>
      </c>
      <c r="J51" s="94">
        <v>0</v>
      </c>
      <c r="K51" s="93">
        <v>6.3892460096552306E-2</v>
      </c>
      <c r="L51" s="94">
        <f t="shared" si="5"/>
        <v>0.5750321408689707</v>
      </c>
      <c r="M51" s="21" t="s">
        <v>13</v>
      </c>
      <c r="N51" s="24" t="s">
        <v>54</v>
      </c>
      <c r="O51" s="24" t="s">
        <v>304</v>
      </c>
      <c r="P51" s="95">
        <v>9.57</v>
      </c>
      <c r="Q51" s="21" t="s">
        <v>70</v>
      </c>
      <c r="R51" s="21" t="s">
        <v>70</v>
      </c>
      <c r="S51" s="96">
        <f t="shared" si="6"/>
        <v>270</v>
      </c>
      <c r="T51" s="96">
        <f t="shared" si="7"/>
        <v>0</v>
      </c>
      <c r="U51" s="97">
        <f t="shared" si="8"/>
        <v>33</v>
      </c>
      <c r="V51" s="97">
        <f t="shared" si="28"/>
        <v>169.41160530283963</v>
      </c>
      <c r="W51" s="97">
        <f t="shared" si="9"/>
        <v>33</v>
      </c>
      <c r="X51" s="25">
        <f t="shared" si="29"/>
        <v>0.97701138198465576</v>
      </c>
      <c r="Y51" s="25">
        <f t="shared" si="30"/>
        <v>8.2322006748253056</v>
      </c>
      <c r="Z51" s="98">
        <f t="shared" si="11"/>
        <v>263.79307313585707</v>
      </c>
      <c r="AA51" s="98">
        <f t="shared" si="25"/>
        <v>86.700099233158568</v>
      </c>
      <c r="AB51" s="99">
        <f t="shared" si="12"/>
        <v>3.9809920738191202</v>
      </c>
      <c r="AC51" s="99">
        <f t="shared" si="13"/>
        <v>2.2037832451753121</v>
      </c>
      <c r="AD51" s="25">
        <f t="shared" si="26"/>
        <v>214.03484512069514</v>
      </c>
      <c r="AE51" s="25">
        <f t="shared" si="27"/>
        <v>0</v>
      </c>
      <c r="AF51" s="98">
        <f t="shared" si="15"/>
        <v>214.03484512069514</v>
      </c>
      <c r="AG51" s="98">
        <f t="shared" si="14"/>
        <v>119.70009923315857</v>
      </c>
    </row>
    <row r="52" spans="1:33" x14ac:dyDescent="0.25">
      <c r="A52" s="21" t="s">
        <v>69</v>
      </c>
      <c r="B52" s="89">
        <v>1</v>
      </c>
      <c r="C52" s="21" t="s">
        <v>12</v>
      </c>
      <c r="D52" s="21" t="s">
        <v>153</v>
      </c>
      <c r="E52" s="95">
        <v>16.738486450182716</v>
      </c>
      <c r="F52" s="91">
        <v>16.070522095305463</v>
      </c>
      <c r="G52" s="91">
        <v>0</v>
      </c>
      <c r="H52" s="92">
        <v>5</v>
      </c>
      <c r="I52" s="95">
        <v>20</v>
      </c>
      <c r="J52" s="94">
        <v>0</v>
      </c>
      <c r="K52" s="93">
        <v>0.44043387578069898</v>
      </c>
      <c r="L52" s="94">
        <f t="shared" si="5"/>
        <v>7.0780023322547452</v>
      </c>
      <c r="M52" s="21" t="s">
        <v>13</v>
      </c>
      <c r="N52" s="24" t="s">
        <v>307</v>
      </c>
      <c r="O52" s="24" t="s">
        <v>306</v>
      </c>
      <c r="P52" s="95">
        <v>24</v>
      </c>
      <c r="Q52" s="21" t="s">
        <v>70</v>
      </c>
      <c r="R52" s="21" t="s">
        <v>70</v>
      </c>
      <c r="S52" s="96">
        <f t="shared" si="6"/>
        <v>16.070522095305463</v>
      </c>
      <c r="T52" s="96">
        <f t="shared" si="7"/>
        <v>0</v>
      </c>
      <c r="U52" s="97">
        <f t="shared" si="8"/>
        <v>16.738486450182716</v>
      </c>
      <c r="V52" s="97">
        <f t="shared" si="28"/>
        <v>31.27242824501419</v>
      </c>
      <c r="W52" s="97">
        <f t="shared" si="9"/>
        <v>20</v>
      </c>
      <c r="X52" s="25">
        <f t="shared" si="29"/>
        <v>0.51536228732460598</v>
      </c>
      <c r="Y52" s="25">
        <f t="shared" si="30"/>
        <v>4.6339660270664194</v>
      </c>
      <c r="Z52" s="98">
        <f t="shared" si="11"/>
        <v>8.2821410255372427</v>
      </c>
      <c r="AA52" s="98">
        <f t="shared" si="25"/>
        <v>26.421603992739072</v>
      </c>
      <c r="AB52" s="99">
        <f>IFERROR(1.1*SUM(Z52,V52)/SUM(AA52,U52),0)</f>
        <v>1.0081078549904239</v>
      </c>
      <c r="AC52" s="99">
        <f t="shared" si="13"/>
        <v>0.17841134974208722</v>
      </c>
      <c r="AD52" s="25">
        <f t="shared" si="26"/>
        <v>5.7315465628600402</v>
      </c>
      <c r="AE52" s="25">
        <f t="shared" si="27"/>
        <v>0</v>
      </c>
      <c r="AF52" s="98">
        <f t="shared" si="15"/>
        <v>5.7315465628600402</v>
      </c>
      <c r="AG52" s="98">
        <f t="shared" si="14"/>
        <v>46.421603992739072</v>
      </c>
    </row>
    <row r="53" spans="1:33" x14ac:dyDescent="0.25">
      <c r="A53" s="21" t="s">
        <v>38</v>
      </c>
      <c r="B53" s="89">
        <v>0</v>
      </c>
      <c r="C53" s="21" t="s">
        <v>12</v>
      </c>
      <c r="D53" s="21" t="s">
        <v>153</v>
      </c>
      <c r="E53" s="95">
        <v>10.47</v>
      </c>
      <c r="F53" s="91">
        <v>6.17</v>
      </c>
      <c r="G53" s="91">
        <v>0</v>
      </c>
      <c r="H53" s="92">
        <v>20</v>
      </c>
      <c r="I53" s="95">
        <v>10.47</v>
      </c>
      <c r="J53" s="94">
        <v>0</v>
      </c>
      <c r="K53" s="93">
        <v>0.46156657398244505</v>
      </c>
      <c r="L53" s="94">
        <f t="shared" si="5"/>
        <v>2.8478657614716858</v>
      </c>
      <c r="M53" s="21" t="s">
        <v>21</v>
      </c>
      <c r="N53" s="24" t="s">
        <v>308</v>
      </c>
      <c r="O53" s="24"/>
      <c r="P53" s="95">
        <v>0</v>
      </c>
      <c r="Q53" s="21" t="s">
        <v>70</v>
      </c>
      <c r="R53" s="21" t="s">
        <v>70</v>
      </c>
      <c r="S53" s="96">
        <f t="shared" si="6"/>
        <v>0</v>
      </c>
      <c r="T53" s="96">
        <f t="shared" si="7"/>
        <v>0</v>
      </c>
      <c r="U53" s="97">
        <f t="shared" si="8"/>
        <v>0</v>
      </c>
      <c r="V53" s="97">
        <f t="shared" si="28"/>
        <v>0</v>
      </c>
      <c r="W53" s="97">
        <f t="shared" si="9"/>
        <v>0</v>
      </c>
      <c r="X53" s="25">
        <f t="shared" si="29"/>
        <v>1.5763721980130481</v>
      </c>
      <c r="Y53" s="25">
        <f t="shared" si="30"/>
        <v>11.518504018723075</v>
      </c>
      <c r="Z53" s="98">
        <f t="shared" si="11"/>
        <v>0</v>
      </c>
      <c r="AA53" s="98">
        <f t="shared" si="25"/>
        <v>0</v>
      </c>
      <c r="AB53" s="99">
        <f t="shared" si="12"/>
        <v>0</v>
      </c>
      <c r="AC53" s="99">
        <f t="shared" si="13"/>
        <v>0</v>
      </c>
      <c r="AD53" s="25">
        <f t="shared" si="26"/>
        <v>0</v>
      </c>
      <c r="AE53" s="25">
        <f t="shared" si="27"/>
        <v>0</v>
      </c>
      <c r="AF53" s="98">
        <f t="shared" si="15"/>
        <v>0</v>
      </c>
      <c r="AG53" s="98">
        <f t="shared" si="14"/>
        <v>0</v>
      </c>
    </row>
    <row r="54" spans="1:33" x14ac:dyDescent="0.25">
      <c r="A54" s="21" t="s">
        <v>382</v>
      </c>
      <c r="B54" s="89">
        <v>1</v>
      </c>
      <c r="C54" s="21" t="s">
        <v>12</v>
      </c>
      <c r="D54" s="21" t="s">
        <v>153</v>
      </c>
      <c r="E54" s="90">
        <v>57040.824871519762</v>
      </c>
      <c r="F54" s="100">
        <v>103651</v>
      </c>
      <c r="G54" s="91">
        <v>0</v>
      </c>
      <c r="H54" s="92">
        <v>20</v>
      </c>
      <c r="I54" s="90">
        <v>26949.232427313964</v>
      </c>
      <c r="J54" s="94">
        <v>0</v>
      </c>
      <c r="K54" s="93">
        <v>0.46000000000000008</v>
      </c>
      <c r="L54" s="94">
        <f>K54*F54</f>
        <v>47679.460000000006</v>
      </c>
      <c r="M54" s="21" t="s">
        <v>13</v>
      </c>
      <c r="N54" s="24" t="s">
        <v>54</v>
      </c>
      <c r="O54" s="24" t="s">
        <v>304</v>
      </c>
      <c r="P54" s="95">
        <v>0</v>
      </c>
      <c r="Q54" s="21" t="s">
        <v>41</v>
      </c>
      <c r="R54" s="21" t="s">
        <v>382</v>
      </c>
      <c r="S54" s="96">
        <f t="shared" si="6"/>
        <v>103651</v>
      </c>
      <c r="T54" s="96">
        <f t="shared" si="7"/>
        <v>0</v>
      </c>
      <c r="U54" s="97">
        <f t="shared" si="8"/>
        <v>57040.824871519762</v>
      </c>
      <c r="V54" s="97">
        <f t="shared" si="28"/>
        <v>632759.1538264422</v>
      </c>
      <c r="W54" s="97">
        <f t="shared" si="9"/>
        <v>26949.232427313964</v>
      </c>
      <c r="X54" s="25">
        <f t="shared" si="29"/>
        <v>1.5763721980130481</v>
      </c>
      <c r="Y54" s="25">
        <f t="shared" si="30"/>
        <v>11.518504018723075</v>
      </c>
      <c r="Z54" s="98">
        <f t="shared" si="11"/>
        <v>163392.55469625044</v>
      </c>
      <c r="AA54" s="98">
        <f t="shared" si="25"/>
        <v>47774.127682233091</v>
      </c>
      <c r="AB54" s="99">
        <f t="shared" si="12"/>
        <v>8.3553620741834287</v>
      </c>
      <c r="AC54" s="99">
        <f t="shared" si="13"/>
        <v>2.1866328609515318</v>
      </c>
      <c r="AD54" s="25">
        <f t="shared" si="26"/>
        <v>111037.97688708518</v>
      </c>
      <c r="AE54" s="25">
        <f t="shared" si="27"/>
        <v>0</v>
      </c>
      <c r="AF54" s="98">
        <f t="shared" si="15"/>
        <v>111037.97688708518</v>
      </c>
      <c r="AG54" s="98">
        <f t="shared" si="14"/>
        <v>74723.360109547051</v>
      </c>
    </row>
    <row r="55" spans="1:33" x14ac:dyDescent="0.25">
      <c r="A55" s="21" t="s">
        <v>72</v>
      </c>
      <c r="B55" s="89">
        <v>722</v>
      </c>
      <c r="C55" s="21" t="s">
        <v>12</v>
      </c>
      <c r="D55" s="21" t="s">
        <v>153</v>
      </c>
      <c r="E55" s="90">
        <v>634.41</v>
      </c>
      <c r="F55" s="100">
        <v>1613.0079365079366</v>
      </c>
      <c r="G55" s="100">
        <v>0</v>
      </c>
      <c r="H55" s="92">
        <v>13</v>
      </c>
      <c r="I55" s="90">
        <v>212.30158730158729</v>
      </c>
      <c r="J55" s="94">
        <v>0</v>
      </c>
      <c r="K55" s="93">
        <v>2.6794872628757198E-3</v>
      </c>
      <c r="L55" s="94">
        <f t="shared" si="5"/>
        <v>4.3220342207904636</v>
      </c>
      <c r="M55" s="21" t="s">
        <v>13</v>
      </c>
      <c r="N55" s="24" t="s">
        <v>303</v>
      </c>
      <c r="O55" s="24" t="s">
        <v>304</v>
      </c>
      <c r="P55" s="95">
        <v>0</v>
      </c>
      <c r="Q55" s="21" t="s">
        <v>41</v>
      </c>
      <c r="R55" s="21" t="s">
        <v>73</v>
      </c>
      <c r="S55" s="96">
        <f t="shared" si="6"/>
        <v>1164591.7301587302</v>
      </c>
      <c r="T55" s="96">
        <f t="shared" si="7"/>
        <v>0</v>
      </c>
      <c r="U55" s="97">
        <f t="shared" si="8"/>
        <v>458044.01999999996</v>
      </c>
      <c r="V55" s="97">
        <f t="shared" si="28"/>
        <v>30644.686439327157</v>
      </c>
      <c r="W55" s="97">
        <f t="shared" si="9"/>
        <v>153281.74603174604</v>
      </c>
      <c r="X55" s="25">
        <f t="shared" si="29"/>
        <v>1.1290749420459538</v>
      </c>
      <c r="Y55" s="25">
        <f t="shared" si="30"/>
        <v>8.680255915629008</v>
      </c>
      <c r="Z55" s="98">
        <f t="shared" si="11"/>
        <v>1314911.3402361653</v>
      </c>
      <c r="AA55" s="98">
        <f t="shared" si="25"/>
        <v>384465.14515939797</v>
      </c>
      <c r="AB55" s="99">
        <f t="shared" si="12"/>
        <v>1.756789944312372</v>
      </c>
      <c r="AC55" s="99">
        <f t="shared" si="13"/>
        <v>2.4452235090072802</v>
      </c>
      <c r="AD55" s="25">
        <f t="shared" si="26"/>
        <v>923197.07627172663</v>
      </c>
      <c r="AE55" s="25">
        <f t="shared" si="27"/>
        <v>0</v>
      </c>
      <c r="AF55" s="98">
        <f t="shared" si="15"/>
        <v>923197.07627172663</v>
      </c>
      <c r="AG55" s="98">
        <f t="shared" si="14"/>
        <v>537746.89119114401</v>
      </c>
    </row>
    <row r="56" spans="1:33" x14ac:dyDescent="0.25">
      <c r="A56" s="21" t="s">
        <v>283</v>
      </c>
      <c r="B56" s="89">
        <v>2230</v>
      </c>
      <c r="C56" s="21" t="s">
        <v>63</v>
      </c>
      <c r="D56" s="21" t="s">
        <v>153</v>
      </c>
      <c r="E56" s="90">
        <v>775.88</v>
      </c>
      <c r="F56" s="100">
        <v>2023.5382308845578</v>
      </c>
      <c r="G56" s="100">
        <v>0</v>
      </c>
      <c r="H56" s="92">
        <v>15</v>
      </c>
      <c r="I56" s="90">
        <v>425.71214392803597</v>
      </c>
      <c r="J56" s="94">
        <v>0</v>
      </c>
      <c r="K56" s="93">
        <v>6.1837538488303506E-2</v>
      </c>
      <c r="L56" s="94">
        <f t="shared" si="5"/>
        <v>125.13062323487743</v>
      </c>
      <c r="M56" s="21" t="s">
        <v>13</v>
      </c>
      <c r="N56" s="24" t="s">
        <v>303</v>
      </c>
      <c r="O56" s="24" t="s">
        <v>304</v>
      </c>
      <c r="P56" s="95">
        <v>0</v>
      </c>
      <c r="Q56" s="21" t="s">
        <v>41</v>
      </c>
      <c r="R56" s="21" t="s">
        <v>73</v>
      </c>
      <c r="S56" s="96">
        <f t="shared" si="6"/>
        <v>4512490.2548725642</v>
      </c>
      <c r="T56" s="96">
        <f t="shared" si="7"/>
        <v>0</v>
      </c>
      <c r="U56" s="97">
        <f t="shared" si="8"/>
        <v>1730212.4</v>
      </c>
      <c r="V56" s="97">
        <f t="shared" si="28"/>
        <v>3044727.4047057056</v>
      </c>
      <c r="W56" s="97">
        <f t="shared" si="9"/>
        <v>949338.08095952019</v>
      </c>
      <c r="X56" s="25">
        <f t="shared" si="29"/>
        <v>0.95494501118451747</v>
      </c>
      <c r="Y56" s="25">
        <f t="shared" si="30"/>
        <v>9.5406201681044092</v>
      </c>
      <c r="Z56" s="98">
        <f t="shared" si="11"/>
        <v>4309180.0569093069</v>
      </c>
      <c r="AA56" s="98">
        <f t="shared" si="25"/>
        <v>1259955.3182042385</v>
      </c>
      <c r="AB56" s="99">
        <f t="shared" si="12"/>
        <v>2.7052991571437963</v>
      </c>
      <c r="AC56" s="99">
        <f t="shared" si="13"/>
        <v>1.950478853800214</v>
      </c>
      <c r="AD56" s="25">
        <f t="shared" si="26"/>
        <v>3974542.6157663334</v>
      </c>
      <c r="AE56" s="25">
        <f t="shared" si="27"/>
        <v>0</v>
      </c>
      <c r="AF56" s="98">
        <f t="shared" si="15"/>
        <v>3974542.6157663334</v>
      </c>
      <c r="AG56" s="98">
        <f t="shared" si="14"/>
        <v>2209293.3991637588</v>
      </c>
    </row>
    <row r="57" spans="1:33" x14ac:dyDescent="0.25">
      <c r="A57" s="21" t="s">
        <v>74</v>
      </c>
      <c r="B57" s="89">
        <v>1</v>
      </c>
      <c r="C57" s="21" t="s">
        <v>12</v>
      </c>
      <c r="D57" s="21" t="s">
        <v>153</v>
      </c>
      <c r="E57" s="90">
        <v>2000000</v>
      </c>
      <c r="F57" s="100">
        <v>0</v>
      </c>
      <c r="G57" s="100">
        <v>0</v>
      </c>
      <c r="H57" s="92">
        <v>12</v>
      </c>
      <c r="I57" s="90">
        <v>2000000</v>
      </c>
      <c r="J57" s="94">
        <v>0</v>
      </c>
      <c r="K57" s="93">
        <v>0.46000000000000008</v>
      </c>
      <c r="L57" s="94">
        <f t="shared" si="5"/>
        <v>0</v>
      </c>
      <c r="M57" s="21" t="s">
        <v>13</v>
      </c>
      <c r="N57" s="24" t="s">
        <v>54</v>
      </c>
      <c r="O57" s="24" t="s">
        <v>304</v>
      </c>
      <c r="P57" s="95">
        <v>0</v>
      </c>
      <c r="Q57" s="21" t="s">
        <v>79</v>
      </c>
      <c r="R57" s="21" t="s">
        <v>79</v>
      </c>
      <c r="S57" s="96">
        <f t="shared" si="6"/>
        <v>0</v>
      </c>
      <c r="T57" s="96">
        <f t="shared" si="7"/>
        <v>0</v>
      </c>
      <c r="U57" s="97">
        <f t="shared" si="8"/>
        <v>2000000</v>
      </c>
      <c r="V57" s="97">
        <f t="shared" si="28"/>
        <v>0</v>
      </c>
      <c r="W57" s="97">
        <f t="shared" si="9"/>
        <v>2000000</v>
      </c>
      <c r="X57" s="25">
        <f t="shared" si="29"/>
        <v>1.0592064232112075</v>
      </c>
      <c r="Y57" s="25">
        <f t="shared" si="30"/>
        <v>8.2409523422861337</v>
      </c>
      <c r="Z57" s="98">
        <f t="shared" si="11"/>
        <v>0</v>
      </c>
      <c r="AA57" s="98">
        <f t="shared" si="25"/>
        <v>0</v>
      </c>
      <c r="AB57" s="99">
        <f t="shared" si="12"/>
        <v>0</v>
      </c>
      <c r="AC57" s="99">
        <f t="shared" si="13"/>
        <v>0</v>
      </c>
      <c r="AD57" s="25">
        <f t="shared" si="26"/>
        <v>0</v>
      </c>
      <c r="AE57" s="25">
        <f t="shared" si="27"/>
        <v>0</v>
      </c>
      <c r="AF57" s="98">
        <f t="shared" si="15"/>
        <v>0</v>
      </c>
      <c r="AG57" s="98">
        <f t="shared" si="14"/>
        <v>2000000</v>
      </c>
    </row>
    <row r="58" spans="1:33" x14ac:dyDescent="0.25">
      <c r="A58" s="21" t="s">
        <v>75</v>
      </c>
      <c r="B58" s="89">
        <v>0</v>
      </c>
      <c r="C58" s="21" t="s">
        <v>66</v>
      </c>
      <c r="D58" s="21" t="s">
        <v>153</v>
      </c>
      <c r="E58" s="90">
        <v>228888.88888888888</v>
      </c>
      <c r="F58" s="100">
        <v>257500</v>
      </c>
      <c r="G58" s="100">
        <v>0</v>
      </c>
      <c r="H58" s="92">
        <v>15</v>
      </c>
      <c r="I58" s="90">
        <v>206000</v>
      </c>
      <c r="J58" s="93">
        <v>0</v>
      </c>
      <c r="K58" s="93">
        <v>0</v>
      </c>
      <c r="L58" s="94">
        <f t="shared" si="5"/>
        <v>0</v>
      </c>
      <c r="M58" s="21" t="s">
        <v>76</v>
      </c>
      <c r="N58" s="24" t="s">
        <v>54</v>
      </c>
      <c r="O58" s="24" t="s">
        <v>304</v>
      </c>
      <c r="P58" s="95">
        <v>0</v>
      </c>
      <c r="Q58" s="21" t="s">
        <v>41</v>
      </c>
      <c r="R58" s="21" t="s">
        <v>77</v>
      </c>
      <c r="S58" s="96">
        <f t="shared" si="6"/>
        <v>0</v>
      </c>
      <c r="T58" s="96">
        <f t="shared" si="7"/>
        <v>0</v>
      </c>
      <c r="U58" s="97">
        <f t="shared" si="8"/>
        <v>0</v>
      </c>
      <c r="V58" s="97">
        <f t="shared" si="28"/>
        <v>0</v>
      </c>
      <c r="W58" s="97">
        <f t="shared" si="9"/>
        <v>0</v>
      </c>
      <c r="X58" s="25">
        <f t="shared" si="29"/>
        <v>0.87313812138574998</v>
      </c>
      <c r="Y58" s="25">
        <f t="shared" si="30"/>
        <v>9.5406201681044092</v>
      </c>
      <c r="Z58" s="98">
        <f t="shared" si="11"/>
        <v>0</v>
      </c>
      <c r="AA58" s="98">
        <f t="shared" si="25"/>
        <v>0</v>
      </c>
      <c r="AB58" s="99">
        <f t="shared" si="12"/>
        <v>0</v>
      </c>
      <c r="AC58" s="99">
        <f t="shared" si="13"/>
        <v>0</v>
      </c>
      <c r="AD58" s="25">
        <f t="shared" si="26"/>
        <v>0</v>
      </c>
      <c r="AE58" s="25">
        <f t="shared" si="27"/>
        <v>0</v>
      </c>
      <c r="AF58" s="98">
        <f t="shared" si="15"/>
        <v>0</v>
      </c>
      <c r="AG58" s="98">
        <f t="shared" si="14"/>
        <v>0</v>
      </c>
    </row>
    <row r="59" spans="1:33" x14ac:dyDescent="0.25">
      <c r="A59" s="21" t="s">
        <v>314</v>
      </c>
      <c r="B59" s="89">
        <v>2000</v>
      </c>
      <c r="C59" s="21" t="s">
        <v>80</v>
      </c>
      <c r="D59" s="21" t="s">
        <v>156</v>
      </c>
      <c r="E59" s="90">
        <v>18.817234087169748</v>
      </c>
      <c r="F59" s="100">
        <v>26.325000000000003</v>
      </c>
      <c r="G59" s="100">
        <v>0</v>
      </c>
      <c r="H59" s="92">
        <v>12</v>
      </c>
      <c r="I59" s="90">
        <v>6</v>
      </c>
      <c r="J59" s="93">
        <v>0</v>
      </c>
      <c r="K59" s="93">
        <v>2.6991026764868101E-2</v>
      </c>
      <c r="L59" s="94">
        <f t="shared" si="5"/>
        <v>0.71053877958515288</v>
      </c>
      <c r="M59" s="21" t="s">
        <v>13</v>
      </c>
      <c r="N59" s="24" t="s">
        <v>54</v>
      </c>
      <c r="O59" s="24" t="s">
        <v>304</v>
      </c>
      <c r="P59" s="95">
        <v>0</v>
      </c>
      <c r="Q59" s="21" t="s">
        <v>78</v>
      </c>
      <c r="R59" s="21" t="s">
        <v>81</v>
      </c>
      <c r="S59" s="96">
        <f t="shared" si="6"/>
        <v>52650.000000000007</v>
      </c>
      <c r="T59" s="96">
        <f t="shared" si="7"/>
        <v>0</v>
      </c>
      <c r="U59" s="97">
        <f t="shared" si="8"/>
        <v>37634.468174339498</v>
      </c>
      <c r="V59" s="97">
        <f t="shared" si="28"/>
        <v>13130.394780236833</v>
      </c>
      <c r="W59" s="97">
        <f t="shared" si="9"/>
        <v>12000</v>
      </c>
      <c r="X59" s="25">
        <f t="shared" si="29"/>
        <v>0.7435008907391103</v>
      </c>
      <c r="Y59" s="25">
        <f t="shared" si="30"/>
        <v>7.4795347883823</v>
      </c>
      <c r="Z59" s="98">
        <f t="shared" si="11"/>
        <v>39145.321897414164</v>
      </c>
      <c r="AA59" s="98">
        <f t="shared" si="25"/>
        <v>11445.647630430833</v>
      </c>
      <c r="AB59" s="99">
        <f t="shared" si="12"/>
        <v>1.1716208774680008</v>
      </c>
      <c r="AC59" s="99">
        <f t="shared" si="13"/>
        <v>1.6696199872340587</v>
      </c>
      <c r="AD59" s="25">
        <f t="shared" si="26"/>
        <v>39268.952209160299</v>
      </c>
      <c r="AE59" s="25">
        <f t="shared" si="27"/>
        <v>0</v>
      </c>
      <c r="AF59" s="98">
        <f t="shared" si="15"/>
        <v>39268.952209160299</v>
      </c>
      <c r="AG59" s="98">
        <f t="shared" si="14"/>
        <v>23445.647630430831</v>
      </c>
    </row>
    <row r="60" spans="1:33" x14ac:dyDescent="0.25">
      <c r="A60" s="21" t="s">
        <v>315</v>
      </c>
      <c r="B60" s="89">
        <v>200</v>
      </c>
      <c r="C60" s="21" t="s">
        <v>80</v>
      </c>
      <c r="D60" s="21" t="s">
        <v>156</v>
      </c>
      <c r="E60" s="90">
        <v>19.216742047807266</v>
      </c>
      <c r="F60" s="100">
        <v>38.564897959183668</v>
      </c>
      <c r="G60" s="100">
        <v>0</v>
      </c>
      <c r="H60" s="92">
        <v>12</v>
      </c>
      <c r="I60" s="90">
        <v>10</v>
      </c>
      <c r="J60" s="93">
        <v>0</v>
      </c>
      <c r="K60" s="93">
        <v>2.6991026764868101E-2</v>
      </c>
      <c r="L60" s="94">
        <f t="shared" si="5"/>
        <v>1.0409061930007335</v>
      </c>
      <c r="M60" s="21" t="s">
        <v>13</v>
      </c>
      <c r="N60" s="24" t="s">
        <v>54</v>
      </c>
      <c r="O60" s="24" t="s">
        <v>304</v>
      </c>
      <c r="P60" s="95">
        <v>0</v>
      </c>
      <c r="Q60" s="21" t="s">
        <v>78</v>
      </c>
      <c r="R60" s="21" t="s">
        <v>81</v>
      </c>
      <c r="S60" s="96">
        <f t="shared" si="6"/>
        <v>7712.9795918367336</v>
      </c>
      <c r="T60" s="96">
        <f t="shared" si="7"/>
        <v>0</v>
      </c>
      <c r="U60" s="97">
        <f t="shared" si="8"/>
        <v>3843.3484095614531</v>
      </c>
      <c r="V60" s="97">
        <f t="shared" si="28"/>
        <v>1923.5416329102798</v>
      </c>
      <c r="W60" s="97">
        <f t="shared" si="9"/>
        <v>2000</v>
      </c>
      <c r="X60" s="25">
        <f t="shared" si="29"/>
        <v>0.7435008907391103</v>
      </c>
      <c r="Y60" s="25">
        <f t="shared" si="30"/>
        <v>7.4795347883823</v>
      </c>
      <c r="Z60" s="98">
        <f t="shared" si="11"/>
        <v>5734.6071967831904</v>
      </c>
      <c r="AA60" s="98">
        <f t="shared" si="25"/>
        <v>1676.7340282785842</v>
      </c>
      <c r="AB60" s="99">
        <f t="shared" si="12"/>
        <v>1.5260575919875294</v>
      </c>
      <c r="AC60" s="99">
        <f t="shared" si="13"/>
        <v>1.5597013960425319</v>
      </c>
      <c r="AD60" s="25">
        <f t="shared" si="26"/>
        <v>5752.7184611978237</v>
      </c>
      <c r="AE60" s="25">
        <f t="shared" si="27"/>
        <v>0</v>
      </c>
      <c r="AF60" s="98">
        <f t="shared" si="15"/>
        <v>5752.7184611978237</v>
      </c>
      <c r="AG60" s="98">
        <f t="shared" si="14"/>
        <v>3676.7340282785844</v>
      </c>
    </row>
    <row r="61" spans="1:33" x14ac:dyDescent="0.25">
      <c r="A61" s="21" t="s">
        <v>316</v>
      </c>
      <c r="B61" s="89">
        <v>17500</v>
      </c>
      <c r="C61" s="21" t="s">
        <v>80</v>
      </c>
      <c r="D61" s="21" t="s">
        <v>156</v>
      </c>
      <c r="E61" s="90">
        <v>21.178934796493305</v>
      </c>
      <c r="F61" s="100">
        <v>52.675244395953186</v>
      </c>
      <c r="G61" s="100">
        <v>0</v>
      </c>
      <c r="H61" s="92">
        <v>12</v>
      </c>
      <c r="I61" s="90">
        <v>12</v>
      </c>
      <c r="J61" s="93">
        <v>0</v>
      </c>
      <c r="K61" s="93">
        <v>2.6991026764868101E-2</v>
      </c>
      <c r="L61" s="94">
        <f t="shared" si="5"/>
        <v>1.4217589313371408</v>
      </c>
      <c r="M61" s="21" t="s">
        <v>13</v>
      </c>
      <c r="N61" s="24" t="s">
        <v>54</v>
      </c>
      <c r="O61" s="24" t="s">
        <v>304</v>
      </c>
      <c r="P61" s="95">
        <v>0</v>
      </c>
      <c r="Q61" s="21" t="s">
        <v>78</v>
      </c>
      <c r="R61" s="21" t="s">
        <v>81</v>
      </c>
      <c r="S61" s="96">
        <f t="shared" si="6"/>
        <v>921816.77692918072</v>
      </c>
      <c r="T61" s="96">
        <f t="shared" si="7"/>
        <v>0</v>
      </c>
      <c r="U61" s="97">
        <f t="shared" si="8"/>
        <v>370631.35893863282</v>
      </c>
      <c r="V61" s="97">
        <f t="shared" si="28"/>
        <v>229892.08349716343</v>
      </c>
      <c r="W61" s="97">
        <f t="shared" si="9"/>
        <v>210000</v>
      </c>
      <c r="X61" s="25">
        <f t="shared" si="29"/>
        <v>0.7435008907391103</v>
      </c>
      <c r="Y61" s="25">
        <f t="shared" si="30"/>
        <v>7.4795347883823</v>
      </c>
      <c r="Z61" s="98">
        <f t="shared" si="11"/>
        <v>685371.59474510164</v>
      </c>
      <c r="AA61" s="98">
        <f t="shared" si="25"/>
        <v>200394.87195728137</v>
      </c>
      <c r="AB61" s="99">
        <f t="shared" si="12"/>
        <v>1.7631239890449235</v>
      </c>
      <c r="AC61" s="99">
        <f t="shared" si="13"/>
        <v>1.6700296265311108</v>
      </c>
      <c r="AD61" s="25">
        <f t="shared" si="26"/>
        <v>687536.16256095306</v>
      </c>
      <c r="AE61" s="25">
        <f t="shared" si="27"/>
        <v>0</v>
      </c>
      <c r="AF61" s="98">
        <f t="shared" si="15"/>
        <v>687536.16256095306</v>
      </c>
      <c r="AG61" s="98">
        <f t="shared" si="14"/>
        <v>410394.87195728137</v>
      </c>
    </row>
    <row r="62" spans="1:33" x14ac:dyDescent="0.25">
      <c r="A62" s="21" t="s">
        <v>317</v>
      </c>
      <c r="B62" s="89">
        <v>700</v>
      </c>
      <c r="C62" s="21" t="s">
        <v>80</v>
      </c>
      <c r="D62" s="21" t="s">
        <v>156</v>
      </c>
      <c r="E62" s="90">
        <v>43.319454639656684</v>
      </c>
      <c r="F62" s="100">
        <v>109.48840336134452</v>
      </c>
      <c r="G62" s="100">
        <v>0</v>
      </c>
      <c r="H62" s="92">
        <v>12</v>
      </c>
      <c r="I62" s="90">
        <v>25</v>
      </c>
      <c r="J62" s="93">
        <v>0</v>
      </c>
      <c r="K62" s="93">
        <v>2.5250287948902599E-2</v>
      </c>
      <c r="L62" s="94">
        <f t="shared" si="5"/>
        <v>2.7646137119395444</v>
      </c>
      <c r="M62" s="21" t="s">
        <v>13</v>
      </c>
      <c r="N62" s="24" t="s">
        <v>54</v>
      </c>
      <c r="O62" s="24" t="s">
        <v>304</v>
      </c>
      <c r="P62" s="95">
        <v>0</v>
      </c>
      <c r="Q62" s="21" t="s">
        <v>78</v>
      </c>
      <c r="R62" s="21" t="s">
        <v>81</v>
      </c>
      <c r="S62" s="96">
        <f t="shared" si="6"/>
        <v>76641.88235294116</v>
      </c>
      <c r="T62" s="96">
        <f t="shared" si="7"/>
        <v>0</v>
      </c>
      <c r="U62" s="97">
        <f t="shared" si="8"/>
        <v>30323.618247759678</v>
      </c>
      <c r="V62" s="97">
        <f t="shared" si="28"/>
        <v>17881.02869745639</v>
      </c>
      <c r="W62" s="97">
        <f t="shared" si="9"/>
        <v>17500</v>
      </c>
      <c r="X62" s="25">
        <f t="shared" si="29"/>
        <v>0.7435008907391103</v>
      </c>
      <c r="Y62" s="25">
        <f t="shared" si="30"/>
        <v>7.4795347883823</v>
      </c>
      <c r="Z62" s="98">
        <f t="shared" si="11"/>
        <v>56983.307797333851</v>
      </c>
      <c r="AA62" s="98">
        <f t="shared" si="25"/>
        <v>16661.272158493819</v>
      </c>
      <c r="AB62" s="99">
        <f t="shared" si="12"/>
        <v>1.7527075072906571</v>
      </c>
      <c r="AC62" s="99">
        <f t="shared" si="13"/>
        <v>1.6680674985684216</v>
      </c>
      <c r="AD62" s="25">
        <f t="shared" si="26"/>
        <v>57163.274745256072</v>
      </c>
      <c r="AE62" s="25">
        <f t="shared" si="27"/>
        <v>0</v>
      </c>
      <c r="AF62" s="98">
        <f t="shared" si="15"/>
        <v>57163.274745256072</v>
      </c>
      <c r="AG62" s="98">
        <f t="shared" si="14"/>
        <v>34161.272158493819</v>
      </c>
    </row>
    <row r="63" spans="1:33" x14ac:dyDescent="0.25">
      <c r="A63" s="21" t="s">
        <v>318</v>
      </c>
      <c r="B63" s="89">
        <v>200</v>
      </c>
      <c r="C63" s="21" t="s">
        <v>80</v>
      </c>
      <c r="D63" s="21" t="s">
        <v>156</v>
      </c>
      <c r="E63" s="90">
        <v>32.129354575163404</v>
      </c>
      <c r="F63" s="100">
        <v>64.61866666666667</v>
      </c>
      <c r="G63" s="100">
        <v>0</v>
      </c>
      <c r="H63" s="92">
        <v>12</v>
      </c>
      <c r="I63" s="90">
        <v>15</v>
      </c>
      <c r="J63" s="93">
        <v>0</v>
      </c>
      <c r="K63" s="93">
        <v>2.6991026764868101E-2</v>
      </c>
      <c r="L63" s="94">
        <f t="shared" si="5"/>
        <v>1.7441241615100902</v>
      </c>
      <c r="M63" s="21" t="s">
        <v>13</v>
      </c>
      <c r="N63" s="24" t="s">
        <v>54</v>
      </c>
      <c r="O63" s="24" t="s">
        <v>304</v>
      </c>
      <c r="P63" s="95">
        <v>0</v>
      </c>
      <c r="Q63" s="21" t="s">
        <v>78</v>
      </c>
      <c r="R63" s="21" t="s">
        <v>81</v>
      </c>
      <c r="S63" s="96">
        <f t="shared" si="6"/>
        <v>12923.733333333334</v>
      </c>
      <c r="T63" s="96">
        <f t="shared" si="7"/>
        <v>0</v>
      </c>
      <c r="U63" s="97">
        <f t="shared" si="8"/>
        <v>6425.8709150326813</v>
      </c>
      <c r="V63" s="97">
        <f t="shared" si="28"/>
        <v>3223.0526249035656</v>
      </c>
      <c r="W63" s="97">
        <f t="shared" si="9"/>
        <v>3000</v>
      </c>
      <c r="X63" s="25">
        <f t="shared" si="29"/>
        <v>0.7435008907391103</v>
      </c>
      <c r="Y63" s="25">
        <f t="shared" si="30"/>
        <v>7.4795347883823</v>
      </c>
      <c r="Z63" s="98">
        <f t="shared" si="11"/>
        <v>9608.8072450080654</v>
      </c>
      <c r="AA63" s="98">
        <f t="shared" si="25"/>
        <v>2809.506131110857</v>
      </c>
      <c r="AB63" s="99">
        <f t="shared" si="12"/>
        <v>1.528367037575026</v>
      </c>
      <c r="AC63" s="99">
        <f t="shared" si="13"/>
        <v>1.6539800506537603</v>
      </c>
      <c r="AD63" s="25">
        <f t="shared" si="26"/>
        <v>9639.1541620246644</v>
      </c>
      <c r="AE63" s="25">
        <f t="shared" si="27"/>
        <v>0</v>
      </c>
      <c r="AF63" s="98">
        <f t="shared" si="15"/>
        <v>9639.1541620246644</v>
      </c>
      <c r="AG63" s="98">
        <f t="shared" si="14"/>
        <v>5809.5061311108566</v>
      </c>
    </row>
    <row r="64" spans="1:33" x14ac:dyDescent="0.25">
      <c r="A64" s="21" t="s">
        <v>319</v>
      </c>
      <c r="B64" s="89">
        <v>50</v>
      </c>
      <c r="C64" s="21" t="s">
        <v>80</v>
      </c>
      <c r="D64" s="21" t="s">
        <v>156</v>
      </c>
      <c r="E64" s="90">
        <v>18.153024691358027</v>
      </c>
      <c r="F64" s="100">
        <v>110.63</v>
      </c>
      <c r="G64" s="100">
        <v>0</v>
      </c>
      <c r="H64" s="92">
        <v>12</v>
      </c>
      <c r="I64" s="90">
        <v>17</v>
      </c>
      <c r="J64" s="93">
        <v>0</v>
      </c>
      <c r="K64" s="93">
        <v>2.5250287948902599E-2</v>
      </c>
      <c r="L64" s="94">
        <f t="shared" si="5"/>
        <v>2.7934393557870942</v>
      </c>
      <c r="M64" s="21" t="s">
        <v>13</v>
      </c>
      <c r="N64" s="24" t="s">
        <v>54</v>
      </c>
      <c r="O64" s="24" t="s">
        <v>304</v>
      </c>
      <c r="P64" s="95">
        <v>0</v>
      </c>
      <c r="Q64" s="21" t="s">
        <v>78</v>
      </c>
      <c r="R64" s="21" t="s">
        <v>81</v>
      </c>
      <c r="S64" s="96">
        <f t="shared" si="6"/>
        <v>5531.5</v>
      </c>
      <c r="T64" s="96">
        <f t="shared" si="7"/>
        <v>0</v>
      </c>
      <c r="U64" s="97">
        <f t="shared" si="8"/>
        <v>907.65123456790138</v>
      </c>
      <c r="V64" s="97">
        <f t="shared" ref="V64:V96" si="31">B64*SUM(-PV(Electric_Discount_Rate,H64,L64),J64)</f>
        <v>1290.5334159787155</v>
      </c>
      <c r="W64" s="97">
        <f t="shared" si="9"/>
        <v>850</v>
      </c>
      <c r="X64" s="25">
        <f t="shared" ref="X64:X96" si="32">INDEX(Electric_AC, MATCH(ROUND(H64,0),Elec_AC_Measure_Life,0),MATCH(C64,Elec_Heat_Curve,0))</f>
        <v>0.7435008907391103</v>
      </c>
      <c r="Y64" s="25">
        <f t="shared" ref="Y64:Y96" si="33">INDEX(Gas_AC, MATCH(ROUND(H64,0),Gas_AC_Measure_Life,0),MATCH(D64,Gas_Heat_Load,0))</f>
        <v>7.4795347883823</v>
      </c>
      <c r="Z64" s="98">
        <f t="shared" si="11"/>
        <v>4112.6751771233885</v>
      </c>
      <c r="AA64" s="98">
        <f t="shared" si="25"/>
        <v>1202.4995226539058</v>
      </c>
      <c r="AB64" s="99">
        <f t="shared" si="12"/>
        <v>2.8166373573409875</v>
      </c>
      <c r="AC64" s="99">
        <f t="shared" si="13"/>
        <v>2.0037398945679907</v>
      </c>
      <c r="AD64" s="25">
        <f t="shared" si="26"/>
        <v>4125.6639913574591</v>
      </c>
      <c r="AE64" s="25">
        <f t="shared" si="27"/>
        <v>0</v>
      </c>
      <c r="AF64" s="98">
        <f t="shared" si="15"/>
        <v>4125.6639913574591</v>
      </c>
      <c r="AG64" s="98">
        <f t="shared" si="14"/>
        <v>2052.4995226539058</v>
      </c>
    </row>
    <row r="65" spans="1:33" x14ac:dyDescent="0.25">
      <c r="A65" s="21" t="s">
        <v>320</v>
      </c>
      <c r="B65" s="89">
        <v>500</v>
      </c>
      <c r="C65" s="21" t="s">
        <v>80</v>
      </c>
      <c r="D65" s="21" t="s">
        <v>156</v>
      </c>
      <c r="E65" s="90">
        <v>38.7834285122455</v>
      </c>
      <c r="F65" s="100">
        <v>115.44427555555558</v>
      </c>
      <c r="G65" s="100">
        <v>0</v>
      </c>
      <c r="H65" s="92">
        <v>12</v>
      </c>
      <c r="I65" s="90">
        <v>30</v>
      </c>
      <c r="J65" s="93">
        <v>0</v>
      </c>
      <c r="K65" s="93">
        <v>2.6991026764868101E-2</v>
      </c>
      <c r="L65" s="94">
        <f t="shared" si="5"/>
        <v>3.1159595313708088</v>
      </c>
      <c r="M65" s="21" t="s">
        <v>13</v>
      </c>
      <c r="N65" s="24" t="s">
        <v>54</v>
      </c>
      <c r="O65" s="24" t="s">
        <v>304</v>
      </c>
      <c r="P65" s="95">
        <v>0</v>
      </c>
      <c r="Q65" s="21" t="s">
        <v>78</v>
      </c>
      <c r="R65" s="21" t="s">
        <v>81</v>
      </c>
      <c r="S65" s="96">
        <f t="shared" ref="S65:S130" si="34">B65*F65</f>
        <v>57722.137777777789</v>
      </c>
      <c r="T65" s="96">
        <f t="shared" ref="T65:T130" si="35">B65*G65</f>
        <v>0</v>
      </c>
      <c r="U65" s="97">
        <f t="shared" ref="U65:U130" si="36">E65*B65</f>
        <v>19391.714256122748</v>
      </c>
      <c r="V65" s="97">
        <f t="shared" si="31"/>
        <v>14395.336307339878</v>
      </c>
      <c r="W65" s="97">
        <f t="shared" ref="W65:W130" si="37">I65*B65</f>
        <v>15000</v>
      </c>
      <c r="X65" s="25">
        <f t="shared" si="32"/>
        <v>0.7435008907391103</v>
      </c>
      <c r="Y65" s="25">
        <f t="shared" si="33"/>
        <v>7.4795347883823</v>
      </c>
      <c r="Z65" s="98">
        <f t="shared" ref="Z65:Z130" si="38">SUM(X65*S65,Y65*T65)</f>
        <v>42916.460853143435</v>
      </c>
      <c r="AA65" s="98">
        <f t="shared" si="25"/>
        <v>12548.285840068836</v>
      </c>
      <c r="AB65" s="99">
        <f t="shared" si="12"/>
        <v>1.9737938849927765</v>
      </c>
      <c r="AC65" s="99">
        <f t="shared" ref="AC65:AC130" si="39">IFERROR(Z65/SUM(W65,AA65),0)</f>
        <v>1.5578632043494216</v>
      </c>
      <c r="AD65" s="25">
        <f t="shared" si="26"/>
        <v>43052.001325852274</v>
      </c>
      <c r="AE65" s="25">
        <f t="shared" si="27"/>
        <v>0</v>
      </c>
      <c r="AF65" s="98">
        <f t="shared" si="15"/>
        <v>43052.001325852274</v>
      </c>
      <c r="AG65" s="98">
        <f t="shared" ref="AG65:AG130" si="40">SUM(AA65,W65)</f>
        <v>27548.285840068835</v>
      </c>
    </row>
    <row r="66" spans="1:33" x14ac:dyDescent="0.25">
      <c r="A66" s="21" t="s">
        <v>321</v>
      </c>
      <c r="B66" s="89">
        <v>5</v>
      </c>
      <c r="C66" s="21" t="s">
        <v>80</v>
      </c>
      <c r="D66" s="21" t="s">
        <v>156</v>
      </c>
      <c r="E66" s="90">
        <v>52.187423483923489</v>
      </c>
      <c r="F66" s="100">
        <v>21.84</v>
      </c>
      <c r="G66" s="100">
        <v>0</v>
      </c>
      <c r="H66" s="92">
        <v>12</v>
      </c>
      <c r="I66" s="90">
        <v>5</v>
      </c>
      <c r="J66" s="93">
        <v>0</v>
      </c>
      <c r="K66" s="93">
        <v>2.5250287948902599E-2</v>
      </c>
      <c r="L66" s="94">
        <f t="shared" ref="L66:L131" si="41">K66*F66</f>
        <v>0.5514662888040327</v>
      </c>
      <c r="M66" s="21" t="s">
        <v>13</v>
      </c>
      <c r="N66" s="24" t="s">
        <v>54</v>
      </c>
      <c r="O66" s="24" t="s">
        <v>304</v>
      </c>
      <c r="P66" s="95">
        <v>0</v>
      </c>
      <c r="Q66" s="21" t="s">
        <v>78</v>
      </c>
      <c r="R66" s="21" t="s">
        <v>81</v>
      </c>
      <c r="S66" s="96">
        <f t="shared" si="34"/>
        <v>109.2</v>
      </c>
      <c r="T66" s="96">
        <f t="shared" si="35"/>
        <v>0</v>
      </c>
      <c r="U66" s="97">
        <f t="shared" si="36"/>
        <v>260.93711741961744</v>
      </c>
      <c r="V66" s="97">
        <f t="shared" si="31"/>
        <v>25.477040409450552</v>
      </c>
      <c r="W66" s="97">
        <f t="shared" si="37"/>
        <v>25</v>
      </c>
      <c r="X66" s="25">
        <f t="shared" si="32"/>
        <v>0.7435008907391103</v>
      </c>
      <c r="Y66" s="25">
        <f t="shared" si="33"/>
        <v>7.4795347883823</v>
      </c>
      <c r="Z66" s="98">
        <f t="shared" si="38"/>
        <v>81.19029726871085</v>
      </c>
      <c r="AA66" s="98">
        <f t="shared" ref="AA66:AA97" si="42">WA_Elec_NIUC*(Z66/SUM(Z:Z))+IF(Z66&lt;&gt;0,P66,0)</f>
        <v>23.739121011263951</v>
      </c>
      <c r="AB66" s="99">
        <f t="shared" ref="AB66:AB131" si="43">IFERROR(1.1*SUM(Z66,V66)/SUM(AA66,U66),0)</f>
        <v>0.41216671996481347</v>
      </c>
      <c r="AC66" s="99">
        <f t="shared" si="39"/>
        <v>1.6658137361555456</v>
      </c>
      <c r="AD66" s="25">
        <f t="shared" ref="AD66:AD97" si="44">-PV(Electric_Discount_Rate,H66,S66*PCT_Elec_Constant)</f>
        <v>81.446715693073216</v>
      </c>
      <c r="AE66" s="25">
        <f t="shared" ref="AE66:AE97" si="45">-PV(Gas_Discount_Rate,H66,T66*PCT_Gas_Constant)</f>
        <v>0</v>
      </c>
      <c r="AF66" s="98">
        <f t="shared" ref="AF66:AF131" si="46">SUM(AD66:AE66)</f>
        <v>81.446715693073216</v>
      </c>
      <c r="AG66" s="98">
        <f t="shared" si="40"/>
        <v>48.739121011263947</v>
      </c>
    </row>
    <row r="67" spans="1:33" x14ac:dyDescent="0.25">
      <c r="A67" s="21" t="s">
        <v>322</v>
      </c>
      <c r="B67" s="89">
        <v>5</v>
      </c>
      <c r="C67" s="21" t="s">
        <v>80</v>
      </c>
      <c r="D67" s="21" t="s">
        <v>156</v>
      </c>
      <c r="E67" s="90">
        <v>20</v>
      </c>
      <c r="F67" s="100">
        <v>15.288</v>
      </c>
      <c r="G67" s="100">
        <v>0</v>
      </c>
      <c r="H67" s="92">
        <v>12</v>
      </c>
      <c r="I67" s="90">
        <v>3</v>
      </c>
      <c r="J67" s="93">
        <v>0</v>
      </c>
      <c r="K67" s="93">
        <v>2.5250287948902599E-2</v>
      </c>
      <c r="L67" s="94">
        <f t="shared" si="41"/>
        <v>0.38602640216282291</v>
      </c>
      <c r="M67" s="21" t="s">
        <v>13</v>
      </c>
      <c r="N67" s="24" t="s">
        <v>54</v>
      </c>
      <c r="O67" s="24" t="s">
        <v>304</v>
      </c>
      <c r="P67" s="95">
        <v>0</v>
      </c>
      <c r="Q67" s="21" t="s">
        <v>78</v>
      </c>
      <c r="R67" s="21" t="s">
        <v>81</v>
      </c>
      <c r="S67" s="96">
        <f t="shared" si="34"/>
        <v>76.44</v>
      </c>
      <c r="T67" s="96">
        <f t="shared" si="35"/>
        <v>0</v>
      </c>
      <c r="U67" s="97">
        <f t="shared" si="36"/>
        <v>100</v>
      </c>
      <c r="V67" s="97">
        <f t="shared" si="31"/>
        <v>17.833928286615389</v>
      </c>
      <c r="W67" s="97">
        <f t="shared" si="37"/>
        <v>15</v>
      </c>
      <c r="X67" s="25">
        <f t="shared" si="32"/>
        <v>0.7435008907391103</v>
      </c>
      <c r="Y67" s="25">
        <f t="shared" si="33"/>
        <v>7.4795347883823</v>
      </c>
      <c r="Z67" s="98">
        <f t="shared" si="38"/>
        <v>56.833208088097592</v>
      </c>
      <c r="AA67" s="98">
        <f t="shared" si="42"/>
        <v>16.617384707884764</v>
      </c>
      <c r="AB67" s="99">
        <f t="shared" si="43"/>
        <v>0.70430193763924309</v>
      </c>
      <c r="AC67" s="99">
        <f t="shared" si="39"/>
        <v>1.797530333807922</v>
      </c>
      <c r="AD67" s="25">
        <f t="shared" si="44"/>
        <v>57.012700985151248</v>
      </c>
      <c r="AE67" s="25">
        <f t="shared" si="45"/>
        <v>0</v>
      </c>
      <c r="AF67" s="98">
        <f t="shared" si="46"/>
        <v>57.012700985151248</v>
      </c>
      <c r="AG67" s="98">
        <f t="shared" si="40"/>
        <v>31.617384707884764</v>
      </c>
    </row>
    <row r="68" spans="1:33" x14ac:dyDescent="0.25">
      <c r="A68" s="21" t="s">
        <v>323</v>
      </c>
      <c r="B68" s="89">
        <v>25</v>
      </c>
      <c r="C68" s="21" t="s">
        <v>80</v>
      </c>
      <c r="D68" s="21" t="s">
        <v>156</v>
      </c>
      <c r="E68" s="90">
        <v>34.257603725380903</v>
      </c>
      <c r="F68" s="100">
        <v>76.207733333333323</v>
      </c>
      <c r="G68" s="100">
        <v>0</v>
      </c>
      <c r="H68" s="92">
        <v>12</v>
      </c>
      <c r="I68" s="90">
        <v>17</v>
      </c>
      <c r="J68" s="93">
        <v>0</v>
      </c>
      <c r="K68" s="93">
        <v>2.5250287948902599E-2</v>
      </c>
      <c r="L68" s="94">
        <f t="shared" si="41"/>
        <v>1.9242672105998493</v>
      </c>
      <c r="M68" s="21" t="s">
        <v>13</v>
      </c>
      <c r="N68" s="24" t="s">
        <v>54</v>
      </c>
      <c r="O68" s="24" t="s">
        <v>304</v>
      </c>
      <c r="P68" s="95">
        <v>0</v>
      </c>
      <c r="Q68" s="21" t="s">
        <v>78</v>
      </c>
      <c r="R68" s="21" t="s">
        <v>81</v>
      </c>
      <c r="S68" s="96">
        <f t="shared" si="34"/>
        <v>1905.1933333333332</v>
      </c>
      <c r="T68" s="96">
        <f t="shared" si="35"/>
        <v>0</v>
      </c>
      <c r="U68" s="97">
        <f t="shared" si="36"/>
        <v>856.44009313452261</v>
      </c>
      <c r="V68" s="97">
        <f t="shared" si="31"/>
        <v>444.49347565154886</v>
      </c>
      <c r="W68" s="97">
        <f t="shared" si="37"/>
        <v>425</v>
      </c>
      <c r="X68" s="25">
        <f t="shared" si="32"/>
        <v>0.7435008907391103</v>
      </c>
      <c r="Y68" s="25">
        <f t="shared" si="33"/>
        <v>7.4795347883823</v>
      </c>
      <c r="Z68" s="98">
        <f t="shared" si="38"/>
        <v>1416.5129403635478</v>
      </c>
      <c r="AA68" s="98">
        <f t="shared" si="42"/>
        <v>414.17229935763118</v>
      </c>
      <c r="AB68" s="99">
        <f t="shared" si="43"/>
        <v>1.611118441558288</v>
      </c>
      <c r="AC68" s="99">
        <f t="shared" si="39"/>
        <v>1.6879882015265029</v>
      </c>
      <c r="AD68" s="25">
        <f t="shared" si="44"/>
        <v>1420.9866278419272</v>
      </c>
      <c r="AE68" s="25">
        <f t="shared" si="45"/>
        <v>0</v>
      </c>
      <c r="AF68" s="98">
        <f t="shared" si="46"/>
        <v>1420.9866278419272</v>
      </c>
      <c r="AG68" s="98">
        <f t="shared" si="40"/>
        <v>839.17229935763112</v>
      </c>
    </row>
    <row r="69" spans="1:33" x14ac:dyDescent="0.25">
      <c r="A69" s="21" t="s">
        <v>324</v>
      </c>
      <c r="B69" s="89">
        <v>5</v>
      </c>
      <c r="C69" s="21" t="s">
        <v>80</v>
      </c>
      <c r="D69" s="21" t="s">
        <v>156</v>
      </c>
      <c r="E69" s="90">
        <v>28.343333333333334</v>
      </c>
      <c r="F69" s="100">
        <v>80.73866666666666</v>
      </c>
      <c r="G69" s="100">
        <v>0</v>
      </c>
      <c r="H69" s="92">
        <v>12</v>
      </c>
      <c r="I69" s="90">
        <v>9</v>
      </c>
      <c r="J69" s="93">
        <v>0</v>
      </c>
      <c r="K69" s="93">
        <v>2.5250287948902599E-2</v>
      </c>
      <c r="L69" s="94">
        <f t="shared" si="41"/>
        <v>2.038674581943797</v>
      </c>
      <c r="M69" s="21" t="s">
        <v>13</v>
      </c>
      <c r="N69" s="24" t="s">
        <v>54</v>
      </c>
      <c r="O69" s="24" t="s">
        <v>304</v>
      </c>
      <c r="P69" s="95">
        <v>0</v>
      </c>
      <c r="Q69" s="21" t="s">
        <v>78</v>
      </c>
      <c r="R69" s="21" t="s">
        <v>81</v>
      </c>
      <c r="S69" s="96">
        <f t="shared" si="34"/>
        <v>403.69333333333327</v>
      </c>
      <c r="T69" s="96">
        <f t="shared" si="35"/>
        <v>0</v>
      </c>
      <c r="U69" s="97">
        <f t="shared" si="36"/>
        <v>141.71666666666667</v>
      </c>
      <c r="V69" s="97">
        <f t="shared" si="31"/>
        <v>94.184170021603705</v>
      </c>
      <c r="W69" s="97">
        <f t="shared" si="37"/>
        <v>45</v>
      </c>
      <c r="X69" s="25">
        <f t="shared" si="32"/>
        <v>0.7435008907391103</v>
      </c>
      <c r="Y69" s="25">
        <f t="shared" si="33"/>
        <v>7.4795347883823</v>
      </c>
      <c r="Z69" s="98">
        <f t="shared" si="38"/>
        <v>300.14635291877386</v>
      </c>
      <c r="AA69" s="98">
        <f t="shared" si="42"/>
        <v>87.759385452751943</v>
      </c>
      <c r="AB69" s="99">
        <f t="shared" si="43"/>
        <v>1.8902346071767269</v>
      </c>
      <c r="AC69" s="99">
        <f t="shared" si="39"/>
        <v>2.2608296347198271</v>
      </c>
      <c r="AD69" s="25">
        <f t="shared" si="44"/>
        <v>301.09428706217062</v>
      </c>
      <c r="AE69" s="25">
        <f t="shared" si="45"/>
        <v>0</v>
      </c>
      <c r="AF69" s="98">
        <f t="shared" si="46"/>
        <v>301.09428706217062</v>
      </c>
      <c r="AG69" s="98">
        <f t="shared" si="40"/>
        <v>132.75938545275193</v>
      </c>
    </row>
    <row r="70" spans="1:33" x14ac:dyDescent="0.25">
      <c r="A70" s="21" t="s">
        <v>325</v>
      </c>
      <c r="B70" s="89">
        <v>300</v>
      </c>
      <c r="C70" s="21" t="s">
        <v>80</v>
      </c>
      <c r="D70" s="21" t="s">
        <v>156</v>
      </c>
      <c r="E70" s="90">
        <v>153.76790967224497</v>
      </c>
      <c r="F70" s="100">
        <v>122.38964050480111</v>
      </c>
      <c r="G70" s="100">
        <v>0</v>
      </c>
      <c r="H70" s="92">
        <v>12</v>
      </c>
      <c r="I70" s="90">
        <v>30</v>
      </c>
      <c r="J70" s="93">
        <v>0</v>
      </c>
      <c r="K70" s="93">
        <v>2.6991026764868101E-2</v>
      </c>
      <c r="L70" s="94">
        <f t="shared" si="41"/>
        <v>3.3034220626076718</v>
      </c>
      <c r="M70" s="21" t="s">
        <v>13</v>
      </c>
      <c r="N70" s="24" t="s">
        <v>54</v>
      </c>
      <c r="O70" s="24" t="s">
        <v>304</v>
      </c>
      <c r="P70" s="95">
        <v>0</v>
      </c>
      <c r="Q70" s="21" t="s">
        <v>78</v>
      </c>
      <c r="R70" s="21" t="s">
        <v>81</v>
      </c>
      <c r="S70" s="96">
        <f t="shared" si="34"/>
        <v>36716.892151440334</v>
      </c>
      <c r="T70" s="96">
        <f t="shared" si="35"/>
        <v>0</v>
      </c>
      <c r="U70" s="97">
        <f t="shared" si="36"/>
        <v>46130.372901673487</v>
      </c>
      <c r="V70" s="97">
        <f t="shared" si="31"/>
        <v>9156.8336002239466</v>
      </c>
      <c r="W70" s="97">
        <f t="shared" si="37"/>
        <v>9000</v>
      </c>
      <c r="X70" s="25">
        <f t="shared" si="32"/>
        <v>0.7435008907391103</v>
      </c>
      <c r="Y70" s="25">
        <f t="shared" si="33"/>
        <v>7.4795347883823</v>
      </c>
      <c r="Z70" s="98">
        <f t="shared" si="38"/>
        <v>27299.042019767738</v>
      </c>
      <c r="AA70" s="98">
        <f t="shared" si="42"/>
        <v>7981.9299078806735</v>
      </c>
      <c r="AB70" s="99">
        <f t="shared" si="43"/>
        <v>0.74107848123052844</v>
      </c>
      <c r="AC70" s="99">
        <f t="shared" si="39"/>
        <v>1.6075347247252083</v>
      </c>
      <c r="AD70" s="25">
        <f t="shared" si="44"/>
        <v>27385.258939483443</v>
      </c>
      <c r="AE70" s="25">
        <f t="shared" si="45"/>
        <v>0</v>
      </c>
      <c r="AF70" s="98">
        <f t="shared" si="46"/>
        <v>27385.258939483443</v>
      </c>
      <c r="AG70" s="98">
        <f t="shared" si="40"/>
        <v>16981.929907880673</v>
      </c>
    </row>
    <row r="71" spans="1:33" x14ac:dyDescent="0.25">
      <c r="A71" s="21" t="s">
        <v>326</v>
      </c>
      <c r="B71" s="89">
        <v>500</v>
      </c>
      <c r="C71" s="21" t="s">
        <v>80</v>
      </c>
      <c r="D71" s="21" t="s">
        <v>156</v>
      </c>
      <c r="E71" s="90">
        <v>115.39267271925192</v>
      </c>
      <c r="F71" s="100">
        <v>111.20735033217994</v>
      </c>
      <c r="G71" s="100">
        <v>0</v>
      </c>
      <c r="H71" s="92">
        <v>12</v>
      </c>
      <c r="I71" s="90">
        <v>25</v>
      </c>
      <c r="J71" s="93">
        <v>0</v>
      </c>
      <c r="K71" s="93">
        <v>2.5250287948902599E-2</v>
      </c>
      <c r="L71" s="94">
        <f t="shared" si="41"/>
        <v>2.8080176179220326</v>
      </c>
      <c r="M71" s="21" t="s">
        <v>13</v>
      </c>
      <c r="N71" s="24" t="s">
        <v>54</v>
      </c>
      <c r="O71" s="24" t="s">
        <v>304</v>
      </c>
      <c r="P71" s="95">
        <v>0</v>
      </c>
      <c r="Q71" s="21" t="s">
        <v>78</v>
      </c>
      <c r="R71" s="21" t="s">
        <v>81</v>
      </c>
      <c r="S71" s="96">
        <f t="shared" si="34"/>
        <v>55603.675166089968</v>
      </c>
      <c r="T71" s="96">
        <f t="shared" si="35"/>
        <v>0</v>
      </c>
      <c r="U71" s="97">
        <f t="shared" si="36"/>
        <v>57696.336359625959</v>
      </c>
      <c r="V71" s="97">
        <f t="shared" si="31"/>
        <v>12972.683874729273</v>
      </c>
      <c r="W71" s="97">
        <f t="shared" si="37"/>
        <v>12500</v>
      </c>
      <c r="X71" s="25">
        <f t="shared" si="32"/>
        <v>0.7435008907391103</v>
      </c>
      <c r="Y71" s="25">
        <f t="shared" si="33"/>
        <v>7.4795347883823</v>
      </c>
      <c r="Z71" s="98">
        <f t="shared" si="38"/>
        <v>41341.382014356037</v>
      </c>
      <c r="AA71" s="98">
        <f t="shared" si="42"/>
        <v>12087.75067251668</v>
      </c>
      <c r="AB71" s="99">
        <f t="shared" si="43"/>
        <v>0.85614751183138649</v>
      </c>
      <c r="AC71" s="99">
        <f t="shared" si="39"/>
        <v>1.6813812115219622</v>
      </c>
      <c r="AD71" s="25">
        <f t="shared" si="44"/>
        <v>41471.948010462678</v>
      </c>
      <c r="AE71" s="25">
        <f t="shared" si="45"/>
        <v>0</v>
      </c>
      <c r="AF71" s="98">
        <f t="shared" si="46"/>
        <v>41471.948010462678</v>
      </c>
      <c r="AG71" s="98">
        <f t="shared" si="40"/>
        <v>24587.750672516682</v>
      </c>
    </row>
    <row r="72" spans="1:33" x14ac:dyDescent="0.25">
      <c r="A72" s="21" t="s">
        <v>327</v>
      </c>
      <c r="B72" s="89">
        <v>1500</v>
      </c>
      <c r="C72" s="21" t="s">
        <v>80</v>
      </c>
      <c r="D72" s="21" t="s">
        <v>156</v>
      </c>
      <c r="E72" s="90">
        <v>178.3030596375973</v>
      </c>
      <c r="F72" s="100">
        <v>241.3422072163556</v>
      </c>
      <c r="G72" s="100">
        <v>0</v>
      </c>
      <c r="H72" s="92">
        <v>12</v>
      </c>
      <c r="I72" s="90">
        <v>50</v>
      </c>
      <c r="J72" s="93">
        <v>0</v>
      </c>
      <c r="K72" s="93">
        <v>2.5250287948902599E-2</v>
      </c>
      <c r="L72" s="94">
        <f t="shared" si="41"/>
        <v>6.0939602264366979</v>
      </c>
      <c r="M72" s="21" t="s">
        <v>13</v>
      </c>
      <c r="N72" s="24" t="s">
        <v>54</v>
      </c>
      <c r="O72" s="24" t="s">
        <v>304</v>
      </c>
      <c r="P72" s="95">
        <v>0</v>
      </c>
      <c r="Q72" s="21" t="s">
        <v>78</v>
      </c>
      <c r="R72" s="21" t="s">
        <v>81</v>
      </c>
      <c r="S72" s="96">
        <f t="shared" si="34"/>
        <v>362013.3108245334</v>
      </c>
      <c r="T72" s="96">
        <f t="shared" si="35"/>
        <v>0</v>
      </c>
      <c r="U72" s="97">
        <f t="shared" si="36"/>
        <v>267454.58945639594</v>
      </c>
      <c r="V72" s="97">
        <f t="shared" si="31"/>
        <v>84459.961068091798</v>
      </c>
      <c r="W72" s="97">
        <f t="shared" si="37"/>
        <v>75000</v>
      </c>
      <c r="X72" s="25">
        <f t="shared" si="32"/>
        <v>0.7435008907391103</v>
      </c>
      <c r="Y72" s="25">
        <f t="shared" si="33"/>
        <v>7.4795347883823</v>
      </c>
      <c r="Z72" s="98">
        <f t="shared" si="38"/>
        <v>269157.21905745496</v>
      </c>
      <c r="AA72" s="98">
        <f t="shared" si="42"/>
        <v>78698.514591134677</v>
      </c>
      <c r="AB72" s="99">
        <f t="shared" si="43"/>
        <v>1.1237192259431259</v>
      </c>
      <c r="AC72" s="99">
        <f t="shared" si="39"/>
        <v>1.7512024743600219</v>
      </c>
      <c r="AD72" s="25">
        <f t="shared" si="44"/>
        <v>270007.28208639118</v>
      </c>
      <c r="AE72" s="25">
        <f t="shared" si="45"/>
        <v>0</v>
      </c>
      <c r="AF72" s="98">
        <f t="shared" si="46"/>
        <v>270007.28208639118</v>
      </c>
      <c r="AG72" s="98">
        <f t="shared" si="40"/>
        <v>153698.51459113468</v>
      </c>
    </row>
    <row r="73" spans="1:33" x14ac:dyDescent="0.25">
      <c r="A73" s="21" t="s">
        <v>328</v>
      </c>
      <c r="B73" s="89">
        <v>150</v>
      </c>
      <c r="C73" s="21" t="s">
        <v>80</v>
      </c>
      <c r="D73" s="21" t="s">
        <v>156</v>
      </c>
      <c r="E73" s="90">
        <v>215.40337250782392</v>
      </c>
      <c r="F73" s="100">
        <v>291.04988331250001</v>
      </c>
      <c r="G73" s="100">
        <v>0</v>
      </c>
      <c r="H73" s="92">
        <v>12</v>
      </c>
      <c r="I73" s="90">
        <v>70</v>
      </c>
      <c r="J73" s="93">
        <v>0</v>
      </c>
      <c r="K73" s="93">
        <v>2.5250287948902599E-2</v>
      </c>
      <c r="L73" s="94">
        <f t="shared" si="41"/>
        <v>7.349093361135127</v>
      </c>
      <c r="M73" s="21" t="s">
        <v>13</v>
      </c>
      <c r="N73" s="24" t="s">
        <v>54</v>
      </c>
      <c r="O73" s="24" t="s">
        <v>304</v>
      </c>
      <c r="P73" s="95">
        <v>0</v>
      </c>
      <c r="Q73" s="21" t="s">
        <v>78</v>
      </c>
      <c r="R73" s="21" t="s">
        <v>81</v>
      </c>
      <c r="S73" s="96">
        <f t="shared" si="34"/>
        <v>43657.482496875004</v>
      </c>
      <c r="T73" s="96">
        <f t="shared" si="35"/>
        <v>0</v>
      </c>
      <c r="U73" s="97">
        <f t="shared" si="36"/>
        <v>32310.505876173589</v>
      </c>
      <c r="V73" s="97">
        <f t="shared" si="31"/>
        <v>10185.562689997845</v>
      </c>
      <c r="W73" s="97">
        <f t="shared" si="37"/>
        <v>10500</v>
      </c>
      <c r="X73" s="25">
        <f t="shared" si="32"/>
        <v>0.7435008907391103</v>
      </c>
      <c r="Y73" s="25">
        <f t="shared" si="33"/>
        <v>7.4795347883823</v>
      </c>
      <c r="Z73" s="98">
        <f t="shared" si="38"/>
        <v>32459.377123853683</v>
      </c>
      <c r="AA73" s="98">
        <f t="shared" si="42"/>
        <v>9490.7532970737484</v>
      </c>
      <c r="AB73" s="99">
        <f t="shared" si="43"/>
        <v>1.122201453329869</v>
      </c>
      <c r="AC73" s="99">
        <f t="shared" si="39"/>
        <v>1.6237195588124782</v>
      </c>
      <c r="AD73" s="25">
        <f t="shared" si="44"/>
        <v>32561.891619032034</v>
      </c>
      <c r="AE73" s="25">
        <f t="shared" si="45"/>
        <v>0</v>
      </c>
      <c r="AF73" s="98">
        <f t="shared" si="46"/>
        <v>32561.891619032034</v>
      </c>
      <c r="AG73" s="98">
        <f t="shared" si="40"/>
        <v>19990.753297073748</v>
      </c>
    </row>
    <row r="74" spans="1:33" x14ac:dyDescent="0.25">
      <c r="A74" s="21" t="s">
        <v>329</v>
      </c>
      <c r="B74" s="89">
        <v>100</v>
      </c>
      <c r="C74" s="21" t="s">
        <v>80</v>
      </c>
      <c r="D74" s="21" t="s">
        <v>156</v>
      </c>
      <c r="E74" s="90">
        <v>320.74232400240794</v>
      </c>
      <c r="F74" s="100">
        <v>427.80785185185186</v>
      </c>
      <c r="G74" s="100">
        <v>0</v>
      </c>
      <c r="H74" s="92">
        <v>12</v>
      </c>
      <c r="I74" s="90">
        <v>110</v>
      </c>
      <c r="J74" s="93">
        <v>0</v>
      </c>
      <c r="K74" s="93">
        <v>2.5250287948902599E-2</v>
      </c>
      <c r="L74" s="94">
        <f t="shared" si="41"/>
        <v>10.802271446060724</v>
      </c>
      <c r="M74" s="21" t="s">
        <v>13</v>
      </c>
      <c r="N74" s="24" t="s">
        <v>54</v>
      </c>
      <c r="O74" s="24" t="s">
        <v>304</v>
      </c>
      <c r="P74" s="95">
        <v>0</v>
      </c>
      <c r="Q74" s="21" t="s">
        <v>78</v>
      </c>
      <c r="R74" s="21" t="s">
        <v>81</v>
      </c>
      <c r="S74" s="96">
        <f t="shared" si="34"/>
        <v>42780.785185185188</v>
      </c>
      <c r="T74" s="96">
        <f t="shared" si="35"/>
        <v>0</v>
      </c>
      <c r="U74" s="97">
        <f t="shared" si="36"/>
        <v>32074.232400240795</v>
      </c>
      <c r="V74" s="97">
        <f t="shared" si="31"/>
        <v>9981.0237446061074</v>
      </c>
      <c r="W74" s="97">
        <f t="shared" si="37"/>
        <v>11000</v>
      </c>
      <c r="X74" s="25">
        <f t="shared" si="32"/>
        <v>0.7435008907391103</v>
      </c>
      <c r="Y74" s="25">
        <f t="shared" si="33"/>
        <v>7.4795347883823</v>
      </c>
      <c r="Z74" s="98">
        <f t="shared" si="38"/>
        <v>31807.551891703723</v>
      </c>
      <c r="AA74" s="98">
        <f t="shared" si="42"/>
        <v>9300.1670006227014</v>
      </c>
      <c r="AB74" s="99">
        <f t="shared" si="43"/>
        <v>1.1110114917820768</v>
      </c>
      <c r="AC74" s="99">
        <f t="shared" si="39"/>
        <v>1.5668615874306866</v>
      </c>
      <c r="AD74" s="25">
        <f t="shared" si="44"/>
        <v>31908.007766522129</v>
      </c>
      <c r="AE74" s="25">
        <f t="shared" si="45"/>
        <v>0</v>
      </c>
      <c r="AF74" s="98">
        <f t="shared" si="46"/>
        <v>31908.007766522129</v>
      </c>
      <c r="AG74" s="98">
        <f t="shared" si="40"/>
        <v>20300.1670006227</v>
      </c>
    </row>
    <row r="75" spans="1:33" x14ac:dyDescent="0.25">
      <c r="A75" s="21" t="s">
        <v>330</v>
      </c>
      <c r="B75" s="89">
        <v>150</v>
      </c>
      <c r="C75" s="21" t="s">
        <v>80</v>
      </c>
      <c r="D75" s="21" t="s">
        <v>156</v>
      </c>
      <c r="E75" s="90">
        <v>313.91146751777637</v>
      </c>
      <c r="F75" s="100">
        <v>527.64353217993084</v>
      </c>
      <c r="G75" s="100">
        <v>0</v>
      </c>
      <c r="H75" s="92">
        <v>12</v>
      </c>
      <c r="I75" s="90">
        <v>140</v>
      </c>
      <c r="J75" s="93">
        <v>0</v>
      </c>
      <c r="K75" s="93">
        <v>2.5250287948902602E-2</v>
      </c>
      <c r="L75" s="94">
        <f t="shared" si="41"/>
        <v>13.32315112191931</v>
      </c>
      <c r="M75" s="21" t="s">
        <v>13</v>
      </c>
      <c r="N75" s="24" t="s">
        <v>54</v>
      </c>
      <c r="O75" s="24" t="s">
        <v>304</v>
      </c>
      <c r="P75" s="95">
        <v>0</v>
      </c>
      <c r="Q75" s="21" t="s">
        <v>78</v>
      </c>
      <c r="R75" s="21" t="s">
        <v>81</v>
      </c>
      <c r="S75" s="96">
        <f t="shared" si="34"/>
        <v>79146.52982698963</v>
      </c>
      <c r="T75" s="96">
        <f t="shared" si="35"/>
        <v>0</v>
      </c>
      <c r="U75" s="97">
        <f t="shared" si="36"/>
        <v>47086.720127666456</v>
      </c>
      <c r="V75" s="97">
        <f t="shared" si="31"/>
        <v>18465.378559249075</v>
      </c>
      <c r="W75" s="97">
        <f t="shared" si="37"/>
        <v>21000</v>
      </c>
      <c r="X75" s="25">
        <f t="shared" si="32"/>
        <v>0.7435008907391103</v>
      </c>
      <c r="Y75" s="25">
        <f t="shared" si="33"/>
        <v>7.4795347883823</v>
      </c>
      <c r="Z75" s="98">
        <f t="shared" si="38"/>
        <v>58845.515425276353</v>
      </c>
      <c r="AA75" s="98">
        <f t="shared" si="42"/>
        <v>17205.760523667748</v>
      </c>
      <c r="AB75" s="99">
        <f t="shared" si="43"/>
        <v>1.3227360730436084</v>
      </c>
      <c r="AC75" s="99">
        <f t="shared" si="39"/>
        <v>1.5402262543320573</v>
      </c>
      <c r="AD75" s="25">
        <f t="shared" si="44"/>
        <v>59031.363671356812</v>
      </c>
      <c r="AE75" s="25">
        <f t="shared" si="45"/>
        <v>0</v>
      </c>
      <c r="AF75" s="98">
        <f t="shared" si="46"/>
        <v>59031.363671356812</v>
      </c>
      <c r="AG75" s="98">
        <f t="shared" si="40"/>
        <v>38205.760523667748</v>
      </c>
    </row>
    <row r="76" spans="1:33" x14ac:dyDescent="0.25">
      <c r="A76" s="21" t="s">
        <v>331</v>
      </c>
      <c r="B76" s="89">
        <v>5</v>
      </c>
      <c r="C76" s="21" t="s">
        <v>80</v>
      </c>
      <c r="D76" s="21" t="s">
        <v>156</v>
      </c>
      <c r="E76" s="90">
        <v>320</v>
      </c>
      <c r="F76" s="100">
        <v>777</v>
      </c>
      <c r="G76" s="100">
        <v>0</v>
      </c>
      <c r="H76" s="92">
        <v>12</v>
      </c>
      <c r="I76" s="90">
        <v>200</v>
      </c>
      <c r="J76" s="93">
        <v>0</v>
      </c>
      <c r="K76" s="93">
        <v>2.5250287948902599E-2</v>
      </c>
      <c r="L76" s="94">
        <f t="shared" si="41"/>
        <v>19.619473736297319</v>
      </c>
      <c r="M76" s="21" t="s">
        <v>13</v>
      </c>
      <c r="N76" s="24" t="s">
        <v>54</v>
      </c>
      <c r="O76" s="24" t="s">
        <v>304</v>
      </c>
      <c r="P76" s="95">
        <v>0</v>
      </c>
      <c r="Q76" s="21" t="s">
        <v>78</v>
      </c>
      <c r="R76" s="21" t="s">
        <v>81</v>
      </c>
      <c r="S76" s="96">
        <f t="shared" si="34"/>
        <v>3885</v>
      </c>
      <c r="T76" s="96">
        <f t="shared" si="35"/>
        <v>0</v>
      </c>
      <c r="U76" s="97">
        <f t="shared" si="36"/>
        <v>1600</v>
      </c>
      <c r="V76" s="97">
        <f t="shared" si="31"/>
        <v>906.39470687468338</v>
      </c>
      <c r="W76" s="97">
        <f t="shared" si="37"/>
        <v>1000</v>
      </c>
      <c r="X76" s="25">
        <f t="shared" si="32"/>
        <v>0.7435008907391103</v>
      </c>
      <c r="Y76" s="25">
        <f t="shared" si="33"/>
        <v>7.4795347883823</v>
      </c>
      <c r="Z76" s="98">
        <f t="shared" si="38"/>
        <v>2888.5009605214436</v>
      </c>
      <c r="AA76" s="98">
        <f t="shared" si="42"/>
        <v>844.56488213150578</v>
      </c>
      <c r="AB76" s="99">
        <f t="shared" si="43"/>
        <v>1.7076189160076374</v>
      </c>
      <c r="AC76" s="99">
        <f t="shared" si="39"/>
        <v>1.5659524847852502</v>
      </c>
      <c r="AD76" s="25">
        <f t="shared" si="44"/>
        <v>2897.6235390804895</v>
      </c>
      <c r="AE76" s="25">
        <f t="shared" si="45"/>
        <v>0</v>
      </c>
      <c r="AF76" s="98">
        <f t="shared" si="46"/>
        <v>2897.6235390804895</v>
      </c>
      <c r="AG76" s="98">
        <f t="shared" si="40"/>
        <v>1844.5648821315058</v>
      </c>
    </row>
    <row r="77" spans="1:33" x14ac:dyDescent="0.25">
      <c r="A77" s="21" t="s">
        <v>332</v>
      </c>
      <c r="B77" s="89">
        <v>250</v>
      </c>
      <c r="C77" s="21" t="s">
        <v>80</v>
      </c>
      <c r="D77" s="21" t="s">
        <v>156</v>
      </c>
      <c r="E77" s="90">
        <v>76.812904922353383</v>
      </c>
      <c r="F77" s="100">
        <v>114.48115714285714</v>
      </c>
      <c r="G77" s="100">
        <v>0</v>
      </c>
      <c r="H77" s="92">
        <v>12</v>
      </c>
      <c r="I77" s="90">
        <v>20</v>
      </c>
      <c r="J77" s="93">
        <v>0</v>
      </c>
      <c r="K77" s="93">
        <v>2.5250287948902599E-2</v>
      </c>
      <c r="L77" s="94">
        <f t="shared" si="41"/>
        <v>2.8906821825807105</v>
      </c>
      <c r="M77" s="21" t="s">
        <v>13</v>
      </c>
      <c r="N77" s="24" t="s">
        <v>54</v>
      </c>
      <c r="O77" s="24" t="s">
        <v>304</v>
      </c>
      <c r="P77" s="95">
        <v>0</v>
      </c>
      <c r="Q77" s="21" t="s">
        <v>78</v>
      </c>
      <c r="R77" s="21" t="s">
        <v>81</v>
      </c>
      <c r="S77" s="96">
        <f t="shared" si="34"/>
        <v>28620.289285714287</v>
      </c>
      <c r="T77" s="96">
        <f t="shared" si="35"/>
        <v>0</v>
      </c>
      <c r="U77" s="97">
        <f t="shared" si="36"/>
        <v>19203.226230588345</v>
      </c>
      <c r="V77" s="97">
        <f t="shared" si="31"/>
        <v>6677.2918192519019</v>
      </c>
      <c r="W77" s="97">
        <f t="shared" si="37"/>
        <v>5000</v>
      </c>
      <c r="X77" s="25">
        <f t="shared" si="32"/>
        <v>0.7435008907391103</v>
      </c>
      <c r="Y77" s="25">
        <f t="shared" si="33"/>
        <v>7.4795347883823</v>
      </c>
      <c r="Z77" s="98">
        <f t="shared" si="38"/>
        <v>21279.210577139587</v>
      </c>
      <c r="AA77" s="98">
        <f t="shared" si="42"/>
        <v>6221.7995488182451</v>
      </c>
      <c r="AB77" s="99">
        <f t="shared" si="43"/>
        <v>1.2095229677579655</v>
      </c>
      <c r="AC77" s="99">
        <f t="shared" si="39"/>
        <v>1.8962386990222504</v>
      </c>
      <c r="AD77" s="25">
        <f t="shared" si="44"/>
        <v>21346.415425889019</v>
      </c>
      <c r="AE77" s="25">
        <f t="shared" si="45"/>
        <v>0</v>
      </c>
      <c r="AF77" s="98">
        <f t="shared" si="46"/>
        <v>21346.415425889019</v>
      </c>
      <c r="AG77" s="98">
        <f t="shared" si="40"/>
        <v>11221.799548818246</v>
      </c>
    </row>
    <row r="78" spans="1:33" x14ac:dyDescent="0.25">
      <c r="A78" s="21" t="s">
        <v>333</v>
      </c>
      <c r="B78" s="89">
        <v>50</v>
      </c>
      <c r="C78" s="21" t="s">
        <v>80</v>
      </c>
      <c r="D78" s="21" t="s">
        <v>156</v>
      </c>
      <c r="E78" s="90">
        <v>163.81439021164022</v>
      </c>
      <c r="F78" s="100">
        <v>170.97888888888892</v>
      </c>
      <c r="G78" s="100">
        <v>0</v>
      </c>
      <c r="H78" s="92">
        <v>12</v>
      </c>
      <c r="I78" s="90">
        <v>30</v>
      </c>
      <c r="J78" s="93">
        <v>0</v>
      </c>
      <c r="K78" s="93">
        <v>2.5250287948902599E-2</v>
      </c>
      <c r="L78" s="94">
        <f t="shared" si="41"/>
        <v>4.317266177627868</v>
      </c>
      <c r="M78" s="21" t="s">
        <v>13</v>
      </c>
      <c r="N78" s="24" t="s">
        <v>54</v>
      </c>
      <c r="O78" s="24" t="s">
        <v>304</v>
      </c>
      <c r="P78" s="95">
        <v>0</v>
      </c>
      <c r="Q78" s="21" t="s">
        <v>78</v>
      </c>
      <c r="R78" s="21" t="s">
        <v>81</v>
      </c>
      <c r="S78" s="96">
        <f t="shared" si="34"/>
        <v>8548.9444444444453</v>
      </c>
      <c r="T78" s="96">
        <f t="shared" si="35"/>
        <v>0</v>
      </c>
      <c r="U78" s="97">
        <f t="shared" si="36"/>
        <v>8190.719510582011</v>
      </c>
      <c r="V78" s="97">
        <f t="shared" si="31"/>
        <v>1994.5220061287455</v>
      </c>
      <c r="W78" s="97">
        <f t="shared" si="37"/>
        <v>1500</v>
      </c>
      <c r="X78" s="25">
        <f t="shared" si="32"/>
        <v>0.7435008907391103</v>
      </c>
      <c r="Y78" s="25">
        <f t="shared" si="33"/>
        <v>7.4795347883823</v>
      </c>
      <c r="Z78" s="98">
        <f t="shared" si="38"/>
        <v>6356.1478093236137</v>
      </c>
      <c r="AA78" s="98">
        <f t="shared" si="42"/>
        <v>1858.4654458355251</v>
      </c>
      <c r="AB78" s="99">
        <f t="shared" si="43"/>
        <v>0.91407779206327255</v>
      </c>
      <c r="AC78" s="99">
        <f t="shared" si="39"/>
        <v>1.8925750202983909</v>
      </c>
      <c r="AD78" s="25">
        <f t="shared" si="44"/>
        <v>6376.2220480086489</v>
      </c>
      <c r="AE78" s="25">
        <f t="shared" si="45"/>
        <v>0</v>
      </c>
      <c r="AF78" s="98">
        <f t="shared" si="46"/>
        <v>6376.2220480086489</v>
      </c>
      <c r="AG78" s="98">
        <f t="shared" si="40"/>
        <v>3358.4654458355253</v>
      </c>
    </row>
    <row r="79" spans="1:33" x14ac:dyDescent="0.25">
      <c r="A79" s="21" t="s">
        <v>334</v>
      </c>
      <c r="B79" s="89">
        <v>250</v>
      </c>
      <c r="C79" s="21" t="s">
        <v>80</v>
      </c>
      <c r="D79" s="21" t="s">
        <v>156</v>
      </c>
      <c r="E79" s="90">
        <v>161.89051091292717</v>
      </c>
      <c r="F79" s="100">
        <v>183.64744636678199</v>
      </c>
      <c r="G79" s="100">
        <v>0</v>
      </c>
      <c r="H79" s="92">
        <v>12</v>
      </c>
      <c r="I79" s="90">
        <v>40</v>
      </c>
      <c r="J79" s="93">
        <v>0</v>
      </c>
      <c r="K79" s="93">
        <v>2.5250287948902599E-2</v>
      </c>
      <c r="L79" s="94">
        <f t="shared" si="41"/>
        <v>4.6371509018418919</v>
      </c>
      <c r="M79" s="21" t="s">
        <v>13</v>
      </c>
      <c r="N79" s="24" t="s">
        <v>54</v>
      </c>
      <c r="O79" s="24" t="s">
        <v>304</v>
      </c>
      <c r="P79" s="95">
        <v>0</v>
      </c>
      <c r="Q79" s="21" t="s">
        <v>78</v>
      </c>
      <c r="R79" s="21" t="s">
        <v>81</v>
      </c>
      <c r="S79" s="96">
        <f t="shared" si="34"/>
        <v>45911.861591695495</v>
      </c>
      <c r="T79" s="96">
        <f t="shared" si="35"/>
        <v>0</v>
      </c>
      <c r="U79" s="97">
        <f t="shared" si="36"/>
        <v>40472.62772823179</v>
      </c>
      <c r="V79" s="97">
        <f t="shared" si="31"/>
        <v>10711.523379530468</v>
      </c>
      <c r="W79" s="97">
        <f t="shared" si="37"/>
        <v>10000</v>
      </c>
      <c r="X79" s="25">
        <f t="shared" si="32"/>
        <v>0.7435008907391103</v>
      </c>
      <c r="Y79" s="25">
        <f t="shared" si="33"/>
        <v>7.4795347883823</v>
      </c>
      <c r="Z79" s="98">
        <f t="shared" si="38"/>
        <v>34135.509988916347</v>
      </c>
      <c r="AA79" s="98">
        <f t="shared" si="42"/>
        <v>9980.8355144474426</v>
      </c>
      <c r="AB79" s="99">
        <f t="shared" si="43"/>
        <v>0.97776710526307642</v>
      </c>
      <c r="AC79" s="99">
        <f t="shared" si="39"/>
        <v>1.708412541819593</v>
      </c>
      <c r="AD79" s="25">
        <f t="shared" si="44"/>
        <v>34243.318113539841</v>
      </c>
      <c r="AE79" s="25">
        <f t="shared" si="45"/>
        <v>0</v>
      </c>
      <c r="AF79" s="98">
        <f t="shared" si="46"/>
        <v>34243.318113539841</v>
      </c>
      <c r="AG79" s="98">
        <f t="shared" si="40"/>
        <v>19980.835514447441</v>
      </c>
    </row>
    <row r="80" spans="1:33" x14ac:dyDescent="0.25">
      <c r="A80" s="21" t="s">
        <v>335</v>
      </c>
      <c r="B80" s="89">
        <v>25</v>
      </c>
      <c r="C80" s="21" t="s">
        <v>80</v>
      </c>
      <c r="D80" s="21" t="s">
        <v>156</v>
      </c>
      <c r="E80" s="90">
        <v>114.69615628815629</v>
      </c>
      <c r="F80" s="100">
        <v>411.56700000000001</v>
      </c>
      <c r="G80" s="100">
        <v>0</v>
      </c>
      <c r="H80" s="92">
        <v>12</v>
      </c>
      <c r="I80" s="90">
        <v>75</v>
      </c>
      <c r="J80" s="93">
        <v>0</v>
      </c>
      <c r="K80" s="93">
        <v>2.5250287948902599E-2</v>
      </c>
      <c r="L80" s="94">
        <f t="shared" si="41"/>
        <v>10.392185260265997</v>
      </c>
      <c r="M80" s="21" t="s">
        <v>13</v>
      </c>
      <c r="N80" s="24" t="s">
        <v>54</v>
      </c>
      <c r="O80" s="24" t="s">
        <v>304</v>
      </c>
      <c r="P80" s="95">
        <v>0</v>
      </c>
      <c r="Q80" s="21" t="s">
        <v>78</v>
      </c>
      <c r="R80" s="21" t="s">
        <v>81</v>
      </c>
      <c r="S80" s="96">
        <f t="shared" si="34"/>
        <v>10289.174999999999</v>
      </c>
      <c r="T80" s="96">
        <f t="shared" si="35"/>
        <v>0</v>
      </c>
      <c r="U80" s="97">
        <f t="shared" si="36"/>
        <v>2867.4039072039072</v>
      </c>
      <c r="V80" s="97">
        <f t="shared" si="31"/>
        <v>2400.5286378654619</v>
      </c>
      <c r="W80" s="97">
        <f t="shared" si="37"/>
        <v>1875</v>
      </c>
      <c r="X80" s="25">
        <f t="shared" si="32"/>
        <v>0.7435008907391103</v>
      </c>
      <c r="Y80" s="25">
        <f t="shared" si="33"/>
        <v>7.4795347883823</v>
      </c>
      <c r="Z80" s="98">
        <f t="shared" si="38"/>
        <v>7650.0107774705848</v>
      </c>
      <c r="AA80" s="98">
        <f t="shared" si="42"/>
        <v>2236.7762859988252</v>
      </c>
      <c r="AB80" s="99">
        <f t="shared" si="43"/>
        <v>2.165988060451403</v>
      </c>
      <c r="AC80" s="99">
        <f t="shared" si="39"/>
        <v>1.8605124027588622</v>
      </c>
      <c r="AD80" s="25">
        <f t="shared" si="44"/>
        <v>7674.1713456160851</v>
      </c>
      <c r="AE80" s="25">
        <f t="shared" si="45"/>
        <v>0</v>
      </c>
      <c r="AF80" s="98">
        <f t="shared" si="46"/>
        <v>7674.1713456160851</v>
      </c>
      <c r="AG80" s="98">
        <f t="shared" si="40"/>
        <v>4111.7762859988252</v>
      </c>
    </row>
    <row r="81" spans="1:33" x14ac:dyDescent="0.25">
      <c r="A81" s="21" t="s">
        <v>336</v>
      </c>
      <c r="B81" s="89">
        <v>25</v>
      </c>
      <c r="C81" s="21" t="s">
        <v>80</v>
      </c>
      <c r="D81" s="21" t="s">
        <v>156</v>
      </c>
      <c r="E81" s="90">
        <v>271.65483333333333</v>
      </c>
      <c r="F81" s="100">
        <v>546</v>
      </c>
      <c r="G81" s="100">
        <v>0</v>
      </c>
      <c r="H81" s="92">
        <v>12</v>
      </c>
      <c r="I81" s="90">
        <v>140</v>
      </c>
      <c r="J81" s="93">
        <v>0</v>
      </c>
      <c r="K81" s="93">
        <v>2.5250287948902599E-2</v>
      </c>
      <c r="L81" s="94">
        <f t="shared" si="41"/>
        <v>13.786657220100819</v>
      </c>
      <c r="M81" s="21" t="s">
        <v>13</v>
      </c>
      <c r="N81" s="24" t="s">
        <v>54</v>
      </c>
      <c r="O81" s="24" t="s">
        <v>304</v>
      </c>
      <c r="P81" s="95">
        <v>0</v>
      </c>
      <c r="Q81" s="21" t="s">
        <v>78</v>
      </c>
      <c r="R81" s="21" t="s">
        <v>81</v>
      </c>
      <c r="S81" s="96">
        <f t="shared" si="34"/>
        <v>13650</v>
      </c>
      <c r="T81" s="96">
        <f t="shared" si="35"/>
        <v>0</v>
      </c>
      <c r="U81" s="97">
        <f t="shared" si="36"/>
        <v>6791.3708333333334</v>
      </c>
      <c r="V81" s="97">
        <f t="shared" si="31"/>
        <v>3184.6300511813197</v>
      </c>
      <c r="W81" s="97">
        <f t="shared" si="37"/>
        <v>3500</v>
      </c>
      <c r="X81" s="25">
        <f t="shared" si="32"/>
        <v>0.7435008907391103</v>
      </c>
      <c r="Y81" s="25">
        <f t="shared" si="33"/>
        <v>7.4795347883823</v>
      </c>
      <c r="Z81" s="98">
        <f t="shared" si="38"/>
        <v>10148.787158588855</v>
      </c>
      <c r="AA81" s="98">
        <f t="shared" si="42"/>
        <v>2967.3901264079936</v>
      </c>
      <c r="AB81" s="99">
        <f t="shared" si="43"/>
        <v>1.5029324922757366</v>
      </c>
      <c r="AC81" s="99">
        <f t="shared" si="39"/>
        <v>1.569224518735739</v>
      </c>
      <c r="AD81" s="25">
        <f t="shared" si="44"/>
        <v>10180.839461634152</v>
      </c>
      <c r="AE81" s="25">
        <f t="shared" si="45"/>
        <v>0</v>
      </c>
      <c r="AF81" s="98">
        <f t="shared" si="46"/>
        <v>10180.839461634152</v>
      </c>
      <c r="AG81" s="98">
        <f t="shared" si="40"/>
        <v>6467.3901264079941</v>
      </c>
    </row>
    <row r="82" spans="1:33" x14ac:dyDescent="0.25">
      <c r="A82" s="21" t="s">
        <v>337</v>
      </c>
      <c r="B82" s="89">
        <v>50</v>
      </c>
      <c r="C82" s="21" t="s">
        <v>80</v>
      </c>
      <c r="D82" s="21" t="s">
        <v>156</v>
      </c>
      <c r="E82" s="90">
        <v>516.1812083333333</v>
      </c>
      <c r="F82" s="100">
        <v>1007.1644142857142</v>
      </c>
      <c r="G82" s="100">
        <v>0</v>
      </c>
      <c r="H82" s="92">
        <v>20</v>
      </c>
      <c r="I82" s="90">
        <v>260</v>
      </c>
      <c r="J82" s="93">
        <v>0</v>
      </c>
      <c r="K82" s="93">
        <v>2.5250287948902599E-2</v>
      </c>
      <c r="L82" s="94">
        <f t="shared" si="41"/>
        <v>25.431191472602112</v>
      </c>
      <c r="M82" s="21" t="s">
        <v>13</v>
      </c>
      <c r="N82" s="24" t="s">
        <v>54</v>
      </c>
      <c r="O82" s="24" t="s">
        <v>304</v>
      </c>
      <c r="P82" s="95">
        <v>0</v>
      </c>
      <c r="Q82" s="21" t="s">
        <v>78</v>
      </c>
      <c r="R82" s="21" t="s">
        <v>81</v>
      </c>
      <c r="S82" s="96">
        <f t="shared" si="34"/>
        <v>50358.220714285708</v>
      </c>
      <c r="T82" s="96">
        <f t="shared" si="35"/>
        <v>0</v>
      </c>
      <c r="U82" s="97">
        <f t="shared" si="36"/>
        <v>25809.060416666664</v>
      </c>
      <c r="V82" s="97">
        <f t="shared" si="31"/>
        <v>16875.001517426939</v>
      </c>
      <c r="W82" s="97">
        <f t="shared" si="37"/>
        <v>13000</v>
      </c>
      <c r="X82" s="25">
        <f t="shared" si="32"/>
        <v>1.099250665822983</v>
      </c>
      <c r="Y82" s="25">
        <f t="shared" si="33"/>
        <v>10.603965060189148</v>
      </c>
      <c r="Z82" s="98">
        <f t="shared" si="38"/>
        <v>55356.307649839298</v>
      </c>
      <c r="AA82" s="98">
        <f t="shared" si="42"/>
        <v>16185.555789838492</v>
      </c>
      <c r="AB82" s="99">
        <f t="shared" si="43"/>
        <v>1.8920149119420937</v>
      </c>
      <c r="AC82" s="99">
        <f t="shared" si="39"/>
        <v>1.8967021922917311</v>
      </c>
      <c r="AD82" s="25">
        <f t="shared" si="44"/>
        <v>53947.139417348524</v>
      </c>
      <c r="AE82" s="25">
        <f t="shared" si="45"/>
        <v>0</v>
      </c>
      <c r="AF82" s="98">
        <f t="shared" si="46"/>
        <v>53947.139417348524</v>
      </c>
      <c r="AG82" s="98">
        <f t="shared" si="40"/>
        <v>29185.555789838494</v>
      </c>
    </row>
    <row r="83" spans="1:33" x14ac:dyDescent="0.25">
      <c r="A83" s="21" t="s">
        <v>338</v>
      </c>
      <c r="B83" s="89">
        <v>500</v>
      </c>
      <c r="C83" s="21" t="s">
        <v>80</v>
      </c>
      <c r="D83" s="21" t="s">
        <v>156</v>
      </c>
      <c r="E83" s="90">
        <v>500.36170114044052</v>
      </c>
      <c r="F83" s="100">
        <v>1195.7442230721088</v>
      </c>
      <c r="G83" s="100">
        <v>0</v>
      </c>
      <c r="H83" s="92">
        <v>20</v>
      </c>
      <c r="I83" s="90">
        <v>310</v>
      </c>
      <c r="J83" s="93">
        <v>0</v>
      </c>
      <c r="K83" s="93">
        <v>2.5250287948902599E-2</v>
      </c>
      <c r="L83" s="94">
        <f t="shared" si="41"/>
        <v>30.192885945807568</v>
      </c>
      <c r="M83" s="21" t="s">
        <v>13</v>
      </c>
      <c r="N83" s="24" t="s">
        <v>54</v>
      </c>
      <c r="O83" s="24" t="s">
        <v>304</v>
      </c>
      <c r="P83" s="95">
        <v>0</v>
      </c>
      <c r="Q83" s="21" t="s">
        <v>78</v>
      </c>
      <c r="R83" s="21" t="s">
        <v>81</v>
      </c>
      <c r="S83" s="96">
        <f t="shared" si="34"/>
        <v>597872.11153605441</v>
      </c>
      <c r="T83" s="96">
        <f t="shared" si="35"/>
        <v>0</v>
      </c>
      <c r="U83" s="97">
        <f t="shared" si="36"/>
        <v>250180.85057022027</v>
      </c>
      <c r="V83" s="97">
        <f t="shared" si="31"/>
        <v>200346.49052912381</v>
      </c>
      <c r="W83" s="97">
        <f t="shared" si="37"/>
        <v>155000</v>
      </c>
      <c r="X83" s="25">
        <f t="shared" si="32"/>
        <v>1.099250665822983</v>
      </c>
      <c r="Y83" s="25">
        <f t="shared" si="33"/>
        <v>10.603965060189148</v>
      </c>
      <c r="Z83" s="98">
        <f t="shared" si="38"/>
        <v>657211.31668300054</v>
      </c>
      <c r="AA83" s="98">
        <f t="shared" si="42"/>
        <v>192161.12640989703</v>
      </c>
      <c r="AB83" s="99">
        <f t="shared" si="43"/>
        <v>2.1325436811884071</v>
      </c>
      <c r="AC83" s="99">
        <f t="shared" si="39"/>
        <v>1.893101694534266</v>
      </c>
      <c r="AD83" s="25">
        <f t="shared" si="44"/>
        <v>640481.13093142596</v>
      </c>
      <c r="AE83" s="25">
        <f t="shared" si="45"/>
        <v>0</v>
      </c>
      <c r="AF83" s="98">
        <f t="shared" si="46"/>
        <v>640481.13093142596</v>
      </c>
      <c r="AG83" s="98">
        <f t="shared" si="40"/>
        <v>347161.126409897</v>
      </c>
    </row>
    <row r="84" spans="1:33" x14ac:dyDescent="0.25">
      <c r="A84" s="21" t="s">
        <v>339</v>
      </c>
      <c r="B84" s="89">
        <v>25</v>
      </c>
      <c r="C84" s="21" t="s">
        <v>80</v>
      </c>
      <c r="D84" s="21" t="s">
        <v>156</v>
      </c>
      <c r="E84" s="90">
        <v>612.56837763409965</v>
      </c>
      <c r="F84" s="100">
        <v>3175.27808</v>
      </c>
      <c r="G84" s="100">
        <v>0</v>
      </c>
      <c r="H84" s="92">
        <v>20</v>
      </c>
      <c r="I84" s="90">
        <v>600</v>
      </c>
      <c r="J84" s="93">
        <v>0</v>
      </c>
      <c r="K84" s="93">
        <v>2.5250287948902599E-2</v>
      </c>
      <c r="L84" s="94">
        <f t="shared" si="41"/>
        <v>80.176685837838576</v>
      </c>
      <c r="M84" s="21" t="s">
        <v>13</v>
      </c>
      <c r="N84" s="24" t="s">
        <v>54</v>
      </c>
      <c r="O84" s="24" t="s">
        <v>304</v>
      </c>
      <c r="P84" s="95">
        <v>0</v>
      </c>
      <c r="Q84" s="21" t="s">
        <v>78</v>
      </c>
      <c r="R84" s="21" t="s">
        <v>81</v>
      </c>
      <c r="S84" s="96">
        <f t="shared" si="34"/>
        <v>79381.952000000005</v>
      </c>
      <c r="T84" s="96">
        <f t="shared" si="35"/>
        <v>0</v>
      </c>
      <c r="U84" s="97">
        <f t="shared" si="36"/>
        <v>15314.209440852492</v>
      </c>
      <c r="V84" s="97">
        <f t="shared" si="31"/>
        <v>26600.831829554714</v>
      </c>
      <c r="W84" s="97">
        <f t="shared" si="37"/>
        <v>15000</v>
      </c>
      <c r="X84" s="25">
        <f t="shared" si="32"/>
        <v>1.099250665822983</v>
      </c>
      <c r="Y84" s="25">
        <f t="shared" si="33"/>
        <v>10.603965060189148</v>
      </c>
      <c r="Z84" s="98">
        <f t="shared" si="38"/>
        <v>87260.663590328084</v>
      </c>
      <c r="AA84" s="98">
        <f t="shared" si="42"/>
        <v>25514.027195122791</v>
      </c>
      <c r="AB84" s="99">
        <f t="shared" si="43"/>
        <v>3.0676721622483862</v>
      </c>
      <c r="AC84" s="99">
        <f t="shared" si="39"/>
        <v>2.1538383032144681</v>
      </c>
      <c r="AD84" s="25">
        <f t="shared" si="44"/>
        <v>85039.327661360789</v>
      </c>
      <c r="AE84" s="25">
        <f t="shared" si="45"/>
        <v>0</v>
      </c>
      <c r="AF84" s="98">
        <f t="shared" si="46"/>
        <v>85039.327661360789</v>
      </c>
      <c r="AG84" s="98">
        <f t="shared" si="40"/>
        <v>40514.027195122791</v>
      </c>
    </row>
    <row r="85" spans="1:33" x14ac:dyDescent="0.25">
      <c r="A85" s="21" t="s">
        <v>340</v>
      </c>
      <c r="B85" s="89">
        <v>50</v>
      </c>
      <c r="C85" s="21" t="s">
        <v>80</v>
      </c>
      <c r="D85" s="21" t="s">
        <v>156</v>
      </c>
      <c r="E85" s="90">
        <v>201.89115918803418</v>
      </c>
      <c r="F85" s="100">
        <v>48.898142222222241</v>
      </c>
      <c r="G85" s="100">
        <v>0</v>
      </c>
      <c r="H85" s="92">
        <v>12</v>
      </c>
      <c r="I85" s="90">
        <v>10</v>
      </c>
      <c r="J85" s="93">
        <v>0</v>
      </c>
      <c r="K85" s="93">
        <v>2.5250287948902599E-2</v>
      </c>
      <c r="L85" s="94">
        <f t="shared" si="41"/>
        <v>1.2346921712775036</v>
      </c>
      <c r="M85" s="21" t="s">
        <v>13</v>
      </c>
      <c r="N85" s="24" t="s">
        <v>54</v>
      </c>
      <c r="O85" s="24" t="s">
        <v>304</v>
      </c>
      <c r="P85" s="95">
        <v>0</v>
      </c>
      <c r="Q85" s="21" t="s">
        <v>78</v>
      </c>
      <c r="R85" s="21" t="s">
        <v>81</v>
      </c>
      <c r="S85" s="96">
        <f t="shared" si="34"/>
        <v>2444.907111111112</v>
      </c>
      <c r="T85" s="96">
        <f t="shared" si="35"/>
        <v>0</v>
      </c>
      <c r="U85" s="97">
        <f t="shared" si="36"/>
        <v>10094.557959401709</v>
      </c>
      <c r="V85" s="97">
        <f t="shared" si="31"/>
        <v>570.41206288581338</v>
      </c>
      <c r="W85" s="97">
        <f t="shared" si="37"/>
        <v>500</v>
      </c>
      <c r="X85" s="25">
        <f t="shared" si="32"/>
        <v>0.7435008907391103</v>
      </c>
      <c r="Y85" s="25">
        <f t="shared" si="33"/>
        <v>7.4795347883823</v>
      </c>
      <c r="Z85" s="98">
        <f t="shared" si="38"/>
        <v>1817.7906148854968</v>
      </c>
      <c r="AA85" s="98">
        <f t="shared" si="42"/>
        <v>531.50133490811754</v>
      </c>
      <c r="AB85" s="99">
        <f t="shared" si="43"/>
        <v>0.24722457053812899</v>
      </c>
      <c r="AC85" s="99">
        <f t="shared" si="39"/>
        <v>1.7622765510501439</v>
      </c>
      <c r="AD85" s="25">
        <f t="shared" si="44"/>
        <v>1823.5316334673967</v>
      </c>
      <c r="AE85" s="25">
        <f t="shared" si="45"/>
        <v>0</v>
      </c>
      <c r="AF85" s="98">
        <f t="shared" si="46"/>
        <v>1823.5316334673967</v>
      </c>
      <c r="AG85" s="98">
        <f t="shared" si="40"/>
        <v>1031.5013349081175</v>
      </c>
    </row>
    <row r="86" spans="1:33" x14ac:dyDescent="0.25">
      <c r="A86" s="21" t="s">
        <v>341</v>
      </c>
      <c r="B86" s="89">
        <v>75</v>
      </c>
      <c r="C86" s="21" t="s">
        <v>80</v>
      </c>
      <c r="D86" s="21" t="s">
        <v>156</v>
      </c>
      <c r="E86" s="90">
        <v>145.58447480364694</v>
      </c>
      <c r="F86" s="100">
        <v>190.73512345713189</v>
      </c>
      <c r="G86" s="100">
        <v>0</v>
      </c>
      <c r="H86" s="92">
        <v>12</v>
      </c>
      <c r="I86" s="90">
        <v>30</v>
      </c>
      <c r="J86" s="93">
        <v>0</v>
      </c>
      <c r="K86" s="93">
        <v>2.5250287948902599E-2</v>
      </c>
      <c r="L86" s="94">
        <f>K86*F86</f>
        <v>4.8161167892620664</v>
      </c>
      <c r="M86" s="21" t="s">
        <v>13</v>
      </c>
      <c r="N86" s="24" t="s">
        <v>54</v>
      </c>
      <c r="O86" s="24" t="s">
        <v>304</v>
      </c>
      <c r="P86" s="95">
        <v>0</v>
      </c>
      <c r="Q86" s="21" t="s">
        <v>78</v>
      </c>
      <c r="R86" s="21" t="s">
        <v>81</v>
      </c>
      <c r="S86" s="96">
        <f>B86*F86</f>
        <v>14305.134259284892</v>
      </c>
      <c r="T86" s="96">
        <f>B86*G86</f>
        <v>0</v>
      </c>
      <c r="U86" s="97">
        <f>E86*B86</f>
        <v>10918.83561027352</v>
      </c>
      <c r="V86" s="97">
        <f>B86*SUM(-PV(Electric_Discount_Rate,H86,L86),J86)</f>
        <v>3337.4769559195674</v>
      </c>
      <c r="W86" s="97">
        <f>I86*B86</f>
        <v>2250</v>
      </c>
      <c r="X86" s="25">
        <f>INDEX(Electric_AC, MATCH(ROUND(H86,0),Elec_AC_Measure_Life,0),MATCH(C86,Elec_Heat_Curve,0))</f>
        <v>0.7435008907391103</v>
      </c>
      <c r="Y86" s="25">
        <f>INDEX(Gas_AC, MATCH(ROUND(H86,0),Gas_AC_Measure_Life,0),MATCH(D86,Gas_Heat_Load,0))</f>
        <v>7.4795347883823</v>
      </c>
      <c r="Z86" s="98">
        <f>SUM(X86*S86,Y86*T86)</f>
        <v>10635.88006392088</v>
      </c>
      <c r="AA86" s="98">
        <f t="shared" si="42"/>
        <v>3109.8105610214438</v>
      </c>
      <c r="AB86" s="99">
        <f>IFERROR(1.1*SUM(Z86,V86)/SUM(AA86,U86),0)</f>
        <v>1.0956647230347565</v>
      </c>
      <c r="AC86" s="99">
        <f>IFERROR(Z86/SUM(W86,AA86),0)</f>
        <v>1.9843761160644362</v>
      </c>
      <c r="AD86" s="25">
        <f t="shared" si="44"/>
        <v>10669.470723143022</v>
      </c>
      <c r="AE86" s="25">
        <f t="shared" si="45"/>
        <v>0</v>
      </c>
      <c r="AF86" s="98">
        <f>SUM(AD86:AE86)</f>
        <v>10669.470723143022</v>
      </c>
      <c r="AG86" s="98">
        <f>SUM(AA86,W86)</f>
        <v>5359.8105610214443</v>
      </c>
    </row>
    <row r="87" spans="1:33" x14ac:dyDescent="0.25">
      <c r="A87" s="21" t="s">
        <v>342</v>
      </c>
      <c r="B87" s="89">
        <v>500</v>
      </c>
      <c r="C87" s="21" t="s">
        <v>80</v>
      </c>
      <c r="D87" s="21" t="s">
        <v>156</v>
      </c>
      <c r="E87" s="90">
        <v>201.64374601079913</v>
      </c>
      <c r="F87" s="100">
        <v>94.726615984950286</v>
      </c>
      <c r="G87" s="100">
        <v>0</v>
      </c>
      <c r="H87" s="92">
        <v>12</v>
      </c>
      <c r="I87" s="90">
        <v>50</v>
      </c>
      <c r="J87" s="93">
        <v>0</v>
      </c>
      <c r="K87" s="93">
        <v>2.5250287948902599E-2</v>
      </c>
      <c r="L87" s="94">
        <f>K87*F87</f>
        <v>2.3918743300451144</v>
      </c>
      <c r="M87" s="21" t="s">
        <v>13</v>
      </c>
      <c r="N87" s="24" t="s">
        <v>54</v>
      </c>
      <c r="O87" s="24" t="s">
        <v>304</v>
      </c>
      <c r="P87" s="95">
        <v>0</v>
      </c>
      <c r="Q87" s="21" t="s">
        <v>78</v>
      </c>
      <c r="R87" s="21" t="s">
        <v>81</v>
      </c>
      <c r="S87" s="96">
        <f>B87*F87</f>
        <v>47363.307992475144</v>
      </c>
      <c r="T87" s="96">
        <f>B87*G87</f>
        <v>0</v>
      </c>
      <c r="U87" s="97">
        <f>E87*B87</f>
        <v>100821.87300539957</v>
      </c>
      <c r="V87" s="97">
        <f>B87*SUM(-PV(Electric_Discount_Rate,H87,L87),J87)</f>
        <v>11050.154868585545</v>
      </c>
      <c r="W87" s="97">
        <f>I87*B87</f>
        <v>25000</v>
      </c>
      <c r="X87" s="25">
        <f>INDEX(Electric_AC, MATCH(ROUND(H87,0),Elec_AC_Measure_Life,0),MATCH(C87,Elec_Heat_Curve,0))</f>
        <v>0.7435008907391103</v>
      </c>
      <c r="Y87" s="25">
        <f>INDEX(Gas_AC, MATCH(ROUND(H87,0),Gas_AC_Measure_Life,0),MATCH(D87,Gas_Heat_Load,0))</f>
        <v>7.4795347883823</v>
      </c>
      <c r="Z87" s="98">
        <f>SUM(X87*S87,Y87*T87)</f>
        <v>35214.661680756093</v>
      </c>
      <c r="AA87" s="98">
        <f t="shared" si="42"/>
        <v>10296.367215449929</v>
      </c>
      <c r="AB87" s="99">
        <f>IFERROR(1.1*SUM(Z87,V87)/SUM(AA87,U87),0)</f>
        <v>0.45799229814230719</v>
      </c>
      <c r="AC87" s="99">
        <f>IFERROR(Z87/SUM(W87,AA87),0)</f>
        <v>0.99768515739324948</v>
      </c>
      <c r="AD87" s="25">
        <f t="shared" si="44"/>
        <v>35325.878025151876</v>
      </c>
      <c r="AE87" s="25">
        <f t="shared" si="45"/>
        <v>0</v>
      </c>
      <c r="AF87" s="98">
        <f>SUM(AD87:AE87)</f>
        <v>35325.878025151876</v>
      </c>
      <c r="AG87" s="98">
        <f>SUM(AA87,W87)</f>
        <v>35296.367215449929</v>
      </c>
    </row>
    <row r="88" spans="1:33" x14ac:dyDescent="0.25">
      <c r="A88" s="21" t="s">
        <v>343</v>
      </c>
      <c r="B88" s="89">
        <v>50</v>
      </c>
      <c r="C88" s="21" t="s">
        <v>82</v>
      </c>
      <c r="D88" s="21" t="s">
        <v>156</v>
      </c>
      <c r="E88" s="90">
        <v>155.13800189393942</v>
      </c>
      <c r="F88" s="100">
        <v>322.91454000000004</v>
      </c>
      <c r="G88" s="100">
        <v>0</v>
      </c>
      <c r="H88" s="92">
        <v>12</v>
      </c>
      <c r="I88" s="90">
        <v>85</v>
      </c>
      <c r="J88" s="93">
        <v>0</v>
      </c>
      <c r="K88" s="93">
        <v>2.5250287948902599E-2</v>
      </c>
      <c r="L88" s="94">
        <f t="shared" si="41"/>
        <v>8.1536851178874272</v>
      </c>
      <c r="M88" s="21" t="s">
        <v>13</v>
      </c>
      <c r="N88" s="24" t="s">
        <v>54</v>
      </c>
      <c r="O88" s="24" t="s">
        <v>304</v>
      </c>
      <c r="P88" s="95">
        <v>0</v>
      </c>
      <c r="Q88" s="21" t="s">
        <v>78</v>
      </c>
      <c r="R88" s="21" t="s">
        <v>84</v>
      </c>
      <c r="S88" s="96">
        <f t="shared" si="34"/>
        <v>16145.727000000003</v>
      </c>
      <c r="T88" s="96">
        <f t="shared" si="35"/>
        <v>0</v>
      </c>
      <c r="U88" s="97">
        <f t="shared" si="36"/>
        <v>7756.9000946969709</v>
      </c>
      <c r="V88" s="97">
        <f t="shared" si="31"/>
        <v>3766.8987107963098</v>
      </c>
      <c r="W88" s="97">
        <f t="shared" si="37"/>
        <v>4250</v>
      </c>
      <c r="X88" s="25">
        <f t="shared" si="32"/>
        <v>0.84096067193161306</v>
      </c>
      <c r="Y88" s="25">
        <f t="shared" si="33"/>
        <v>7.4795347883823</v>
      </c>
      <c r="Z88" s="98">
        <f t="shared" si="38"/>
        <v>13577.921426744389</v>
      </c>
      <c r="AA88" s="98">
        <f t="shared" si="42"/>
        <v>3970.0300488385769</v>
      </c>
      <c r="AB88" s="99">
        <f t="shared" si="43"/>
        <v>1.6269647655240964</v>
      </c>
      <c r="AC88" s="99">
        <f t="shared" si="39"/>
        <v>1.6518092204131103</v>
      </c>
      <c r="AD88" s="25">
        <f t="shared" si="44"/>
        <v>12042.275060686594</v>
      </c>
      <c r="AE88" s="25">
        <f t="shared" si="45"/>
        <v>0</v>
      </c>
      <c r="AF88" s="98">
        <f t="shared" si="46"/>
        <v>12042.275060686594</v>
      </c>
      <c r="AG88" s="98">
        <f t="shared" si="40"/>
        <v>8220.0300488385765</v>
      </c>
    </row>
    <row r="89" spans="1:33" x14ac:dyDescent="0.25">
      <c r="A89" s="21" t="s">
        <v>344</v>
      </c>
      <c r="B89" s="89">
        <v>100</v>
      </c>
      <c r="C89" s="21" t="s">
        <v>82</v>
      </c>
      <c r="D89" s="21" t="s">
        <v>156</v>
      </c>
      <c r="E89" s="90">
        <v>193.66124949979991</v>
      </c>
      <c r="F89" s="100">
        <v>467.06849142857141</v>
      </c>
      <c r="G89" s="100">
        <v>0</v>
      </c>
      <c r="H89" s="92">
        <v>12</v>
      </c>
      <c r="I89" s="90">
        <v>120</v>
      </c>
      <c r="J89" s="93">
        <v>0</v>
      </c>
      <c r="K89" s="93">
        <v>2.5250287948902602E-2</v>
      </c>
      <c r="L89" s="94">
        <f t="shared" si="41"/>
        <v>11.793613900430975</v>
      </c>
      <c r="M89" s="21" t="s">
        <v>13</v>
      </c>
      <c r="N89" s="24" t="s">
        <v>54</v>
      </c>
      <c r="O89" s="24" t="s">
        <v>304</v>
      </c>
      <c r="P89" s="95">
        <v>0</v>
      </c>
      <c r="Q89" s="21" t="s">
        <v>78</v>
      </c>
      <c r="R89" s="21" t="s">
        <v>84</v>
      </c>
      <c r="S89" s="96">
        <f t="shared" si="34"/>
        <v>46706.849142857143</v>
      </c>
      <c r="T89" s="96">
        <f t="shared" si="35"/>
        <v>0</v>
      </c>
      <c r="U89" s="97">
        <f t="shared" si="36"/>
        <v>19366.124949979992</v>
      </c>
      <c r="V89" s="97">
        <f t="shared" si="31"/>
        <v>10896.998928669254</v>
      </c>
      <c r="W89" s="97">
        <f t="shared" si="37"/>
        <v>12000</v>
      </c>
      <c r="X89" s="25">
        <f t="shared" si="32"/>
        <v>0.84096067193161306</v>
      </c>
      <c r="Y89" s="25">
        <f t="shared" si="33"/>
        <v>7.4795347883823</v>
      </c>
      <c r="Z89" s="98">
        <f t="shared" si="38"/>
        <v>39278.62323898563</v>
      </c>
      <c r="AA89" s="98">
        <f t="shared" si="42"/>
        <v>11484.623429078985</v>
      </c>
      <c r="AB89" s="99">
        <f t="shared" si="43"/>
        <v>1.7890387521971651</v>
      </c>
      <c r="AC89" s="99">
        <f t="shared" si="39"/>
        <v>1.6725251464049575</v>
      </c>
      <c r="AD89" s="25">
        <f t="shared" si="44"/>
        <v>34836.258819208299</v>
      </c>
      <c r="AE89" s="25">
        <f t="shared" si="45"/>
        <v>0</v>
      </c>
      <c r="AF89" s="98">
        <f t="shared" si="46"/>
        <v>34836.258819208299</v>
      </c>
      <c r="AG89" s="98">
        <f t="shared" si="40"/>
        <v>23484.623429078987</v>
      </c>
    </row>
    <row r="90" spans="1:33" x14ac:dyDescent="0.25">
      <c r="A90" s="21" t="s">
        <v>345</v>
      </c>
      <c r="B90" s="89">
        <v>100</v>
      </c>
      <c r="C90" s="21" t="s">
        <v>82</v>
      </c>
      <c r="D90" s="21" t="s">
        <v>156</v>
      </c>
      <c r="E90" s="90">
        <v>287.99345238095242</v>
      </c>
      <c r="F90" s="100">
        <v>729.50567624999985</v>
      </c>
      <c r="G90" s="100">
        <v>0</v>
      </c>
      <c r="H90" s="92">
        <v>12</v>
      </c>
      <c r="I90" s="90">
        <v>180</v>
      </c>
      <c r="J90" s="93">
        <v>0</v>
      </c>
      <c r="K90" s="93">
        <v>2.5250287948902595E-2</v>
      </c>
      <c r="L90" s="94">
        <f t="shared" si="41"/>
        <v>18.420228385671411</v>
      </c>
      <c r="M90" s="21" t="s">
        <v>13</v>
      </c>
      <c r="N90" s="24" t="s">
        <v>54</v>
      </c>
      <c r="O90" s="24" t="s">
        <v>304</v>
      </c>
      <c r="P90" s="95">
        <v>0</v>
      </c>
      <c r="Q90" s="21" t="s">
        <v>78</v>
      </c>
      <c r="R90" s="21" t="s">
        <v>84</v>
      </c>
      <c r="S90" s="96">
        <f t="shared" si="34"/>
        <v>72950.567624999981</v>
      </c>
      <c r="T90" s="96">
        <f t="shared" si="35"/>
        <v>0</v>
      </c>
      <c r="U90" s="97">
        <f t="shared" si="36"/>
        <v>28799.34523809524</v>
      </c>
      <c r="V90" s="97">
        <f t="shared" si="31"/>
        <v>17019.821971378024</v>
      </c>
      <c r="W90" s="97">
        <f t="shared" si="37"/>
        <v>18000</v>
      </c>
      <c r="X90" s="25">
        <f t="shared" si="32"/>
        <v>0.84096067193161306</v>
      </c>
      <c r="Y90" s="25">
        <f t="shared" si="33"/>
        <v>7.4795347883823</v>
      </c>
      <c r="Z90" s="98">
        <f t="shared" si="38"/>
        <v>61348.558367712561</v>
      </c>
      <c r="AA90" s="98">
        <f t="shared" si="42"/>
        <v>17937.621858159779</v>
      </c>
      <c r="AB90" s="99">
        <f t="shared" si="43"/>
        <v>1.8444760909594236</v>
      </c>
      <c r="AC90" s="99">
        <f t="shared" si="39"/>
        <v>1.7070845313539613</v>
      </c>
      <c r="AD90" s="25">
        <f t="shared" si="44"/>
        <v>54410.111181334105</v>
      </c>
      <c r="AE90" s="25">
        <f t="shared" si="45"/>
        <v>0</v>
      </c>
      <c r="AF90" s="98">
        <f t="shared" si="46"/>
        <v>54410.111181334105</v>
      </c>
      <c r="AG90" s="98">
        <f t="shared" si="40"/>
        <v>35937.621858159779</v>
      </c>
    </row>
    <row r="91" spans="1:33" x14ac:dyDescent="0.25">
      <c r="A91" s="21" t="s">
        <v>346</v>
      </c>
      <c r="B91" s="89">
        <v>100</v>
      </c>
      <c r="C91" s="21" t="s">
        <v>82</v>
      </c>
      <c r="D91" s="21" t="s">
        <v>156</v>
      </c>
      <c r="E91" s="90">
        <v>309.50288154413806</v>
      </c>
      <c r="F91" s="100">
        <v>639.93971646543196</v>
      </c>
      <c r="G91" s="100">
        <v>0</v>
      </c>
      <c r="H91" s="92">
        <v>12</v>
      </c>
      <c r="I91" s="90">
        <v>180</v>
      </c>
      <c r="J91" s="93">
        <v>0</v>
      </c>
      <c r="K91" s="93">
        <v>2.5250287948902599E-2</v>
      </c>
      <c r="L91" s="94">
        <f t="shared" si="41"/>
        <v>16.158662110691242</v>
      </c>
      <c r="M91" s="21" t="s">
        <v>13</v>
      </c>
      <c r="N91" s="24" t="s">
        <v>54</v>
      </c>
      <c r="O91" s="24" t="s">
        <v>304</v>
      </c>
      <c r="P91" s="95">
        <v>0</v>
      </c>
      <c r="Q91" s="21" t="s">
        <v>78</v>
      </c>
      <c r="R91" s="21" t="s">
        <v>84</v>
      </c>
      <c r="S91" s="96">
        <f t="shared" si="34"/>
        <v>63993.971646543199</v>
      </c>
      <c r="T91" s="96">
        <f t="shared" si="35"/>
        <v>0</v>
      </c>
      <c r="U91" s="97">
        <f t="shared" si="36"/>
        <v>30950.288154413807</v>
      </c>
      <c r="V91" s="97">
        <f t="shared" si="31"/>
        <v>14930.192322346287</v>
      </c>
      <c r="W91" s="97">
        <f t="shared" si="37"/>
        <v>18000</v>
      </c>
      <c r="X91" s="25">
        <f t="shared" si="32"/>
        <v>0.84096067193161306</v>
      </c>
      <c r="Y91" s="25">
        <f t="shared" si="33"/>
        <v>7.4795347883823</v>
      </c>
      <c r="Z91" s="98">
        <f t="shared" si="38"/>
        <v>53816.413395449563</v>
      </c>
      <c r="AA91" s="98">
        <f t="shared" si="42"/>
        <v>15735.308195245736</v>
      </c>
      <c r="AB91" s="99">
        <f t="shared" si="43"/>
        <v>1.6197986574530905</v>
      </c>
      <c r="AC91" s="99">
        <f t="shared" si="39"/>
        <v>1.5952548316435369</v>
      </c>
      <c r="AD91" s="25">
        <f t="shared" si="44"/>
        <v>47729.842626067701</v>
      </c>
      <c r="AE91" s="25">
        <f t="shared" si="45"/>
        <v>0</v>
      </c>
      <c r="AF91" s="98">
        <f t="shared" si="46"/>
        <v>47729.842626067701</v>
      </c>
      <c r="AG91" s="98">
        <f t="shared" si="40"/>
        <v>33735.308195245736</v>
      </c>
    </row>
    <row r="92" spans="1:33" x14ac:dyDescent="0.25">
      <c r="A92" s="21" t="s">
        <v>347</v>
      </c>
      <c r="B92" s="89">
        <v>25</v>
      </c>
      <c r="C92" s="21" t="s">
        <v>82</v>
      </c>
      <c r="D92" s="21" t="s">
        <v>156</v>
      </c>
      <c r="E92" s="90">
        <v>156.44900568181816</v>
      </c>
      <c r="F92" s="100">
        <v>534.73972500000002</v>
      </c>
      <c r="G92" s="100">
        <v>0</v>
      </c>
      <c r="H92" s="92">
        <v>12</v>
      </c>
      <c r="I92" s="90">
        <v>120</v>
      </c>
      <c r="J92" s="93">
        <v>0</v>
      </c>
      <c r="K92" s="93">
        <v>2.5250287948902599E-2</v>
      </c>
      <c r="L92" s="94">
        <f t="shared" si="41"/>
        <v>13.50233203396699</v>
      </c>
      <c r="M92" s="21" t="s">
        <v>13</v>
      </c>
      <c r="N92" s="24" t="s">
        <v>54</v>
      </c>
      <c r="O92" s="24" t="s">
        <v>304</v>
      </c>
      <c r="P92" s="95">
        <v>0</v>
      </c>
      <c r="Q92" s="21" t="s">
        <v>78</v>
      </c>
      <c r="R92" s="21" t="s">
        <v>84</v>
      </c>
      <c r="S92" s="96">
        <f t="shared" si="34"/>
        <v>13368.493125000001</v>
      </c>
      <c r="T92" s="96">
        <f t="shared" si="35"/>
        <v>0</v>
      </c>
      <c r="U92" s="97">
        <f t="shared" si="36"/>
        <v>3911.225142045454</v>
      </c>
      <c r="V92" s="97">
        <f t="shared" si="31"/>
        <v>3118.9527432150821</v>
      </c>
      <c r="W92" s="97">
        <f t="shared" si="37"/>
        <v>3000</v>
      </c>
      <c r="X92" s="25">
        <f t="shared" si="32"/>
        <v>0.84096067193161306</v>
      </c>
      <c r="Y92" s="25">
        <f t="shared" si="33"/>
        <v>7.4795347883823</v>
      </c>
      <c r="Z92" s="98">
        <f t="shared" si="38"/>
        <v>11242.37696111315</v>
      </c>
      <c r="AA92" s="98">
        <f t="shared" si="42"/>
        <v>3287.1433670309129</v>
      </c>
      <c r="AB92" s="99">
        <f t="shared" si="43"/>
        <v>2.1945893232393092</v>
      </c>
      <c r="AC92" s="99">
        <f t="shared" si="39"/>
        <v>1.7881534275275059</v>
      </c>
      <c r="AD92" s="25">
        <f t="shared" si="44"/>
        <v>9970.8778278084155</v>
      </c>
      <c r="AE92" s="25">
        <f t="shared" si="45"/>
        <v>0</v>
      </c>
      <c r="AF92" s="98">
        <f t="shared" si="46"/>
        <v>9970.8778278084155</v>
      </c>
      <c r="AG92" s="98">
        <f t="shared" si="40"/>
        <v>6287.1433670309125</v>
      </c>
    </row>
    <row r="93" spans="1:33" x14ac:dyDescent="0.25">
      <c r="A93" s="21" t="s">
        <v>348</v>
      </c>
      <c r="B93" s="89">
        <v>100</v>
      </c>
      <c r="C93" s="21" t="s">
        <v>82</v>
      </c>
      <c r="D93" s="21" t="s">
        <v>156</v>
      </c>
      <c r="E93" s="90">
        <v>446.04367973461734</v>
      </c>
      <c r="F93" s="100">
        <v>849.24147850308634</v>
      </c>
      <c r="G93" s="100">
        <v>0</v>
      </c>
      <c r="H93" s="92">
        <v>12</v>
      </c>
      <c r="I93" s="90">
        <v>230</v>
      </c>
      <c r="J93" s="93">
        <v>0</v>
      </c>
      <c r="K93" s="93">
        <v>2.5250287948902599E-2</v>
      </c>
      <c r="L93" s="94">
        <f t="shared" si="41"/>
        <v>21.443591870354705</v>
      </c>
      <c r="M93" s="21" t="s">
        <v>13</v>
      </c>
      <c r="N93" s="24" t="s">
        <v>54</v>
      </c>
      <c r="O93" s="24" t="s">
        <v>304</v>
      </c>
      <c r="P93" s="95">
        <v>0</v>
      </c>
      <c r="Q93" s="21" t="s">
        <v>78</v>
      </c>
      <c r="R93" s="21" t="s">
        <v>84</v>
      </c>
      <c r="S93" s="96">
        <f t="shared" si="34"/>
        <v>84924.14785030864</v>
      </c>
      <c r="T93" s="96">
        <f t="shared" si="35"/>
        <v>0</v>
      </c>
      <c r="U93" s="97">
        <f t="shared" si="36"/>
        <v>44604.367973461733</v>
      </c>
      <c r="V93" s="97">
        <f t="shared" si="31"/>
        <v>19813.33284359402</v>
      </c>
      <c r="W93" s="97">
        <f t="shared" si="37"/>
        <v>23000</v>
      </c>
      <c r="X93" s="25">
        <f t="shared" si="32"/>
        <v>0.84096067193161306</v>
      </c>
      <c r="Y93" s="25">
        <f t="shared" si="33"/>
        <v>7.4795347883823</v>
      </c>
      <c r="Z93" s="98">
        <f t="shared" si="38"/>
        <v>71417.868439415208</v>
      </c>
      <c r="AA93" s="98">
        <f t="shared" si="42"/>
        <v>20881.773786818969</v>
      </c>
      <c r="AB93" s="99">
        <f t="shared" si="43"/>
        <v>1.532451274632552</v>
      </c>
      <c r="AC93" s="99">
        <f t="shared" si="39"/>
        <v>1.6275064172740303</v>
      </c>
      <c r="AD93" s="25">
        <f t="shared" si="44"/>
        <v>63340.594555316879</v>
      </c>
      <c r="AE93" s="25">
        <f t="shared" si="45"/>
        <v>0</v>
      </c>
      <c r="AF93" s="98">
        <f t="shared" si="46"/>
        <v>63340.594555316879</v>
      </c>
      <c r="AG93" s="98">
        <f t="shared" si="40"/>
        <v>43881.773786818972</v>
      </c>
    </row>
    <row r="94" spans="1:33" x14ac:dyDescent="0.25">
      <c r="A94" s="21" t="s">
        <v>349</v>
      </c>
      <c r="B94" s="89">
        <v>150</v>
      </c>
      <c r="C94" s="21" t="s">
        <v>82</v>
      </c>
      <c r="D94" s="21" t="s">
        <v>156</v>
      </c>
      <c r="E94" s="90">
        <v>444.87567278672032</v>
      </c>
      <c r="F94" s="100">
        <v>1026.5852628571429</v>
      </c>
      <c r="G94" s="100">
        <v>0</v>
      </c>
      <c r="H94" s="92">
        <v>12</v>
      </c>
      <c r="I94" s="90">
        <v>280</v>
      </c>
      <c r="J94" s="93">
        <v>0</v>
      </c>
      <c r="K94" s="93">
        <v>2.5250287948902602E-2</v>
      </c>
      <c r="L94" s="94">
        <f t="shared" si="41"/>
        <v>25.921573491242725</v>
      </c>
      <c r="M94" s="21" t="s">
        <v>13</v>
      </c>
      <c r="N94" s="24" t="s">
        <v>54</v>
      </c>
      <c r="O94" s="24" t="s">
        <v>304</v>
      </c>
      <c r="P94" s="95">
        <v>0</v>
      </c>
      <c r="Q94" s="21" t="s">
        <v>78</v>
      </c>
      <c r="R94" s="21" t="s">
        <v>84</v>
      </c>
      <c r="S94" s="96">
        <f t="shared" si="34"/>
        <v>153987.78942857144</v>
      </c>
      <c r="T94" s="96">
        <f t="shared" si="35"/>
        <v>0</v>
      </c>
      <c r="U94" s="97">
        <f t="shared" si="36"/>
        <v>66731.350918008044</v>
      </c>
      <c r="V94" s="97">
        <f t="shared" si="31"/>
        <v>35926.310749392658</v>
      </c>
      <c r="W94" s="97">
        <f t="shared" si="37"/>
        <v>42000</v>
      </c>
      <c r="X94" s="25">
        <f t="shared" si="32"/>
        <v>0.84096067193161306</v>
      </c>
      <c r="Y94" s="25">
        <f t="shared" si="33"/>
        <v>7.4795347883823</v>
      </c>
      <c r="Z94" s="98">
        <f t="shared" si="38"/>
        <v>129497.67486711519</v>
      </c>
      <c r="AA94" s="98">
        <f t="shared" si="42"/>
        <v>37863.649694167121</v>
      </c>
      <c r="AB94" s="99">
        <f t="shared" si="43"/>
        <v>1.7397235347114404</v>
      </c>
      <c r="AC94" s="99">
        <f t="shared" si="39"/>
        <v>1.6214845597843133</v>
      </c>
      <c r="AD94" s="25">
        <f t="shared" si="44"/>
        <v>114851.6456574513</v>
      </c>
      <c r="AE94" s="25">
        <f t="shared" si="45"/>
        <v>0</v>
      </c>
      <c r="AF94" s="98">
        <f t="shared" si="46"/>
        <v>114851.6456574513</v>
      </c>
      <c r="AG94" s="98">
        <f t="shared" si="40"/>
        <v>79863.649694167121</v>
      </c>
    </row>
    <row r="95" spans="1:33" x14ac:dyDescent="0.25">
      <c r="A95" s="21" t="s">
        <v>350</v>
      </c>
      <c r="B95" s="89">
        <v>200</v>
      </c>
      <c r="C95" s="21" t="s">
        <v>82</v>
      </c>
      <c r="D95" s="21" t="s">
        <v>156</v>
      </c>
      <c r="E95" s="90">
        <v>619.61269392662177</v>
      </c>
      <c r="F95" s="100">
        <v>1444.6779411458333</v>
      </c>
      <c r="G95" s="100">
        <v>0</v>
      </c>
      <c r="H95" s="92">
        <v>12</v>
      </c>
      <c r="I95" s="90">
        <v>375</v>
      </c>
      <c r="J95" s="93">
        <v>0</v>
      </c>
      <c r="K95" s="93">
        <v>2.5250287948902602E-2</v>
      </c>
      <c r="L95" s="94">
        <f t="shared" si="41"/>
        <v>36.478534007360054</v>
      </c>
      <c r="M95" s="21" t="s">
        <v>13</v>
      </c>
      <c r="N95" s="24" t="s">
        <v>54</v>
      </c>
      <c r="O95" s="24" t="s">
        <v>304</v>
      </c>
      <c r="P95" s="95">
        <v>0</v>
      </c>
      <c r="Q95" s="21" t="s">
        <v>78</v>
      </c>
      <c r="R95" s="21" t="s">
        <v>84</v>
      </c>
      <c r="S95" s="96">
        <f t="shared" si="34"/>
        <v>288935.58822916663</v>
      </c>
      <c r="T95" s="96">
        <f t="shared" si="35"/>
        <v>0</v>
      </c>
      <c r="U95" s="97">
        <f t="shared" si="36"/>
        <v>123922.53878532436</v>
      </c>
      <c r="V95" s="97">
        <f t="shared" si="31"/>
        <v>67410.473049842913</v>
      </c>
      <c r="W95" s="97">
        <f t="shared" si="37"/>
        <v>75000</v>
      </c>
      <c r="X95" s="25">
        <f t="shared" si="32"/>
        <v>0.84096067193161306</v>
      </c>
      <c r="Y95" s="25">
        <f t="shared" si="33"/>
        <v>7.4795347883823</v>
      </c>
      <c r="Z95" s="98">
        <f t="shared" si="38"/>
        <v>242983.46642215585</v>
      </c>
      <c r="AA95" s="98">
        <f t="shared" si="42"/>
        <v>71045.606521690919</v>
      </c>
      <c r="AB95" s="99">
        <f t="shared" si="43"/>
        <v>1.7512262471469147</v>
      </c>
      <c r="AC95" s="99">
        <f t="shared" si="39"/>
        <v>1.663750606465985</v>
      </c>
      <c r="AD95" s="25">
        <f t="shared" si="44"/>
        <v>215502.33249186637</v>
      </c>
      <c r="AE95" s="25">
        <f t="shared" si="45"/>
        <v>0</v>
      </c>
      <c r="AF95" s="98">
        <f t="shared" si="46"/>
        <v>215502.33249186637</v>
      </c>
      <c r="AG95" s="98">
        <f t="shared" si="40"/>
        <v>146045.6065216909</v>
      </c>
    </row>
    <row r="96" spans="1:33" x14ac:dyDescent="0.25">
      <c r="A96" s="21" t="s">
        <v>351</v>
      </c>
      <c r="B96" s="89">
        <v>100</v>
      </c>
      <c r="C96" s="21" t="s">
        <v>82</v>
      </c>
      <c r="D96" s="21" t="s">
        <v>156</v>
      </c>
      <c r="E96" s="90">
        <v>731.2</v>
      </c>
      <c r="F96" s="100">
        <v>1677.3120000000001</v>
      </c>
      <c r="G96" s="100">
        <v>0</v>
      </c>
      <c r="H96" s="92">
        <v>12</v>
      </c>
      <c r="I96" s="90">
        <v>400</v>
      </c>
      <c r="J96" s="93">
        <v>0</v>
      </c>
      <c r="K96" s="93">
        <v>2.5250287948902595E-2</v>
      </c>
      <c r="L96" s="94">
        <f t="shared" si="41"/>
        <v>42.352610980149713</v>
      </c>
      <c r="M96" s="21" t="s">
        <v>13</v>
      </c>
      <c r="N96" s="24" t="s">
        <v>54</v>
      </c>
      <c r="O96" s="24" t="s">
        <v>304</v>
      </c>
      <c r="P96" s="95">
        <v>0</v>
      </c>
      <c r="Q96" s="21" t="s">
        <v>78</v>
      </c>
      <c r="R96" s="21" t="s">
        <v>84</v>
      </c>
      <c r="S96" s="96">
        <f t="shared" si="34"/>
        <v>167731.20000000001</v>
      </c>
      <c r="T96" s="96">
        <f t="shared" si="35"/>
        <v>0</v>
      </c>
      <c r="U96" s="97">
        <f t="shared" si="36"/>
        <v>73120</v>
      </c>
      <c r="V96" s="97">
        <f t="shared" si="31"/>
        <v>39132.734068916056</v>
      </c>
      <c r="W96" s="97">
        <f t="shared" si="37"/>
        <v>40000</v>
      </c>
      <c r="X96" s="25">
        <f t="shared" si="32"/>
        <v>0.84096067193161306</v>
      </c>
      <c r="Y96" s="25">
        <f t="shared" si="33"/>
        <v>7.4795347883823</v>
      </c>
      <c r="Z96" s="98">
        <f t="shared" si="38"/>
        <v>141055.34265589577</v>
      </c>
      <c r="AA96" s="98">
        <f t="shared" si="42"/>
        <v>41242.98051910285</v>
      </c>
      <c r="AB96" s="99">
        <f t="shared" si="43"/>
        <v>1.733138498993432</v>
      </c>
      <c r="AC96" s="99">
        <f t="shared" si="39"/>
        <v>1.736215753713382</v>
      </c>
      <c r="AD96" s="25">
        <f t="shared" si="44"/>
        <v>125102.15530456047</v>
      </c>
      <c r="AE96" s="25">
        <f t="shared" si="45"/>
        <v>0</v>
      </c>
      <c r="AF96" s="98">
        <f t="shared" si="46"/>
        <v>125102.15530456047</v>
      </c>
      <c r="AG96" s="98">
        <f t="shared" si="40"/>
        <v>81242.980519102857</v>
      </c>
    </row>
    <row r="97" spans="1:33" x14ac:dyDescent="0.25">
      <c r="A97" s="21" t="s">
        <v>352</v>
      </c>
      <c r="B97" s="89">
        <v>10</v>
      </c>
      <c r="C97" s="21" t="s">
        <v>82</v>
      </c>
      <c r="D97" s="21" t="s">
        <v>156</v>
      </c>
      <c r="E97" s="90">
        <v>750</v>
      </c>
      <c r="F97" s="100">
        <v>3563.8511999999996</v>
      </c>
      <c r="G97" s="100">
        <v>0</v>
      </c>
      <c r="H97" s="92">
        <v>12</v>
      </c>
      <c r="I97" s="90">
        <v>750</v>
      </c>
      <c r="J97" s="93">
        <v>0</v>
      </c>
      <c r="K97" s="93">
        <v>2.5250287948902599E-2</v>
      </c>
      <c r="L97" s="94">
        <f t="shared" si="41"/>
        <v>89.988269007042049</v>
      </c>
      <c r="M97" s="21" t="s">
        <v>13</v>
      </c>
      <c r="N97" s="24" t="s">
        <v>54</v>
      </c>
      <c r="O97" s="24" t="s">
        <v>304</v>
      </c>
      <c r="P97" s="95">
        <v>0</v>
      </c>
      <c r="Q97" s="21" t="s">
        <v>78</v>
      </c>
      <c r="R97" s="21" t="s">
        <v>84</v>
      </c>
      <c r="S97" s="96">
        <f t="shared" si="34"/>
        <v>35638.511999999995</v>
      </c>
      <c r="T97" s="96">
        <f t="shared" si="35"/>
        <v>0</v>
      </c>
      <c r="U97" s="97">
        <f t="shared" si="36"/>
        <v>7500</v>
      </c>
      <c r="V97" s="97">
        <f t="shared" ref="V97:V129" si="47">B97*SUM(-PV(Electric_Discount_Rate,H97,L97),J97)</f>
        <v>8314.6869080282831</v>
      </c>
      <c r="W97" s="97">
        <f t="shared" si="37"/>
        <v>7500</v>
      </c>
      <c r="X97" s="25">
        <f t="shared" ref="X97:X129" si="48">INDEX(Electric_AC, MATCH(ROUND(H97,0),Elec_AC_Measure_Life,0),MATCH(C97,Elec_Heat_Curve,0))</f>
        <v>0.84096067193161306</v>
      </c>
      <c r="Y97" s="25">
        <f t="shared" ref="Y97:Y129" si="49">INDEX(Gas_AC, MATCH(ROUND(H97,0),Gas_AC_Measure_Life,0),MATCH(D97,Gas_Heat_Load,0))</f>
        <v>7.4795347883823</v>
      </c>
      <c r="Z97" s="98">
        <f t="shared" si="38"/>
        <v>29970.586998162849</v>
      </c>
      <c r="AA97" s="98">
        <f t="shared" si="42"/>
        <v>8763.0593243583353</v>
      </c>
      <c r="AB97" s="99">
        <f t="shared" si="43"/>
        <v>2.5895374576746102</v>
      </c>
      <c r="AC97" s="99">
        <f t="shared" si="39"/>
        <v>1.8428627972397407</v>
      </c>
      <c r="AD97" s="25">
        <f t="shared" si="44"/>
        <v>26580.950133591374</v>
      </c>
      <c r="AE97" s="25">
        <f t="shared" si="45"/>
        <v>0</v>
      </c>
      <c r="AF97" s="98">
        <f t="shared" si="46"/>
        <v>26580.950133591374</v>
      </c>
      <c r="AG97" s="98">
        <f t="shared" si="40"/>
        <v>16263.059324358335</v>
      </c>
    </row>
    <row r="98" spans="1:33" x14ac:dyDescent="0.25">
      <c r="A98" s="21" t="s">
        <v>353</v>
      </c>
      <c r="B98" s="89">
        <v>40</v>
      </c>
      <c r="C98" s="21" t="s">
        <v>82</v>
      </c>
      <c r="D98" s="21" t="s">
        <v>156</v>
      </c>
      <c r="E98" s="90">
        <v>1065.6756547619048</v>
      </c>
      <c r="F98" s="100">
        <v>3627.3439149999999</v>
      </c>
      <c r="G98" s="100">
        <v>0</v>
      </c>
      <c r="H98" s="92">
        <v>12</v>
      </c>
      <c r="I98" s="90">
        <v>930</v>
      </c>
      <c r="J98" s="93">
        <v>0</v>
      </c>
      <c r="K98" s="93">
        <v>2.5250287948902599E-2</v>
      </c>
      <c r="L98" s="94">
        <f t="shared" si="41"/>
        <v>91.591478343449666</v>
      </c>
      <c r="M98" s="21" t="s">
        <v>13</v>
      </c>
      <c r="N98" s="24" t="s">
        <v>54</v>
      </c>
      <c r="O98" s="24" t="s">
        <v>304</v>
      </c>
      <c r="P98" s="95">
        <v>0</v>
      </c>
      <c r="Q98" s="21" t="s">
        <v>78</v>
      </c>
      <c r="R98" s="21" t="s">
        <v>84</v>
      </c>
      <c r="S98" s="96">
        <f t="shared" si="34"/>
        <v>145093.75659999999</v>
      </c>
      <c r="T98" s="96">
        <f t="shared" si="35"/>
        <v>0</v>
      </c>
      <c r="U98" s="97">
        <f t="shared" si="36"/>
        <v>42627.026190476186</v>
      </c>
      <c r="V98" s="97">
        <f t="shared" si="47"/>
        <v>33851.27747305113</v>
      </c>
      <c r="W98" s="97">
        <f t="shared" si="37"/>
        <v>37200</v>
      </c>
      <c r="X98" s="25">
        <f t="shared" si="48"/>
        <v>0.84096067193161306</v>
      </c>
      <c r="Y98" s="25">
        <f t="shared" si="49"/>
        <v>7.4795347883823</v>
      </c>
      <c r="Z98" s="98">
        <f t="shared" si="38"/>
        <v>122018.14304341791</v>
      </c>
      <c r="AA98" s="98">
        <f t="shared" ref="AA98:AA129" si="50">WA_Elec_NIUC*(Z98/SUM(Z:Z))+IF(Z98&lt;&gt;0,P98,0)</f>
        <v>35676.719518475096</v>
      </c>
      <c r="AB98" s="99">
        <f t="shared" si="43"/>
        <v>2.1896316838456928</v>
      </c>
      <c r="AC98" s="99">
        <f t="shared" si="39"/>
        <v>1.674308940490727</v>
      </c>
      <c r="AD98" s="25">
        <f t="shared" ref="AD98:AD129" si="51">-PV(Electric_Discount_Rate,H98,S98*PCT_Elec_Constant)</f>
        <v>108218.03976776707</v>
      </c>
      <c r="AE98" s="25">
        <f t="shared" ref="AE98:AE129" si="52">-PV(Gas_Discount_Rate,H98,T98*PCT_Gas_Constant)</f>
        <v>0</v>
      </c>
      <c r="AF98" s="98">
        <f t="shared" si="46"/>
        <v>108218.03976776707</v>
      </c>
      <c r="AG98" s="98">
        <f t="shared" si="40"/>
        <v>72876.719518475089</v>
      </c>
    </row>
    <row r="99" spans="1:33" x14ac:dyDescent="0.25">
      <c r="A99" s="21" t="s">
        <v>354</v>
      </c>
      <c r="B99" s="89">
        <v>25</v>
      </c>
      <c r="C99" s="21" t="s">
        <v>82</v>
      </c>
      <c r="D99" s="21" t="s">
        <v>156</v>
      </c>
      <c r="E99" s="90">
        <v>1050</v>
      </c>
      <c r="F99" s="100">
        <v>5192.6783999999998</v>
      </c>
      <c r="G99" s="100">
        <v>0</v>
      </c>
      <c r="H99" s="92">
        <v>12</v>
      </c>
      <c r="I99" s="90">
        <v>1050</v>
      </c>
      <c r="J99" s="93">
        <v>0</v>
      </c>
      <c r="K99" s="93">
        <v>2.5250287948902599E-2</v>
      </c>
      <c r="L99" s="94">
        <f t="shared" si="41"/>
        <v>131.11662482604683</v>
      </c>
      <c r="M99" s="21" t="s">
        <v>13</v>
      </c>
      <c r="N99" s="24" t="s">
        <v>54</v>
      </c>
      <c r="O99" s="24" t="s">
        <v>304</v>
      </c>
      <c r="P99" s="95">
        <v>0</v>
      </c>
      <c r="Q99" s="21" t="s">
        <v>78</v>
      </c>
      <c r="R99" s="21" t="s">
        <v>84</v>
      </c>
      <c r="S99" s="96">
        <f t="shared" si="34"/>
        <v>129816.95999999999</v>
      </c>
      <c r="T99" s="96">
        <f t="shared" si="35"/>
        <v>0</v>
      </c>
      <c r="U99" s="97">
        <f t="shared" si="36"/>
        <v>26250</v>
      </c>
      <c r="V99" s="97">
        <f t="shared" si="47"/>
        <v>30287.105638754827</v>
      </c>
      <c r="W99" s="97">
        <f t="shared" si="37"/>
        <v>26250</v>
      </c>
      <c r="X99" s="25">
        <f t="shared" si="48"/>
        <v>0.84096067193161306</v>
      </c>
      <c r="Y99" s="25">
        <f t="shared" si="49"/>
        <v>7.4795347883823</v>
      </c>
      <c r="Z99" s="98">
        <f t="shared" si="38"/>
        <v>109170.95790971933</v>
      </c>
      <c r="AA99" s="98">
        <f t="shared" si="50"/>
        <v>31920.348464263978</v>
      </c>
      <c r="AB99" s="99">
        <f t="shared" si="43"/>
        <v>2.6371488903416624</v>
      </c>
      <c r="AC99" s="99">
        <f t="shared" si="39"/>
        <v>1.8767458128050714</v>
      </c>
      <c r="AD99" s="25">
        <f t="shared" si="51"/>
        <v>96823.855615925422</v>
      </c>
      <c r="AE99" s="25">
        <f t="shared" si="52"/>
        <v>0</v>
      </c>
      <c r="AF99" s="98">
        <f t="shared" si="46"/>
        <v>96823.855615925422</v>
      </c>
      <c r="AG99" s="98">
        <f t="shared" si="40"/>
        <v>58170.348464263981</v>
      </c>
    </row>
    <row r="100" spans="1:33" x14ac:dyDescent="0.25">
      <c r="A100" s="21" t="s">
        <v>355</v>
      </c>
      <c r="B100" s="89">
        <v>25</v>
      </c>
      <c r="C100" s="21" t="s">
        <v>82</v>
      </c>
      <c r="D100" s="21" t="s">
        <v>156</v>
      </c>
      <c r="E100" s="90">
        <v>246.42674603174601</v>
      </c>
      <c r="F100" s="100">
        <v>624.50985999999989</v>
      </c>
      <c r="G100" s="100">
        <v>0</v>
      </c>
      <c r="H100" s="92">
        <v>12</v>
      </c>
      <c r="I100" s="90">
        <v>170</v>
      </c>
      <c r="J100" s="93">
        <v>0</v>
      </c>
      <c r="K100" s="93">
        <v>2.6991026764868101E-2</v>
      </c>
      <c r="L100" s="94">
        <f t="shared" si="41"/>
        <v>16.856162346184028</v>
      </c>
      <c r="M100" s="21" t="s">
        <v>13</v>
      </c>
      <c r="N100" s="24" t="s">
        <v>54</v>
      </c>
      <c r="O100" s="24" t="s">
        <v>304</v>
      </c>
      <c r="P100" s="95">
        <v>0</v>
      </c>
      <c r="Q100" s="21" t="s">
        <v>78</v>
      </c>
      <c r="R100" s="21" t="s">
        <v>84</v>
      </c>
      <c r="S100" s="96">
        <f t="shared" si="34"/>
        <v>15612.746499999997</v>
      </c>
      <c r="T100" s="96">
        <f t="shared" si="35"/>
        <v>0</v>
      </c>
      <c r="U100" s="97">
        <f t="shared" si="36"/>
        <v>6160.6686507936502</v>
      </c>
      <c r="V100" s="97">
        <f t="shared" si="47"/>
        <v>3893.6661946583249</v>
      </c>
      <c r="W100" s="97">
        <f t="shared" si="37"/>
        <v>4250</v>
      </c>
      <c r="X100" s="25">
        <f t="shared" si="48"/>
        <v>0.84096067193161306</v>
      </c>
      <c r="Y100" s="25">
        <f t="shared" si="49"/>
        <v>7.4795347883823</v>
      </c>
      <c r="Z100" s="98">
        <f t="shared" si="38"/>
        <v>13129.705787337938</v>
      </c>
      <c r="AA100" s="98">
        <f t="shared" si="50"/>
        <v>3838.9768853331475</v>
      </c>
      <c r="AB100" s="99">
        <f t="shared" si="43"/>
        <v>1.8726372962465021</v>
      </c>
      <c r="AC100" s="99">
        <f t="shared" si="39"/>
        <v>1.6231602554266893</v>
      </c>
      <c r="AD100" s="25">
        <f t="shared" si="51"/>
        <v>11644.752063860109</v>
      </c>
      <c r="AE100" s="25">
        <f t="shared" si="52"/>
        <v>0</v>
      </c>
      <c r="AF100" s="98">
        <f t="shared" si="46"/>
        <v>11644.752063860109</v>
      </c>
      <c r="AG100" s="98">
        <f t="shared" si="40"/>
        <v>8088.9768853331479</v>
      </c>
    </row>
    <row r="101" spans="1:33" x14ac:dyDescent="0.25">
      <c r="A101" s="21" t="s">
        <v>356</v>
      </c>
      <c r="B101" s="89">
        <v>5</v>
      </c>
      <c r="C101" s="21" t="s">
        <v>82</v>
      </c>
      <c r="D101" s="21" t="s">
        <v>156</v>
      </c>
      <c r="E101" s="90">
        <v>755.26749999999993</v>
      </c>
      <c r="F101" s="100">
        <v>987.16800000000001</v>
      </c>
      <c r="G101" s="100">
        <v>0</v>
      </c>
      <c r="H101" s="92">
        <v>12</v>
      </c>
      <c r="I101" s="90">
        <v>225</v>
      </c>
      <c r="J101" s="93">
        <v>0</v>
      </c>
      <c r="K101" s="93">
        <v>2.6991026764868101E-2</v>
      </c>
      <c r="L101" s="94">
        <f t="shared" si="41"/>
        <v>26.644677909421315</v>
      </c>
      <c r="M101" s="21" t="s">
        <v>13</v>
      </c>
      <c r="N101" s="24" t="s">
        <v>54</v>
      </c>
      <c r="O101" s="24" t="s">
        <v>304</v>
      </c>
      <c r="P101" s="95">
        <v>0</v>
      </c>
      <c r="Q101" s="21" t="s">
        <v>78</v>
      </c>
      <c r="R101" s="21" t="s">
        <v>84</v>
      </c>
      <c r="S101" s="96">
        <f t="shared" si="34"/>
        <v>4935.84</v>
      </c>
      <c r="T101" s="96">
        <f t="shared" si="35"/>
        <v>0</v>
      </c>
      <c r="U101" s="97">
        <f t="shared" si="36"/>
        <v>3776.3374999999996</v>
      </c>
      <c r="V101" s="97">
        <f t="shared" si="47"/>
        <v>1230.9501951013135</v>
      </c>
      <c r="W101" s="97">
        <f t="shared" si="37"/>
        <v>1125</v>
      </c>
      <c r="X101" s="25">
        <f t="shared" si="48"/>
        <v>0.84096067193161306</v>
      </c>
      <c r="Y101" s="25">
        <f t="shared" si="49"/>
        <v>7.4795347883823</v>
      </c>
      <c r="Z101" s="98">
        <f t="shared" si="38"/>
        <v>4150.8473229469328</v>
      </c>
      <c r="AA101" s="98">
        <f t="shared" si="50"/>
        <v>1213.6606246506828</v>
      </c>
      <c r="AB101" s="99">
        <f t="shared" si="43"/>
        <v>1.1863686362141652</v>
      </c>
      <c r="AC101" s="99">
        <f t="shared" si="39"/>
        <v>1.7748822891166305</v>
      </c>
      <c r="AD101" s="25">
        <f t="shared" si="51"/>
        <v>3681.3915493269087</v>
      </c>
      <c r="AE101" s="25">
        <f t="shared" si="52"/>
        <v>0</v>
      </c>
      <c r="AF101" s="98">
        <f t="shared" si="46"/>
        <v>3681.3915493269087</v>
      </c>
      <c r="AG101" s="98">
        <f t="shared" si="40"/>
        <v>2338.6606246506826</v>
      </c>
    </row>
    <row r="102" spans="1:33" x14ac:dyDescent="0.25">
      <c r="A102" s="21" t="s">
        <v>357</v>
      </c>
      <c r="B102" s="89">
        <v>25</v>
      </c>
      <c r="C102" s="21" t="s">
        <v>82</v>
      </c>
      <c r="D102" s="21" t="s">
        <v>156</v>
      </c>
      <c r="E102" s="90">
        <v>780.04297916666667</v>
      </c>
      <c r="F102" s="100">
        <v>931.71600860000035</v>
      </c>
      <c r="G102" s="100">
        <v>0</v>
      </c>
      <c r="H102" s="92">
        <v>10</v>
      </c>
      <c r="I102" s="90">
        <v>250</v>
      </c>
      <c r="J102" s="93">
        <v>0</v>
      </c>
      <c r="K102" s="93">
        <v>2.6991026764868101E-2</v>
      </c>
      <c r="L102" s="94">
        <f t="shared" si="41"/>
        <v>25.147971725378685</v>
      </c>
      <c r="M102" s="21" t="s">
        <v>13</v>
      </c>
      <c r="N102" s="24" t="s">
        <v>54</v>
      </c>
      <c r="O102" s="24" t="s">
        <v>304</v>
      </c>
      <c r="P102" s="95">
        <v>0</v>
      </c>
      <c r="Q102" s="21" t="s">
        <v>78</v>
      </c>
      <c r="R102" s="21" t="s">
        <v>84</v>
      </c>
      <c r="S102" s="96">
        <f t="shared" si="34"/>
        <v>23292.900215000009</v>
      </c>
      <c r="T102" s="96">
        <f t="shared" si="35"/>
        <v>0</v>
      </c>
      <c r="U102" s="97">
        <f t="shared" si="36"/>
        <v>19501.074479166666</v>
      </c>
      <c r="V102" s="97">
        <f t="shared" si="47"/>
        <v>5031.4592850431281</v>
      </c>
      <c r="W102" s="97">
        <f t="shared" si="37"/>
        <v>6250</v>
      </c>
      <c r="X102" s="25">
        <f t="shared" si="48"/>
        <v>0.72535467586235602</v>
      </c>
      <c r="Y102" s="25">
        <f t="shared" si="49"/>
        <v>6.5703091088618146</v>
      </c>
      <c r="Z102" s="98">
        <f t="shared" si="38"/>
        <v>16895.614085345533</v>
      </c>
      <c r="AA102" s="98">
        <f t="shared" si="50"/>
        <v>4940.0857100470839</v>
      </c>
      <c r="AB102" s="99">
        <f t="shared" si="43"/>
        <v>0.98685089090295941</v>
      </c>
      <c r="AC102" s="99">
        <f t="shared" si="39"/>
        <v>1.5098735186787449</v>
      </c>
      <c r="AD102" s="25">
        <f t="shared" si="51"/>
        <v>15047.539507653004</v>
      </c>
      <c r="AE102" s="25">
        <f t="shared" si="52"/>
        <v>0</v>
      </c>
      <c r="AF102" s="98">
        <f t="shared" si="46"/>
        <v>15047.539507653004</v>
      </c>
      <c r="AG102" s="98">
        <f t="shared" si="40"/>
        <v>11190.085710047084</v>
      </c>
    </row>
    <row r="103" spans="1:33" x14ac:dyDescent="0.25">
      <c r="A103" s="21" t="s">
        <v>83</v>
      </c>
      <c r="B103" s="89">
        <v>3000</v>
      </c>
      <c r="C103" s="21" t="s">
        <v>82</v>
      </c>
      <c r="D103" s="21" t="s">
        <v>156</v>
      </c>
      <c r="E103" s="90">
        <v>35.61</v>
      </c>
      <c r="F103" s="100">
        <v>48.66583289719626</v>
      </c>
      <c r="G103" s="100">
        <v>0</v>
      </c>
      <c r="H103" s="92">
        <v>20</v>
      </c>
      <c r="I103" s="90">
        <v>13</v>
      </c>
      <c r="J103" s="93">
        <v>0</v>
      </c>
      <c r="K103" s="93">
        <v>2.5250287948902599E-2</v>
      </c>
      <c r="L103" s="94">
        <f t="shared" si="41"/>
        <v>1.2288262939273824</v>
      </c>
      <c r="M103" s="21" t="s">
        <v>13</v>
      </c>
      <c r="N103" s="24" t="s">
        <v>54</v>
      </c>
      <c r="O103" s="24" t="s">
        <v>304</v>
      </c>
      <c r="P103" s="95">
        <v>0</v>
      </c>
      <c r="Q103" s="21" t="s">
        <v>78</v>
      </c>
      <c r="R103" s="21" t="s">
        <v>84</v>
      </c>
      <c r="S103" s="96">
        <f t="shared" si="34"/>
        <v>145997.49869158879</v>
      </c>
      <c r="T103" s="96">
        <f t="shared" si="35"/>
        <v>0</v>
      </c>
      <c r="U103" s="97">
        <f t="shared" si="36"/>
        <v>106830</v>
      </c>
      <c r="V103" s="97">
        <f t="shared" si="47"/>
        <v>48923.650935550038</v>
      </c>
      <c r="W103" s="97">
        <f t="shared" si="37"/>
        <v>39000</v>
      </c>
      <c r="X103" s="25">
        <f t="shared" si="48"/>
        <v>1.2527674273762004</v>
      </c>
      <c r="Y103" s="25">
        <f t="shared" si="49"/>
        <v>10.603965060189148</v>
      </c>
      <c r="Z103" s="98">
        <f t="shared" si="38"/>
        <v>182900.91083922188</v>
      </c>
      <c r="AA103" s="98">
        <f t="shared" si="50"/>
        <v>53478.14950242795</v>
      </c>
      <c r="AB103" s="99">
        <f t="shared" si="43"/>
        <v>1.5907302201650508</v>
      </c>
      <c r="AC103" s="99">
        <f t="shared" si="39"/>
        <v>1.9777743372170302</v>
      </c>
      <c r="AD103" s="25">
        <f t="shared" si="51"/>
        <v>156402.41662201894</v>
      </c>
      <c r="AE103" s="25">
        <f t="shared" si="52"/>
        <v>0</v>
      </c>
      <c r="AF103" s="98">
        <f t="shared" si="46"/>
        <v>156402.41662201894</v>
      </c>
      <c r="AG103" s="98">
        <f t="shared" si="40"/>
        <v>92478.149502427957</v>
      </c>
    </row>
    <row r="104" spans="1:33" x14ac:dyDescent="0.25">
      <c r="A104" s="21" t="s">
        <v>358</v>
      </c>
      <c r="B104" s="89">
        <v>10</v>
      </c>
      <c r="C104" s="21" t="s">
        <v>82</v>
      </c>
      <c r="D104" s="21" t="s">
        <v>156</v>
      </c>
      <c r="E104" s="90">
        <v>30</v>
      </c>
      <c r="F104" s="100">
        <v>78.623999999999995</v>
      </c>
      <c r="G104" s="100">
        <v>0</v>
      </c>
      <c r="H104" s="92">
        <v>12</v>
      </c>
      <c r="I104" s="90">
        <v>20</v>
      </c>
      <c r="J104" s="93">
        <v>0</v>
      </c>
      <c r="K104" s="93">
        <v>2.5250287948902599E-2</v>
      </c>
      <c r="L104" s="94">
        <f t="shared" si="41"/>
        <v>1.9852786396945179</v>
      </c>
      <c r="M104" s="21" t="s">
        <v>13</v>
      </c>
      <c r="N104" s="24" t="s">
        <v>54</v>
      </c>
      <c r="O104" s="24" t="s">
        <v>304</v>
      </c>
      <c r="P104" s="95">
        <v>0</v>
      </c>
      <c r="Q104" s="21" t="s">
        <v>78</v>
      </c>
      <c r="R104" s="21" t="s">
        <v>84</v>
      </c>
      <c r="S104" s="96">
        <f t="shared" si="34"/>
        <v>786.24</v>
      </c>
      <c r="T104" s="96">
        <f t="shared" si="35"/>
        <v>0</v>
      </c>
      <c r="U104" s="97">
        <f t="shared" si="36"/>
        <v>300</v>
      </c>
      <c r="V104" s="97">
        <f t="shared" si="47"/>
        <v>183.43469094804402</v>
      </c>
      <c r="W104" s="97">
        <f t="shared" si="37"/>
        <v>200</v>
      </c>
      <c r="X104" s="25">
        <f t="shared" si="48"/>
        <v>0.84096067193161306</v>
      </c>
      <c r="Y104" s="25">
        <f t="shared" si="49"/>
        <v>7.4795347883823</v>
      </c>
      <c r="Z104" s="98">
        <f t="shared" si="38"/>
        <v>661.19691869951146</v>
      </c>
      <c r="AA104" s="98">
        <f t="shared" si="50"/>
        <v>193.32647118329464</v>
      </c>
      <c r="AB104" s="99">
        <f t="shared" si="43"/>
        <v>1.883326407325723</v>
      </c>
      <c r="AC104" s="99">
        <f t="shared" si="39"/>
        <v>1.681038442976766</v>
      </c>
      <c r="AD104" s="25">
        <f t="shared" si="51"/>
        <v>586.41635299012717</v>
      </c>
      <c r="AE104" s="25">
        <f t="shared" si="52"/>
        <v>0</v>
      </c>
      <c r="AF104" s="98">
        <f t="shared" si="46"/>
        <v>586.41635299012717</v>
      </c>
      <c r="AG104" s="98">
        <f t="shared" si="40"/>
        <v>393.32647118329464</v>
      </c>
    </row>
    <row r="105" spans="1:33" x14ac:dyDescent="0.25">
      <c r="A105" s="21" t="s">
        <v>359</v>
      </c>
      <c r="B105" s="89">
        <v>0</v>
      </c>
      <c r="C105" s="21" t="s">
        <v>66</v>
      </c>
      <c r="D105" s="21" t="s">
        <v>153</v>
      </c>
      <c r="E105" s="90">
        <v>0</v>
      </c>
      <c r="F105" s="100">
        <v>0</v>
      </c>
      <c r="G105" s="100">
        <v>0</v>
      </c>
      <c r="H105" s="92">
        <v>1</v>
      </c>
      <c r="I105" s="90">
        <v>0</v>
      </c>
      <c r="J105" s="93">
        <v>0</v>
      </c>
      <c r="K105" s="93">
        <v>0</v>
      </c>
      <c r="L105" s="94">
        <f t="shared" si="41"/>
        <v>0</v>
      </c>
      <c r="M105" s="21" t="s">
        <v>76</v>
      </c>
      <c r="N105" s="24" t="s">
        <v>360</v>
      </c>
      <c r="O105" s="24" t="s">
        <v>304</v>
      </c>
      <c r="P105" s="95">
        <v>0</v>
      </c>
      <c r="Q105" s="21" t="s">
        <v>41</v>
      </c>
      <c r="R105" s="21" t="s">
        <v>359</v>
      </c>
      <c r="S105" s="96">
        <f t="shared" si="34"/>
        <v>0</v>
      </c>
      <c r="T105" s="96">
        <f t="shared" si="35"/>
        <v>0</v>
      </c>
      <c r="U105" s="97">
        <f t="shared" si="36"/>
        <v>0</v>
      </c>
      <c r="V105" s="97">
        <f t="shared" si="47"/>
        <v>0</v>
      </c>
      <c r="W105" s="97">
        <f t="shared" si="37"/>
        <v>0</v>
      </c>
      <c r="X105" s="25">
        <f>INDEX(Electric_AC, MATCH(ROUND(H105,0),Elec_AC_Measure_Life,0),MATCH(C105,Elec_Heat_Curve,0))</f>
        <v>0.13034168090927176</v>
      </c>
      <c r="Y105" s="25">
        <f t="shared" si="49"/>
        <v>2.0751542657607067</v>
      </c>
      <c r="Z105" s="98">
        <f t="shared" si="38"/>
        <v>0</v>
      </c>
      <c r="AA105" s="98">
        <f t="shared" si="50"/>
        <v>0</v>
      </c>
      <c r="AB105" s="99">
        <f t="shared" si="43"/>
        <v>0</v>
      </c>
      <c r="AC105" s="99">
        <f t="shared" si="39"/>
        <v>0</v>
      </c>
      <c r="AD105" s="25">
        <f t="shared" si="51"/>
        <v>0</v>
      </c>
      <c r="AE105" s="25">
        <f t="shared" si="52"/>
        <v>0</v>
      </c>
      <c r="AF105" s="98">
        <f t="shared" si="46"/>
        <v>0</v>
      </c>
      <c r="AG105" s="98">
        <f t="shared" si="40"/>
        <v>0</v>
      </c>
    </row>
    <row r="106" spans="1:33" x14ac:dyDescent="0.25">
      <c r="A106" s="21" t="s">
        <v>85</v>
      </c>
      <c r="B106" s="89">
        <v>0</v>
      </c>
      <c r="C106" s="21" t="s">
        <v>12</v>
      </c>
      <c r="D106" s="21" t="s">
        <v>154</v>
      </c>
      <c r="E106" s="90">
        <v>0</v>
      </c>
      <c r="F106" s="100">
        <v>617232</v>
      </c>
      <c r="G106" s="100">
        <v>0</v>
      </c>
      <c r="H106" s="92">
        <v>3</v>
      </c>
      <c r="I106" s="90">
        <v>493786</v>
      </c>
      <c r="J106" s="93">
        <v>0</v>
      </c>
      <c r="K106" s="93">
        <v>0</v>
      </c>
      <c r="L106" s="94">
        <f t="shared" si="41"/>
        <v>0</v>
      </c>
      <c r="M106" s="21" t="s">
        <v>13</v>
      </c>
      <c r="N106" s="24" t="s">
        <v>54</v>
      </c>
      <c r="O106" s="24" t="s">
        <v>304</v>
      </c>
      <c r="P106" s="95">
        <v>0</v>
      </c>
      <c r="Q106" s="21" t="s">
        <v>41</v>
      </c>
      <c r="R106" s="21" t="s">
        <v>85</v>
      </c>
      <c r="S106" s="96">
        <f t="shared" si="34"/>
        <v>0</v>
      </c>
      <c r="T106" s="96">
        <f t="shared" si="35"/>
        <v>0</v>
      </c>
      <c r="U106" s="97">
        <f t="shared" si="36"/>
        <v>0</v>
      </c>
      <c r="V106" s="97">
        <f t="shared" si="47"/>
        <v>0</v>
      </c>
      <c r="W106" s="97">
        <f t="shared" si="37"/>
        <v>0</v>
      </c>
      <c r="X106" s="25">
        <f t="shared" si="48"/>
        <v>0.34512724148205232</v>
      </c>
      <c r="Y106" s="25">
        <f t="shared" si="49"/>
        <v>2.9805491257936647</v>
      </c>
      <c r="Z106" s="98">
        <f t="shared" si="38"/>
        <v>0</v>
      </c>
      <c r="AA106" s="98">
        <f t="shared" si="50"/>
        <v>0</v>
      </c>
      <c r="AB106" s="99">
        <f t="shared" si="43"/>
        <v>0</v>
      </c>
      <c r="AC106" s="99">
        <f t="shared" si="39"/>
        <v>0</v>
      </c>
      <c r="AD106" s="25">
        <f t="shared" si="51"/>
        <v>0</v>
      </c>
      <c r="AE106" s="25">
        <f t="shared" si="52"/>
        <v>0</v>
      </c>
      <c r="AF106" s="98">
        <f t="shared" si="46"/>
        <v>0</v>
      </c>
      <c r="AG106" s="98">
        <f t="shared" si="40"/>
        <v>0</v>
      </c>
    </row>
    <row r="107" spans="1:33" x14ac:dyDescent="0.25">
      <c r="A107" s="21" t="s">
        <v>86</v>
      </c>
      <c r="B107" s="89">
        <v>1</v>
      </c>
      <c r="C107" s="21" t="s">
        <v>80</v>
      </c>
      <c r="D107" s="21" t="s">
        <v>156</v>
      </c>
      <c r="E107" s="90">
        <v>4316288.16</v>
      </c>
      <c r="F107" s="100">
        <v>8992267</v>
      </c>
      <c r="G107" s="100">
        <v>0</v>
      </c>
      <c r="H107" s="92">
        <v>12</v>
      </c>
      <c r="I107" s="90">
        <v>4496133.5</v>
      </c>
      <c r="J107" s="93">
        <v>0</v>
      </c>
      <c r="K107" s="93">
        <v>2.5250287948902599E-2</v>
      </c>
      <c r="L107" s="94">
        <f t="shared" si="41"/>
        <v>227057.33106341452</v>
      </c>
      <c r="M107" s="21" t="s">
        <v>13</v>
      </c>
      <c r="N107" s="24" t="s">
        <v>54</v>
      </c>
      <c r="O107" s="24" t="s">
        <v>304</v>
      </c>
      <c r="P107" s="95">
        <v>0</v>
      </c>
      <c r="Q107" s="21" t="s">
        <v>78</v>
      </c>
      <c r="R107" s="21" t="s">
        <v>86</v>
      </c>
      <c r="S107" s="96">
        <f t="shared" si="34"/>
        <v>8992267</v>
      </c>
      <c r="T107" s="96">
        <f t="shared" si="35"/>
        <v>0</v>
      </c>
      <c r="U107" s="97">
        <f t="shared" si="36"/>
        <v>4316288.16</v>
      </c>
      <c r="V107" s="97">
        <f t="shared" si="47"/>
        <v>2097951.9206187613</v>
      </c>
      <c r="W107" s="97">
        <f t="shared" si="37"/>
        <v>4496133.5</v>
      </c>
      <c r="X107" s="25">
        <f t="shared" si="48"/>
        <v>0.7435008907391103</v>
      </c>
      <c r="Y107" s="25">
        <f t="shared" si="49"/>
        <v>7.4795347883823</v>
      </c>
      <c r="Z107" s="98">
        <f t="shared" si="38"/>
        <v>6685758.5242639072</v>
      </c>
      <c r="AA107" s="98">
        <f t="shared" si="50"/>
        <v>1954839.8761776139</v>
      </c>
      <c r="AB107" s="99">
        <f t="shared" si="43"/>
        <v>1.5407246405481112</v>
      </c>
      <c r="AC107" s="99">
        <f t="shared" si="39"/>
        <v>1.0363953056996509</v>
      </c>
      <c r="AD107" s="25">
        <f t="shared" si="51"/>
        <v>6706873.7526117619</v>
      </c>
      <c r="AE107" s="25">
        <f t="shared" si="52"/>
        <v>0</v>
      </c>
      <c r="AF107" s="98">
        <f t="shared" si="46"/>
        <v>6706873.7526117619</v>
      </c>
      <c r="AG107" s="98">
        <f t="shared" si="40"/>
        <v>6450973.3761776136</v>
      </c>
    </row>
    <row r="108" spans="1:33" x14ac:dyDescent="0.25">
      <c r="A108" s="21" t="s">
        <v>388</v>
      </c>
      <c r="B108" s="89">
        <v>1</v>
      </c>
      <c r="C108" s="21" t="s">
        <v>143</v>
      </c>
      <c r="D108" s="21" t="s">
        <v>155</v>
      </c>
      <c r="E108" s="90">
        <v>4990992.1282000002</v>
      </c>
      <c r="F108" s="100">
        <v>11358653</v>
      </c>
      <c r="G108" s="100">
        <v>0</v>
      </c>
      <c r="H108" s="92">
        <v>18</v>
      </c>
      <c r="I108" s="90">
        <v>3051878.7951068138</v>
      </c>
      <c r="J108" s="93">
        <v>0</v>
      </c>
      <c r="K108" s="93">
        <v>2.5250287948902602E-2</v>
      </c>
      <c r="L108" s="94">
        <f t="shared" si="41"/>
        <v>286809.25896166638</v>
      </c>
      <c r="M108" s="21" t="s">
        <v>13</v>
      </c>
      <c r="N108" s="24" t="s">
        <v>54</v>
      </c>
      <c r="O108" s="24" t="s">
        <v>304</v>
      </c>
      <c r="P108" s="95">
        <v>0</v>
      </c>
      <c r="Q108" s="21" t="s">
        <v>78</v>
      </c>
      <c r="R108" s="21" t="s">
        <v>87</v>
      </c>
      <c r="S108" s="96">
        <f>B108*F108</f>
        <v>11358653</v>
      </c>
      <c r="T108" s="96">
        <f>B108*G108</f>
        <v>0</v>
      </c>
      <c r="U108" s="97">
        <f>E108*B108</f>
        <v>4990992.1282000002</v>
      </c>
      <c r="V108" s="97">
        <f>B108*SUM(-PV(Electric_Discount_Rate,H108,L108),J108)</f>
        <v>3552406.6356843244</v>
      </c>
      <c r="W108" s="97">
        <f>I108*B108</f>
        <v>3051878.7951068138</v>
      </c>
      <c r="X108" s="25">
        <f>INDEX(Electric_AC, MATCH(ROUND(H108,0),Elec_AC_Measure_Life,0),MATCH(C108,Elec_Heat_Curve,0))</f>
        <v>0.99612955435591799</v>
      </c>
      <c r="Y108" s="25">
        <f>INDEX(Gas_AC, MATCH(ROUND(H108,0),Gas_AC_Measure_Life,0),MATCH(D108,Gas_Heat_Load,0))</f>
        <v>10.619861644871106</v>
      </c>
      <c r="Z108" s="98">
        <f>SUM(X108*S108,Y108*T108)</f>
        <v>11314689.950973511</v>
      </c>
      <c r="AA108" s="98">
        <f t="shared" si="50"/>
        <v>3308286.8641571756</v>
      </c>
      <c r="AB108" s="99">
        <f>IFERROR(1.1*SUM(Z108,V108)/SUM(AA108,U108),0)</f>
        <v>1.9705092768159591</v>
      </c>
      <c r="AC108" s="99">
        <f>IFERROR(Z108/SUM(W108,AA108),0)</f>
        <v>1.7789929629416081</v>
      </c>
      <c r="AD108" s="25">
        <f t="shared" si="51"/>
        <v>11356572.373902658</v>
      </c>
      <c r="AE108" s="25">
        <f t="shared" si="52"/>
        <v>0</v>
      </c>
      <c r="AF108" s="98">
        <f>SUM(AD108:AE108)</f>
        <v>11356572.373902658</v>
      </c>
      <c r="AG108" s="98">
        <f>SUM(AA108,W108)</f>
        <v>6360165.659263989</v>
      </c>
    </row>
    <row r="109" spans="1:33" x14ac:dyDescent="0.25">
      <c r="A109" s="21" t="s">
        <v>387</v>
      </c>
      <c r="B109" s="89">
        <v>1</v>
      </c>
      <c r="C109" s="21" t="s">
        <v>80</v>
      </c>
      <c r="D109" s="21" t="s">
        <v>155</v>
      </c>
      <c r="E109" s="90">
        <v>2495495.8444000003</v>
      </c>
      <c r="F109" s="100">
        <v>5679326</v>
      </c>
      <c r="G109" s="100">
        <v>0</v>
      </c>
      <c r="H109" s="92">
        <v>16</v>
      </c>
      <c r="I109" s="90">
        <v>1525939.2632118263</v>
      </c>
      <c r="J109" s="93">
        <v>0</v>
      </c>
      <c r="K109" s="93">
        <v>2.5250287948902602E-2</v>
      </c>
      <c r="L109" s="94">
        <f t="shared" si="41"/>
        <v>143404.61685568921</v>
      </c>
      <c r="M109" s="21" t="s">
        <v>13</v>
      </c>
      <c r="N109" s="24" t="s">
        <v>54</v>
      </c>
      <c r="O109" s="24" t="s">
        <v>304</v>
      </c>
      <c r="P109" s="95">
        <v>0</v>
      </c>
      <c r="Q109" s="21" t="s">
        <v>78</v>
      </c>
      <c r="R109" s="21" t="s">
        <v>87</v>
      </c>
      <c r="S109" s="96">
        <f t="shared" si="34"/>
        <v>5679326</v>
      </c>
      <c r="T109" s="96">
        <f t="shared" si="35"/>
        <v>0</v>
      </c>
      <c r="U109" s="97">
        <f t="shared" si="36"/>
        <v>2495495.8444000003</v>
      </c>
      <c r="V109" s="97">
        <f t="shared" si="47"/>
        <v>1638196.8340681919</v>
      </c>
      <c r="W109" s="97">
        <f t="shared" si="37"/>
        <v>1525939.2632118263</v>
      </c>
      <c r="X109" s="25">
        <f t="shared" si="48"/>
        <v>0.92996448247564767</v>
      </c>
      <c r="Y109" s="25">
        <f t="shared" si="49"/>
        <v>9.8375387624174682</v>
      </c>
      <c r="Z109" s="98">
        <f t="shared" si="38"/>
        <v>5281571.4644004898</v>
      </c>
      <c r="AA109" s="98">
        <f t="shared" si="50"/>
        <v>1544271.5243187156</v>
      </c>
      <c r="AB109" s="99">
        <f t="shared" si="43"/>
        <v>1.884203825016229</v>
      </c>
      <c r="AC109" s="99">
        <f t="shared" si="39"/>
        <v>1.7202634704598274</v>
      </c>
      <c r="AD109" s="25">
        <f t="shared" si="51"/>
        <v>5237097.7809554031</v>
      </c>
      <c r="AE109" s="25">
        <f t="shared" si="52"/>
        <v>0</v>
      </c>
      <c r="AF109" s="98">
        <f t="shared" si="46"/>
        <v>5237097.7809554031</v>
      </c>
      <c r="AG109" s="98">
        <f t="shared" si="40"/>
        <v>3070210.7875305419</v>
      </c>
    </row>
    <row r="110" spans="1:33" x14ac:dyDescent="0.25">
      <c r="A110" s="21" t="s">
        <v>88</v>
      </c>
      <c r="B110" s="89">
        <v>0</v>
      </c>
      <c r="C110" s="21" t="s">
        <v>89</v>
      </c>
      <c r="D110" s="21" t="s">
        <v>155</v>
      </c>
      <c r="E110" s="90">
        <v>0.76</v>
      </c>
      <c r="F110" s="100">
        <v>1.02</v>
      </c>
      <c r="G110" s="100">
        <v>0</v>
      </c>
      <c r="H110" s="92">
        <v>22</v>
      </c>
      <c r="I110" s="90">
        <v>1</v>
      </c>
      <c r="J110" s="93">
        <v>0</v>
      </c>
      <c r="K110" s="93">
        <v>0</v>
      </c>
      <c r="L110" s="94">
        <f t="shared" si="41"/>
        <v>0</v>
      </c>
      <c r="M110" s="21" t="s">
        <v>21</v>
      </c>
      <c r="N110" s="24" t="s">
        <v>54</v>
      </c>
      <c r="O110" s="24" t="s">
        <v>304</v>
      </c>
      <c r="P110" s="95">
        <v>0</v>
      </c>
      <c r="Q110" s="21" t="s">
        <v>78</v>
      </c>
      <c r="R110" s="21" t="s">
        <v>93</v>
      </c>
      <c r="S110" s="96">
        <f t="shared" si="34"/>
        <v>0</v>
      </c>
      <c r="T110" s="96">
        <f t="shared" si="35"/>
        <v>0</v>
      </c>
      <c r="U110" s="97">
        <f t="shared" si="36"/>
        <v>0</v>
      </c>
      <c r="V110" s="97">
        <f t="shared" si="47"/>
        <v>0</v>
      </c>
      <c r="W110" s="97">
        <f t="shared" si="37"/>
        <v>0</v>
      </c>
      <c r="X110" s="25">
        <f t="shared" si="48"/>
        <v>1.7272571864145831</v>
      </c>
      <c r="Y110" s="25">
        <f t="shared" si="49"/>
        <v>12.380584267177699</v>
      </c>
      <c r="Z110" s="98">
        <f t="shared" si="38"/>
        <v>0</v>
      </c>
      <c r="AA110" s="98">
        <f t="shared" si="50"/>
        <v>0</v>
      </c>
      <c r="AB110" s="99">
        <f t="shared" si="43"/>
        <v>0</v>
      </c>
      <c r="AC110" s="99">
        <f t="shared" si="39"/>
        <v>0</v>
      </c>
      <c r="AD110" s="25">
        <f t="shared" si="51"/>
        <v>0</v>
      </c>
      <c r="AE110" s="25">
        <f t="shared" si="52"/>
        <v>0</v>
      </c>
      <c r="AF110" s="98">
        <f t="shared" si="46"/>
        <v>0</v>
      </c>
      <c r="AG110" s="98">
        <f t="shared" si="40"/>
        <v>0</v>
      </c>
    </row>
    <row r="111" spans="1:33" x14ac:dyDescent="0.25">
      <c r="A111" s="21" t="s">
        <v>90</v>
      </c>
      <c r="B111" s="89">
        <v>1203</v>
      </c>
      <c r="C111" s="21" t="s">
        <v>89</v>
      </c>
      <c r="D111" s="21" t="s">
        <v>155</v>
      </c>
      <c r="E111" s="90">
        <v>0.62</v>
      </c>
      <c r="F111" s="100">
        <v>1.36</v>
      </c>
      <c r="G111" s="100">
        <v>0</v>
      </c>
      <c r="H111" s="92">
        <v>22</v>
      </c>
      <c r="I111" s="90">
        <v>1</v>
      </c>
      <c r="J111" s="93">
        <v>0</v>
      </c>
      <c r="K111" s="93">
        <v>0</v>
      </c>
      <c r="L111" s="94">
        <f t="shared" si="41"/>
        <v>0</v>
      </c>
      <c r="M111" s="21" t="s">
        <v>21</v>
      </c>
      <c r="N111" s="24" t="s">
        <v>54</v>
      </c>
      <c r="O111" s="24" t="s">
        <v>304</v>
      </c>
      <c r="P111" s="95">
        <v>0</v>
      </c>
      <c r="Q111" s="21" t="s">
        <v>78</v>
      </c>
      <c r="R111" s="21" t="s">
        <v>93</v>
      </c>
      <c r="S111" s="96">
        <f t="shared" si="34"/>
        <v>1636.0800000000002</v>
      </c>
      <c r="T111" s="96">
        <f t="shared" si="35"/>
        <v>0</v>
      </c>
      <c r="U111" s="97">
        <f t="shared" si="36"/>
        <v>745.86</v>
      </c>
      <c r="V111" s="97">
        <f t="shared" si="47"/>
        <v>0</v>
      </c>
      <c r="W111" s="97">
        <f t="shared" si="37"/>
        <v>1203</v>
      </c>
      <c r="X111" s="25">
        <f t="shared" si="48"/>
        <v>1.7272571864145831</v>
      </c>
      <c r="Y111" s="25">
        <f t="shared" si="49"/>
        <v>12.380584267177699</v>
      </c>
      <c r="Z111" s="98">
        <f t="shared" si="38"/>
        <v>2825.9309375491716</v>
      </c>
      <c r="AA111" s="98">
        <f t="shared" si="50"/>
        <v>826.27011789261746</v>
      </c>
      <c r="AB111" s="99">
        <f t="shared" si="43"/>
        <v>1.9772689269962918</v>
      </c>
      <c r="AC111" s="99">
        <f t="shared" si="39"/>
        <v>1.3925849065790614</v>
      </c>
      <c r="AD111" s="25">
        <f t="shared" si="51"/>
        <v>1860.2009284919</v>
      </c>
      <c r="AE111" s="25">
        <f t="shared" si="52"/>
        <v>0</v>
      </c>
      <c r="AF111" s="98">
        <f t="shared" si="46"/>
        <v>1860.2009284919</v>
      </c>
      <c r="AG111" s="98">
        <f t="shared" si="40"/>
        <v>2029.2701178926175</v>
      </c>
    </row>
    <row r="112" spans="1:33" x14ac:dyDescent="0.25">
      <c r="A112" s="21" t="s">
        <v>91</v>
      </c>
      <c r="B112" s="89">
        <v>2148</v>
      </c>
      <c r="C112" s="21" t="s">
        <v>89</v>
      </c>
      <c r="D112" s="21" t="s">
        <v>155</v>
      </c>
      <c r="E112" s="90">
        <v>0.61</v>
      </c>
      <c r="F112" s="100">
        <v>2.82</v>
      </c>
      <c r="G112" s="100">
        <v>0</v>
      </c>
      <c r="H112" s="92">
        <v>22</v>
      </c>
      <c r="I112" s="90">
        <v>1</v>
      </c>
      <c r="J112" s="93">
        <v>0</v>
      </c>
      <c r="K112" s="93">
        <v>0</v>
      </c>
      <c r="L112" s="94">
        <f t="shared" si="41"/>
        <v>0</v>
      </c>
      <c r="M112" s="21" t="s">
        <v>21</v>
      </c>
      <c r="N112" s="24" t="s">
        <v>54</v>
      </c>
      <c r="O112" s="24" t="s">
        <v>304</v>
      </c>
      <c r="P112" s="95">
        <v>0</v>
      </c>
      <c r="Q112" s="21" t="s">
        <v>78</v>
      </c>
      <c r="R112" s="21" t="s">
        <v>93</v>
      </c>
      <c r="S112" s="96">
        <f t="shared" si="34"/>
        <v>6057.36</v>
      </c>
      <c r="T112" s="96">
        <f t="shared" si="35"/>
        <v>0</v>
      </c>
      <c r="U112" s="97">
        <f t="shared" si="36"/>
        <v>1310.28</v>
      </c>
      <c r="V112" s="97">
        <f t="shared" si="47"/>
        <v>0</v>
      </c>
      <c r="W112" s="97">
        <f t="shared" si="37"/>
        <v>2148</v>
      </c>
      <c r="X112" s="25">
        <f t="shared" si="48"/>
        <v>1.7272571864145831</v>
      </c>
      <c r="Y112" s="25">
        <f t="shared" si="49"/>
        <v>12.380584267177699</v>
      </c>
      <c r="Z112" s="98">
        <f t="shared" si="38"/>
        <v>10462.618590700238</v>
      </c>
      <c r="AA112" s="98">
        <f t="shared" si="50"/>
        <v>3059.1508736235537</v>
      </c>
      <c r="AB112" s="99">
        <f t="shared" si="43"/>
        <v>2.6339541195730116</v>
      </c>
      <c r="AC112" s="99">
        <f t="shared" si="39"/>
        <v>2.0092789405618872</v>
      </c>
      <c r="AD112" s="25">
        <f t="shared" si="51"/>
        <v>6887.1367513872747</v>
      </c>
      <c r="AE112" s="25">
        <f t="shared" si="52"/>
        <v>0</v>
      </c>
      <c r="AF112" s="98">
        <f t="shared" si="46"/>
        <v>6887.1367513872747</v>
      </c>
      <c r="AG112" s="98">
        <f t="shared" si="40"/>
        <v>5207.1508736235537</v>
      </c>
    </row>
    <row r="113" spans="1:33" x14ac:dyDescent="0.25">
      <c r="A113" s="21" t="s">
        <v>92</v>
      </c>
      <c r="B113" s="89">
        <v>707</v>
      </c>
      <c r="C113" s="21" t="s">
        <v>89</v>
      </c>
      <c r="D113" s="21" t="s">
        <v>155</v>
      </c>
      <c r="E113" s="90">
        <v>0.65</v>
      </c>
      <c r="F113" s="100">
        <v>4.1100000000000003</v>
      </c>
      <c r="G113" s="100">
        <v>0</v>
      </c>
      <c r="H113" s="92">
        <v>22</v>
      </c>
      <c r="I113" s="90">
        <v>1.25</v>
      </c>
      <c r="J113" s="93">
        <v>0</v>
      </c>
      <c r="K113" s="93">
        <v>0</v>
      </c>
      <c r="L113" s="94">
        <f t="shared" si="41"/>
        <v>0</v>
      </c>
      <c r="M113" s="21" t="s">
        <v>21</v>
      </c>
      <c r="N113" s="24" t="s">
        <v>54</v>
      </c>
      <c r="O113" s="24" t="s">
        <v>304</v>
      </c>
      <c r="P113" s="95">
        <v>0</v>
      </c>
      <c r="Q113" s="21" t="s">
        <v>78</v>
      </c>
      <c r="R113" s="21" t="s">
        <v>93</v>
      </c>
      <c r="S113" s="96">
        <f t="shared" si="34"/>
        <v>2905.7700000000004</v>
      </c>
      <c r="T113" s="96">
        <f t="shared" si="35"/>
        <v>0</v>
      </c>
      <c r="U113" s="97">
        <f t="shared" si="36"/>
        <v>459.55</v>
      </c>
      <c r="V113" s="97">
        <f t="shared" si="47"/>
        <v>0</v>
      </c>
      <c r="W113" s="97">
        <f t="shared" si="37"/>
        <v>883.75</v>
      </c>
      <c r="X113" s="25">
        <f t="shared" si="48"/>
        <v>1.7272571864145831</v>
      </c>
      <c r="Y113" s="25">
        <f t="shared" si="49"/>
        <v>12.380584267177699</v>
      </c>
      <c r="Z113" s="98">
        <f t="shared" si="38"/>
        <v>5019.0121145679041</v>
      </c>
      <c r="AA113" s="98">
        <f t="shared" si="50"/>
        <v>1467.5021517705925</v>
      </c>
      <c r="AB113" s="99">
        <f t="shared" si="43"/>
        <v>2.8649527315345518</v>
      </c>
      <c r="AC113" s="99">
        <f t="shared" si="39"/>
        <v>2.1346124492808545</v>
      </c>
      <c r="AD113" s="25">
        <f t="shared" si="51"/>
        <v>3303.8213608038163</v>
      </c>
      <c r="AE113" s="25">
        <f t="shared" si="52"/>
        <v>0</v>
      </c>
      <c r="AF113" s="98">
        <f t="shared" si="46"/>
        <v>3303.8213608038163</v>
      </c>
      <c r="AG113" s="98">
        <f t="shared" si="40"/>
        <v>2351.2521517705927</v>
      </c>
    </row>
    <row r="114" spans="1:33" x14ac:dyDescent="0.25">
      <c r="A114" s="21" t="s">
        <v>94</v>
      </c>
      <c r="B114" s="89">
        <v>0</v>
      </c>
      <c r="C114" s="21" t="s">
        <v>95</v>
      </c>
      <c r="D114" s="21" t="s">
        <v>155</v>
      </c>
      <c r="E114" s="90">
        <v>106.53040254620578</v>
      </c>
      <c r="F114" s="100">
        <v>389.83545171153673</v>
      </c>
      <c r="G114" s="100">
        <v>0</v>
      </c>
      <c r="H114" s="92">
        <v>6</v>
      </c>
      <c r="I114" s="90">
        <v>30</v>
      </c>
      <c r="J114" s="93">
        <v>0</v>
      </c>
      <c r="K114" s="93">
        <v>9.8238604836347592E-3</v>
      </c>
      <c r="L114" s="94">
        <f t="shared" si="41"/>
        <v>3.829689089188872</v>
      </c>
      <c r="M114" s="21" t="s">
        <v>13</v>
      </c>
      <c r="N114" s="24" t="s">
        <v>96</v>
      </c>
      <c r="O114" s="24"/>
      <c r="P114" s="95">
        <v>0</v>
      </c>
      <c r="Q114" s="21" t="s">
        <v>78</v>
      </c>
      <c r="R114" s="21" t="s">
        <v>129</v>
      </c>
      <c r="S114" s="96">
        <f t="shared" si="34"/>
        <v>0</v>
      </c>
      <c r="T114" s="96">
        <f t="shared" si="35"/>
        <v>0</v>
      </c>
      <c r="U114" s="97">
        <f t="shared" si="36"/>
        <v>0</v>
      </c>
      <c r="V114" s="97">
        <f t="shared" si="47"/>
        <v>0</v>
      </c>
      <c r="W114" s="97">
        <f t="shared" si="37"/>
        <v>0</v>
      </c>
      <c r="X114" s="25">
        <f t="shared" si="48"/>
        <v>0.401707609984926</v>
      </c>
      <c r="Y114" s="25">
        <f t="shared" si="49"/>
        <v>5.1382757681862161</v>
      </c>
      <c r="Z114" s="98">
        <f t="shared" si="38"/>
        <v>0</v>
      </c>
      <c r="AA114" s="98">
        <f t="shared" si="50"/>
        <v>0</v>
      </c>
      <c r="AB114" s="99">
        <f t="shared" si="43"/>
        <v>0</v>
      </c>
      <c r="AC114" s="99">
        <f t="shared" si="39"/>
        <v>0</v>
      </c>
      <c r="AD114" s="25">
        <f t="shared" si="51"/>
        <v>0</v>
      </c>
      <c r="AE114" s="25">
        <f t="shared" si="52"/>
        <v>0</v>
      </c>
      <c r="AF114" s="98">
        <f t="shared" si="46"/>
        <v>0</v>
      </c>
      <c r="AG114" s="98">
        <f t="shared" si="40"/>
        <v>0</v>
      </c>
    </row>
    <row r="115" spans="1:33" x14ac:dyDescent="0.25">
      <c r="A115" s="21" t="s">
        <v>97</v>
      </c>
      <c r="B115" s="89">
        <v>0</v>
      </c>
      <c r="C115" s="21" t="s">
        <v>95</v>
      </c>
      <c r="D115" s="21" t="s">
        <v>155</v>
      </c>
      <c r="E115" s="90">
        <v>135.79417577576578</v>
      </c>
      <c r="F115" s="100">
        <v>622.21393887557497</v>
      </c>
      <c r="G115" s="100">
        <v>0</v>
      </c>
      <c r="H115" s="92">
        <v>7</v>
      </c>
      <c r="I115" s="90">
        <v>50</v>
      </c>
      <c r="J115" s="93">
        <v>0</v>
      </c>
      <c r="K115" s="93">
        <v>9.8238604836347592E-3</v>
      </c>
      <c r="L115" s="94">
        <f t="shared" si="41"/>
        <v>6.1125429264864941</v>
      </c>
      <c r="M115" s="21" t="s">
        <v>13</v>
      </c>
      <c r="N115" s="24" t="s">
        <v>96</v>
      </c>
      <c r="O115" s="24"/>
      <c r="P115" s="95">
        <v>0</v>
      </c>
      <c r="Q115" s="21" t="s">
        <v>78</v>
      </c>
      <c r="R115" s="21" t="s">
        <v>129</v>
      </c>
      <c r="S115" s="96">
        <f t="shared" si="34"/>
        <v>0</v>
      </c>
      <c r="T115" s="96">
        <f t="shared" si="35"/>
        <v>0</v>
      </c>
      <c r="U115" s="97">
        <f t="shared" si="36"/>
        <v>0</v>
      </c>
      <c r="V115" s="97">
        <f t="shared" si="47"/>
        <v>0</v>
      </c>
      <c r="W115" s="97">
        <f t="shared" si="37"/>
        <v>0</v>
      </c>
      <c r="X115" s="25">
        <f t="shared" si="48"/>
        <v>0.45642284156511131</v>
      </c>
      <c r="Y115" s="25">
        <f t="shared" si="49"/>
        <v>5.6824373074613614</v>
      </c>
      <c r="Z115" s="98">
        <f t="shared" si="38"/>
        <v>0</v>
      </c>
      <c r="AA115" s="98">
        <f t="shared" si="50"/>
        <v>0</v>
      </c>
      <c r="AB115" s="99">
        <f t="shared" si="43"/>
        <v>0</v>
      </c>
      <c r="AC115" s="99">
        <f t="shared" si="39"/>
        <v>0</v>
      </c>
      <c r="AD115" s="25">
        <f t="shared" si="51"/>
        <v>0</v>
      </c>
      <c r="AE115" s="25">
        <f t="shared" si="52"/>
        <v>0</v>
      </c>
      <c r="AF115" s="98">
        <f t="shared" si="46"/>
        <v>0</v>
      </c>
      <c r="AG115" s="98">
        <f t="shared" si="40"/>
        <v>0</v>
      </c>
    </row>
    <row r="116" spans="1:33" x14ac:dyDescent="0.25">
      <c r="A116" s="21" t="s">
        <v>98</v>
      </c>
      <c r="B116" s="89">
        <v>0</v>
      </c>
      <c r="C116" s="21" t="s">
        <v>95</v>
      </c>
      <c r="D116" s="21" t="s">
        <v>155</v>
      </c>
      <c r="E116" s="90">
        <v>149.14256356468809</v>
      </c>
      <c r="F116" s="100">
        <v>670.22430365323089</v>
      </c>
      <c r="G116" s="100">
        <v>0</v>
      </c>
      <c r="H116" s="92">
        <v>7</v>
      </c>
      <c r="I116" s="90">
        <v>60</v>
      </c>
      <c r="J116" s="93">
        <v>0</v>
      </c>
      <c r="K116" s="93">
        <v>9.8238604836347592E-3</v>
      </c>
      <c r="L116" s="94">
        <f t="shared" si="41"/>
        <v>6.5841900518305989</v>
      </c>
      <c r="M116" s="21" t="s">
        <v>13</v>
      </c>
      <c r="N116" s="24" t="s">
        <v>96</v>
      </c>
      <c r="O116" s="24"/>
      <c r="P116" s="95">
        <v>0</v>
      </c>
      <c r="Q116" s="21" t="s">
        <v>78</v>
      </c>
      <c r="R116" s="21" t="s">
        <v>129</v>
      </c>
      <c r="S116" s="96">
        <f t="shared" si="34"/>
        <v>0</v>
      </c>
      <c r="T116" s="96">
        <f t="shared" si="35"/>
        <v>0</v>
      </c>
      <c r="U116" s="97">
        <f t="shared" si="36"/>
        <v>0</v>
      </c>
      <c r="V116" s="97">
        <f t="shared" si="47"/>
        <v>0</v>
      </c>
      <c r="W116" s="97">
        <f t="shared" si="37"/>
        <v>0</v>
      </c>
      <c r="X116" s="25">
        <f t="shared" si="48"/>
        <v>0.45642284156511131</v>
      </c>
      <c r="Y116" s="25">
        <f t="shared" si="49"/>
        <v>5.6824373074613614</v>
      </c>
      <c r="Z116" s="98">
        <f t="shared" si="38"/>
        <v>0</v>
      </c>
      <c r="AA116" s="98">
        <f t="shared" si="50"/>
        <v>0</v>
      </c>
      <c r="AB116" s="99">
        <f t="shared" si="43"/>
        <v>0</v>
      </c>
      <c r="AC116" s="99">
        <f t="shared" si="39"/>
        <v>0</v>
      </c>
      <c r="AD116" s="25">
        <f t="shared" si="51"/>
        <v>0</v>
      </c>
      <c r="AE116" s="25">
        <f t="shared" si="52"/>
        <v>0</v>
      </c>
      <c r="AF116" s="98">
        <f t="shared" si="46"/>
        <v>0</v>
      </c>
      <c r="AG116" s="98">
        <f t="shared" si="40"/>
        <v>0</v>
      </c>
    </row>
    <row r="117" spans="1:33" x14ac:dyDescent="0.25">
      <c r="A117" s="21" t="s">
        <v>99</v>
      </c>
      <c r="B117" s="89">
        <v>0</v>
      </c>
      <c r="C117" s="21" t="s">
        <v>95</v>
      </c>
      <c r="D117" s="21" t="s">
        <v>155</v>
      </c>
      <c r="E117" s="90">
        <v>182.25683327182196</v>
      </c>
      <c r="F117" s="100">
        <v>780.49873686494539</v>
      </c>
      <c r="G117" s="100">
        <v>0</v>
      </c>
      <c r="H117" s="92">
        <v>7</v>
      </c>
      <c r="I117" s="90">
        <v>80</v>
      </c>
      <c r="J117" s="93">
        <v>0</v>
      </c>
      <c r="K117" s="93">
        <v>9.8238604836347592E-3</v>
      </c>
      <c r="L117" s="94">
        <f t="shared" si="41"/>
        <v>7.6675106986143806</v>
      </c>
      <c r="M117" s="21" t="s">
        <v>13</v>
      </c>
      <c r="N117" s="24" t="s">
        <v>96</v>
      </c>
      <c r="O117" s="24"/>
      <c r="P117" s="95">
        <v>0</v>
      </c>
      <c r="Q117" s="21" t="s">
        <v>78</v>
      </c>
      <c r="R117" s="21" t="s">
        <v>129</v>
      </c>
      <c r="S117" s="96">
        <f t="shared" si="34"/>
        <v>0</v>
      </c>
      <c r="T117" s="96">
        <f t="shared" si="35"/>
        <v>0</v>
      </c>
      <c r="U117" s="97">
        <f t="shared" si="36"/>
        <v>0</v>
      </c>
      <c r="V117" s="97">
        <f t="shared" si="47"/>
        <v>0</v>
      </c>
      <c r="W117" s="97">
        <f t="shared" si="37"/>
        <v>0</v>
      </c>
      <c r="X117" s="25">
        <f t="shared" si="48"/>
        <v>0.45642284156511131</v>
      </c>
      <c r="Y117" s="25">
        <f t="shared" si="49"/>
        <v>5.6824373074613614</v>
      </c>
      <c r="Z117" s="98">
        <f t="shared" si="38"/>
        <v>0</v>
      </c>
      <c r="AA117" s="98">
        <f t="shared" si="50"/>
        <v>0</v>
      </c>
      <c r="AB117" s="99">
        <f t="shared" si="43"/>
        <v>0</v>
      </c>
      <c r="AC117" s="99">
        <f t="shared" si="39"/>
        <v>0</v>
      </c>
      <c r="AD117" s="25">
        <f t="shared" si="51"/>
        <v>0</v>
      </c>
      <c r="AE117" s="25">
        <f t="shared" si="52"/>
        <v>0</v>
      </c>
      <c r="AF117" s="98">
        <f t="shared" si="46"/>
        <v>0</v>
      </c>
      <c r="AG117" s="98">
        <f t="shared" si="40"/>
        <v>0</v>
      </c>
    </row>
    <row r="118" spans="1:33" x14ac:dyDescent="0.25">
      <c r="A118" s="21" t="s">
        <v>100</v>
      </c>
      <c r="B118" s="89">
        <v>0</v>
      </c>
      <c r="C118" s="21" t="s">
        <v>95</v>
      </c>
      <c r="D118" s="21" t="s">
        <v>155</v>
      </c>
      <c r="E118" s="90">
        <v>201.76601542486196</v>
      </c>
      <c r="F118" s="100">
        <v>839.97586520505138</v>
      </c>
      <c r="G118" s="100">
        <v>0</v>
      </c>
      <c r="H118" s="92">
        <v>7</v>
      </c>
      <c r="I118" s="90">
        <v>100</v>
      </c>
      <c r="J118" s="93">
        <v>0</v>
      </c>
      <c r="K118" s="93">
        <v>9.8238604836347592E-3</v>
      </c>
      <c r="L118" s="94">
        <f t="shared" si="41"/>
        <v>8.2518057093948212</v>
      </c>
      <c r="M118" s="21" t="s">
        <v>13</v>
      </c>
      <c r="N118" s="24" t="s">
        <v>96</v>
      </c>
      <c r="O118" s="24"/>
      <c r="P118" s="95">
        <v>0</v>
      </c>
      <c r="Q118" s="21" t="s">
        <v>78</v>
      </c>
      <c r="R118" s="21" t="s">
        <v>129</v>
      </c>
      <c r="S118" s="96">
        <f t="shared" si="34"/>
        <v>0</v>
      </c>
      <c r="T118" s="96">
        <f t="shared" si="35"/>
        <v>0</v>
      </c>
      <c r="U118" s="97">
        <f t="shared" si="36"/>
        <v>0</v>
      </c>
      <c r="V118" s="97">
        <f t="shared" si="47"/>
        <v>0</v>
      </c>
      <c r="W118" s="97">
        <f t="shared" si="37"/>
        <v>0</v>
      </c>
      <c r="X118" s="25">
        <f t="shared" si="48"/>
        <v>0.45642284156511131</v>
      </c>
      <c r="Y118" s="25">
        <f t="shared" si="49"/>
        <v>5.6824373074613614</v>
      </c>
      <c r="Z118" s="98">
        <f t="shared" si="38"/>
        <v>0</v>
      </c>
      <c r="AA118" s="98">
        <f t="shared" si="50"/>
        <v>0</v>
      </c>
      <c r="AB118" s="99">
        <f t="shared" si="43"/>
        <v>0</v>
      </c>
      <c r="AC118" s="99">
        <f t="shared" si="39"/>
        <v>0</v>
      </c>
      <c r="AD118" s="25">
        <f t="shared" si="51"/>
        <v>0</v>
      </c>
      <c r="AE118" s="25">
        <f t="shared" si="52"/>
        <v>0</v>
      </c>
      <c r="AF118" s="98">
        <f t="shared" si="46"/>
        <v>0</v>
      </c>
      <c r="AG118" s="98">
        <f t="shared" si="40"/>
        <v>0</v>
      </c>
    </row>
    <row r="119" spans="1:33" x14ac:dyDescent="0.25">
      <c r="A119" s="21" t="s">
        <v>101</v>
      </c>
      <c r="B119" s="89">
        <v>0</v>
      </c>
      <c r="C119" s="21" t="s">
        <v>95</v>
      </c>
      <c r="D119" s="21" t="s">
        <v>155</v>
      </c>
      <c r="E119" s="90">
        <v>237.96068231405502</v>
      </c>
      <c r="F119" s="100">
        <v>846.27202631538967</v>
      </c>
      <c r="G119" s="100">
        <v>0</v>
      </c>
      <c r="H119" s="92">
        <v>8</v>
      </c>
      <c r="I119" s="90">
        <v>120</v>
      </c>
      <c r="J119" s="93">
        <v>0</v>
      </c>
      <c r="K119" s="93">
        <v>9.8238604836347592E-3</v>
      </c>
      <c r="L119" s="94">
        <f t="shared" si="41"/>
        <v>8.3136583177252721</v>
      </c>
      <c r="M119" s="21" t="s">
        <v>13</v>
      </c>
      <c r="N119" s="24" t="s">
        <v>96</v>
      </c>
      <c r="O119" s="24"/>
      <c r="P119" s="95">
        <v>0</v>
      </c>
      <c r="Q119" s="21" t="s">
        <v>78</v>
      </c>
      <c r="R119" s="21" t="s">
        <v>129</v>
      </c>
      <c r="S119" s="96">
        <f t="shared" si="34"/>
        <v>0</v>
      </c>
      <c r="T119" s="96">
        <f t="shared" si="35"/>
        <v>0</v>
      </c>
      <c r="U119" s="97">
        <f t="shared" si="36"/>
        <v>0</v>
      </c>
      <c r="V119" s="97">
        <f t="shared" si="47"/>
        <v>0</v>
      </c>
      <c r="W119" s="97">
        <f t="shared" si="37"/>
        <v>0</v>
      </c>
      <c r="X119" s="25">
        <f t="shared" si="48"/>
        <v>0.50924309297678105</v>
      </c>
      <c r="Y119" s="25">
        <f t="shared" si="49"/>
        <v>6.190684367436047</v>
      </c>
      <c r="Z119" s="98">
        <f t="shared" si="38"/>
        <v>0</v>
      </c>
      <c r="AA119" s="98">
        <f t="shared" si="50"/>
        <v>0</v>
      </c>
      <c r="AB119" s="99">
        <f t="shared" si="43"/>
        <v>0</v>
      </c>
      <c r="AC119" s="99">
        <f t="shared" si="39"/>
        <v>0</v>
      </c>
      <c r="AD119" s="25">
        <f t="shared" si="51"/>
        <v>0</v>
      </c>
      <c r="AE119" s="25">
        <f t="shared" si="52"/>
        <v>0</v>
      </c>
      <c r="AF119" s="98">
        <f t="shared" si="46"/>
        <v>0</v>
      </c>
      <c r="AG119" s="98">
        <f t="shared" si="40"/>
        <v>0</v>
      </c>
    </row>
    <row r="120" spans="1:33" x14ac:dyDescent="0.25">
      <c r="A120" s="21" t="s">
        <v>102</v>
      </c>
      <c r="B120" s="89">
        <v>0</v>
      </c>
      <c r="C120" s="21" t="s">
        <v>95</v>
      </c>
      <c r="D120" s="21" t="s">
        <v>155</v>
      </c>
      <c r="E120" s="90">
        <v>257.21316470192323</v>
      </c>
      <c r="F120" s="100">
        <v>870.94945640777587</v>
      </c>
      <c r="G120" s="100">
        <v>0</v>
      </c>
      <c r="H120" s="92">
        <v>8</v>
      </c>
      <c r="I120" s="90">
        <v>150</v>
      </c>
      <c r="J120" s="93">
        <v>0</v>
      </c>
      <c r="K120" s="93">
        <v>9.8238604836347592E-3</v>
      </c>
      <c r="L120" s="94">
        <f t="shared" si="41"/>
        <v>8.5560859480475244</v>
      </c>
      <c r="M120" s="21" t="s">
        <v>13</v>
      </c>
      <c r="N120" s="24" t="s">
        <v>96</v>
      </c>
      <c r="O120" s="24"/>
      <c r="P120" s="95">
        <v>0</v>
      </c>
      <c r="Q120" s="21" t="s">
        <v>78</v>
      </c>
      <c r="R120" s="21" t="s">
        <v>129</v>
      </c>
      <c r="S120" s="96">
        <f t="shared" si="34"/>
        <v>0</v>
      </c>
      <c r="T120" s="96">
        <f t="shared" si="35"/>
        <v>0</v>
      </c>
      <c r="U120" s="97">
        <f t="shared" si="36"/>
        <v>0</v>
      </c>
      <c r="V120" s="97">
        <f t="shared" si="47"/>
        <v>0</v>
      </c>
      <c r="W120" s="97">
        <f t="shared" si="37"/>
        <v>0</v>
      </c>
      <c r="X120" s="25">
        <f t="shared" si="48"/>
        <v>0.50924309297678105</v>
      </c>
      <c r="Y120" s="25">
        <f t="shared" si="49"/>
        <v>6.190684367436047</v>
      </c>
      <c r="Z120" s="98">
        <f t="shared" si="38"/>
        <v>0</v>
      </c>
      <c r="AA120" s="98">
        <f t="shared" si="50"/>
        <v>0</v>
      </c>
      <c r="AB120" s="99">
        <f t="shared" si="43"/>
        <v>0</v>
      </c>
      <c r="AC120" s="99">
        <f t="shared" si="39"/>
        <v>0</v>
      </c>
      <c r="AD120" s="25">
        <f t="shared" si="51"/>
        <v>0</v>
      </c>
      <c r="AE120" s="25">
        <f t="shared" si="52"/>
        <v>0</v>
      </c>
      <c r="AF120" s="98">
        <f t="shared" si="46"/>
        <v>0</v>
      </c>
      <c r="AG120" s="98">
        <f t="shared" si="40"/>
        <v>0</v>
      </c>
    </row>
    <row r="121" spans="1:33" x14ac:dyDescent="0.25">
      <c r="A121" s="21" t="s">
        <v>103</v>
      </c>
      <c r="B121" s="89">
        <v>0</v>
      </c>
      <c r="C121" s="21" t="s">
        <v>95</v>
      </c>
      <c r="D121" s="21" t="s">
        <v>155</v>
      </c>
      <c r="E121" s="90">
        <v>319.07780810827398</v>
      </c>
      <c r="F121" s="100">
        <v>1149.5371503325878</v>
      </c>
      <c r="G121" s="100">
        <v>0</v>
      </c>
      <c r="H121" s="92">
        <v>8</v>
      </c>
      <c r="I121" s="90">
        <v>200</v>
      </c>
      <c r="J121" s="93">
        <v>0</v>
      </c>
      <c r="K121" s="93">
        <v>9.8238604836347592E-3</v>
      </c>
      <c r="L121" s="94">
        <f t="shared" si="41"/>
        <v>11.292892585622418</v>
      </c>
      <c r="M121" s="21" t="s">
        <v>13</v>
      </c>
      <c r="N121" s="24" t="s">
        <v>96</v>
      </c>
      <c r="O121" s="24"/>
      <c r="P121" s="95">
        <v>0</v>
      </c>
      <c r="Q121" s="21" t="s">
        <v>78</v>
      </c>
      <c r="R121" s="21" t="s">
        <v>129</v>
      </c>
      <c r="S121" s="96">
        <f t="shared" si="34"/>
        <v>0</v>
      </c>
      <c r="T121" s="96">
        <f t="shared" si="35"/>
        <v>0</v>
      </c>
      <c r="U121" s="97">
        <f t="shared" si="36"/>
        <v>0</v>
      </c>
      <c r="V121" s="97">
        <f t="shared" si="47"/>
        <v>0</v>
      </c>
      <c r="W121" s="97">
        <f t="shared" si="37"/>
        <v>0</v>
      </c>
      <c r="X121" s="25">
        <f t="shared" si="48"/>
        <v>0.50924309297678105</v>
      </c>
      <c r="Y121" s="25">
        <f t="shared" si="49"/>
        <v>6.190684367436047</v>
      </c>
      <c r="Z121" s="98">
        <f t="shared" si="38"/>
        <v>0</v>
      </c>
      <c r="AA121" s="98">
        <f t="shared" si="50"/>
        <v>0</v>
      </c>
      <c r="AB121" s="99">
        <f t="shared" si="43"/>
        <v>0</v>
      </c>
      <c r="AC121" s="99">
        <f t="shared" si="39"/>
        <v>0</v>
      </c>
      <c r="AD121" s="25">
        <f t="shared" si="51"/>
        <v>0</v>
      </c>
      <c r="AE121" s="25">
        <f t="shared" si="52"/>
        <v>0</v>
      </c>
      <c r="AF121" s="98">
        <f t="shared" si="46"/>
        <v>0</v>
      </c>
      <c r="AG121" s="98">
        <f t="shared" si="40"/>
        <v>0</v>
      </c>
    </row>
    <row r="122" spans="1:33" x14ac:dyDescent="0.25">
      <c r="A122" s="21" t="s">
        <v>104</v>
      </c>
      <c r="B122" s="89">
        <v>1</v>
      </c>
      <c r="C122" s="21" t="s">
        <v>95</v>
      </c>
      <c r="D122" s="21" t="s">
        <v>155</v>
      </c>
      <c r="E122" s="90">
        <v>358.352872179526</v>
      </c>
      <c r="F122" s="100">
        <v>1319.4664798090234</v>
      </c>
      <c r="G122" s="100">
        <v>0</v>
      </c>
      <c r="H122" s="92">
        <v>8</v>
      </c>
      <c r="I122" s="90">
        <v>250</v>
      </c>
      <c r="J122" s="93">
        <v>0</v>
      </c>
      <c r="K122" s="93">
        <v>9.8238604836347592E-3</v>
      </c>
      <c r="L122" s="94">
        <f t="shared" si="41"/>
        <v>12.962254610476526</v>
      </c>
      <c r="M122" s="21" t="s">
        <v>13</v>
      </c>
      <c r="N122" s="24" t="s">
        <v>96</v>
      </c>
      <c r="O122" s="24"/>
      <c r="P122" s="95">
        <v>0</v>
      </c>
      <c r="Q122" s="21" t="s">
        <v>78</v>
      </c>
      <c r="R122" s="21" t="s">
        <v>129</v>
      </c>
      <c r="S122" s="96">
        <f t="shared" si="34"/>
        <v>1319.4664798090234</v>
      </c>
      <c r="T122" s="96">
        <f t="shared" si="35"/>
        <v>0</v>
      </c>
      <c r="U122" s="97">
        <f t="shared" si="36"/>
        <v>358.352872179526</v>
      </c>
      <c r="V122" s="97">
        <f t="shared" si="47"/>
        <v>86.306727656054264</v>
      </c>
      <c r="W122" s="97">
        <f t="shared" si="37"/>
        <v>250</v>
      </c>
      <c r="X122" s="25">
        <f t="shared" si="48"/>
        <v>0.50924309297678105</v>
      </c>
      <c r="Y122" s="25">
        <f t="shared" si="49"/>
        <v>6.190684367436047</v>
      </c>
      <c r="Z122" s="98">
        <f t="shared" si="38"/>
        <v>671.92919125713252</v>
      </c>
      <c r="AA122" s="98">
        <f t="shared" si="50"/>
        <v>196.46446581494402</v>
      </c>
      <c r="AB122" s="99">
        <f t="shared" si="43"/>
        <v>1.5033046981181739</v>
      </c>
      <c r="AC122" s="99">
        <f t="shared" si="39"/>
        <v>1.5050003812299855</v>
      </c>
      <c r="AD122" s="25">
        <f t="shared" si="51"/>
        <v>709.17497142040349</v>
      </c>
      <c r="AE122" s="25">
        <f t="shared" si="52"/>
        <v>0</v>
      </c>
      <c r="AF122" s="98">
        <f t="shared" si="46"/>
        <v>709.17497142040349</v>
      </c>
      <c r="AG122" s="98">
        <f t="shared" si="40"/>
        <v>446.46446581494399</v>
      </c>
    </row>
    <row r="123" spans="1:33" x14ac:dyDescent="0.25">
      <c r="A123" s="21" t="s">
        <v>105</v>
      </c>
      <c r="B123" s="89">
        <v>0</v>
      </c>
      <c r="C123" s="21" t="s">
        <v>95</v>
      </c>
      <c r="D123" s="21" t="s">
        <v>155</v>
      </c>
      <c r="E123" s="90">
        <v>399.16813484180739</v>
      </c>
      <c r="F123" s="100">
        <v>1568.4817971016164</v>
      </c>
      <c r="G123" s="100">
        <v>0</v>
      </c>
      <c r="H123" s="92">
        <v>8</v>
      </c>
      <c r="I123" s="90">
        <v>300</v>
      </c>
      <c r="J123" s="93">
        <v>0</v>
      </c>
      <c r="K123" s="93">
        <v>9.8238604836347592E-3</v>
      </c>
      <c r="L123" s="94">
        <f t="shared" si="41"/>
        <v>15.408546345847002</v>
      </c>
      <c r="M123" s="21" t="s">
        <v>13</v>
      </c>
      <c r="N123" s="24" t="s">
        <v>96</v>
      </c>
      <c r="O123" s="24"/>
      <c r="P123" s="95">
        <v>0</v>
      </c>
      <c r="Q123" s="21" t="s">
        <v>78</v>
      </c>
      <c r="R123" s="21" t="s">
        <v>129</v>
      </c>
      <c r="S123" s="96">
        <f t="shared" si="34"/>
        <v>0</v>
      </c>
      <c r="T123" s="96">
        <f t="shared" si="35"/>
        <v>0</v>
      </c>
      <c r="U123" s="97">
        <f t="shared" si="36"/>
        <v>0</v>
      </c>
      <c r="V123" s="97">
        <f t="shared" si="47"/>
        <v>0</v>
      </c>
      <c r="W123" s="97">
        <f t="shared" si="37"/>
        <v>0</v>
      </c>
      <c r="X123" s="25">
        <f t="shared" si="48"/>
        <v>0.50924309297678105</v>
      </c>
      <c r="Y123" s="25">
        <f t="shared" si="49"/>
        <v>6.190684367436047</v>
      </c>
      <c r="Z123" s="98">
        <f t="shared" si="38"/>
        <v>0</v>
      </c>
      <c r="AA123" s="98">
        <f t="shared" si="50"/>
        <v>0</v>
      </c>
      <c r="AB123" s="99">
        <f t="shared" si="43"/>
        <v>0</v>
      </c>
      <c r="AC123" s="99">
        <f t="shared" si="39"/>
        <v>0</v>
      </c>
      <c r="AD123" s="25">
        <f t="shared" si="51"/>
        <v>0</v>
      </c>
      <c r="AE123" s="25">
        <f t="shared" si="52"/>
        <v>0</v>
      </c>
      <c r="AF123" s="98">
        <f t="shared" si="46"/>
        <v>0</v>
      </c>
      <c r="AG123" s="98">
        <f t="shared" si="40"/>
        <v>0</v>
      </c>
    </row>
    <row r="124" spans="1:33" x14ac:dyDescent="0.25">
      <c r="A124" s="21" t="s">
        <v>106</v>
      </c>
      <c r="B124" s="89">
        <v>0</v>
      </c>
      <c r="C124" s="21" t="s">
        <v>95</v>
      </c>
      <c r="D124" s="21" t="s">
        <v>155</v>
      </c>
      <c r="E124" s="90">
        <v>480.54196040119768</v>
      </c>
      <c r="F124" s="100">
        <v>2080.4669241597876</v>
      </c>
      <c r="G124" s="100">
        <v>0</v>
      </c>
      <c r="H124" s="92">
        <v>8</v>
      </c>
      <c r="I124" s="90">
        <v>400</v>
      </c>
      <c r="J124" s="93">
        <v>0</v>
      </c>
      <c r="K124" s="93">
        <v>9.8238604836347592E-3</v>
      </c>
      <c r="L124" s="94">
        <f t="shared" si="41"/>
        <v>20.43821680376249</v>
      </c>
      <c r="M124" s="21" t="s">
        <v>13</v>
      </c>
      <c r="N124" s="24" t="s">
        <v>96</v>
      </c>
      <c r="O124" s="24"/>
      <c r="P124" s="95">
        <v>0</v>
      </c>
      <c r="Q124" s="21" t="s">
        <v>78</v>
      </c>
      <c r="R124" s="21" t="s">
        <v>129</v>
      </c>
      <c r="S124" s="96">
        <f t="shared" si="34"/>
        <v>0</v>
      </c>
      <c r="T124" s="96">
        <f t="shared" si="35"/>
        <v>0</v>
      </c>
      <c r="U124" s="97">
        <f t="shared" si="36"/>
        <v>0</v>
      </c>
      <c r="V124" s="97">
        <f t="shared" si="47"/>
        <v>0</v>
      </c>
      <c r="W124" s="97">
        <f t="shared" si="37"/>
        <v>0</v>
      </c>
      <c r="X124" s="25">
        <f t="shared" si="48"/>
        <v>0.50924309297678105</v>
      </c>
      <c r="Y124" s="25">
        <f t="shared" si="49"/>
        <v>6.190684367436047</v>
      </c>
      <c r="Z124" s="98">
        <f t="shared" si="38"/>
        <v>0</v>
      </c>
      <c r="AA124" s="98">
        <f t="shared" si="50"/>
        <v>0</v>
      </c>
      <c r="AB124" s="99">
        <f t="shared" si="43"/>
        <v>0</v>
      </c>
      <c r="AC124" s="99">
        <f t="shared" si="39"/>
        <v>0</v>
      </c>
      <c r="AD124" s="25">
        <f t="shared" si="51"/>
        <v>0</v>
      </c>
      <c r="AE124" s="25">
        <f t="shared" si="52"/>
        <v>0</v>
      </c>
      <c r="AF124" s="98">
        <f t="shared" si="46"/>
        <v>0</v>
      </c>
      <c r="AG124" s="98">
        <f t="shared" si="40"/>
        <v>0</v>
      </c>
    </row>
    <row r="125" spans="1:33" x14ac:dyDescent="0.25">
      <c r="A125" s="21" t="s">
        <v>107</v>
      </c>
      <c r="B125" s="89">
        <v>0</v>
      </c>
      <c r="C125" s="21" t="s">
        <v>95</v>
      </c>
      <c r="D125" s="21" t="s">
        <v>155</v>
      </c>
      <c r="E125" s="90">
        <v>617.61963500282218</v>
      </c>
      <c r="F125" s="100">
        <v>2750.9841270818142</v>
      </c>
      <c r="G125" s="100">
        <v>0</v>
      </c>
      <c r="H125" s="92">
        <v>8</v>
      </c>
      <c r="I125" s="90">
        <v>500</v>
      </c>
      <c r="J125" s="93">
        <v>0</v>
      </c>
      <c r="K125" s="93">
        <v>9.8238604836347592E-3</v>
      </c>
      <c r="L125" s="94">
        <f t="shared" si="41"/>
        <v>27.025284257145497</v>
      </c>
      <c r="M125" s="21" t="s">
        <v>13</v>
      </c>
      <c r="N125" s="24" t="s">
        <v>96</v>
      </c>
      <c r="O125" s="24"/>
      <c r="P125" s="95">
        <v>0</v>
      </c>
      <c r="Q125" s="21" t="s">
        <v>78</v>
      </c>
      <c r="R125" s="21" t="s">
        <v>129</v>
      </c>
      <c r="S125" s="96">
        <f t="shared" si="34"/>
        <v>0</v>
      </c>
      <c r="T125" s="96">
        <f t="shared" si="35"/>
        <v>0</v>
      </c>
      <c r="U125" s="97">
        <f t="shared" si="36"/>
        <v>0</v>
      </c>
      <c r="V125" s="97">
        <f t="shared" si="47"/>
        <v>0</v>
      </c>
      <c r="W125" s="97">
        <f t="shared" si="37"/>
        <v>0</v>
      </c>
      <c r="X125" s="25">
        <f t="shared" si="48"/>
        <v>0.50924309297678105</v>
      </c>
      <c r="Y125" s="25">
        <f t="shared" si="49"/>
        <v>6.190684367436047</v>
      </c>
      <c r="Z125" s="98">
        <f t="shared" si="38"/>
        <v>0</v>
      </c>
      <c r="AA125" s="98">
        <f t="shared" si="50"/>
        <v>0</v>
      </c>
      <c r="AB125" s="99">
        <f t="shared" si="43"/>
        <v>0</v>
      </c>
      <c r="AC125" s="99">
        <f t="shared" si="39"/>
        <v>0</v>
      </c>
      <c r="AD125" s="25">
        <f t="shared" si="51"/>
        <v>0</v>
      </c>
      <c r="AE125" s="25">
        <f t="shared" si="52"/>
        <v>0</v>
      </c>
      <c r="AF125" s="98">
        <f t="shared" si="46"/>
        <v>0</v>
      </c>
      <c r="AG125" s="98">
        <f t="shared" si="40"/>
        <v>0</v>
      </c>
    </row>
    <row r="126" spans="1:33" x14ac:dyDescent="0.25">
      <c r="A126" s="21" t="s">
        <v>108</v>
      </c>
      <c r="B126" s="89">
        <v>0</v>
      </c>
      <c r="C126" s="21" t="s">
        <v>95</v>
      </c>
      <c r="D126" s="21" t="s">
        <v>155</v>
      </c>
      <c r="E126" s="90">
        <v>624.29382889728276</v>
      </c>
      <c r="F126" s="100">
        <v>3284.1062099578558</v>
      </c>
      <c r="G126" s="100">
        <v>0</v>
      </c>
      <c r="H126" s="92">
        <v>8</v>
      </c>
      <c r="I126" s="90">
        <v>600</v>
      </c>
      <c r="J126" s="93">
        <v>0</v>
      </c>
      <c r="K126" s="93">
        <v>9.8238604836347592E-3</v>
      </c>
      <c r="L126" s="94">
        <f t="shared" si="41"/>
        <v>32.262601220064496</v>
      </c>
      <c r="M126" s="21" t="s">
        <v>13</v>
      </c>
      <c r="N126" s="24" t="s">
        <v>96</v>
      </c>
      <c r="O126" s="24"/>
      <c r="P126" s="95">
        <v>0</v>
      </c>
      <c r="Q126" s="21" t="s">
        <v>78</v>
      </c>
      <c r="R126" s="21" t="s">
        <v>129</v>
      </c>
      <c r="S126" s="96">
        <f t="shared" si="34"/>
        <v>0</v>
      </c>
      <c r="T126" s="96">
        <f t="shared" si="35"/>
        <v>0</v>
      </c>
      <c r="U126" s="97">
        <f t="shared" si="36"/>
        <v>0</v>
      </c>
      <c r="V126" s="97">
        <f t="shared" si="47"/>
        <v>0</v>
      </c>
      <c r="W126" s="97">
        <f t="shared" si="37"/>
        <v>0</v>
      </c>
      <c r="X126" s="25">
        <f t="shared" si="48"/>
        <v>0.50924309297678105</v>
      </c>
      <c r="Y126" s="25">
        <f t="shared" si="49"/>
        <v>6.190684367436047</v>
      </c>
      <c r="Z126" s="98">
        <f t="shared" si="38"/>
        <v>0</v>
      </c>
      <c r="AA126" s="98">
        <f t="shared" si="50"/>
        <v>0</v>
      </c>
      <c r="AB126" s="99">
        <f t="shared" si="43"/>
        <v>0</v>
      </c>
      <c r="AC126" s="99">
        <f t="shared" si="39"/>
        <v>0</v>
      </c>
      <c r="AD126" s="25">
        <f t="shared" si="51"/>
        <v>0</v>
      </c>
      <c r="AE126" s="25">
        <f t="shared" si="52"/>
        <v>0</v>
      </c>
      <c r="AF126" s="98">
        <f t="shared" si="46"/>
        <v>0</v>
      </c>
      <c r="AG126" s="98">
        <f t="shared" si="40"/>
        <v>0</v>
      </c>
    </row>
    <row r="127" spans="1:33" x14ac:dyDescent="0.25">
      <c r="A127" s="21" t="s">
        <v>109</v>
      </c>
      <c r="B127" s="89">
        <v>2</v>
      </c>
      <c r="C127" s="21" t="s">
        <v>95</v>
      </c>
      <c r="D127" s="21" t="s">
        <v>155</v>
      </c>
      <c r="E127" s="90">
        <v>654.32770142235677</v>
      </c>
      <c r="F127" s="100">
        <v>3828.6487355234567</v>
      </c>
      <c r="G127" s="100">
        <v>0</v>
      </c>
      <c r="H127" s="92">
        <v>8</v>
      </c>
      <c r="I127" s="90">
        <v>700</v>
      </c>
      <c r="J127" s="93">
        <v>0</v>
      </c>
      <c r="K127" s="93">
        <v>9.8238604836347592E-3</v>
      </c>
      <c r="L127" s="94">
        <f t="shared" si="41"/>
        <v>37.612111018627076</v>
      </c>
      <c r="M127" s="21" t="s">
        <v>13</v>
      </c>
      <c r="N127" s="24" t="s">
        <v>96</v>
      </c>
      <c r="O127" s="24"/>
      <c r="P127" s="95">
        <v>0</v>
      </c>
      <c r="Q127" s="21" t="s">
        <v>78</v>
      </c>
      <c r="R127" s="21" t="s">
        <v>129</v>
      </c>
      <c r="S127" s="96">
        <f t="shared" si="34"/>
        <v>7657.2974710469134</v>
      </c>
      <c r="T127" s="96">
        <f t="shared" si="35"/>
        <v>0</v>
      </c>
      <c r="U127" s="97">
        <f t="shared" si="36"/>
        <v>1308.6554028447135</v>
      </c>
      <c r="V127" s="97">
        <f t="shared" si="47"/>
        <v>500.86629522463716</v>
      </c>
      <c r="W127" s="97">
        <f t="shared" si="37"/>
        <v>1400</v>
      </c>
      <c r="X127" s="25">
        <f t="shared" si="48"/>
        <v>0.50924309297678105</v>
      </c>
      <c r="Y127" s="25">
        <f t="shared" si="49"/>
        <v>6.190684367436047</v>
      </c>
      <c r="Z127" s="98">
        <f t="shared" si="38"/>
        <v>3899.4258479992136</v>
      </c>
      <c r="AA127" s="98">
        <f t="shared" si="50"/>
        <v>1140.1478402491098</v>
      </c>
      <c r="AB127" s="99">
        <f t="shared" si="43"/>
        <v>1.9766068879551808</v>
      </c>
      <c r="AC127" s="99">
        <f t="shared" si="39"/>
        <v>1.5351176755195479</v>
      </c>
      <c r="AD127" s="25">
        <f t="shared" si="51"/>
        <v>4115.5753467668246</v>
      </c>
      <c r="AE127" s="25">
        <f t="shared" si="52"/>
        <v>0</v>
      </c>
      <c r="AF127" s="98">
        <f t="shared" si="46"/>
        <v>4115.5753467668246</v>
      </c>
      <c r="AG127" s="98">
        <f t="shared" si="40"/>
        <v>2540.1478402491098</v>
      </c>
    </row>
    <row r="128" spans="1:33" x14ac:dyDescent="0.25">
      <c r="A128" s="21" t="s">
        <v>110</v>
      </c>
      <c r="B128" s="89">
        <v>0</v>
      </c>
      <c r="C128" s="21" t="s">
        <v>95</v>
      </c>
      <c r="D128" s="21" t="s">
        <v>155</v>
      </c>
      <c r="E128" s="90">
        <v>730.82423144348832</v>
      </c>
      <c r="F128" s="100">
        <v>4341.1009293007664</v>
      </c>
      <c r="G128" s="100">
        <v>0</v>
      </c>
      <c r="H128" s="92">
        <v>8</v>
      </c>
      <c r="I128" s="90">
        <v>800</v>
      </c>
      <c r="J128" s="93">
        <v>0</v>
      </c>
      <c r="K128" s="93">
        <v>9.8238604836347592E-3</v>
      </c>
      <c r="L128" s="94">
        <f t="shared" si="41"/>
        <v>42.646369874827933</v>
      </c>
      <c r="M128" s="21" t="s">
        <v>13</v>
      </c>
      <c r="N128" s="24" t="s">
        <v>96</v>
      </c>
      <c r="O128" s="24"/>
      <c r="P128" s="95">
        <v>0</v>
      </c>
      <c r="Q128" s="21" t="s">
        <v>78</v>
      </c>
      <c r="R128" s="21" t="s">
        <v>129</v>
      </c>
      <c r="S128" s="96">
        <f t="shared" si="34"/>
        <v>0</v>
      </c>
      <c r="T128" s="96">
        <f t="shared" si="35"/>
        <v>0</v>
      </c>
      <c r="U128" s="97">
        <f t="shared" si="36"/>
        <v>0</v>
      </c>
      <c r="V128" s="97">
        <f t="shared" si="47"/>
        <v>0</v>
      </c>
      <c r="W128" s="97">
        <f t="shared" si="37"/>
        <v>0</v>
      </c>
      <c r="X128" s="25">
        <f t="shared" si="48"/>
        <v>0.50924309297678105</v>
      </c>
      <c r="Y128" s="25">
        <f t="shared" si="49"/>
        <v>6.190684367436047</v>
      </c>
      <c r="Z128" s="98">
        <f t="shared" si="38"/>
        <v>0</v>
      </c>
      <c r="AA128" s="98">
        <f t="shared" si="50"/>
        <v>0</v>
      </c>
      <c r="AB128" s="99">
        <f t="shared" si="43"/>
        <v>0</v>
      </c>
      <c r="AC128" s="99">
        <f t="shared" si="39"/>
        <v>0</v>
      </c>
      <c r="AD128" s="25">
        <f t="shared" si="51"/>
        <v>0</v>
      </c>
      <c r="AE128" s="25">
        <f t="shared" si="52"/>
        <v>0</v>
      </c>
      <c r="AF128" s="98">
        <f t="shared" si="46"/>
        <v>0</v>
      </c>
      <c r="AG128" s="98">
        <f t="shared" si="40"/>
        <v>0</v>
      </c>
    </row>
    <row r="129" spans="1:33" x14ac:dyDescent="0.25">
      <c r="A129" s="21" t="s">
        <v>111</v>
      </c>
      <c r="B129" s="89">
        <v>0</v>
      </c>
      <c r="C129" s="21" t="s">
        <v>95</v>
      </c>
      <c r="D129" s="21" t="s">
        <v>155</v>
      </c>
      <c r="E129" s="90">
        <v>798.84966921395699</v>
      </c>
      <c r="F129" s="100">
        <v>4875.5516385687515</v>
      </c>
      <c r="G129" s="100">
        <v>0</v>
      </c>
      <c r="H129" s="92">
        <v>8</v>
      </c>
      <c r="I129" s="90">
        <v>900</v>
      </c>
      <c r="J129" s="93">
        <v>0</v>
      </c>
      <c r="K129" s="93">
        <v>9.8238604836347592E-3</v>
      </c>
      <c r="L129" s="94">
        <f t="shared" si="41"/>
        <v>47.896739078056257</v>
      </c>
      <c r="M129" s="21" t="s">
        <v>13</v>
      </c>
      <c r="N129" s="24" t="s">
        <v>96</v>
      </c>
      <c r="O129" s="24"/>
      <c r="P129" s="95">
        <v>0</v>
      </c>
      <c r="Q129" s="21" t="s">
        <v>78</v>
      </c>
      <c r="R129" s="21" t="s">
        <v>129</v>
      </c>
      <c r="S129" s="96">
        <f t="shared" si="34"/>
        <v>0</v>
      </c>
      <c r="T129" s="96">
        <f t="shared" si="35"/>
        <v>0</v>
      </c>
      <c r="U129" s="97">
        <f t="shared" si="36"/>
        <v>0</v>
      </c>
      <c r="V129" s="97">
        <f t="shared" si="47"/>
        <v>0</v>
      </c>
      <c r="W129" s="97">
        <f t="shared" si="37"/>
        <v>0</v>
      </c>
      <c r="X129" s="25">
        <f t="shared" si="48"/>
        <v>0.50924309297678105</v>
      </c>
      <c r="Y129" s="25">
        <f t="shared" si="49"/>
        <v>6.190684367436047</v>
      </c>
      <c r="Z129" s="98">
        <f t="shared" si="38"/>
        <v>0</v>
      </c>
      <c r="AA129" s="98">
        <f t="shared" si="50"/>
        <v>0</v>
      </c>
      <c r="AB129" s="99">
        <f t="shared" si="43"/>
        <v>0</v>
      </c>
      <c r="AC129" s="99">
        <f t="shared" si="39"/>
        <v>0</v>
      </c>
      <c r="AD129" s="25">
        <f t="shared" si="51"/>
        <v>0</v>
      </c>
      <c r="AE129" s="25">
        <f t="shared" si="52"/>
        <v>0</v>
      </c>
      <c r="AF129" s="98">
        <f t="shared" si="46"/>
        <v>0</v>
      </c>
      <c r="AG129" s="98">
        <f t="shared" si="40"/>
        <v>0</v>
      </c>
    </row>
    <row r="130" spans="1:33" x14ac:dyDescent="0.25">
      <c r="A130" s="21" t="s">
        <v>112</v>
      </c>
      <c r="B130" s="89">
        <v>1</v>
      </c>
      <c r="C130" s="21" t="s">
        <v>95</v>
      </c>
      <c r="D130" s="21" t="s">
        <v>155</v>
      </c>
      <c r="E130" s="90">
        <v>863.0246105068527</v>
      </c>
      <c r="F130" s="100">
        <v>5424.8348373563495</v>
      </c>
      <c r="G130" s="100">
        <v>0</v>
      </c>
      <c r="H130" s="92">
        <v>8</v>
      </c>
      <c r="I130" s="90">
        <v>1000</v>
      </c>
      <c r="J130" s="93">
        <v>0</v>
      </c>
      <c r="K130" s="93">
        <v>9.8238604836347592E-3</v>
      </c>
      <c r="L130" s="94">
        <f t="shared" si="41"/>
        <v>53.292820588950235</v>
      </c>
      <c r="M130" s="21" t="s">
        <v>13</v>
      </c>
      <c r="N130" s="24" t="s">
        <v>96</v>
      </c>
      <c r="O130" s="24"/>
      <c r="P130" s="95">
        <v>0</v>
      </c>
      <c r="Q130" s="21" t="s">
        <v>78</v>
      </c>
      <c r="R130" s="21" t="s">
        <v>129</v>
      </c>
      <c r="S130" s="96">
        <f t="shared" si="34"/>
        <v>5424.8348373563495</v>
      </c>
      <c r="T130" s="96">
        <f t="shared" si="35"/>
        <v>0</v>
      </c>
      <c r="U130" s="97">
        <f t="shared" si="36"/>
        <v>863.0246105068527</v>
      </c>
      <c r="V130" s="97">
        <f t="shared" ref="V130:V158" si="53">B130*SUM(-PV(Electric_Discount_Rate,H130,L130),J130)</f>
        <v>354.8401949207198</v>
      </c>
      <c r="W130" s="97">
        <f t="shared" si="37"/>
        <v>1000</v>
      </c>
      <c r="X130" s="25">
        <f t="shared" ref="X130:X158" si="54">INDEX(Electric_AC, MATCH(ROUND(H130,0),Elec_AC_Measure_Life,0),MATCH(C130,Elec_Heat_Curve,0))</f>
        <v>0.50924309297678105</v>
      </c>
      <c r="Y130" s="25">
        <f t="shared" ref="Y130:Y158" si="55">INDEX(Gas_AC, MATCH(ROUND(H130,0),Gas_AC_Measure_Life,0),MATCH(D130,Gas_Heat_Load,0))</f>
        <v>6.190684367436047</v>
      </c>
      <c r="Z130" s="98">
        <f t="shared" si="38"/>
        <v>2762.5596714635403</v>
      </c>
      <c r="AA130" s="98">
        <f t="shared" ref="AA130:AA161" si="56">WA_Elec_NIUC*(Z130/SUM(Z:Z))+IF(Z130&lt;&gt;0,P130,0)</f>
        <v>807.74107926544184</v>
      </c>
      <c r="AB130" s="99">
        <f t="shared" si="43"/>
        <v>2.0524361219615646</v>
      </c>
      <c r="AC130" s="99">
        <f t="shared" si="39"/>
        <v>1.5281832686935897</v>
      </c>
      <c r="AD130" s="25">
        <f t="shared" ref="AD130:AD161" si="57">-PV(Electric_Discount_Rate,H130,S130*PCT_Elec_Constant)</f>
        <v>2915.6914174124586</v>
      </c>
      <c r="AE130" s="25">
        <f t="shared" ref="AE130:AE161" si="58">-PV(Gas_Discount_Rate,H130,T130*PCT_Gas_Constant)</f>
        <v>0</v>
      </c>
      <c r="AF130" s="98">
        <f t="shared" si="46"/>
        <v>2915.6914174124586</v>
      </c>
      <c r="AG130" s="98">
        <f t="shared" si="40"/>
        <v>1807.7410792654418</v>
      </c>
    </row>
    <row r="131" spans="1:33" x14ac:dyDescent="0.25">
      <c r="A131" s="21" t="s">
        <v>113</v>
      </c>
      <c r="B131" s="89">
        <v>0</v>
      </c>
      <c r="C131" s="21" t="s">
        <v>95</v>
      </c>
      <c r="D131" s="21" t="s">
        <v>155</v>
      </c>
      <c r="E131" s="90">
        <v>1271.7789413792252</v>
      </c>
      <c r="F131" s="100">
        <v>5895.5149037446827</v>
      </c>
      <c r="G131" s="100">
        <v>0</v>
      </c>
      <c r="H131" s="92">
        <v>8</v>
      </c>
      <c r="I131" s="90">
        <v>1200</v>
      </c>
      <c r="J131" s="93">
        <v>0</v>
      </c>
      <c r="K131" s="93">
        <v>9.8238604836347592E-3</v>
      </c>
      <c r="L131" s="94">
        <f t="shared" si="41"/>
        <v>57.91671589357717</v>
      </c>
      <c r="M131" s="21" t="s">
        <v>13</v>
      </c>
      <c r="N131" s="24" t="s">
        <v>96</v>
      </c>
      <c r="O131" s="24"/>
      <c r="P131" s="95">
        <v>0</v>
      </c>
      <c r="Q131" s="21" t="s">
        <v>78</v>
      </c>
      <c r="R131" s="21" t="s">
        <v>129</v>
      </c>
      <c r="S131" s="96">
        <f t="shared" ref="S131:S166" si="59">B131*F131</f>
        <v>0</v>
      </c>
      <c r="T131" s="96">
        <f t="shared" ref="T131:T166" si="60">B131*G131</f>
        <v>0</v>
      </c>
      <c r="U131" s="97">
        <f t="shared" ref="U131:U166" si="61">E131*B131</f>
        <v>0</v>
      </c>
      <c r="V131" s="97">
        <f t="shared" si="53"/>
        <v>0</v>
      </c>
      <c r="W131" s="97">
        <f t="shared" ref="W131:W166" si="62">I131*B131</f>
        <v>0</v>
      </c>
      <c r="X131" s="25">
        <f t="shared" si="54"/>
        <v>0.50924309297678105</v>
      </c>
      <c r="Y131" s="25">
        <f t="shared" si="55"/>
        <v>6.190684367436047</v>
      </c>
      <c r="Z131" s="98">
        <f t="shared" ref="Z131:Z166" si="63">SUM(X131*S131,Y131*T131)</f>
        <v>0</v>
      </c>
      <c r="AA131" s="98">
        <f t="shared" si="56"/>
        <v>0</v>
      </c>
      <c r="AB131" s="99">
        <f t="shared" si="43"/>
        <v>0</v>
      </c>
      <c r="AC131" s="99">
        <f t="shared" ref="AC131:AC166" si="64">IFERROR(Z131/SUM(W131,AA131),0)</f>
        <v>0</v>
      </c>
      <c r="AD131" s="25">
        <f t="shared" si="57"/>
        <v>0</v>
      </c>
      <c r="AE131" s="25">
        <f t="shared" si="58"/>
        <v>0</v>
      </c>
      <c r="AF131" s="98">
        <f t="shared" si="46"/>
        <v>0</v>
      </c>
      <c r="AG131" s="98">
        <f t="shared" ref="AG131:AG166" si="65">SUM(AA131,W131)</f>
        <v>0</v>
      </c>
    </row>
    <row r="132" spans="1:33" x14ac:dyDescent="0.25">
      <c r="A132" s="21" t="s">
        <v>114</v>
      </c>
      <c r="B132" s="89">
        <v>0</v>
      </c>
      <c r="C132" s="21" t="s">
        <v>95</v>
      </c>
      <c r="D132" s="21" t="s">
        <v>155</v>
      </c>
      <c r="E132" s="90">
        <v>1387.5094635091809</v>
      </c>
      <c r="F132" s="100">
        <v>6848.9096697540954</v>
      </c>
      <c r="G132" s="100">
        <v>0</v>
      </c>
      <c r="H132" s="92">
        <v>8</v>
      </c>
      <c r="I132" s="90">
        <v>1400</v>
      </c>
      <c r="J132" s="93">
        <v>0</v>
      </c>
      <c r="K132" s="93">
        <v>9.8238604836347609E-3</v>
      </c>
      <c r="L132" s="94">
        <f t="shared" ref="L132:L166" si="66">K132*F132</f>
        <v>67.282733060681252</v>
      </c>
      <c r="M132" s="21" t="s">
        <v>13</v>
      </c>
      <c r="N132" s="24" t="s">
        <v>96</v>
      </c>
      <c r="O132" s="24"/>
      <c r="P132" s="95">
        <v>0</v>
      </c>
      <c r="Q132" s="21" t="s">
        <v>78</v>
      </c>
      <c r="R132" s="21" t="s">
        <v>129</v>
      </c>
      <c r="S132" s="96">
        <f t="shared" si="59"/>
        <v>0</v>
      </c>
      <c r="T132" s="96">
        <f t="shared" si="60"/>
        <v>0</v>
      </c>
      <c r="U132" s="97">
        <f t="shared" si="61"/>
        <v>0</v>
      </c>
      <c r="V132" s="97">
        <f t="shared" si="53"/>
        <v>0</v>
      </c>
      <c r="W132" s="97">
        <f t="shared" si="62"/>
        <v>0</v>
      </c>
      <c r="X132" s="25">
        <f t="shared" si="54"/>
        <v>0.50924309297678105</v>
      </c>
      <c r="Y132" s="25">
        <f t="shared" si="55"/>
        <v>6.190684367436047</v>
      </c>
      <c r="Z132" s="98">
        <f t="shared" si="63"/>
        <v>0</v>
      </c>
      <c r="AA132" s="98">
        <f t="shared" si="56"/>
        <v>0</v>
      </c>
      <c r="AB132" s="99">
        <f t="shared" ref="AB132:AB166" si="67">IFERROR(1.1*SUM(Z132,V132)/SUM(AA132,U132),0)</f>
        <v>0</v>
      </c>
      <c r="AC132" s="99">
        <f t="shared" si="64"/>
        <v>0</v>
      </c>
      <c r="AD132" s="25">
        <f t="shared" si="57"/>
        <v>0</v>
      </c>
      <c r="AE132" s="25">
        <f t="shared" si="58"/>
        <v>0</v>
      </c>
      <c r="AF132" s="98">
        <f t="shared" ref="AF132:AF166" si="68">SUM(AD132:AE132)</f>
        <v>0</v>
      </c>
      <c r="AG132" s="98">
        <f t="shared" si="65"/>
        <v>0</v>
      </c>
    </row>
    <row r="133" spans="1:33" x14ac:dyDescent="0.25">
      <c r="A133" s="21" t="s">
        <v>115</v>
      </c>
      <c r="B133" s="89">
        <v>0</v>
      </c>
      <c r="C133" s="21" t="s">
        <v>95</v>
      </c>
      <c r="D133" s="21" t="s">
        <v>155</v>
      </c>
      <c r="E133" s="90">
        <v>1539.477778088878</v>
      </c>
      <c r="F133" s="100">
        <v>7810.7243226380087</v>
      </c>
      <c r="G133" s="100">
        <v>0</v>
      </c>
      <c r="H133" s="92">
        <v>8</v>
      </c>
      <c r="I133" s="90">
        <v>1600</v>
      </c>
      <c r="J133" s="93">
        <v>0</v>
      </c>
      <c r="K133" s="93">
        <v>9.8238604836347592E-3</v>
      </c>
      <c r="L133" s="94">
        <f t="shared" si="66"/>
        <v>76.731466021728409</v>
      </c>
      <c r="M133" s="21" t="s">
        <v>13</v>
      </c>
      <c r="N133" s="24" t="s">
        <v>96</v>
      </c>
      <c r="O133" s="24"/>
      <c r="P133" s="95">
        <v>0</v>
      </c>
      <c r="Q133" s="21" t="s">
        <v>78</v>
      </c>
      <c r="R133" s="21" t="s">
        <v>129</v>
      </c>
      <c r="S133" s="96">
        <f t="shared" si="59"/>
        <v>0</v>
      </c>
      <c r="T133" s="96">
        <f t="shared" si="60"/>
        <v>0</v>
      </c>
      <c r="U133" s="97">
        <f t="shared" si="61"/>
        <v>0</v>
      </c>
      <c r="V133" s="97">
        <f t="shared" si="53"/>
        <v>0</v>
      </c>
      <c r="W133" s="97">
        <f t="shared" si="62"/>
        <v>0</v>
      </c>
      <c r="X133" s="25">
        <f t="shared" si="54"/>
        <v>0.50924309297678105</v>
      </c>
      <c r="Y133" s="25">
        <f t="shared" si="55"/>
        <v>6.190684367436047</v>
      </c>
      <c r="Z133" s="98">
        <f t="shared" si="63"/>
        <v>0</v>
      </c>
      <c r="AA133" s="98">
        <f t="shared" si="56"/>
        <v>0</v>
      </c>
      <c r="AB133" s="99">
        <f t="shared" si="67"/>
        <v>0</v>
      </c>
      <c r="AC133" s="99">
        <f t="shared" si="64"/>
        <v>0</v>
      </c>
      <c r="AD133" s="25">
        <f t="shared" si="57"/>
        <v>0</v>
      </c>
      <c r="AE133" s="25">
        <f t="shared" si="58"/>
        <v>0</v>
      </c>
      <c r="AF133" s="98">
        <f t="shared" si="68"/>
        <v>0</v>
      </c>
      <c r="AG133" s="98">
        <f t="shared" si="65"/>
        <v>0</v>
      </c>
    </row>
    <row r="134" spans="1:33" x14ac:dyDescent="0.25">
      <c r="A134" s="21" t="s">
        <v>116</v>
      </c>
      <c r="B134" s="89">
        <v>0</v>
      </c>
      <c r="C134" s="21" t="s">
        <v>95</v>
      </c>
      <c r="D134" s="21" t="s">
        <v>155</v>
      </c>
      <c r="E134" s="90">
        <v>1697.2064353990281</v>
      </c>
      <c r="F134" s="100">
        <v>8768.4480746430345</v>
      </c>
      <c r="G134" s="100">
        <v>0</v>
      </c>
      <c r="H134" s="92">
        <v>8</v>
      </c>
      <c r="I134" s="90">
        <v>1800</v>
      </c>
      <c r="J134" s="93">
        <v>0</v>
      </c>
      <c r="K134" s="93">
        <v>9.8238604836347592E-3</v>
      </c>
      <c r="L134" s="94">
        <f t="shared" si="66"/>
        <v>86.140010543288994</v>
      </c>
      <c r="M134" s="21" t="s">
        <v>13</v>
      </c>
      <c r="N134" s="24" t="s">
        <v>96</v>
      </c>
      <c r="O134" s="24"/>
      <c r="P134" s="95">
        <v>0</v>
      </c>
      <c r="Q134" s="21" t="s">
        <v>78</v>
      </c>
      <c r="R134" s="21" t="s">
        <v>129</v>
      </c>
      <c r="S134" s="96">
        <f t="shared" si="59"/>
        <v>0</v>
      </c>
      <c r="T134" s="96">
        <f t="shared" si="60"/>
        <v>0</v>
      </c>
      <c r="U134" s="97">
        <f t="shared" si="61"/>
        <v>0</v>
      </c>
      <c r="V134" s="97">
        <f t="shared" si="53"/>
        <v>0</v>
      </c>
      <c r="W134" s="97">
        <f t="shared" si="62"/>
        <v>0</v>
      </c>
      <c r="X134" s="25">
        <f t="shared" si="54"/>
        <v>0.50924309297678105</v>
      </c>
      <c r="Y134" s="25">
        <f t="shared" si="55"/>
        <v>6.190684367436047</v>
      </c>
      <c r="Z134" s="98">
        <f t="shared" si="63"/>
        <v>0</v>
      </c>
      <c r="AA134" s="98">
        <f t="shared" si="56"/>
        <v>0</v>
      </c>
      <c r="AB134" s="99">
        <f t="shared" si="67"/>
        <v>0</v>
      </c>
      <c r="AC134" s="99">
        <f t="shared" si="64"/>
        <v>0</v>
      </c>
      <c r="AD134" s="25">
        <f t="shared" si="57"/>
        <v>0</v>
      </c>
      <c r="AE134" s="25">
        <f t="shared" si="58"/>
        <v>0</v>
      </c>
      <c r="AF134" s="98">
        <f t="shared" si="68"/>
        <v>0</v>
      </c>
      <c r="AG134" s="98">
        <f t="shared" si="65"/>
        <v>0</v>
      </c>
    </row>
    <row r="135" spans="1:33" x14ac:dyDescent="0.25">
      <c r="A135" s="21" t="s">
        <v>117</v>
      </c>
      <c r="B135" s="89">
        <v>0</v>
      </c>
      <c r="C135" s="21" t="s">
        <v>95</v>
      </c>
      <c r="D135" s="21" t="s">
        <v>155</v>
      </c>
      <c r="E135" s="90">
        <v>1829.0659171742409</v>
      </c>
      <c r="F135" s="100">
        <v>9701.5461693643592</v>
      </c>
      <c r="G135" s="100">
        <v>0</v>
      </c>
      <c r="H135" s="92">
        <v>8</v>
      </c>
      <c r="I135" s="90">
        <v>2000</v>
      </c>
      <c r="J135" s="93">
        <v>0</v>
      </c>
      <c r="K135" s="93">
        <v>9.8238604836347592E-3</v>
      </c>
      <c r="L135" s="94">
        <f t="shared" si="66"/>
        <v>95.306636043376699</v>
      </c>
      <c r="M135" s="21" t="s">
        <v>13</v>
      </c>
      <c r="N135" s="24" t="s">
        <v>96</v>
      </c>
      <c r="O135" s="24"/>
      <c r="P135" s="95">
        <v>0</v>
      </c>
      <c r="Q135" s="21" t="s">
        <v>78</v>
      </c>
      <c r="R135" s="21" t="s">
        <v>129</v>
      </c>
      <c r="S135" s="96">
        <f t="shared" si="59"/>
        <v>0</v>
      </c>
      <c r="T135" s="96">
        <f t="shared" si="60"/>
        <v>0</v>
      </c>
      <c r="U135" s="97">
        <f t="shared" si="61"/>
        <v>0</v>
      </c>
      <c r="V135" s="97">
        <f t="shared" si="53"/>
        <v>0</v>
      </c>
      <c r="W135" s="97">
        <f t="shared" si="62"/>
        <v>0</v>
      </c>
      <c r="X135" s="25">
        <f t="shared" si="54"/>
        <v>0.50924309297678105</v>
      </c>
      <c r="Y135" s="25">
        <f t="shared" si="55"/>
        <v>6.190684367436047</v>
      </c>
      <c r="Z135" s="98">
        <f t="shared" si="63"/>
        <v>0</v>
      </c>
      <c r="AA135" s="98">
        <f t="shared" si="56"/>
        <v>0</v>
      </c>
      <c r="AB135" s="99">
        <f t="shared" si="67"/>
        <v>0</v>
      </c>
      <c r="AC135" s="99">
        <f t="shared" si="64"/>
        <v>0</v>
      </c>
      <c r="AD135" s="25">
        <f t="shared" si="57"/>
        <v>0</v>
      </c>
      <c r="AE135" s="25">
        <f t="shared" si="58"/>
        <v>0</v>
      </c>
      <c r="AF135" s="98">
        <f t="shared" si="68"/>
        <v>0</v>
      </c>
      <c r="AG135" s="98">
        <f t="shared" si="65"/>
        <v>0</v>
      </c>
    </row>
    <row r="136" spans="1:33" x14ac:dyDescent="0.25">
      <c r="A136" s="21" t="s">
        <v>118</v>
      </c>
      <c r="B136" s="89">
        <v>0</v>
      </c>
      <c r="C136" s="21" t="s">
        <v>95</v>
      </c>
      <c r="D136" s="21" t="s">
        <v>155</v>
      </c>
      <c r="E136" s="90">
        <v>2184.9503644118813</v>
      </c>
      <c r="F136" s="100">
        <v>11451.181019748095</v>
      </c>
      <c r="G136" s="100">
        <v>0</v>
      </c>
      <c r="H136" s="92">
        <v>8</v>
      </c>
      <c r="I136" s="90">
        <v>2500</v>
      </c>
      <c r="J136" s="93">
        <v>0</v>
      </c>
      <c r="K136" s="93">
        <v>9.8238604836347592E-3</v>
      </c>
      <c r="L136" s="94">
        <f t="shared" si="66"/>
        <v>112.4948047108517</v>
      </c>
      <c r="M136" s="21" t="s">
        <v>13</v>
      </c>
      <c r="N136" s="24" t="s">
        <v>96</v>
      </c>
      <c r="O136" s="24"/>
      <c r="P136" s="95">
        <v>0</v>
      </c>
      <c r="Q136" s="21" t="s">
        <v>78</v>
      </c>
      <c r="R136" s="21" t="s">
        <v>129</v>
      </c>
      <c r="S136" s="96">
        <f t="shared" si="59"/>
        <v>0</v>
      </c>
      <c r="T136" s="96">
        <f t="shared" si="60"/>
        <v>0</v>
      </c>
      <c r="U136" s="97">
        <f t="shared" si="61"/>
        <v>0</v>
      </c>
      <c r="V136" s="97">
        <f t="shared" si="53"/>
        <v>0</v>
      </c>
      <c r="W136" s="97">
        <f t="shared" si="62"/>
        <v>0</v>
      </c>
      <c r="X136" s="25">
        <f t="shared" si="54"/>
        <v>0.50924309297678105</v>
      </c>
      <c r="Y136" s="25">
        <f t="shared" si="55"/>
        <v>6.190684367436047</v>
      </c>
      <c r="Z136" s="98">
        <f t="shared" si="63"/>
        <v>0</v>
      </c>
      <c r="AA136" s="98">
        <f t="shared" si="56"/>
        <v>0</v>
      </c>
      <c r="AB136" s="99">
        <f t="shared" si="67"/>
        <v>0</v>
      </c>
      <c r="AC136" s="99">
        <f t="shared" si="64"/>
        <v>0</v>
      </c>
      <c r="AD136" s="25">
        <f t="shared" si="57"/>
        <v>0</v>
      </c>
      <c r="AE136" s="25">
        <f t="shared" si="58"/>
        <v>0</v>
      </c>
      <c r="AF136" s="98">
        <f t="shared" si="68"/>
        <v>0</v>
      </c>
      <c r="AG136" s="98">
        <f t="shared" si="65"/>
        <v>0</v>
      </c>
    </row>
    <row r="137" spans="1:33" x14ac:dyDescent="0.25">
      <c r="A137" s="21" t="s">
        <v>119</v>
      </c>
      <c r="B137" s="89">
        <v>0</v>
      </c>
      <c r="C137" s="21" t="s">
        <v>95</v>
      </c>
      <c r="D137" s="21" t="s">
        <v>155</v>
      </c>
      <c r="E137" s="90">
        <v>2502.9212831327313</v>
      </c>
      <c r="F137" s="100">
        <v>13712.457247156184</v>
      </c>
      <c r="G137" s="100">
        <v>0</v>
      </c>
      <c r="H137" s="92">
        <v>8</v>
      </c>
      <c r="I137" s="90">
        <v>3000</v>
      </c>
      <c r="J137" s="93">
        <v>0</v>
      </c>
      <c r="K137" s="93">
        <v>9.8238604836347592E-3</v>
      </c>
      <c r="L137" s="94">
        <f t="shared" si="66"/>
        <v>134.70926688386871</v>
      </c>
      <c r="M137" s="21" t="s">
        <v>13</v>
      </c>
      <c r="N137" s="24" t="s">
        <v>96</v>
      </c>
      <c r="O137" s="24"/>
      <c r="P137" s="95">
        <v>0</v>
      </c>
      <c r="Q137" s="21" t="s">
        <v>78</v>
      </c>
      <c r="R137" s="21" t="s">
        <v>129</v>
      </c>
      <c r="S137" s="96">
        <f t="shared" si="59"/>
        <v>0</v>
      </c>
      <c r="T137" s="96">
        <f t="shared" si="60"/>
        <v>0</v>
      </c>
      <c r="U137" s="97">
        <f t="shared" si="61"/>
        <v>0</v>
      </c>
      <c r="V137" s="97">
        <f t="shared" si="53"/>
        <v>0</v>
      </c>
      <c r="W137" s="97">
        <f t="shared" si="62"/>
        <v>0</v>
      </c>
      <c r="X137" s="25">
        <f t="shared" si="54"/>
        <v>0.50924309297678105</v>
      </c>
      <c r="Y137" s="25">
        <f t="shared" si="55"/>
        <v>6.190684367436047</v>
      </c>
      <c r="Z137" s="98">
        <f t="shared" si="63"/>
        <v>0</v>
      </c>
      <c r="AA137" s="98">
        <f t="shared" si="56"/>
        <v>0</v>
      </c>
      <c r="AB137" s="99">
        <f t="shared" si="67"/>
        <v>0</v>
      </c>
      <c r="AC137" s="99">
        <f t="shared" si="64"/>
        <v>0</v>
      </c>
      <c r="AD137" s="25">
        <f t="shared" si="57"/>
        <v>0</v>
      </c>
      <c r="AE137" s="25">
        <f t="shared" si="58"/>
        <v>0</v>
      </c>
      <c r="AF137" s="98">
        <f t="shared" si="68"/>
        <v>0</v>
      </c>
      <c r="AG137" s="98">
        <f t="shared" si="65"/>
        <v>0</v>
      </c>
    </row>
    <row r="138" spans="1:33" x14ac:dyDescent="0.25">
      <c r="A138" s="21" t="s">
        <v>120</v>
      </c>
      <c r="B138" s="89">
        <v>0</v>
      </c>
      <c r="C138" s="21" t="s">
        <v>95</v>
      </c>
      <c r="D138" s="21" t="s">
        <v>155</v>
      </c>
      <c r="E138" s="90">
        <v>2856.7110602865723</v>
      </c>
      <c r="F138" s="100">
        <v>15930.613147766329</v>
      </c>
      <c r="G138" s="100">
        <v>0</v>
      </c>
      <c r="H138" s="92">
        <v>8</v>
      </c>
      <c r="I138" s="90">
        <v>3500</v>
      </c>
      <c r="J138" s="93">
        <v>0</v>
      </c>
      <c r="K138" s="93">
        <v>9.8238604836347592E-3</v>
      </c>
      <c r="L138" s="94">
        <f t="shared" si="66"/>
        <v>156.50012098241399</v>
      </c>
      <c r="M138" s="21" t="s">
        <v>13</v>
      </c>
      <c r="N138" s="24" t="s">
        <v>96</v>
      </c>
      <c r="O138" s="24"/>
      <c r="P138" s="95">
        <v>0</v>
      </c>
      <c r="Q138" s="21" t="s">
        <v>78</v>
      </c>
      <c r="R138" s="21" t="s">
        <v>129</v>
      </c>
      <c r="S138" s="96">
        <f t="shared" si="59"/>
        <v>0</v>
      </c>
      <c r="T138" s="96">
        <f t="shared" si="60"/>
        <v>0</v>
      </c>
      <c r="U138" s="97">
        <f t="shared" si="61"/>
        <v>0</v>
      </c>
      <c r="V138" s="97">
        <f t="shared" si="53"/>
        <v>0</v>
      </c>
      <c r="W138" s="97">
        <f t="shared" si="62"/>
        <v>0</v>
      </c>
      <c r="X138" s="25">
        <f t="shared" si="54"/>
        <v>0.50924309297678105</v>
      </c>
      <c r="Y138" s="25">
        <f t="shared" si="55"/>
        <v>6.190684367436047</v>
      </c>
      <c r="Z138" s="98">
        <f t="shared" si="63"/>
        <v>0</v>
      </c>
      <c r="AA138" s="98">
        <f t="shared" si="56"/>
        <v>0</v>
      </c>
      <c r="AB138" s="99">
        <f t="shared" si="67"/>
        <v>0</v>
      </c>
      <c r="AC138" s="99">
        <f t="shared" si="64"/>
        <v>0</v>
      </c>
      <c r="AD138" s="25">
        <f t="shared" si="57"/>
        <v>0</v>
      </c>
      <c r="AE138" s="25">
        <f t="shared" si="58"/>
        <v>0</v>
      </c>
      <c r="AF138" s="98">
        <f t="shared" si="68"/>
        <v>0</v>
      </c>
      <c r="AG138" s="98">
        <f t="shared" si="65"/>
        <v>0</v>
      </c>
    </row>
    <row r="139" spans="1:33" x14ac:dyDescent="0.25">
      <c r="A139" s="21" t="s">
        <v>121</v>
      </c>
      <c r="B139" s="89">
        <v>0</v>
      </c>
      <c r="C139" s="21" t="s">
        <v>95</v>
      </c>
      <c r="D139" s="21" t="s">
        <v>155</v>
      </c>
      <c r="E139" s="90">
        <v>3204.5310277015742</v>
      </c>
      <c r="F139" s="100">
        <v>18130.037384145893</v>
      </c>
      <c r="G139" s="100">
        <v>0</v>
      </c>
      <c r="H139" s="92">
        <v>8</v>
      </c>
      <c r="I139" s="90">
        <v>4000</v>
      </c>
      <c r="J139" s="93">
        <v>0</v>
      </c>
      <c r="K139" s="93">
        <v>9.8238604836347592E-3</v>
      </c>
      <c r="L139" s="94">
        <f t="shared" si="66"/>
        <v>178.10695782493173</v>
      </c>
      <c r="M139" s="21" t="s">
        <v>13</v>
      </c>
      <c r="N139" s="24" t="s">
        <v>96</v>
      </c>
      <c r="O139" s="24"/>
      <c r="P139" s="95">
        <v>0</v>
      </c>
      <c r="Q139" s="21" t="s">
        <v>78</v>
      </c>
      <c r="R139" s="21" t="s">
        <v>129</v>
      </c>
      <c r="S139" s="96">
        <f t="shared" si="59"/>
        <v>0</v>
      </c>
      <c r="T139" s="96">
        <f t="shared" si="60"/>
        <v>0</v>
      </c>
      <c r="U139" s="97">
        <f t="shared" si="61"/>
        <v>0</v>
      </c>
      <c r="V139" s="97">
        <f t="shared" si="53"/>
        <v>0</v>
      </c>
      <c r="W139" s="97">
        <f t="shared" si="62"/>
        <v>0</v>
      </c>
      <c r="X139" s="25">
        <f t="shared" si="54"/>
        <v>0.50924309297678105</v>
      </c>
      <c r="Y139" s="25">
        <f t="shared" si="55"/>
        <v>6.190684367436047</v>
      </c>
      <c r="Z139" s="98">
        <f t="shared" si="63"/>
        <v>0</v>
      </c>
      <c r="AA139" s="98">
        <f t="shared" si="56"/>
        <v>0</v>
      </c>
      <c r="AB139" s="99">
        <f t="shared" si="67"/>
        <v>0</v>
      </c>
      <c r="AC139" s="99">
        <f t="shared" si="64"/>
        <v>0</v>
      </c>
      <c r="AD139" s="25">
        <f t="shared" si="57"/>
        <v>0</v>
      </c>
      <c r="AE139" s="25">
        <f t="shared" si="58"/>
        <v>0</v>
      </c>
      <c r="AF139" s="98">
        <f t="shared" si="68"/>
        <v>0</v>
      </c>
      <c r="AG139" s="98">
        <f t="shared" si="65"/>
        <v>0</v>
      </c>
    </row>
    <row r="140" spans="1:33" x14ac:dyDescent="0.25">
      <c r="A140" s="21" t="s">
        <v>122</v>
      </c>
      <c r="B140" s="89">
        <v>0</v>
      </c>
      <c r="C140" s="21" t="s">
        <v>95</v>
      </c>
      <c r="D140" s="21" t="s">
        <v>155</v>
      </c>
      <c r="E140" s="90">
        <v>3491.0818951654219</v>
      </c>
      <c r="F140" s="100">
        <v>20268.415057671256</v>
      </c>
      <c r="G140" s="100">
        <v>0</v>
      </c>
      <c r="H140" s="92">
        <v>8</v>
      </c>
      <c r="I140" s="90">
        <v>4500</v>
      </c>
      <c r="J140" s="93">
        <v>0</v>
      </c>
      <c r="K140" s="93">
        <v>9.8238604836347592E-3</v>
      </c>
      <c r="L140" s="94">
        <f t="shared" si="66"/>
        <v>199.11408175096437</v>
      </c>
      <c r="M140" s="21" t="s">
        <v>13</v>
      </c>
      <c r="N140" s="24" t="s">
        <v>96</v>
      </c>
      <c r="O140" s="24"/>
      <c r="P140" s="95">
        <v>0</v>
      </c>
      <c r="Q140" s="21" t="s">
        <v>78</v>
      </c>
      <c r="R140" s="21" t="s">
        <v>129</v>
      </c>
      <c r="S140" s="96">
        <f t="shared" si="59"/>
        <v>0</v>
      </c>
      <c r="T140" s="96">
        <f t="shared" si="60"/>
        <v>0</v>
      </c>
      <c r="U140" s="97">
        <f t="shared" si="61"/>
        <v>0</v>
      </c>
      <c r="V140" s="97">
        <f t="shared" si="53"/>
        <v>0</v>
      </c>
      <c r="W140" s="97">
        <f t="shared" si="62"/>
        <v>0</v>
      </c>
      <c r="X140" s="25">
        <f t="shared" si="54"/>
        <v>0.50924309297678105</v>
      </c>
      <c r="Y140" s="25">
        <f t="shared" si="55"/>
        <v>6.190684367436047</v>
      </c>
      <c r="Z140" s="98">
        <f t="shared" si="63"/>
        <v>0</v>
      </c>
      <c r="AA140" s="98">
        <f t="shared" si="56"/>
        <v>0</v>
      </c>
      <c r="AB140" s="99">
        <f t="shared" si="67"/>
        <v>0</v>
      </c>
      <c r="AC140" s="99">
        <f t="shared" si="64"/>
        <v>0</v>
      </c>
      <c r="AD140" s="25">
        <f t="shared" si="57"/>
        <v>0</v>
      </c>
      <c r="AE140" s="25">
        <f t="shared" si="58"/>
        <v>0</v>
      </c>
      <c r="AF140" s="98">
        <f t="shared" si="68"/>
        <v>0</v>
      </c>
      <c r="AG140" s="98">
        <f t="shared" si="65"/>
        <v>0</v>
      </c>
    </row>
    <row r="141" spans="1:33" x14ac:dyDescent="0.25">
      <c r="A141" s="21" t="s">
        <v>123</v>
      </c>
      <c r="B141" s="89">
        <v>0</v>
      </c>
      <c r="C141" s="21" t="s">
        <v>95</v>
      </c>
      <c r="D141" s="21" t="s">
        <v>155</v>
      </c>
      <c r="E141" s="90">
        <v>3819.5261643052727</v>
      </c>
      <c r="F141" s="100">
        <v>22473.396161880344</v>
      </c>
      <c r="G141" s="100">
        <v>0</v>
      </c>
      <c r="H141" s="92">
        <v>8</v>
      </c>
      <c r="I141" s="90">
        <v>5000</v>
      </c>
      <c r="J141" s="93">
        <v>0</v>
      </c>
      <c r="K141" s="93">
        <v>9.8238604836347592E-3</v>
      </c>
      <c r="L141" s="94">
        <f t="shared" si="66"/>
        <v>220.77550848776539</v>
      </c>
      <c r="M141" s="21" t="s">
        <v>13</v>
      </c>
      <c r="N141" s="24" t="s">
        <v>96</v>
      </c>
      <c r="O141" s="24"/>
      <c r="P141" s="95">
        <v>0</v>
      </c>
      <c r="Q141" s="21" t="s">
        <v>78</v>
      </c>
      <c r="R141" s="21" t="s">
        <v>129</v>
      </c>
      <c r="S141" s="96">
        <f t="shared" si="59"/>
        <v>0</v>
      </c>
      <c r="T141" s="96">
        <f t="shared" si="60"/>
        <v>0</v>
      </c>
      <c r="U141" s="97">
        <f t="shared" si="61"/>
        <v>0</v>
      </c>
      <c r="V141" s="97">
        <f t="shared" si="53"/>
        <v>0</v>
      </c>
      <c r="W141" s="97">
        <f t="shared" si="62"/>
        <v>0</v>
      </c>
      <c r="X141" s="25">
        <f t="shared" si="54"/>
        <v>0.50924309297678105</v>
      </c>
      <c r="Y141" s="25">
        <f t="shared" si="55"/>
        <v>6.190684367436047</v>
      </c>
      <c r="Z141" s="98">
        <f t="shared" si="63"/>
        <v>0</v>
      </c>
      <c r="AA141" s="98">
        <f t="shared" si="56"/>
        <v>0</v>
      </c>
      <c r="AB141" s="99">
        <f t="shared" si="67"/>
        <v>0</v>
      </c>
      <c r="AC141" s="99">
        <f t="shared" si="64"/>
        <v>0</v>
      </c>
      <c r="AD141" s="25">
        <f t="shared" si="57"/>
        <v>0</v>
      </c>
      <c r="AE141" s="25">
        <f t="shared" si="58"/>
        <v>0</v>
      </c>
      <c r="AF141" s="98">
        <f t="shared" si="68"/>
        <v>0</v>
      </c>
      <c r="AG141" s="98">
        <f t="shared" si="65"/>
        <v>0</v>
      </c>
    </row>
    <row r="142" spans="1:33" x14ac:dyDescent="0.25">
      <c r="A142" s="21" t="s">
        <v>124</v>
      </c>
      <c r="B142" s="89">
        <v>0</v>
      </c>
      <c r="C142" s="21" t="s">
        <v>95</v>
      </c>
      <c r="D142" s="21" t="s">
        <v>155</v>
      </c>
      <c r="E142" s="90">
        <v>4465.7318851576129</v>
      </c>
      <c r="F142" s="100">
        <v>26799.699582190253</v>
      </c>
      <c r="G142" s="100">
        <v>0</v>
      </c>
      <c r="H142" s="92">
        <v>8</v>
      </c>
      <c r="I142" s="90">
        <v>6000</v>
      </c>
      <c r="J142" s="93">
        <v>0</v>
      </c>
      <c r="K142" s="93">
        <v>9.8238604836347592E-3</v>
      </c>
      <c r="L142" s="94">
        <f t="shared" si="66"/>
        <v>263.2765096987618</v>
      </c>
      <c r="M142" s="21" t="s">
        <v>13</v>
      </c>
      <c r="N142" s="24" t="s">
        <v>96</v>
      </c>
      <c r="O142" s="24"/>
      <c r="P142" s="95">
        <v>0</v>
      </c>
      <c r="Q142" s="21" t="s">
        <v>78</v>
      </c>
      <c r="R142" s="21" t="s">
        <v>129</v>
      </c>
      <c r="S142" s="96">
        <f t="shared" si="59"/>
        <v>0</v>
      </c>
      <c r="T142" s="96">
        <f t="shared" si="60"/>
        <v>0</v>
      </c>
      <c r="U142" s="97">
        <f t="shared" si="61"/>
        <v>0</v>
      </c>
      <c r="V142" s="97">
        <f t="shared" si="53"/>
        <v>0</v>
      </c>
      <c r="W142" s="97">
        <f t="shared" si="62"/>
        <v>0</v>
      </c>
      <c r="X142" s="25">
        <f t="shared" si="54"/>
        <v>0.50924309297678105</v>
      </c>
      <c r="Y142" s="25">
        <f t="shared" si="55"/>
        <v>6.190684367436047</v>
      </c>
      <c r="Z142" s="98">
        <f t="shared" si="63"/>
        <v>0</v>
      </c>
      <c r="AA142" s="98">
        <f t="shared" si="56"/>
        <v>0</v>
      </c>
      <c r="AB142" s="99">
        <f t="shared" si="67"/>
        <v>0</v>
      </c>
      <c r="AC142" s="99">
        <f t="shared" si="64"/>
        <v>0</v>
      </c>
      <c r="AD142" s="25">
        <f t="shared" si="57"/>
        <v>0</v>
      </c>
      <c r="AE142" s="25">
        <f t="shared" si="58"/>
        <v>0</v>
      </c>
      <c r="AF142" s="98">
        <f t="shared" si="68"/>
        <v>0</v>
      </c>
      <c r="AG142" s="98">
        <f t="shared" si="65"/>
        <v>0</v>
      </c>
    </row>
    <row r="143" spans="1:33" x14ac:dyDescent="0.25">
      <c r="A143" s="21" t="s">
        <v>125</v>
      </c>
      <c r="B143" s="89">
        <v>0</v>
      </c>
      <c r="C143" s="21" t="s">
        <v>95</v>
      </c>
      <c r="D143" s="21" t="s">
        <v>155</v>
      </c>
      <c r="E143" s="90">
        <v>4934.8332504246428</v>
      </c>
      <c r="F143" s="100">
        <v>31201.245378959924</v>
      </c>
      <c r="G143" s="100">
        <v>0</v>
      </c>
      <c r="H143" s="92">
        <v>8</v>
      </c>
      <c r="I143" s="90">
        <v>7000</v>
      </c>
      <c r="J143" s="93">
        <v>0</v>
      </c>
      <c r="K143" s="93">
        <v>9.8238604836347592E-3</v>
      </c>
      <c r="L143" s="94">
        <f t="shared" si="66"/>
        <v>306.51668151855603</v>
      </c>
      <c r="M143" s="21" t="s">
        <v>13</v>
      </c>
      <c r="N143" s="24" t="s">
        <v>96</v>
      </c>
      <c r="O143" s="24"/>
      <c r="P143" s="95">
        <v>0</v>
      </c>
      <c r="Q143" s="21" t="s">
        <v>78</v>
      </c>
      <c r="R143" s="21" t="s">
        <v>129</v>
      </c>
      <c r="S143" s="96">
        <f t="shared" si="59"/>
        <v>0</v>
      </c>
      <c r="T143" s="96">
        <f t="shared" si="60"/>
        <v>0</v>
      </c>
      <c r="U143" s="97">
        <f t="shared" si="61"/>
        <v>0</v>
      </c>
      <c r="V143" s="97">
        <f t="shared" si="53"/>
        <v>0</v>
      </c>
      <c r="W143" s="97">
        <f t="shared" si="62"/>
        <v>0</v>
      </c>
      <c r="X143" s="25">
        <f t="shared" si="54"/>
        <v>0.50924309297678105</v>
      </c>
      <c r="Y143" s="25">
        <f t="shared" si="55"/>
        <v>6.190684367436047</v>
      </c>
      <c r="Z143" s="98">
        <f t="shared" si="63"/>
        <v>0</v>
      </c>
      <c r="AA143" s="98">
        <f t="shared" si="56"/>
        <v>0</v>
      </c>
      <c r="AB143" s="99">
        <f t="shared" si="67"/>
        <v>0</v>
      </c>
      <c r="AC143" s="99">
        <f t="shared" si="64"/>
        <v>0</v>
      </c>
      <c r="AD143" s="25">
        <f t="shared" si="57"/>
        <v>0</v>
      </c>
      <c r="AE143" s="25">
        <f t="shared" si="58"/>
        <v>0</v>
      </c>
      <c r="AF143" s="98">
        <f t="shared" si="68"/>
        <v>0</v>
      </c>
      <c r="AG143" s="98">
        <f t="shared" si="65"/>
        <v>0</v>
      </c>
    </row>
    <row r="144" spans="1:33" x14ac:dyDescent="0.25">
      <c r="A144" s="21" t="s">
        <v>126</v>
      </c>
      <c r="B144" s="89">
        <v>0</v>
      </c>
      <c r="C144" s="21" t="s">
        <v>95</v>
      </c>
      <c r="D144" s="21" t="s">
        <v>155</v>
      </c>
      <c r="E144" s="90">
        <v>5509.5059879151959</v>
      </c>
      <c r="F144" s="100">
        <v>35658.566147383302</v>
      </c>
      <c r="G144" s="100">
        <v>0</v>
      </c>
      <c r="H144" s="92">
        <v>8</v>
      </c>
      <c r="I144" s="90">
        <v>8000</v>
      </c>
      <c r="J144" s="93">
        <v>0</v>
      </c>
      <c r="K144" s="93">
        <v>9.8238604836347592E-3</v>
      </c>
      <c r="L144" s="94">
        <f t="shared" si="66"/>
        <v>350.30477887835497</v>
      </c>
      <c r="M144" s="21" t="s">
        <v>13</v>
      </c>
      <c r="N144" s="24" t="s">
        <v>96</v>
      </c>
      <c r="O144" s="24"/>
      <c r="P144" s="95">
        <v>0</v>
      </c>
      <c r="Q144" s="21" t="s">
        <v>78</v>
      </c>
      <c r="R144" s="21" t="s">
        <v>129</v>
      </c>
      <c r="S144" s="96">
        <f t="shared" si="59"/>
        <v>0</v>
      </c>
      <c r="T144" s="96">
        <f t="shared" si="60"/>
        <v>0</v>
      </c>
      <c r="U144" s="97">
        <f t="shared" si="61"/>
        <v>0</v>
      </c>
      <c r="V144" s="97">
        <f t="shared" si="53"/>
        <v>0</v>
      </c>
      <c r="W144" s="97">
        <f t="shared" si="62"/>
        <v>0</v>
      </c>
      <c r="X144" s="25">
        <f t="shared" si="54"/>
        <v>0.50924309297678105</v>
      </c>
      <c r="Y144" s="25">
        <f t="shared" si="55"/>
        <v>6.190684367436047</v>
      </c>
      <c r="Z144" s="98">
        <f t="shared" si="63"/>
        <v>0</v>
      </c>
      <c r="AA144" s="98">
        <f t="shared" si="56"/>
        <v>0</v>
      </c>
      <c r="AB144" s="99">
        <f t="shared" si="67"/>
        <v>0</v>
      </c>
      <c r="AC144" s="99">
        <f t="shared" si="64"/>
        <v>0</v>
      </c>
      <c r="AD144" s="25">
        <f t="shared" si="57"/>
        <v>0</v>
      </c>
      <c r="AE144" s="25">
        <f t="shared" si="58"/>
        <v>0</v>
      </c>
      <c r="AF144" s="98">
        <f t="shared" si="68"/>
        <v>0</v>
      </c>
      <c r="AG144" s="98">
        <f t="shared" si="65"/>
        <v>0</v>
      </c>
    </row>
    <row r="145" spans="1:33" x14ac:dyDescent="0.25">
      <c r="A145" s="21" t="s">
        <v>127</v>
      </c>
      <c r="B145" s="89">
        <v>0</v>
      </c>
      <c r="C145" s="21" t="s">
        <v>95</v>
      </c>
      <c r="D145" s="21" t="s">
        <v>155</v>
      </c>
      <c r="E145" s="90">
        <v>5937.5518195397453</v>
      </c>
      <c r="F145" s="100">
        <v>40032.485362220556</v>
      </c>
      <c r="G145" s="100">
        <v>0</v>
      </c>
      <c r="H145" s="92">
        <v>8</v>
      </c>
      <c r="I145" s="90">
        <v>9000</v>
      </c>
      <c r="J145" s="93">
        <v>0</v>
      </c>
      <c r="K145" s="93">
        <v>9.8238604836347592E-3</v>
      </c>
      <c r="L145" s="94">
        <f t="shared" si="66"/>
        <v>393.27355101160543</v>
      </c>
      <c r="M145" s="21" t="s">
        <v>13</v>
      </c>
      <c r="N145" s="24" t="s">
        <v>96</v>
      </c>
      <c r="O145" s="24"/>
      <c r="P145" s="95">
        <v>0</v>
      </c>
      <c r="Q145" s="21" t="s">
        <v>78</v>
      </c>
      <c r="R145" s="21" t="s">
        <v>129</v>
      </c>
      <c r="S145" s="96">
        <f t="shared" si="59"/>
        <v>0</v>
      </c>
      <c r="T145" s="96">
        <f t="shared" si="60"/>
        <v>0</v>
      </c>
      <c r="U145" s="97">
        <f t="shared" si="61"/>
        <v>0</v>
      </c>
      <c r="V145" s="97">
        <f t="shared" si="53"/>
        <v>0</v>
      </c>
      <c r="W145" s="97">
        <f t="shared" si="62"/>
        <v>0</v>
      </c>
      <c r="X145" s="25">
        <f t="shared" si="54"/>
        <v>0.50924309297678105</v>
      </c>
      <c r="Y145" s="25">
        <f t="shared" si="55"/>
        <v>6.190684367436047</v>
      </c>
      <c r="Z145" s="98">
        <f t="shared" si="63"/>
        <v>0</v>
      </c>
      <c r="AA145" s="98">
        <f t="shared" si="56"/>
        <v>0</v>
      </c>
      <c r="AB145" s="99">
        <f t="shared" si="67"/>
        <v>0</v>
      </c>
      <c r="AC145" s="99">
        <f t="shared" si="64"/>
        <v>0</v>
      </c>
      <c r="AD145" s="25">
        <f t="shared" si="57"/>
        <v>0</v>
      </c>
      <c r="AE145" s="25">
        <f t="shared" si="58"/>
        <v>0</v>
      </c>
      <c r="AF145" s="98">
        <f t="shared" si="68"/>
        <v>0</v>
      </c>
      <c r="AG145" s="98">
        <f t="shared" si="65"/>
        <v>0</v>
      </c>
    </row>
    <row r="146" spans="1:33" x14ac:dyDescent="0.25">
      <c r="A146" s="21" t="s">
        <v>128</v>
      </c>
      <c r="B146" s="89">
        <v>0</v>
      </c>
      <c r="C146" s="21" t="s">
        <v>95</v>
      </c>
      <c r="D146" s="21" t="s">
        <v>155</v>
      </c>
      <c r="E146" s="90">
        <v>6338.0527395623285</v>
      </c>
      <c r="F146" s="100">
        <v>44388.159587558359</v>
      </c>
      <c r="G146" s="100">
        <v>0</v>
      </c>
      <c r="H146" s="92">
        <v>8</v>
      </c>
      <c r="I146" s="90">
        <v>10000</v>
      </c>
      <c r="J146" s="93">
        <v>0</v>
      </c>
      <c r="K146" s="93">
        <v>9.8238604836347592E-3</v>
      </c>
      <c r="L146" s="94">
        <f t="shared" si="66"/>
        <v>436.06308691348795</v>
      </c>
      <c r="M146" s="21" t="s">
        <v>13</v>
      </c>
      <c r="N146" s="24" t="s">
        <v>96</v>
      </c>
      <c r="O146" s="24"/>
      <c r="P146" s="95">
        <v>0</v>
      </c>
      <c r="Q146" s="21" t="s">
        <v>78</v>
      </c>
      <c r="R146" s="21" t="s">
        <v>129</v>
      </c>
      <c r="S146" s="96">
        <f t="shared" si="59"/>
        <v>0</v>
      </c>
      <c r="T146" s="96">
        <f t="shared" si="60"/>
        <v>0</v>
      </c>
      <c r="U146" s="97">
        <f t="shared" si="61"/>
        <v>0</v>
      </c>
      <c r="V146" s="97">
        <f t="shared" si="53"/>
        <v>0</v>
      </c>
      <c r="W146" s="97">
        <f t="shared" si="62"/>
        <v>0</v>
      </c>
      <c r="X146" s="25">
        <f t="shared" si="54"/>
        <v>0.50924309297678105</v>
      </c>
      <c r="Y146" s="25">
        <f t="shared" si="55"/>
        <v>6.190684367436047</v>
      </c>
      <c r="Z146" s="98">
        <f t="shared" si="63"/>
        <v>0</v>
      </c>
      <c r="AA146" s="98">
        <f t="shared" si="56"/>
        <v>0</v>
      </c>
      <c r="AB146" s="99">
        <f t="shared" si="67"/>
        <v>0</v>
      </c>
      <c r="AC146" s="99">
        <f t="shared" si="64"/>
        <v>0</v>
      </c>
      <c r="AD146" s="25">
        <f t="shared" si="57"/>
        <v>0</v>
      </c>
      <c r="AE146" s="25">
        <f t="shared" si="58"/>
        <v>0</v>
      </c>
      <c r="AF146" s="98">
        <f t="shared" si="68"/>
        <v>0</v>
      </c>
      <c r="AG146" s="98">
        <f t="shared" si="65"/>
        <v>0</v>
      </c>
    </row>
    <row r="147" spans="1:33" x14ac:dyDescent="0.25">
      <c r="A147" s="21" t="s">
        <v>312</v>
      </c>
      <c r="B147" s="89">
        <v>2</v>
      </c>
      <c r="C147" s="21" t="s">
        <v>143</v>
      </c>
      <c r="D147" s="21" t="s">
        <v>155</v>
      </c>
      <c r="E147" s="90">
        <v>2095</v>
      </c>
      <c r="F147" s="100">
        <v>94466</v>
      </c>
      <c r="G147" s="100">
        <v>0</v>
      </c>
      <c r="H147" s="92">
        <v>5</v>
      </c>
      <c r="I147" s="90">
        <v>200</v>
      </c>
      <c r="J147" s="93">
        <v>0</v>
      </c>
      <c r="K147" s="93">
        <v>0</v>
      </c>
      <c r="L147" s="94">
        <f t="shared" si="66"/>
        <v>0</v>
      </c>
      <c r="M147" s="21" t="s">
        <v>13</v>
      </c>
      <c r="N147" s="24" t="s">
        <v>313</v>
      </c>
      <c r="O147" s="24"/>
      <c r="P147" s="95">
        <v>0</v>
      </c>
      <c r="Q147" s="21" t="s">
        <v>78</v>
      </c>
      <c r="R147" s="21" t="s">
        <v>312</v>
      </c>
      <c r="S147" s="96">
        <f t="shared" si="59"/>
        <v>188932</v>
      </c>
      <c r="T147" s="96">
        <f t="shared" si="60"/>
        <v>0</v>
      </c>
      <c r="U147" s="97">
        <f>E147*B147</f>
        <v>4190</v>
      </c>
      <c r="V147" s="97">
        <f>B147*SUM(-PV(Electric_Discount_Rate,H147,L147),J147)</f>
        <v>0</v>
      </c>
      <c r="W147" s="97">
        <f>I147*B147</f>
        <v>400</v>
      </c>
      <c r="X147" s="25">
        <f>INDEX(Electric_AC, MATCH(ROUND(H147,0),Elec_AC_Measure_Life,0),MATCH(C147,Elec_Heat_Curve,0))</f>
        <v>0.35726782014982422</v>
      </c>
      <c r="Y147" s="25">
        <f>INDEX(Gas_AC, MATCH(ROUND(H147,0),Gas_AC_Measure_Life,0),MATCH(D147,Gas_Heat_Load,0))</f>
        <v>4.5743548642727507</v>
      </c>
      <c r="Z147" s="98">
        <f>SUM(X147*S147,Y147*T147)</f>
        <v>67499.323796546596</v>
      </c>
      <c r="AA147" s="98">
        <f t="shared" si="56"/>
        <v>19736.035828042615</v>
      </c>
      <c r="AB147" s="99">
        <f>IFERROR(1.1*SUM(Z147,V147)/SUM(AA147,U147),0)</f>
        <v>3.1032828300447957</v>
      </c>
      <c r="AC147" s="99">
        <f>IFERROR(Z147/SUM(W147,AA147),0)</f>
        <v>3.352165459625529</v>
      </c>
      <c r="AD147" s="25">
        <f t="shared" si="57"/>
        <v>67382.537343363787</v>
      </c>
      <c r="AE147" s="25">
        <f t="shared" si="58"/>
        <v>0</v>
      </c>
      <c r="AF147" s="98">
        <f>SUM(AD147:AE147)</f>
        <v>67382.537343363787</v>
      </c>
      <c r="AG147" s="98">
        <f>SUM(AA147,W147)</f>
        <v>20136.035828042615</v>
      </c>
    </row>
    <row r="148" spans="1:33" x14ac:dyDescent="0.25">
      <c r="A148" s="21" t="s">
        <v>130</v>
      </c>
      <c r="B148" s="89">
        <v>0</v>
      </c>
      <c r="C148" s="21" t="s">
        <v>131</v>
      </c>
      <c r="D148" s="21" t="s">
        <v>155</v>
      </c>
      <c r="E148" s="90">
        <v>1440</v>
      </c>
      <c r="F148" s="100">
        <v>6000</v>
      </c>
      <c r="G148" s="100">
        <v>0</v>
      </c>
      <c r="H148" s="92">
        <v>10</v>
      </c>
      <c r="I148" s="90">
        <v>1440</v>
      </c>
      <c r="J148" s="93">
        <v>0</v>
      </c>
      <c r="K148" s="93">
        <v>9.6600000000000005E-2</v>
      </c>
      <c r="L148" s="94">
        <f t="shared" si="66"/>
        <v>579.6</v>
      </c>
      <c r="M148" s="21" t="s">
        <v>13</v>
      </c>
      <c r="N148" s="24" t="s">
        <v>54</v>
      </c>
      <c r="O148" s="24" t="s">
        <v>304</v>
      </c>
      <c r="P148" s="95">
        <v>0</v>
      </c>
      <c r="Q148" s="21" t="s">
        <v>78</v>
      </c>
      <c r="R148" s="21" t="s">
        <v>130</v>
      </c>
      <c r="S148" s="96">
        <f t="shared" si="59"/>
        <v>0</v>
      </c>
      <c r="T148" s="96">
        <f t="shared" si="60"/>
        <v>0</v>
      </c>
      <c r="U148" s="97">
        <f t="shared" si="61"/>
        <v>0</v>
      </c>
      <c r="V148" s="97">
        <f t="shared" si="53"/>
        <v>0</v>
      </c>
      <c r="W148" s="97">
        <f t="shared" si="62"/>
        <v>0</v>
      </c>
      <c r="X148" s="25">
        <f t="shared" si="54"/>
        <v>0.63751634292780057</v>
      </c>
      <c r="Y148" s="25">
        <f t="shared" si="55"/>
        <v>7.1955923949164964</v>
      </c>
      <c r="Z148" s="98">
        <f t="shared" si="63"/>
        <v>0</v>
      </c>
      <c r="AA148" s="98">
        <f t="shared" si="56"/>
        <v>0</v>
      </c>
      <c r="AB148" s="99">
        <f t="shared" si="67"/>
        <v>0</v>
      </c>
      <c r="AC148" s="99">
        <f t="shared" si="64"/>
        <v>0</v>
      </c>
      <c r="AD148" s="25">
        <f t="shared" si="57"/>
        <v>0</v>
      </c>
      <c r="AE148" s="25">
        <f t="shared" si="58"/>
        <v>0</v>
      </c>
      <c r="AF148" s="98">
        <f t="shared" si="68"/>
        <v>0</v>
      </c>
      <c r="AG148" s="98">
        <f t="shared" si="65"/>
        <v>0</v>
      </c>
    </row>
    <row r="149" spans="1:33" x14ac:dyDescent="0.25">
      <c r="A149" s="21" t="s">
        <v>132</v>
      </c>
      <c r="B149" s="89">
        <v>0</v>
      </c>
      <c r="C149" s="21" t="s">
        <v>133</v>
      </c>
      <c r="D149" s="21" t="s">
        <v>155</v>
      </c>
      <c r="E149" s="90">
        <v>200</v>
      </c>
      <c r="F149" s="100">
        <v>1091</v>
      </c>
      <c r="G149" s="100">
        <v>0</v>
      </c>
      <c r="H149" s="92">
        <v>16</v>
      </c>
      <c r="I149" s="90">
        <v>200</v>
      </c>
      <c r="J149" s="93">
        <v>0</v>
      </c>
      <c r="K149" s="93">
        <v>2.7997786299667799E-3</v>
      </c>
      <c r="L149" s="94">
        <f t="shared" si="66"/>
        <v>3.0545584852937568</v>
      </c>
      <c r="M149" s="21" t="s">
        <v>13</v>
      </c>
      <c r="N149" s="24" t="s">
        <v>54</v>
      </c>
      <c r="O149" s="24" t="s">
        <v>304</v>
      </c>
      <c r="P149" s="95">
        <v>0</v>
      </c>
      <c r="Q149" s="21" t="s">
        <v>78</v>
      </c>
      <c r="R149" s="21" t="s">
        <v>135</v>
      </c>
      <c r="S149" s="96">
        <f t="shared" si="59"/>
        <v>0</v>
      </c>
      <c r="T149" s="96">
        <f t="shared" si="60"/>
        <v>0</v>
      </c>
      <c r="U149" s="97">
        <f t="shared" si="61"/>
        <v>0</v>
      </c>
      <c r="V149" s="97">
        <f t="shared" si="53"/>
        <v>0</v>
      </c>
      <c r="W149" s="97">
        <f t="shared" si="62"/>
        <v>0</v>
      </c>
      <c r="X149" s="25">
        <f t="shared" si="54"/>
        <v>0.89419338325962394</v>
      </c>
      <c r="Y149" s="25">
        <f t="shared" si="55"/>
        <v>9.8375387624174682</v>
      </c>
      <c r="Z149" s="98">
        <f t="shared" si="63"/>
        <v>0</v>
      </c>
      <c r="AA149" s="98">
        <f t="shared" si="56"/>
        <v>0</v>
      </c>
      <c r="AB149" s="99">
        <f t="shared" si="67"/>
        <v>0</v>
      </c>
      <c r="AC149" s="99">
        <f t="shared" si="64"/>
        <v>0</v>
      </c>
      <c r="AD149" s="25">
        <f t="shared" si="57"/>
        <v>0</v>
      </c>
      <c r="AE149" s="25">
        <f t="shared" si="58"/>
        <v>0</v>
      </c>
      <c r="AF149" s="98">
        <f t="shared" si="68"/>
        <v>0</v>
      </c>
      <c r="AG149" s="98">
        <f t="shared" si="65"/>
        <v>0</v>
      </c>
    </row>
    <row r="150" spans="1:33" x14ac:dyDescent="0.25">
      <c r="A150" s="21" t="s">
        <v>134</v>
      </c>
      <c r="B150" s="89">
        <v>0</v>
      </c>
      <c r="C150" s="21" t="s">
        <v>133</v>
      </c>
      <c r="D150" s="21" t="s">
        <v>155</v>
      </c>
      <c r="E150" s="90">
        <v>200</v>
      </c>
      <c r="F150" s="100">
        <v>1756</v>
      </c>
      <c r="G150" s="100">
        <v>0</v>
      </c>
      <c r="H150" s="92">
        <v>16</v>
      </c>
      <c r="I150" s="90">
        <v>200</v>
      </c>
      <c r="J150" s="93">
        <v>0</v>
      </c>
      <c r="K150" s="93">
        <v>2.7997786299667794E-3</v>
      </c>
      <c r="L150" s="94">
        <f t="shared" si="66"/>
        <v>4.916411274221665</v>
      </c>
      <c r="M150" s="21" t="s">
        <v>13</v>
      </c>
      <c r="N150" s="24" t="s">
        <v>54</v>
      </c>
      <c r="O150" s="24" t="s">
        <v>304</v>
      </c>
      <c r="P150" s="95">
        <v>0</v>
      </c>
      <c r="Q150" s="21" t="s">
        <v>78</v>
      </c>
      <c r="R150" s="21" t="s">
        <v>135</v>
      </c>
      <c r="S150" s="96">
        <f t="shared" si="59"/>
        <v>0</v>
      </c>
      <c r="T150" s="96">
        <f t="shared" si="60"/>
        <v>0</v>
      </c>
      <c r="U150" s="97">
        <f t="shared" si="61"/>
        <v>0</v>
      </c>
      <c r="V150" s="97">
        <f t="shared" si="53"/>
        <v>0</v>
      </c>
      <c r="W150" s="97">
        <f t="shared" si="62"/>
        <v>0</v>
      </c>
      <c r="X150" s="25">
        <f t="shared" si="54"/>
        <v>0.89419338325962394</v>
      </c>
      <c r="Y150" s="25">
        <f t="shared" si="55"/>
        <v>9.8375387624174682</v>
      </c>
      <c r="Z150" s="98">
        <f t="shared" si="63"/>
        <v>0</v>
      </c>
      <c r="AA150" s="98">
        <f t="shared" si="56"/>
        <v>0</v>
      </c>
      <c r="AB150" s="99">
        <f t="shared" si="67"/>
        <v>0</v>
      </c>
      <c r="AC150" s="99">
        <f t="shared" si="64"/>
        <v>0</v>
      </c>
      <c r="AD150" s="25">
        <f t="shared" si="57"/>
        <v>0</v>
      </c>
      <c r="AE150" s="25">
        <f t="shared" si="58"/>
        <v>0</v>
      </c>
      <c r="AF150" s="98">
        <f t="shared" si="68"/>
        <v>0</v>
      </c>
      <c r="AG150" s="98">
        <f t="shared" si="65"/>
        <v>0</v>
      </c>
    </row>
    <row r="151" spans="1:33" x14ac:dyDescent="0.25">
      <c r="A151" s="21" t="s">
        <v>136</v>
      </c>
      <c r="B151" s="89">
        <v>0</v>
      </c>
      <c r="C151" s="21" t="s">
        <v>89</v>
      </c>
      <c r="D151" s="21" t="s">
        <v>155</v>
      </c>
      <c r="E151" s="90">
        <v>74.219420509518642</v>
      </c>
      <c r="F151" s="100">
        <v>264.92817420736992</v>
      </c>
      <c r="G151" s="100">
        <v>0</v>
      </c>
      <c r="H151" s="92">
        <v>5</v>
      </c>
      <c r="I151" s="90">
        <v>150</v>
      </c>
      <c r="J151" s="93">
        <v>0</v>
      </c>
      <c r="K151" s="93">
        <v>0</v>
      </c>
      <c r="L151" s="94">
        <f t="shared" si="66"/>
        <v>0</v>
      </c>
      <c r="M151" s="21" t="s">
        <v>13</v>
      </c>
      <c r="N151" s="24" t="s">
        <v>144</v>
      </c>
      <c r="O151" s="24"/>
      <c r="P151" s="90">
        <v>0</v>
      </c>
      <c r="Q151" s="21" t="s">
        <v>78</v>
      </c>
      <c r="R151" s="21" t="s">
        <v>146</v>
      </c>
      <c r="S151" s="96">
        <f t="shared" si="59"/>
        <v>0</v>
      </c>
      <c r="T151" s="96">
        <f t="shared" si="60"/>
        <v>0</v>
      </c>
      <c r="U151" s="97">
        <f t="shared" si="61"/>
        <v>0</v>
      </c>
      <c r="V151" s="97">
        <f t="shared" si="53"/>
        <v>0</v>
      </c>
      <c r="W151" s="97">
        <f t="shared" si="62"/>
        <v>0</v>
      </c>
      <c r="X151" s="25">
        <f t="shared" si="54"/>
        <v>0.52673383355723413</v>
      </c>
      <c r="Y151" s="25">
        <f t="shared" si="55"/>
        <v>4.5743548642727507</v>
      </c>
      <c r="Z151" s="98">
        <f t="shared" si="63"/>
        <v>0</v>
      </c>
      <c r="AA151" s="98">
        <f t="shared" si="56"/>
        <v>0</v>
      </c>
      <c r="AB151" s="99">
        <f t="shared" si="67"/>
        <v>0</v>
      </c>
      <c r="AC151" s="99">
        <f t="shared" si="64"/>
        <v>0</v>
      </c>
      <c r="AD151" s="25">
        <f t="shared" si="57"/>
        <v>0</v>
      </c>
      <c r="AE151" s="25">
        <f t="shared" si="58"/>
        <v>0</v>
      </c>
      <c r="AF151" s="98">
        <f t="shared" si="68"/>
        <v>0</v>
      </c>
      <c r="AG151" s="98">
        <f t="shared" si="65"/>
        <v>0</v>
      </c>
    </row>
    <row r="152" spans="1:33" x14ac:dyDescent="0.25">
      <c r="A152" s="21" t="s">
        <v>137</v>
      </c>
      <c r="B152" s="89">
        <v>0</v>
      </c>
      <c r="C152" s="21" t="s">
        <v>89</v>
      </c>
      <c r="D152" s="21" t="s">
        <v>155</v>
      </c>
      <c r="E152" s="90">
        <v>74.219420509518642</v>
      </c>
      <c r="F152" s="100">
        <v>162.24352337188563</v>
      </c>
      <c r="G152" s="100">
        <v>0</v>
      </c>
      <c r="H152" s="92">
        <v>5</v>
      </c>
      <c r="I152" s="90">
        <v>150</v>
      </c>
      <c r="J152" s="93">
        <v>0</v>
      </c>
      <c r="K152" s="93">
        <v>0</v>
      </c>
      <c r="L152" s="94">
        <f t="shared" si="66"/>
        <v>0</v>
      </c>
      <c r="M152" s="21" t="s">
        <v>13</v>
      </c>
      <c r="N152" s="24" t="s">
        <v>144</v>
      </c>
      <c r="O152" s="24"/>
      <c r="P152" s="90">
        <v>0</v>
      </c>
      <c r="Q152" s="21" t="s">
        <v>78</v>
      </c>
      <c r="R152" s="21" t="s">
        <v>146</v>
      </c>
      <c r="S152" s="96">
        <f t="shared" si="59"/>
        <v>0</v>
      </c>
      <c r="T152" s="96">
        <f t="shared" si="60"/>
        <v>0</v>
      </c>
      <c r="U152" s="97">
        <f t="shared" si="61"/>
        <v>0</v>
      </c>
      <c r="V152" s="97">
        <f t="shared" si="53"/>
        <v>0</v>
      </c>
      <c r="W152" s="97">
        <f t="shared" si="62"/>
        <v>0</v>
      </c>
      <c r="X152" s="25">
        <f t="shared" si="54"/>
        <v>0.52673383355723413</v>
      </c>
      <c r="Y152" s="25">
        <f t="shared" si="55"/>
        <v>4.5743548642727507</v>
      </c>
      <c r="Z152" s="98">
        <f t="shared" si="63"/>
        <v>0</v>
      </c>
      <c r="AA152" s="98">
        <f t="shared" si="56"/>
        <v>0</v>
      </c>
      <c r="AB152" s="99">
        <f t="shared" si="67"/>
        <v>0</v>
      </c>
      <c r="AC152" s="99">
        <f t="shared" si="64"/>
        <v>0</v>
      </c>
      <c r="AD152" s="25">
        <f t="shared" si="57"/>
        <v>0</v>
      </c>
      <c r="AE152" s="25">
        <f t="shared" si="58"/>
        <v>0</v>
      </c>
      <c r="AF152" s="98">
        <f t="shared" si="68"/>
        <v>0</v>
      </c>
      <c r="AG152" s="98">
        <f t="shared" si="65"/>
        <v>0</v>
      </c>
    </row>
    <row r="153" spans="1:33" x14ac:dyDescent="0.25">
      <c r="A153" s="21" t="s">
        <v>138</v>
      </c>
      <c r="B153" s="89">
        <v>0</v>
      </c>
      <c r="C153" s="21" t="s">
        <v>89</v>
      </c>
      <c r="D153" s="21" t="s">
        <v>155</v>
      </c>
      <c r="E153" s="90">
        <v>74.219420509518642</v>
      </c>
      <c r="F153" s="100">
        <v>256.97670077580392</v>
      </c>
      <c r="G153" s="100">
        <v>0</v>
      </c>
      <c r="H153" s="92">
        <v>5</v>
      </c>
      <c r="I153" s="90">
        <v>150</v>
      </c>
      <c r="J153" s="93">
        <v>0</v>
      </c>
      <c r="K153" s="93">
        <v>0</v>
      </c>
      <c r="L153" s="94">
        <f t="shared" si="66"/>
        <v>0</v>
      </c>
      <c r="M153" s="21" t="s">
        <v>13</v>
      </c>
      <c r="N153" s="24" t="s">
        <v>144</v>
      </c>
      <c r="O153" s="24"/>
      <c r="P153" s="90">
        <v>0</v>
      </c>
      <c r="Q153" s="21" t="s">
        <v>78</v>
      </c>
      <c r="R153" s="21" t="s">
        <v>146</v>
      </c>
      <c r="S153" s="96">
        <f t="shared" si="59"/>
        <v>0</v>
      </c>
      <c r="T153" s="96">
        <f t="shared" si="60"/>
        <v>0</v>
      </c>
      <c r="U153" s="97">
        <f t="shared" si="61"/>
        <v>0</v>
      </c>
      <c r="V153" s="97">
        <f t="shared" si="53"/>
        <v>0</v>
      </c>
      <c r="W153" s="97">
        <f t="shared" si="62"/>
        <v>0</v>
      </c>
      <c r="X153" s="25">
        <f t="shared" si="54"/>
        <v>0.52673383355723413</v>
      </c>
      <c r="Y153" s="25">
        <f t="shared" si="55"/>
        <v>4.5743548642727507</v>
      </c>
      <c r="Z153" s="98">
        <f t="shared" si="63"/>
        <v>0</v>
      </c>
      <c r="AA153" s="98">
        <f t="shared" si="56"/>
        <v>0</v>
      </c>
      <c r="AB153" s="99">
        <f t="shared" si="67"/>
        <v>0</v>
      </c>
      <c r="AC153" s="99">
        <f t="shared" si="64"/>
        <v>0</v>
      </c>
      <c r="AD153" s="25">
        <f t="shared" si="57"/>
        <v>0</v>
      </c>
      <c r="AE153" s="25">
        <f t="shared" si="58"/>
        <v>0</v>
      </c>
      <c r="AF153" s="98">
        <f t="shared" si="68"/>
        <v>0</v>
      </c>
      <c r="AG153" s="98">
        <f t="shared" si="65"/>
        <v>0</v>
      </c>
    </row>
    <row r="154" spans="1:33" x14ac:dyDescent="0.25">
      <c r="A154" s="21" t="s">
        <v>139</v>
      </c>
      <c r="B154" s="89">
        <v>0</v>
      </c>
      <c r="C154" s="21" t="s">
        <v>89</v>
      </c>
      <c r="D154" s="21" t="s">
        <v>155</v>
      </c>
      <c r="E154" s="90">
        <v>74.219420509518642</v>
      </c>
      <c r="F154" s="100">
        <v>154.29204994031963</v>
      </c>
      <c r="G154" s="100">
        <v>0</v>
      </c>
      <c r="H154" s="92">
        <v>5</v>
      </c>
      <c r="I154" s="90">
        <v>150</v>
      </c>
      <c r="J154" s="93">
        <v>0</v>
      </c>
      <c r="K154" s="93">
        <v>0</v>
      </c>
      <c r="L154" s="94">
        <f t="shared" si="66"/>
        <v>0</v>
      </c>
      <c r="M154" s="21" t="s">
        <v>13</v>
      </c>
      <c r="N154" s="24" t="s">
        <v>144</v>
      </c>
      <c r="O154" s="24"/>
      <c r="P154" s="90">
        <v>0</v>
      </c>
      <c r="Q154" s="21" t="s">
        <v>78</v>
      </c>
      <c r="R154" s="21" t="s">
        <v>146</v>
      </c>
      <c r="S154" s="96">
        <f t="shared" si="59"/>
        <v>0</v>
      </c>
      <c r="T154" s="96">
        <f t="shared" si="60"/>
        <v>0</v>
      </c>
      <c r="U154" s="97">
        <f t="shared" si="61"/>
        <v>0</v>
      </c>
      <c r="V154" s="97">
        <f t="shared" si="53"/>
        <v>0</v>
      </c>
      <c r="W154" s="97">
        <f t="shared" si="62"/>
        <v>0</v>
      </c>
      <c r="X154" s="25">
        <f t="shared" si="54"/>
        <v>0.52673383355723413</v>
      </c>
      <c r="Y154" s="25">
        <f t="shared" si="55"/>
        <v>4.5743548642727507</v>
      </c>
      <c r="Z154" s="98">
        <f t="shared" si="63"/>
        <v>0</v>
      </c>
      <c r="AA154" s="98">
        <f t="shared" si="56"/>
        <v>0</v>
      </c>
      <c r="AB154" s="99">
        <f t="shared" si="67"/>
        <v>0</v>
      </c>
      <c r="AC154" s="99">
        <f t="shared" si="64"/>
        <v>0</v>
      </c>
      <c r="AD154" s="25">
        <f t="shared" si="57"/>
        <v>0</v>
      </c>
      <c r="AE154" s="25">
        <f t="shared" si="58"/>
        <v>0</v>
      </c>
      <c r="AF154" s="98">
        <f t="shared" si="68"/>
        <v>0</v>
      </c>
      <c r="AG154" s="98">
        <f t="shared" si="65"/>
        <v>0</v>
      </c>
    </row>
    <row r="155" spans="1:33" x14ac:dyDescent="0.25">
      <c r="A155" s="21" t="s">
        <v>140</v>
      </c>
      <c r="B155" s="89">
        <v>0</v>
      </c>
      <c r="C155" s="21" t="s">
        <v>143</v>
      </c>
      <c r="D155" s="21" t="s">
        <v>155</v>
      </c>
      <c r="E155" s="90">
        <v>426.57335926530232</v>
      </c>
      <c r="F155" s="100">
        <v>950.13863278242536</v>
      </c>
      <c r="G155" s="100">
        <v>0</v>
      </c>
      <c r="H155" s="92">
        <v>11</v>
      </c>
      <c r="I155" s="90">
        <v>200</v>
      </c>
      <c r="J155" s="93">
        <v>0</v>
      </c>
      <c r="K155" s="93">
        <v>0</v>
      </c>
      <c r="L155" s="94">
        <f t="shared" si="66"/>
        <v>0</v>
      </c>
      <c r="M155" s="21" t="s">
        <v>13</v>
      </c>
      <c r="N155" s="24" t="s">
        <v>145</v>
      </c>
      <c r="O155" s="24"/>
      <c r="P155" s="90">
        <v>0</v>
      </c>
      <c r="Q155" s="21" t="s">
        <v>78</v>
      </c>
      <c r="R155" s="21" t="s">
        <v>146</v>
      </c>
      <c r="S155" s="96">
        <f t="shared" si="59"/>
        <v>0</v>
      </c>
      <c r="T155" s="96">
        <f t="shared" si="60"/>
        <v>0</v>
      </c>
      <c r="U155" s="97">
        <f t="shared" si="61"/>
        <v>0</v>
      </c>
      <c r="V155" s="97">
        <f t="shared" si="53"/>
        <v>0</v>
      </c>
      <c r="W155" s="97">
        <f t="shared" si="62"/>
        <v>0</v>
      </c>
      <c r="X155" s="25">
        <f t="shared" si="54"/>
        <v>0.68058178508819822</v>
      </c>
      <c r="Y155" s="25">
        <f t="shared" si="55"/>
        <v>7.6892677087561063</v>
      </c>
      <c r="Z155" s="98">
        <f t="shared" si="63"/>
        <v>0</v>
      </c>
      <c r="AA155" s="98">
        <f t="shared" si="56"/>
        <v>0</v>
      </c>
      <c r="AB155" s="99">
        <f t="shared" si="67"/>
        <v>0</v>
      </c>
      <c r="AC155" s="99">
        <f t="shared" si="64"/>
        <v>0</v>
      </c>
      <c r="AD155" s="25">
        <f t="shared" si="57"/>
        <v>0</v>
      </c>
      <c r="AE155" s="25">
        <f t="shared" si="58"/>
        <v>0</v>
      </c>
      <c r="AF155" s="98">
        <f t="shared" si="68"/>
        <v>0</v>
      </c>
      <c r="AG155" s="98">
        <f t="shared" si="65"/>
        <v>0</v>
      </c>
    </row>
    <row r="156" spans="1:33" x14ac:dyDescent="0.25">
      <c r="A156" s="21" t="s">
        <v>141</v>
      </c>
      <c r="B156" s="89">
        <v>0</v>
      </c>
      <c r="C156" s="21" t="s">
        <v>143</v>
      </c>
      <c r="D156" s="21" t="s">
        <v>155</v>
      </c>
      <c r="E156" s="90">
        <v>426.57335926530232</v>
      </c>
      <c r="F156" s="100">
        <v>654.41389504467293</v>
      </c>
      <c r="G156" s="100">
        <v>0</v>
      </c>
      <c r="H156" s="92">
        <v>11</v>
      </c>
      <c r="I156" s="90">
        <v>200</v>
      </c>
      <c r="J156" s="93">
        <v>0</v>
      </c>
      <c r="K156" s="93">
        <v>0</v>
      </c>
      <c r="L156" s="94">
        <f t="shared" si="66"/>
        <v>0</v>
      </c>
      <c r="M156" s="21" t="s">
        <v>13</v>
      </c>
      <c r="N156" s="24" t="s">
        <v>145</v>
      </c>
      <c r="O156" s="24"/>
      <c r="P156" s="90">
        <v>0</v>
      </c>
      <c r="Q156" s="21" t="s">
        <v>78</v>
      </c>
      <c r="R156" s="21" t="s">
        <v>146</v>
      </c>
      <c r="S156" s="96">
        <f t="shared" si="59"/>
        <v>0</v>
      </c>
      <c r="T156" s="96">
        <f t="shared" si="60"/>
        <v>0</v>
      </c>
      <c r="U156" s="97">
        <f t="shared" si="61"/>
        <v>0</v>
      </c>
      <c r="V156" s="97">
        <f t="shared" si="53"/>
        <v>0</v>
      </c>
      <c r="W156" s="97">
        <f t="shared" si="62"/>
        <v>0</v>
      </c>
      <c r="X156" s="25">
        <f t="shared" si="54"/>
        <v>0.68058178508819822</v>
      </c>
      <c r="Y156" s="25">
        <f t="shared" si="55"/>
        <v>7.6892677087561063</v>
      </c>
      <c r="Z156" s="98">
        <f t="shared" si="63"/>
        <v>0</v>
      </c>
      <c r="AA156" s="98">
        <f t="shared" si="56"/>
        <v>0</v>
      </c>
      <c r="AB156" s="99">
        <f t="shared" si="67"/>
        <v>0</v>
      </c>
      <c r="AC156" s="99">
        <f t="shared" si="64"/>
        <v>0</v>
      </c>
      <c r="AD156" s="25">
        <f t="shared" si="57"/>
        <v>0</v>
      </c>
      <c r="AE156" s="25">
        <f t="shared" si="58"/>
        <v>0</v>
      </c>
      <c r="AF156" s="98">
        <f t="shared" si="68"/>
        <v>0</v>
      </c>
      <c r="AG156" s="98">
        <f t="shared" si="65"/>
        <v>0</v>
      </c>
    </row>
    <row r="157" spans="1:33" x14ac:dyDescent="0.25">
      <c r="A157" s="21" t="s">
        <v>142</v>
      </c>
      <c r="B157" s="89">
        <v>0</v>
      </c>
      <c r="C157" s="21" t="s">
        <v>143</v>
      </c>
      <c r="D157" s="21" t="s">
        <v>155</v>
      </c>
      <c r="E157" s="90">
        <v>426.57335926530232</v>
      </c>
      <c r="F157" s="100">
        <v>674.03170108251766</v>
      </c>
      <c r="G157" s="100">
        <v>0</v>
      </c>
      <c r="H157" s="92">
        <v>11</v>
      </c>
      <c r="I157" s="90">
        <v>200</v>
      </c>
      <c r="J157" s="93">
        <v>0</v>
      </c>
      <c r="K157" s="93">
        <v>0</v>
      </c>
      <c r="L157" s="94">
        <f t="shared" si="66"/>
        <v>0</v>
      </c>
      <c r="M157" s="21" t="s">
        <v>13</v>
      </c>
      <c r="N157" s="24" t="s">
        <v>145</v>
      </c>
      <c r="O157" s="24"/>
      <c r="P157" s="90">
        <v>0</v>
      </c>
      <c r="Q157" s="21" t="s">
        <v>78</v>
      </c>
      <c r="R157" s="21" t="s">
        <v>146</v>
      </c>
      <c r="S157" s="96">
        <f t="shared" si="59"/>
        <v>0</v>
      </c>
      <c r="T157" s="96">
        <f t="shared" si="60"/>
        <v>0</v>
      </c>
      <c r="U157" s="97">
        <f t="shared" si="61"/>
        <v>0</v>
      </c>
      <c r="V157" s="97">
        <f t="shared" si="53"/>
        <v>0</v>
      </c>
      <c r="W157" s="97">
        <f t="shared" si="62"/>
        <v>0</v>
      </c>
      <c r="X157" s="25">
        <f t="shared" si="54"/>
        <v>0.68058178508819822</v>
      </c>
      <c r="Y157" s="25">
        <f t="shared" si="55"/>
        <v>7.6892677087561063</v>
      </c>
      <c r="Z157" s="98">
        <f t="shared" si="63"/>
        <v>0</v>
      </c>
      <c r="AA157" s="98">
        <f t="shared" si="56"/>
        <v>0</v>
      </c>
      <c r="AB157" s="99">
        <f t="shared" si="67"/>
        <v>0</v>
      </c>
      <c r="AC157" s="99">
        <f t="shared" si="64"/>
        <v>0</v>
      </c>
      <c r="AD157" s="25">
        <f t="shared" si="57"/>
        <v>0</v>
      </c>
      <c r="AE157" s="25">
        <f t="shared" si="58"/>
        <v>0</v>
      </c>
      <c r="AF157" s="98">
        <f t="shared" si="68"/>
        <v>0</v>
      </c>
      <c r="AG157" s="98">
        <f t="shared" si="65"/>
        <v>0</v>
      </c>
    </row>
    <row r="158" spans="1:33" x14ac:dyDescent="0.25">
      <c r="A158" s="21" t="s">
        <v>147</v>
      </c>
      <c r="B158" s="89">
        <v>0</v>
      </c>
      <c r="C158" s="21" t="s">
        <v>143</v>
      </c>
      <c r="D158" s="21" t="s">
        <v>155</v>
      </c>
      <c r="E158" s="90">
        <v>35000</v>
      </c>
      <c r="F158" s="100">
        <v>5306</v>
      </c>
      <c r="G158" s="100">
        <v>0</v>
      </c>
      <c r="H158" s="92">
        <v>5</v>
      </c>
      <c r="I158" s="90">
        <v>4245</v>
      </c>
      <c r="J158" s="93">
        <v>0</v>
      </c>
      <c r="K158" s="93">
        <v>0</v>
      </c>
      <c r="L158" s="94">
        <f t="shared" si="66"/>
        <v>0</v>
      </c>
      <c r="M158" s="21" t="s">
        <v>13</v>
      </c>
      <c r="N158" s="24" t="s">
        <v>148</v>
      </c>
      <c r="O158" s="24" t="s">
        <v>304</v>
      </c>
      <c r="P158" s="90">
        <v>0</v>
      </c>
      <c r="Q158" s="21" t="s">
        <v>78</v>
      </c>
      <c r="R158" s="21" t="s">
        <v>147</v>
      </c>
      <c r="S158" s="96">
        <f t="shared" si="59"/>
        <v>0</v>
      </c>
      <c r="T158" s="96">
        <f t="shared" si="60"/>
        <v>0</v>
      </c>
      <c r="U158" s="97">
        <f t="shared" si="61"/>
        <v>0</v>
      </c>
      <c r="V158" s="97">
        <f t="shared" si="53"/>
        <v>0</v>
      </c>
      <c r="W158" s="97">
        <f t="shared" si="62"/>
        <v>0</v>
      </c>
      <c r="X158" s="25">
        <f t="shared" si="54"/>
        <v>0.35726782014982422</v>
      </c>
      <c r="Y158" s="25">
        <f t="shared" si="55"/>
        <v>4.5743548642727507</v>
      </c>
      <c r="Z158" s="98">
        <f t="shared" si="63"/>
        <v>0</v>
      </c>
      <c r="AA158" s="98">
        <f t="shared" si="56"/>
        <v>0</v>
      </c>
      <c r="AB158" s="99">
        <f t="shared" si="67"/>
        <v>0</v>
      </c>
      <c r="AC158" s="99">
        <f t="shared" si="64"/>
        <v>0</v>
      </c>
      <c r="AD158" s="25">
        <f t="shared" si="57"/>
        <v>0</v>
      </c>
      <c r="AE158" s="25">
        <f t="shared" si="58"/>
        <v>0</v>
      </c>
      <c r="AF158" s="98">
        <f t="shared" si="68"/>
        <v>0</v>
      </c>
      <c r="AG158" s="98">
        <f t="shared" si="65"/>
        <v>0</v>
      </c>
    </row>
    <row r="159" spans="1:33" x14ac:dyDescent="0.25">
      <c r="A159" s="21" t="s">
        <v>149</v>
      </c>
      <c r="B159" s="89">
        <v>0</v>
      </c>
      <c r="C159" s="21" t="s">
        <v>80</v>
      </c>
      <c r="D159" s="21" t="s">
        <v>155</v>
      </c>
      <c r="E159" s="90">
        <v>35000</v>
      </c>
      <c r="F159" s="100">
        <v>1429340</v>
      </c>
      <c r="G159" s="100">
        <v>0</v>
      </c>
      <c r="H159" s="92">
        <v>5</v>
      </c>
      <c r="I159" s="90">
        <v>0</v>
      </c>
      <c r="J159" s="93">
        <v>0</v>
      </c>
      <c r="K159" s="93">
        <v>2.5250287948902599E-2</v>
      </c>
      <c r="L159" s="94">
        <f t="shared" si="66"/>
        <v>36091.246576884441</v>
      </c>
      <c r="M159" s="21" t="s">
        <v>13</v>
      </c>
      <c r="N159" s="24" t="s">
        <v>148</v>
      </c>
      <c r="O159" s="24" t="s">
        <v>304</v>
      </c>
      <c r="P159" s="90">
        <v>0</v>
      </c>
      <c r="Q159" s="21" t="s">
        <v>78</v>
      </c>
      <c r="R159" s="21" t="s">
        <v>149</v>
      </c>
      <c r="S159" s="96">
        <f t="shared" si="59"/>
        <v>0</v>
      </c>
      <c r="T159" s="96">
        <f t="shared" si="60"/>
        <v>0</v>
      </c>
      <c r="U159" s="97">
        <f t="shared" si="61"/>
        <v>0</v>
      </c>
      <c r="V159" s="97">
        <f t="shared" ref="V159:V166" si="69">B159*SUM(-PV(Electric_Discount_Rate,H159,L159),J159)</f>
        <v>0</v>
      </c>
      <c r="W159" s="97">
        <f t="shared" si="62"/>
        <v>0</v>
      </c>
      <c r="X159" s="25">
        <f t="shared" ref="X159:X166" si="70">INDEX(Electric_AC, MATCH(ROUND(H159,0),Elec_AC_Measure_Life,0),MATCH(C159,Elec_Heat_Curve,0))</f>
        <v>0.3641992731243871</v>
      </c>
      <c r="Y159" s="25">
        <f t="shared" ref="Y159:Y166" si="71">INDEX(Gas_AC, MATCH(ROUND(H159,0),Gas_AC_Measure_Life,0),MATCH(D159,Gas_Heat_Load,0))</f>
        <v>4.5743548642727507</v>
      </c>
      <c r="Z159" s="98">
        <f t="shared" si="63"/>
        <v>0</v>
      </c>
      <c r="AA159" s="98">
        <f t="shared" si="56"/>
        <v>0</v>
      </c>
      <c r="AB159" s="99">
        <f t="shared" si="67"/>
        <v>0</v>
      </c>
      <c r="AC159" s="99">
        <f t="shared" si="64"/>
        <v>0</v>
      </c>
      <c r="AD159" s="25">
        <f t="shared" si="57"/>
        <v>0</v>
      </c>
      <c r="AE159" s="25">
        <f t="shared" si="58"/>
        <v>0</v>
      </c>
      <c r="AF159" s="98">
        <f t="shared" si="68"/>
        <v>0</v>
      </c>
      <c r="AG159" s="98">
        <f t="shared" si="65"/>
        <v>0</v>
      </c>
    </row>
    <row r="160" spans="1:33" x14ac:dyDescent="0.25">
      <c r="A160" s="21" t="s">
        <v>150</v>
      </c>
      <c r="B160" s="89">
        <v>0</v>
      </c>
      <c r="C160" s="21" t="s">
        <v>143</v>
      </c>
      <c r="D160" s="21" t="s">
        <v>156</v>
      </c>
      <c r="E160" s="90">
        <v>0</v>
      </c>
      <c r="F160" s="100">
        <v>500000</v>
      </c>
      <c r="G160" s="100">
        <v>0</v>
      </c>
      <c r="H160" s="92">
        <v>10</v>
      </c>
      <c r="I160" s="90">
        <v>400000</v>
      </c>
      <c r="J160" s="93">
        <v>0</v>
      </c>
      <c r="K160" s="93">
        <v>0</v>
      </c>
      <c r="L160" s="94">
        <f t="shared" si="66"/>
        <v>0</v>
      </c>
      <c r="M160" s="21" t="s">
        <v>13</v>
      </c>
      <c r="N160" s="24" t="s">
        <v>54</v>
      </c>
      <c r="O160" s="24" t="s">
        <v>304</v>
      </c>
      <c r="P160" s="90">
        <v>0</v>
      </c>
      <c r="Q160" s="21" t="s">
        <v>78</v>
      </c>
      <c r="R160" s="21" t="s">
        <v>150</v>
      </c>
      <c r="S160" s="96">
        <f t="shared" si="59"/>
        <v>0</v>
      </c>
      <c r="T160" s="96">
        <f t="shared" si="60"/>
        <v>0</v>
      </c>
      <c r="U160" s="97">
        <f t="shared" si="61"/>
        <v>0</v>
      </c>
      <c r="V160" s="97">
        <f t="shared" si="69"/>
        <v>0</v>
      </c>
      <c r="W160" s="97">
        <f t="shared" si="62"/>
        <v>0</v>
      </c>
      <c r="X160" s="25">
        <f t="shared" si="70"/>
        <v>0.63048562376596884</v>
      </c>
      <c r="Y160" s="25">
        <f t="shared" si="71"/>
        <v>6.5703091088618146</v>
      </c>
      <c r="Z160" s="98">
        <f t="shared" si="63"/>
        <v>0</v>
      </c>
      <c r="AA160" s="98">
        <f t="shared" si="56"/>
        <v>0</v>
      </c>
      <c r="AB160" s="99">
        <f t="shared" si="67"/>
        <v>0</v>
      </c>
      <c r="AC160" s="99">
        <f t="shared" si="64"/>
        <v>0</v>
      </c>
      <c r="AD160" s="25">
        <f t="shared" si="57"/>
        <v>0</v>
      </c>
      <c r="AE160" s="25">
        <f t="shared" si="58"/>
        <v>0</v>
      </c>
      <c r="AF160" s="98">
        <f t="shared" si="68"/>
        <v>0</v>
      </c>
      <c r="AG160" s="98">
        <f t="shared" si="65"/>
        <v>0</v>
      </c>
    </row>
    <row r="161" spans="1:33" x14ac:dyDescent="0.25">
      <c r="A161" s="21" t="s">
        <v>284</v>
      </c>
      <c r="B161" s="89">
        <v>5</v>
      </c>
      <c r="C161" s="21" t="s">
        <v>172</v>
      </c>
      <c r="D161" s="21" t="s">
        <v>156</v>
      </c>
      <c r="E161" s="90">
        <v>161.04</v>
      </c>
      <c r="F161" s="100">
        <v>1495.5</v>
      </c>
      <c r="G161" s="100">
        <v>0</v>
      </c>
      <c r="H161" s="92">
        <v>8</v>
      </c>
      <c r="I161" s="90">
        <v>959.70500000000004</v>
      </c>
      <c r="J161" s="93">
        <v>0</v>
      </c>
      <c r="K161" s="93">
        <v>0</v>
      </c>
      <c r="L161" s="94">
        <f t="shared" si="66"/>
        <v>0</v>
      </c>
      <c r="M161" s="21" t="s">
        <v>13</v>
      </c>
      <c r="N161" s="24" t="s">
        <v>303</v>
      </c>
      <c r="O161" s="24" t="s">
        <v>304</v>
      </c>
      <c r="P161" s="90">
        <v>0</v>
      </c>
      <c r="Q161" s="21" t="s">
        <v>78</v>
      </c>
      <c r="R161" s="21" t="s">
        <v>151</v>
      </c>
      <c r="S161" s="96">
        <f t="shared" si="59"/>
        <v>7477.5</v>
      </c>
      <c r="T161" s="96">
        <f t="shared" si="60"/>
        <v>0</v>
      </c>
      <c r="U161" s="97">
        <f t="shared" si="61"/>
        <v>805.19999999999993</v>
      </c>
      <c r="V161" s="97">
        <f t="shared" si="69"/>
        <v>0</v>
      </c>
      <c r="W161" s="97">
        <f t="shared" si="62"/>
        <v>4798.5250000000005</v>
      </c>
      <c r="X161" s="25">
        <f t="shared" si="70"/>
        <v>0.48379246214647065</v>
      </c>
      <c r="Y161" s="25">
        <f t="shared" si="71"/>
        <v>5.5906674752183614</v>
      </c>
      <c r="Z161" s="98">
        <f t="shared" si="63"/>
        <v>3617.5581357002343</v>
      </c>
      <c r="AA161" s="98">
        <f t="shared" si="56"/>
        <v>1057.7329217609088</v>
      </c>
      <c r="AB161" s="99">
        <f t="shared" si="67"/>
        <v>2.1360478967266694</v>
      </c>
      <c r="AC161" s="99">
        <f t="shared" si="64"/>
        <v>0.61772520678400655</v>
      </c>
      <c r="AD161" s="25">
        <f t="shared" si="57"/>
        <v>4018.9394197900278</v>
      </c>
      <c r="AE161" s="25">
        <f t="shared" si="58"/>
        <v>0</v>
      </c>
      <c r="AF161" s="98">
        <f t="shared" si="68"/>
        <v>4018.9394197900278</v>
      </c>
      <c r="AG161" s="98">
        <f t="shared" si="65"/>
        <v>5856.2579217609091</v>
      </c>
    </row>
    <row r="162" spans="1:33" x14ac:dyDescent="0.25">
      <c r="A162" s="21" t="s">
        <v>285</v>
      </c>
      <c r="B162" s="89">
        <v>13</v>
      </c>
      <c r="C162" s="21" t="s">
        <v>143</v>
      </c>
      <c r="D162" s="21" t="s">
        <v>156</v>
      </c>
      <c r="E162" s="90">
        <v>2297</v>
      </c>
      <c r="F162" s="100">
        <v>1900.5</v>
      </c>
      <c r="G162" s="100">
        <v>0</v>
      </c>
      <c r="H162" s="92">
        <v>12</v>
      </c>
      <c r="I162" s="90">
        <f>2467.815</f>
        <v>2467.8150000000001</v>
      </c>
      <c r="J162" s="93">
        <v>0</v>
      </c>
      <c r="K162" s="93">
        <v>0</v>
      </c>
      <c r="L162" s="94">
        <f t="shared" si="66"/>
        <v>0</v>
      </c>
      <c r="M162" s="21" t="s">
        <v>13</v>
      </c>
      <c r="N162" s="24" t="s">
        <v>303</v>
      </c>
      <c r="O162" s="24" t="s">
        <v>304</v>
      </c>
      <c r="P162" s="90">
        <v>0</v>
      </c>
      <c r="Q162" s="21" t="s">
        <v>78</v>
      </c>
      <c r="R162" s="21" t="s">
        <v>151</v>
      </c>
      <c r="S162" s="96">
        <f t="shared" si="59"/>
        <v>24706.5</v>
      </c>
      <c r="T162" s="96">
        <f t="shared" si="60"/>
        <v>0</v>
      </c>
      <c r="U162" s="97">
        <f t="shared" si="61"/>
        <v>29861</v>
      </c>
      <c r="V162" s="97">
        <f t="shared" si="69"/>
        <v>0</v>
      </c>
      <c r="W162" s="97">
        <f t="shared" si="62"/>
        <v>32081.595000000001</v>
      </c>
      <c r="X162" s="25">
        <f t="shared" si="70"/>
        <v>0.72883305969951229</v>
      </c>
      <c r="Y162" s="25">
        <f t="shared" si="71"/>
        <v>7.4795347883823</v>
      </c>
      <c r="Z162" s="98">
        <f t="shared" si="63"/>
        <v>18006.913989466</v>
      </c>
      <c r="AA162" s="98">
        <f t="shared" ref="AA162:AA170" si="72">WA_Elec_NIUC*(Z162/SUM(Z:Z))+IF(Z162&lt;&gt;0,P162,0)</f>
        <v>5265.0171832797678</v>
      </c>
      <c r="AB162" s="99">
        <f>IFERROR(1.1*SUM(Z162,V162)/SUM(AA162,U162),0)</f>
        <v>0.56390126113817318</v>
      </c>
      <c r="AC162" s="99">
        <f t="shared" si="64"/>
        <v>0.48215655816641306</v>
      </c>
      <c r="AD162" s="25">
        <f t="shared" ref="AD162:AD170" si="73">-PV(Electric_Discount_Rate,H162,S162*PCT_Elec_Constant)</f>
        <v>18427.319425557816</v>
      </c>
      <c r="AE162" s="25">
        <f t="shared" ref="AE162:AE170" si="74">-PV(Gas_Discount_Rate,H162,T162*PCT_Gas_Constant)</f>
        <v>0</v>
      </c>
      <c r="AF162" s="98">
        <f t="shared" si="68"/>
        <v>18427.319425557816</v>
      </c>
      <c r="AG162" s="98">
        <f t="shared" si="65"/>
        <v>37346.612183279765</v>
      </c>
    </row>
    <row r="163" spans="1:33" x14ac:dyDescent="0.25">
      <c r="A163" s="21" t="s">
        <v>286</v>
      </c>
      <c r="B163" s="89">
        <v>13</v>
      </c>
      <c r="C163" s="21" t="s">
        <v>143</v>
      </c>
      <c r="D163" s="21" t="s">
        <v>156</v>
      </c>
      <c r="E163" s="90">
        <v>300.16000000000003</v>
      </c>
      <c r="F163" s="100">
        <v>258.60000000000002</v>
      </c>
      <c r="G163" s="100">
        <v>0</v>
      </c>
      <c r="H163" s="92">
        <v>8</v>
      </c>
      <c r="I163" s="90">
        <v>265.06200000000001</v>
      </c>
      <c r="J163" s="93">
        <v>0</v>
      </c>
      <c r="K163" s="93">
        <v>0</v>
      </c>
      <c r="L163" s="94">
        <f t="shared" si="66"/>
        <v>0</v>
      </c>
      <c r="M163" s="21" t="s">
        <v>13</v>
      </c>
      <c r="N163" s="24" t="s">
        <v>303</v>
      </c>
      <c r="O163" s="24" t="s">
        <v>304</v>
      </c>
      <c r="P163" s="90">
        <v>0</v>
      </c>
      <c r="Q163" s="21" t="s">
        <v>78</v>
      </c>
      <c r="R163" s="21" t="s">
        <v>151</v>
      </c>
      <c r="S163" s="96">
        <f>B163*F163</f>
        <v>3361.8</v>
      </c>
      <c r="T163" s="96">
        <f>B163*G163</f>
        <v>0</v>
      </c>
      <c r="U163" s="97">
        <f>E163*B163</f>
        <v>3902.0800000000004</v>
      </c>
      <c r="V163" s="97">
        <f>B163*SUM(-PV(Electric_Discount_Rate,H163,L163),J163)</f>
        <v>0</v>
      </c>
      <c r="W163" s="97">
        <f>I163*B163</f>
        <v>3445.806</v>
      </c>
      <c r="X163" s="25">
        <f>INDEX(Electric_AC, MATCH(ROUND(H163,0),Elec_AC_Measure_Life,0),MATCH(C163,Elec_Heat_Curve,0))</f>
        <v>0.52583575422878048</v>
      </c>
      <c r="Y163" s="25">
        <f>INDEX(Gas_AC, MATCH(ROUND(H163,0),Gas_AC_Measure_Life,0),MATCH(D163,Gas_Heat_Load,0))</f>
        <v>5.5906674752183614</v>
      </c>
      <c r="Z163" s="98">
        <f>SUM(X163*S163,Y163*T163)</f>
        <v>1767.7546385663143</v>
      </c>
      <c r="AA163" s="98">
        <f t="shared" si="72"/>
        <v>516.87138358737559</v>
      </c>
      <c r="AB163" s="99">
        <f t="shared" si="67"/>
        <v>0.4400433346348212</v>
      </c>
      <c r="AC163" s="99">
        <f>IFERROR(Z163/SUM(W163,AA163),0)</f>
        <v>0.44610107446243386</v>
      </c>
      <c r="AD163" s="25">
        <f t="shared" si="73"/>
        <v>1806.8700155734025</v>
      </c>
      <c r="AE163" s="25">
        <f t="shared" si="74"/>
        <v>0</v>
      </c>
      <c r="AF163" s="98">
        <f>SUM(AD163:AE163)</f>
        <v>1806.8700155734025</v>
      </c>
      <c r="AG163" s="98">
        <f>SUM(AA163,W163)</f>
        <v>3962.6773835873755</v>
      </c>
    </row>
    <row r="164" spans="1:33" x14ac:dyDescent="0.25">
      <c r="A164" s="21" t="s">
        <v>287</v>
      </c>
      <c r="B164" s="89">
        <v>252</v>
      </c>
      <c r="C164" s="21" t="s">
        <v>89</v>
      </c>
      <c r="D164" s="21" t="s">
        <v>155</v>
      </c>
      <c r="E164" s="90">
        <v>2601.0300000000002</v>
      </c>
      <c r="F164" s="100">
        <v>947.47619047619048</v>
      </c>
      <c r="G164" s="100">
        <v>0</v>
      </c>
      <c r="H164" s="92">
        <v>15</v>
      </c>
      <c r="I164" s="90">
        <v>493.99857142857138</v>
      </c>
      <c r="J164" s="93">
        <v>0</v>
      </c>
      <c r="K164" s="93">
        <v>0</v>
      </c>
      <c r="L164" s="94">
        <f t="shared" si="66"/>
        <v>0</v>
      </c>
      <c r="M164" s="21" t="s">
        <v>13</v>
      </c>
      <c r="N164" s="24" t="s">
        <v>303</v>
      </c>
      <c r="O164" s="24" t="s">
        <v>304</v>
      </c>
      <c r="P164" s="90">
        <v>0</v>
      </c>
      <c r="Q164" s="21" t="s">
        <v>78</v>
      </c>
      <c r="R164" s="21" t="s">
        <v>151</v>
      </c>
      <c r="S164" s="96">
        <f>B164*F164</f>
        <v>238764</v>
      </c>
      <c r="T164" s="96">
        <f>B164*G164</f>
        <v>0</v>
      </c>
      <c r="U164" s="97">
        <f>E164*B164</f>
        <v>655459.56000000006</v>
      </c>
      <c r="V164" s="97">
        <f>B164*SUM(-PV(Electric_Discount_Rate,H164,L164),J164)</f>
        <v>0</v>
      </c>
      <c r="W164" s="97">
        <f>I164*B164</f>
        <v>124487.63999999998</v>
      </c>
      <c r="X164" s="25">
        <f>INDEX(Electric_AC, MATCH(ROUND(H164,0),Elec_AC_Measure_Life,0),MATCH(C164,Elec_Heat_Curve,0))</f>
        <v>1.2914963808201403</v>
      </c>
      <c r="Y164" s="25">
        <f>INDEX(Gas_AC, MATCH(ROUND(H164,0),Gas_AC_Measure_Life,0),MATCH(D164,Gas_Heat_Load,0))</f>
        <v>9.4305413738174693</v>
      </c>
      <c r="Z164" s="98">
        <f>SUM(X164*S164,Y164*T164)</f>
        <v>308362.84187013999</v>
      </c>
      <c r="AA164" s="98">
        <f t="shared" si="72"/>
        <v>90161.793524478053</v>
      </c>
      <c r="AB164" s="99">
        <f t="shared" si="67"/>
        <v>0.45492142151481235</v>
      </c>
      <c r="AC164" s="99">
        <f>IFERROR(Z164/SUM(W164,AA164),0)</f>
        <v>1.4365881931618287</v>
      </c>
      <c r="AD164" s="25">
        <f t="shared" si="73"/>
        <v>210300.2199475404</v>
      </c>
      <c r="AE164" s="25">
        <f t="shared" si="74"/>
        <v>0</v>
      </c>
      <c r="AF164" s="98">
        <f>SUM(AD164:AE164)</f>
        <v>210300.2199475404</v>
      </c>
      <c r="AG164" s="98">
        <f>SUM(AA164,W164)</f>
        <v>214649.43352447805</v>
      </c>
    </row>
    <row r="165" spans="1:33" x14ac:dyDescent="0.25">
      <c r="A165" s="21" t="s">
        <v>288</v>
      </c>
      <c r="B165" s="89">
        <v>31</v>
      </c>
      <c r="C165" s="21" t="s">
        <v>89</v>
      </c>
      <c r="D165" s="21" t="s">
        <v>155</v>
      </c>
      <c r="E165" s="90">
        <v>829.5</v>
      </c>
      <c r="F165" s="100">
        <v>3229.75</v>
      </c>
      <c r="G165" s="100">
        <v>0</v>
      </c>
      <c r="H165" s="92">
        <v>10</v>
      </c>
      <c r="I165" s="90">
        <v>902.58124999999995</v>
      </c>
      <c r="J165" s="93">
        <v>0</v>
      </c>
      <c r="K165" s="93">
        <v>0</v>
      </c>
      <c r="L165" s="94">
        <f t="shared" si="66"/>
        <v>0</v>
      </c>
      <c r="M165" s="21" t="s">
        <v>13</v>
      </c>
      <c r="N165" s="24" t="s">
        <v>303</v>
      </c>
      <c r="O165" s="24" t="s">
        <v>304</v>
      </c>
      <c r="P165" s="90">
        <v>0</v>
      </c>
      <c r="Q165" s="21" t="s">
        <v>78</v>
      </c>
      <c r="R165" s="21" t="s">
        <v>151</v>
      </c>
      <c r="S165" s="96">
        <f>B165*F165</f>
        <v>100122.25</v>
      </c>
      <c r="T165" s="96">
        <f>B165*G165</f>
        <v>0</v>
      </c>
      <c r="U165" s="97">
        <f>E165*B165</f>
        <v>25714.5</v>
      </c>
      <c r="V165" s="97">
        <f>B165*SUM(-PV(Electric_Discount_Rate,H165,L165),J165)</f>
        <v>0</v>
      </c>
      <c r="W165" s="97">
        <f>I165*B165</f>
        <v>27980.018749999999</v>
      </c>
      <c r="X165" s="25">
        <f>INDEX(Electric_AC, MATCH(ROUND(H165,0),Elec_AC_Measure_Life,0),MATCH(C165,Elec_Heat_Curve,0))</f>
        <v>0.934418764205455</v>
      </c>
      <c r="Y165" s="25">
        <f>INDEX(Gas_AC, MATCH(ROUND(H165,0),Gas_AC_Measure_Life,0),MATCH(D165,Gas_Heat_Load,0))</f>
        <v>7.1955923949164964</v>
      </c>
      <c r="Z165" s="98">
        <f>SUM(X165*S165,Y165*T165)</f>
        <v>93556.109114469611</v>
      </c>
      <c r="AA165" s="98">
        <f t="shared" si="72"/>
        <v>27354.743982041247</v>
      </c>
      <c r="AB165" s="99">
        <f t="shared" si="67"/>
        <v>1.9391970245655308</v>
      </c>
      <c r="AC165" s="99">
        <f>IFERROR(Z165/SUM(W165,AA165),0)</f>
        <v>1.6907293805074282</v>
      </c>
      <c r="AD165" s="25">
        <f t="shared" si="73"/>
        <v>64680.374644798627</v>
      </c>
      <c r="AE165" s="25">
        <f t="shared" si="74"/>
        <v>0</v>
      </c>
      <c r="AF165" s="98">
        <f>SUM(AD165:AE165)</f>
        <v>64680.374644798627</v>
      </c>
      <c r="AG165" s="98">
        <f>SUM(AA165,W165)</f>
        <v>55334.762732041243</v>
      </c>
    </row>
    <row r="166" spans="1:33" x14ac:dyDescent="0.25">
      <c r="A166" s="21" t="s">
        <v>289</v>
      </c>
      <c r="B166" s="89">
        <v>9</v>
      </c>
      <c r="C166" s="21" t="s">
        <v>143</v>
      </c>
      <c r="D166" s="21" t="s">
        <v>156</v>
      </c>
      <c r="E166" s="90">
        <v>3200</v>
      </c>
      <c r="F166" s="100">
        <v>246.83333333333334</v>
      </c>
      <c r="G166" s="100">
        <v>0</v>
      </c>
      <c r="H166" s="92">
        <v>16</v>
      </c>
      <c r="I166" s="90">
        <v>167.18666666666667</v>
      </c>
      <c r="J166" s="93">
        <v>0</v>
      </c>
      <c r="K166" s="93">
        <v>0</v>
      </c>
      <c r="L166" s="94">
        <f t="shared" si="66"/>
        <v>0</v>
      </c>
      <c r="M166" s="21" t="s">
        <v>13</v>
      </c>
      <c r="N166" s="24" t="s">
        <v>303</v>
      </c>
      <c r="O166" s="24" t="s">
        <v>304</v>
      </c>
      <c r="P166" s="90">
        <v>0</v>
      </c>
      <c r="Q166" s="21" t="s">
        <v>78</v>
      </c>
      <c r="R166" s="21" t="s">
        <v>151</v>
      </c>
      <c r="S166" s="96">
        <f t="shared" si="59"/>
        <v>2221.5</v>
      </c>
      <c r="T166" s="96">
        <f t="shared" si="60"/>
        <v>0</v>
      </c>
      <c r="U166" s="97">
        <f t="shared" si="61"/>
        <v>28800</v>
      </c>
      <c r="V166" s="97">
        <f t="shared" si="69"/>
        <v>0</v>
      </c>
      <c r="W166" s="97">
        <f t="shared" si="62"/>
        <v>1504.68</v>
      </c>
      <c r="X166" s="25">
        <f t="shared" si="70"/>
        <v>0.91119151839909662</v>
      </c>
      <c r="Y166" s="25">
        <f t="shared" si="71"/>
        <v>9.1017064176152367</v>
      </c>
      <c r="Z166" s="98">
        <f t="shared" si="63"/>
        <v>2024.2119581235931</v>
      </c>
      <c r="AA166" s="98">
        <f t="shared" si="72"/>
        <v>591.85659177112314</v>
      </c>
      <c r="AB166" s="99">
        <f t="shared" si="67"/>
        <v>7.5756805187983459E-2</v>
      </c>
      <c r="AC166" s="99">
        <f t="shared" si="64"/>
        <v>0.96550280403814404</v>
      </c>
      <c r="AD166" s="25">
        <f t="shared" si="73"/>
        <v>2048.5199688118673</v>
      </c>
      <c r="AE166" s="25">
        <f t="shared" si="74"/>
        <v>0</v>
      </c>
      <c r="AF166" s="98">
        <f t="shared" si="68"/>
        <v>2048.5199688118673</v>
      </c>
      <c r="AG166" s="98">
        <f t="shared" si="65"/>
        <v>2096.5365917711233</v>
      </c>
    </row>
    <row r="167" spans="1:33" x14ac:dyDescent="0.25">
      <c r="A167" s="21" t="s">
        <v>390</v>
      </c>
      <c r="B167" s="89">
        <v>258</v>
      </c>
      <c r="C167" s="21" t="s">
        <v>143</v>
      </c>
      <c r="D167" s="21" t="s">
        <v>156</v>
      </c>
      <c r="E167" s="90">
        <v>24.282902074280965</v>
      </c>
      <c r="F167" s="100">
        <v>41.548562514127411</v>
      </c>
      <c r="G167" s="100">
        <v>0</v>
      </c>
      <c r="H167" s="92">
        <v>7</v>
      </c>
      <c r="I167" s="90">
        <v>20</v>
      </c>
      <c r="J167" s="93">
        <v>0</v>
      </c>
      <c r="K167" s="93">
        <v>0</v>
      </c>
      <c r="L167" s="94">
        <f>K167*F167</f>
        <v>0</v>
      </c>
      <c r="M167" s="21" t="s">
        <v>13</v>
      </c>
      <c r="N167" s="24" t="s">
        <v>394</v>
      </c>
      <c r="O167" s="24" t="s">
        <v>397</v>
      </c>
      <c r="P167" s="90">
        <v>0</v>
      </c>
      <c r="Q167" s="21" t="s">
        <v>78</v>
      </c>
      <c r="R167" s="21" t="s">
        <v>389</v>
      </c>
      <c r="S167" s="96">
        <f>B167*F167</f>
        <v>10719.529128644872</v>
      </c>
      <c r="T167" s="96">
        <f>B167*G167</f>
        <v>0</v>
      </c>
      <c r="U167" s="97">
        <f>E167*B167</f>
        <v>6264.9887351644893</v>
      </c>
      <c r="V167" s="97">
        <f>B167*SUM(-PV(Electric_Discount_Rate,H167,L167),J167)</f>
        <v>0</v>
      </c>
      <c r="W167" s="97">
        <f>I167*B167</f>
        <v>5160</v>
      </c>
      <c r="X167" s="25">
        <f>INDEX(Electric_AC, MATCH(ROUND(H167,0),Elec_AC_Measure_Life,0),MATCH(C167,Elec_Heat_Curve,0))</f>
        <v>0.47135543617977316</v>
      </c>
      <c r="Y167" s="25">
        <f>INDEX(Gas_AC, MATCH(ROUND(H167,0),Gas_AC_Measure_Life,0),MATCH(D167,Gas_Heat_Load,0))</f>
        <v>5.0980659541706199</v>
      </c>
      <c r="Z167" s="98">
        <f>SUM(X167*S167,Y167*T167)</f>
        <v>5052.7083280741872</v>
      </c>
      <c r="AA167" s="98">
        <f t="shared" si="72"/>
        <v>1477.3545419816987</v>
      </c>
      <c r="AB167" s="99">
        <f>IFERROR(1.1*SUM(Z167,V167)/SUM(AA167,U167),0)</f>
        <v>0.71786782914774949</v>
      </c>
      <c r="AC167" s="99">
        <f>IFERROR(Z167/SUM(W167,AA167),0)</f>
        <v>0.76125334214339146</v>
      </c>
      <c r="AD167" s="25">
        <f t="shared" si="73"/>
        <v>5142.1495037504756</v>
      </c>
      <c r="AE167" s="25">
        <f t="shared" si="74"/>
        <v>0</v>
      </c>
      <c r="AF167" s="98">
        <f>SUM(AD167:AE167)</f>
        <v>5142.1495037504756</v>
      </c>
      <c r="AG167" s="98">
        <f>SUM(AA167,W167)</f>
        <v>6637.3545419816983</v>
      </c>
    </row>
    <row r="168" spans="1:33" x14ac:dyDescent="0.25">
      <c r="A168" s="21" t="s">
        <v>391</v>
      </c>
      <c r="B168" s="89">
        <v>173</v>
      </c>
      <c r="C168" s="21" t="s">
        <v>143</v>
      </c>
      <c r="D168" s="21" t="s">
        <v>156</v>
      </c>
      <c r="E168" s="90">
        <v>24.282902074280965</v>
      </c>
      <c r="F168" s="100">
        <v>41.548562514127411</v>
      </c>
      <c r="G168" s="100">
        <v>0</v>
      </c>
      <c r="H168" s="92">
        <v>7</v>
      </c>
      <c r="I168" s="90">
        <v>20</v>
      </c>
      <c r="J168" s="93">
        <v>0</v>
      </c>
      <c r="K168" s="93">
        <v>0</v>
      </c>
      <c r="L168" s="94">
        <f>K168*F168</f>
        <v>0</v>
      </c>
      <c r="M168" s="21" t="s">
        <v>13</v>
      </c>
      <c r="N168" s="24" t="s">
        <v>394</v>
      </c>
      <c r="O168" s="24" t="s">
        <v>398</v>
      </c>
      <c r="P168" s="90">
        <v>0</v>
      </c>
      <c r="Q168" s="21" t="s">
        <v>78</v>
      </c>
      <c r="R168" s="21" t="s">
        <v>389</v>
      </c>
      <c r="S168" s="96">
        <f>B168*F168</f>
        <v>7187.9013149440425</v>
      </c>
      <c r="T168" s="96">
        <f>B168*G168</f>
        <v>0</v>
      </c>
      <c r="U168" s="97">
        <f>E168*B168</f>
        <v>4200.9420588506073</v>
      </c>
      <c r="V168" s="97">
        <f>B168*SUM(-PV(Electric_Discount_Rate,H168,L168),J168)</f>
        <v>0</v>
      </c>
      <c r="W168" s="97">
        <f>I168*B168</f>
        <v>3460</v>
      </c>
      <c r="X168" s="25">
        <f>INDEX(Electric_AC, MATCH(ROUND(H168,0),Elec_AC_Measure_Life,0),MATCH(C168,Elec_Heat_Curve,0))</f>
        <v>0.47135543617977316</v>
      </c>
      <c r="Y168" s="25">
        <f>INDEX(Gas_AC, MATCH(ROUND(H168,0),Gas_AC_Measure_Life,0),MATCH(D168,Gas_Heat_Load,0))</f>
        <v>5.0980659541706199</v>
      </c>
      <c r="Z168" s="98">
        <f>SUM(X168*S168,Y168*T168)</f>
        <v>3388.056359522614</v>
      </c>
      <c r="AA168" s="98">
        <f t="shared" si="72"/>
        <v>990.62920838307696</v>
      </c>
      <c r="AB168" s="99">
        <f>IFERROR(1.1*SUM(Z168,V168)/SUM(AA168,U168),0)</f>
        <v>0.71786782914774949</v>
      </c>
      <c r="AC168" s="99">
        <f>IFERROR(Z168/SUM(W168,AA168),0)</f>
        <v>0.76125334214339146</v>
      </c>
      <c r="AD168" s="25">
        <f t="shared" si="73"/>
        <v>3448.0304811970245</v>
      </c>
      <c r="AE168" s="25">
        <f t="shared" si="74"/>
        <v>0</v>
      </c>
      <c r="AF168" s="98">
        <f>SUM(AD168:AE168)</f>
        <v>3448.0304811970245</v>
      </c>
      <c r="AG168" s="98">
        <f>SUM(AA168,W168)</f>
        <v>4450.6292083830767</v>
      </c>
    </row>
    <row r="169" spans="1:33" x14ac:dyDescent="0.25">
      <c r="A169" s="21" t="s">
        <v>392</v>
      </c>
      <c r="B169" s="89">
        <v>431</v>
      </c>
      <c r="C169" s="21" t="s">
        <v>143</v>
      </c>
      <c r="D169" s="21" t="s">
        <v>156</v>
      </c>
      <c r="E169" s="90">
        <v>24.282902074280965</v>
      </c>
      <c r="F169" s="100">
        <v>41.548562514127411</v>
      </c>
      <c r="G169" s="100">
        <v>0</v>
      </c>
      <c r="H169" s="92">
        <v>7</v>
      </c>
      <c r="I169" s="90">
        <v>20</v>
      </c>
      <c r="J169" s="93">
        <v>0</v>
      </c>
      <c r="K169" s="93">
        <v>0</v>
      </c>
      <c r="L169" s="94">
        <f>K169*F169</f>
        <v>0</v>
      </c>
      <c r="M169" s="21" t="s">
        <v>13</v>
      </c>
      <c r="N169" s="24" t="s">
        <v>394</v>
      </c>
      <c r="O169" s="24" t="s">
        <v>396</v>
      </c>
      <c r="P169" s="90">
        <v>0</v>
      </c>
      <c r="Q169" s="21" t="s">
        <v>78</v>
      </c>
      <c r="R169" s="21" t="s">
        <v>389</v>
      </c>
      <c r="S169" s="96">
        <f>B169*F169</f>
        <v>17907.430443588913</v>
      </c>
      <c r="T169" s="96">
        <f>B169*G169</f>
        <v>0</v>
      </c>
      <c r="U169" s="97">
        <f>E169*B169</f>
        <v>10465.930794015096</v>
      </c>
      <c r="V169" s="97">
        <f>B169*SUM(-PV(Electric_Discount_Rate,H169,L169),J169)</f>
        <v>0</v>
      </c>
      <c r="W169" s="97">
        <f>I169*B169</f>
        <v>8620</v>
      </c>
      <c r="X169" s="25">
        <f>INDEX(Electric_AC, MATCH(ROUND(H169,0),Elec_AC_Measure_Life,0),MATCH(C169,Elec_Heat_Curve,0))</f>
        <v>0.47135543617977316</v>
      </c>
      <c r="Y169" s="25">
        <f>INDEX(Gas_AC, MATCH(ROUND(H169,0),Gas_AC_Measure_Life,0),MATCH(D169,Gas_Heat_Load,0))</f>
        <v>5.0980659541706199</v>
      </c>
      <c r="Z169" s="98">
        <f>SUM(X169*S169,Y169*T169)</f>
        <v>8440.7646875968003</v>
      </c>
      <c r="AA169" s="98">
        <f t="shared" si="72"/>
        <v>2467.9837503647755</v>
      </c>
      <c r="AB169" s="99">
        <f>IFERROR(1.1*SUM(Z169,V169)/SUM(AA169,U169),0)</f>
        <v>0.71786782914774938</v>
      </c>
      <c r="AC169" s="99">
        <f>IFERROR(Z169/SUM(W169,AA169),0)</f>
        <v>0.76125334214339135</v>
      </c>
      <c r="AD169" s="25">
        <f t="shared" si="73"/>
        <v>8590.179984947501</v>
      </c>
      <c r="AE169" s="25">
        <f t="shared" si="74"/>
        <v>0</v>
      </c>
      <c r="AF169" s="98">
        <f>SUM(AD169:AE169)</f>
        <v>8590.179984947501</v>
      </c>
      <c r="AG169" s="98">
        <f>SUM(AA169,W169)</f>
        <v>11087.983750364776</v>
      </c>
    </row>
    <row r="170" spans="1:33" x14ac:dyDescent="0.25">
      <c r="A170" s="21" t="s">
        <v>393</v>
      </c>
      <c r="B170" s="89">
        <v>86</v>
      </c>
      <c r="C170" s="21" t="s">
        <v>143</v>
      </c>
      <c r="D170" s="21" t="s">
        <v>156</v>
      </c>
      <c r="E170" s="90">
        <v>15.015247675140364</v>
      </c>
      <c r="F170" s="100">
        <v>48.753868994422973</v>
      </c>
      <c r="G170" s="100">
        <v>0</v>
      </c>
      <c r="H170" s="92">
        <v>7</v>
      </c>
      <c r="I170" s="90">
        <v>20</v>
      </c>
      <c r="J170" s="93">
        <v>0</v>
      </c>
      <c r="K170" s="93">
        <v>0</v>
      </c>
      <c r="L170" s="94">
        <f>K170*F170</f>
        <v>0</v>
      </c>
      <c r="M170" s="21" t="s">
        <v>13</v>
      </c>
      <c r="N170" s="24" t="s">
        <v>394</v>
      </c>
      <c r="O170" s="24" t="s">
        <v>395</v>
      </c>
      <c r="P170" s="90">
        <v>0</v>
      </c>
      <c r="Q170" s="21" t="s">
        <v>78</v>
      </c>
      <c r="R170" s="21" t="s">
        <v>389</v>
      </c>
      <c r="S170" s="96">
        <f>B170*F170</f>
        <v>4192.8327335203758</v>
      </c>
      <c r="T170" s="96">
        <f>B170*G170</f>
        <v>0</v>
      </c>
      <c r="U170" s="97">
        <f>E170*B170</f>
        <v>1291.3113000620713</v>
      </c>
      <c r="V170" s="97">
        <f>B170*SUM(-PV(Electric_Discount_Rate,H170,L170),J170)</f>
        <v>0</v>
      </c>
      <c r="W170" s="97">
        <f>I170*B170</f>
        <v>1720</v>
      </c>
      <c r="X170" s="25">
        <f>INDEX(Electric_AC, MATCH(ROUND(H170,0),Elec_AC_Measure_Life,0),MATCH(C170,Elec_Heat_Curve,0))</f>
        <v>0.47135543617977316</v>
      </c>
      <c r="Y170" s="25">
        <f>INDEX(Gas_AC, MATCH(ROUND(H170,0),Gas_AC_Measure_Life,0),MATCH(D170,Gas_Heat_Load,0))</f>
        <v>5.0980659541706199</v>
      </c>
      <c r="Z170" s="98">
        <f>SUM(X170*S170,Y170*T170)</f>
        <v>1976.3145019373273</v>
      </c>
      <c r="AA170" s="98">
        <f t="shared" si="72"/>
        <v>577.85191945450049</v>
      </c>
      <c r="AB170" s="99">
        <f>IFERROR(1.1*SUM(Z170,V170)/SUM(AA170,U170),0)</f>
        <v>1.163058383255217</v>
      </c>
      <c r="AC170" s="99">
        <f>IFERROR(Z170/SUM(W170,AA170),0)</f>
        <v>0.86007043587321119</v>
      </c>
      <c r="AD170" s="25">
        <f t="shared" si="73"/>
        <v>2011.2984909353124</v>
      </c>
      <c r="AE170" s="25">
        <f t="shared" si="74"/>
        <v>0</v>
      </c>
      <c r="AF170" s="98">
        <f>SUM(AD170:AE170)</f>
        <v>2011.2984909353124</v>
      </c>
      <c r="AG170" s="98">
        <f>SUM(AA170,W170)</f>
        <v>2297.8519194545006</v>
      </c>
    </row>
    <row r="173" spans="1:33" x14ac:dyDescent="0.25">
      <c r="C173" s="44"/>
    </row>
    <row r="174" spans="1:33" x14ac:dyDescent="0.25">
      <c r="C174" s="44"/>
    </row>
    <row r="175" spans="1:33" x14ac:dyDescent="0.25">
      <c r="C175" s="44"/>
    </row>
    <row r="176" spans="1:33" x14ac:dyDescent="0.25">
      <c r="C176" s="44"/>
    </row>
    <row r="177" spans="3:3" x14ac:dyDescent="0.25">
      <c r="C177" s="44"/>
    </row>
    <row r="178" spans="3:3" x14ac:dyDescent="0.25">
      <c r="C178" s="44"/>
    </row>
  </sheetData>
  <sheetProtection sort="0" autoFilter="0"/>
  <autoFilter ref="A1:AG170" xr:uid="{399C240C-2C4F-4683-A3C0-E75443CAF2B3}"/>
  <phoneticPr fontId="4" type="noConversion"/>
  <conditionalFormatting sqref="AB2:AB170">
    <cfRule type="cellIs" dxfId="74" priority="5" operator="equal">
      <formula>0</formula>
    </cfRule>
  </conditionalFormatting>
  <conditionalFormatting sqref="AB2:AC170">
    <cfRule type="cellIs" dxfId="73" priority="3" operator="greaterThan">
      <formula>1</formula>
    </cfRule>
    <cfRule type="cellIs" dxfId="72" priority="4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920A-B608-4793-9A43-D95FB94DEEEE}">
  <sheetPr codeName="Sheet3"/>
  <dimension ref="A1:N32"/>
  <sheetViews>
    <sheetView workbookViewId="0">
      <selection activeCell="D16" sqref="D16"/>
    </sheetView>
  </sheetViews>
  <sheetFormatPr defaultRowHeight="15" x14ac:dyDescent="0.25"/>
  <cols>
    <col min="1" max="1" width="20.28515625" bestFit="1" customWidth="1"/>
    <col min="12" max="12" width="9.7109375" bestFit="1" customWidth="1"/>
  </cols>
  <sheetData>
    <row r="1" spans="1:14" ht="15.75" thickBot="1" x14ac:dyDescent="0.3">
      <c r="A1" t="s">
        <v>206</v>
      </c>
      <c r="B1" s="48">
        <v>4.2700000000000002E-2</v>
      </c>
      <c r="J1" t="s">
        <v>302</v>
      </c>
      <c r="L1" s="134">
        <v>45497</v>
      </c>
    </row>
    <row r="2" spans="1:14" x14ac:dyDescent="0.25">
      <c r="B2" s="47"/>
      <c r="J2" s="51" t="s">
        <v>212</v>
      </c>
      <c r="K2" s="52" t="s">
        <v>213</v>
      </c>
      <c r="L2" s="52" t="s">
        <v>213</v>
      </c>
      <c r="M2" s="52" t="s">
        <v>214</v>
      </c>
      <c r="N2" s="53" t="s">
        <v>214</v>
      </c>
    </row>
    <row r="3" spans="1:14" x14ac:dyDescent="0.25">
      <c r="A3" t="s">
        <v>207</v>
      </c>
      <c r="B3" s="48">
        <v>4.8000000000000001E-2</v>
      </c>
      <c r="J3" s="54" t="s">
        <v>215</v>
      </c>
      <c r="K3" s="55" t="s">
        <v>216</v>
      </c>
      <c r="L3" s="55" t="s">
        <v>217</v>
      </c>
      <c r="M3" s="55" t="s">
        <v>216</v>
      </c>
      <c r="N3" s="56" t="s">
        <v>217</v>
      </c>
    </row>
    <row r="4" spans="1:14" x14ac:dyDescent="0.25">
      <c r="B4" s="47"/>
      <c r="J4" s="57" t="s">
        <v>218</v>
      </c>
      <c r="K4" s="58">
        <v>0.10675999999999999</v>
      </c>
      <c r="L4" s="59">
        <v>0</v>
      </c>
      <c r="M4" s="58">
        <v>9.511E-2</v>
      </c>
      <c r="N4" s="60">
        <v>0</v>
      </c>
    </row>
    <row r="5" spans="1:14" x14ac:dyDescent="0.25">
      <c r="J5" s="57" t="s">
        <v>219</v>
      </c>
      <c r="K5" s="58">
        <v>8.702E-2</v>
      </c>
      <c r="L5" s="59">
        <v>6</v>
      </c>
      <c r="M5" s="58">
        <v>7.3789999999999994E-2</v>
      </c>
      <c r="N5" s="60">
        <v>5.75</v>
      </c>
    </row>
    <row r="6" spans="1:14" x14ac:dyDescent="0.25">
      <c r="J6" s="57" t="s">
        <v>220</v>
      </c>
      <c r="K6" s="58">
        <v>0.11697</v>
      </c>
      <c r="L6" s="59">
        <v>6</v>
      </c>
      <c r="M6" s="58">
        <v>9.8669999999999994E-2</v>
      </c>
      <c r="N6" s="60">
        <v>5.75</v>
      </c>
    </row>
    <row r="7" spans="1:14" x14ac:dyDescent="0.25">
      <c r="A7" t="s">
        <v>211</v>
      </c>
      <c r="B7" s="3">
        <f>AVERAGE(WA_Electric_Rates)</f>
        <v>8.0721818181818186E-2</v>
      </c>
      <c r="J7" s="57" t="s">
        <v>221</v>
      </c>
      <c r="K7" s="58">
        <v>8.6510000000000004E-2</v>
      </c>
      <c r="L7" s="59">
        <v>6</v>
      </c>
      <c r="M7" s="58">
        <v>7.3190000000000005E-2</v>
      </c>
      <c r="N7" s="60">
        <v>5.75</v>
      </c>
    </row>
    <row r="8" spans="1:14" x14ac:dyDescent="0.25">
      <c r="A8" t="s">
        <v>248</v>
      </c>
      <c r="B8" s="3">
        <f>AVERAGE(WA_Gas_Rates)</f>
        <v>0.64120599999999994</v>
      </c>
      <c r="J8" s="57" t="s">
        <v>222</v>
      </c>
      <c r="K8" s="58">
        <v>0.11645999999999999</v>
      </c>
      <c r="L8" s="59">
        <v>6</v>
      </c>
      <c r="M8" s="58">
        <v>9.8070000000000004E-2</v>
      </c>
      <c r="N8" s="60">
        <v>5.75</v>
      </c>
    </row>
    <row r="9" spans="1:14" x14ac:dyDescent="0.25">
      <c r="J9" s="57" t="s">
        <v>223</v>
      </c>
      <c r="K9" s="58">
        <v>6.6059999999999994E-2</v>
      </c>
      <c r="L9" s="59">
        <v>6</v>
      </c>
      <c r="M9" s="58">
        <v>5.4969999999999998E-2</v>
      </c>
      <c r="N9" s="60">
        <v>5.25</v>
      </c>
    </row>
    <row r="10" spans="1:14" x14ac:dyDescent="0.25">
      <c r="J10" s="57" t="s">
        <v>224</v>
      </c>
      <c r="K10" s="58">
        <v>7.3550000000000004E-2</v>
      </c>
      <c r="L10" s="59">
        <v>6</v>
      </c>
      <c r="M10" s="58">
        <v>6.4229999999999995E-2</v>
      </c>
      <c r="N10" s="60">
        <v>5.25</v>
      </c>
    </row>
    <row r="11" spans="1:14" x14ac:dyDescent="0.25">
      <c r="J11" s="57" t="s">
        <v>225</v>
      </c>
      <c r="K11" s="58">
        <v>6.5549999999999997E-2</v>
      </c>
      <c r="L11" s="59">
        <v>6</v>
      </c>
      <c r="M11" s="58">
        <v>5.4370000000000002E-2</v>
      </c>
      <c r="N11" s="60">
        <v>5.25</v>
      </c>
    </row>
    <row r="12" spans="1:14" x14ac:dyDescent="0.25">
      <c r="J12" s="57" t="s">
        <v>226</v>
      </c>
      <c r="K12" s="58">
        <v>7.3039999999999994E-2</v>
      </c>
      <c r="L12" s="59">
        <v>6</v>
      </c>
      <c r="M12" s="58">
        <v>6.3630000000000006E-2</v>
      </c>
      <c r="N12" s="60">
        <v>5.25</v>
      </c>
    </row>
    <row r="13" spans="1:14" x14ac:dyDescent="0.25">
      <c r="J13" s="57" t="s">
        <v>227</v>
      </c>
      <c r="K13" s="58">
        <v>4.41E-2</v>
      </c>
      <c r="L13" s="59">
        <v>6</v>
      </c>
      <c r="M13" s="58">
        <v>4.521E-2</v>
      </c>
      <c r="N13" s="60">
        <v>4.75</v>
      </c>
    </row>
    <row r="14" spans="1:14" x14ac:dyDescent="0.25">
      <c r="J14" s="57" t="s">
        <v>228</v>
      </c>
      <c r="K14" s="58">
        <v>5.1920000000000001E-2</v>
      </c>
      <c r="L14" s="59">
        <v>6</v>
      </c>
      <c r="M14" s="58">
        <v>5.3330000000000002E-2</v>
      </c>
      <c r="N14" s="60">
        <v>4.75</v>
      </c>
    </row>
    <row r="15" spans="1:14" x14ac:dyDescent="0.25">
      <c r="J15" s="57" t="s">
        <v>229</v>
      </c>
      <c r="K15" s="58">
        <v>0</v>
      </c>
      <c r="L15" s="59">
        <v>0</v>
      </c>
      <c r="M15" s="58">
        <v>4.3310000000000001E-2</v>
      </c>
      <c r="N15" s="60">
        <v>4.75</v>
      </c>
    </row>
    <row r="16" spans="1:14" x14ac:dyDescent="0.25">
      <c r="J16" s="57" t="s">
        <v>230</v>
      </c>
      <c r="K16" s="58">
        <v>7.0440000000000003E-2</v>
      </c>
      <c r="L16" s="59">
        <v>0</v>
      </c>
      <c r="M16" s="58"/>
      <c r="N16" s="60"/>
    </row>
    <row r="17" spans="10:14" x14ac:dyDescent="0.25">
      <c r="J17" s="57" t="s">
        <v>231</v>
      </c>
      <c r="K17" s="58">
        <v>7.0440000000000003E-2</v>
      </c>
      <c r="L17" s="59">
        <v>0</v>
      </c>
      <c r="M17" s="58">
        <v>8.319E-2</v>
      </c>
      <c r="N17" s="60">
        <v>0</v>
      </c>
    </row>
    <row r="18" spans="10:14" x14ac:dyDescent="0.25">
      <c r="J18" s="57" t="s">
        <v>232</v>
      </c>
      <c r="K18" s="58">
        <v>6.9930000000000006E-2</v>
      </c>
      <c r="L18" s="59">
        <v>0</v>
      </c>
      <c r="M18" s="58">
        <v>8.2589999999999997E-2</v>
      </c>
      <c r="N18" s="60">
        <v>0</v>
      </c>
    </row>
    <row r="19" spans="10:14" x14ac:dyDescent="0.25">
      <c r="J19" s="57" t="s">
        <v>233</v>
      </c>
      <c r="K19" s="58">
        <v>0</v>
      </c>
      <c r="L19" s="59">
        <v>0</v>
      </c>
      <c r="M19" s="58">
        <v>0</v>
      </c>
      <c r="N19" s="60">
        <v>0</v>
      </c>
    </row>
    <row r="20" spans="10:14" x14ac:dyDescent="0.25">
      <c r="J20" s="54"/>
      <c r="K20" s="61"/>
      <c r="L20" s="61"/>
      <c r="M20" s="61"/>
      <c r="N20" s="62"/>
    </row>
    <row r="21" spans="10:14" x14ac:dyDescent="0.25">
      <c r="J21" s="54"/>
      <c r="K21" s="61" t="s">
        <v>234</v>
      </c>
      <c r="L21" s="61"/>
      <c r="M21" s="61" t="s">
        <v>235</v>
      </c>
      <c r="N21" s="62"/>
    </row>
    <row r="22" spans="10:14" x14ac:dyDescent="0.25">
      <c r="J22" s="54"/>
      <c r="K22" s="61" t="s">
        <v>236</v>
      </c>
      <c r="L22" s="61"/>
      <c r="M22" s="61" t="s">
        <v>236</v>
      </c>
      <c r="N22" s="62"/>
    </row>
    <row r="23" spans="10:14" x14ac:dyDescent="0.25">
      <c r="J23" s="54" t="s">
        <v>237</v>
      </c>
      <c r="K23" s="58">
        <v>0.85948999999999998</v>
      </c>
      <c r="L23" s="59"/>
      <c r="M23" s="58">
        <v>0.75166999999999995</v>
      </c>
      <c r="N23" s="60"/>
    </row>
    <row r="24" spans="10:14" x14ac:dyDescent="0.25">
      <c r="J24" s="54" t="s">
        <v>238</v>
      </c>
      <c r="K24" s="58">
        <v>0.61012999999999995</v>
      </c>
      <c r="L24" s="59"/>
      <c r="M24" s="58">
        <v>0.44962000000000002</v>
      </c>
      <c r="N24" s="60"/>
    </row>
    <row r="25" spans="10:14" x14ac:dyDescent="0.25">
      <c r="J25" s="54" t="s">
        <v>239</v>
      </c>
      <c r="K25" s="58">
        <v>0.66503000000000001</v>
      </c>
      <c r="L25" s="63"/>
      <c r="M25" s="58">
        <v>0.54805999999999999</v>
      </c>
      <c r="N25" s="60"/>
    </row>
    <row r="26" spans="10:14" x14ac:dyDescent="0.25">
      <c r="J26" s="54" t="s">
        <v>240</v>
      </c>
      <c r="K26" s="58">
        <v>0.52292000000000005</v>
      </c>
      <c r="L26" s="59"/>
      <c r="M26" s="58" t="s">
        <v>241</v>
      </c>
      <c r="N26" s="60"/>
    </row>
    <row r="27" spans="10:14" x14ac:dyDescent="0.25">
      <c r="J27" s="54" t="s">
        <v>242</v>
      </c>
      <c r="K27" s="58">
        <v>0.54845999999999995</v>
      </c>
      <c r="L27" s="63"/>
      <c r="M27" s="58" t="s">
        <v>241</v>
      </c>
      <c r="N27" s="60"/>
    </row>
    <row r="28" spans="10:14" x14ac:dyDescent="0.25">
      <c r="J28" s="54" t="s">
        <v>243</v>
      </c>
      <c r="K28" s="58">
        <v>0.47176000000000001</v>
      </c>
      <c r="L28" s="59"/>
      <c r="M28" s="58">
        <v>0.36786000000000002</v>
      </c>
      <c r="N28" s="60"/>
    </row>
    <row r="29" spans="10:14" x14ac:dyDescent="0.25">
      <c r="J29" s="54" t="s">
        <v>244</v>
      </c>
      <c r="K29" s="58">
        <v>0.54327000000000003</v>
      </c>
      <c r="L29" s="63"/>
      <c r="M29" s="58">
        <v>0.47008</v>
      </c>
      <c r="N29" s="56"/>
    </row>
    <row r="30" spans="10:14" x14ac:dyDescent="0.25">
      <c r="J30" s="54" t="s">
        <v>245</v>
      </c>
      <c r="K30" s="64">
        <v>5.7410000000000003E-2</v>
      </c>
      <c r="L30" s="63"/>
      <c r="M30" s="64">
        <v>0.12740000000000001</v>
      </c>
      <c r="N30" s="56"/>
    </row>
    <row r="31" spans="10:14" x14ac:dyDescent="0.25">
      <c r="J31" s="54" t="s">
        <v>246</v>
      </c>
      <c r="K31" s="64">
        <v>5.0250000000000003E-2</v>
      </c>
      <c r="L31" s="63"/>
      <c r="M31" s="64">
        <v>0</v>
      </c>
      <c r="N31" s="56"/>
    </row>
    <row r="32" spans="10:14" ht="15.75" thickBot="1" x14ac:dyDescent="0.3">
      <c r="J32" s="65" t="s">
        <v>247</v>
      </c>
      <c r="K32" s="66">
        <v>0</v>
      </c>
      <c r="L32" s="67"/>
      <c r="M32" s="66">
        <v>0</v>
      </c>
      <c r="N32" s="6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D248-53B1-4DFF-BBAE-DB028C485F56}">
  <sheetPr codeName="Sheet4"/>
  <dimension ref="A1:N31"/>
  <sheetViews>
    <sheetView zoomScale="98" zoomScaleNormal="98" workbookViewId="0"/>
  </sheetViews>
  <sheetFormatPr defaultRowHeight="15" x14ac:dyDescent="0.25"/>
  <cols>
    <col min="2" max="2" width="13.42578125" customWidth="1"/>
    <col min="3" max="8" width="19.42578125" customWidth="1"/>
    <col min="9" max="9" width="25.7109375" bestFit="1" customWidth="1"/>
    <col min="10" max="10" width="19.42578125" customWidth="1"/>
    <col min="11" max="11" width="16.85546875" customWidth="1"/>
    <col min="12" max="12" width="15.85546875" bestFit="1" customWidth="1"/>
    <col min="13" max="13" width="12.5703125" bestFit="1" customWidth="1"/>
    <col min="14" max="14" width="14.28515625" bestFit="1" customWidth="1"/>
    <col min="15" max="15" width="10" bestFit="1" customWidth="1"/>
    <col min="16" max="16" width="13.28515625" bestFit="1" customWidth="1"/>
    <col min="19" max="19" width="9.140625" customWidth="1"/>
  </cols>
  <sheetData>
    <row r="1" spans="1:14" ht="30" x14ac:dyDescent="0.25">
      <c r="A1" s="21"/>
      <c r="B1" s="21"/>
      <c r="C1" s="108" t="s">
        <v>290</v>
      </c>
      <c r="D1" s="108" t="s">
        <v>484</v>
      </c>
      <c r="E1" s="108" t="s">
        <v>297</v>
      </c>
      <c r="F1" s="108" t="s">
        <v>298</v>
      </c>
      <c r="G1" s="108" t="s">
        <v>299</v>
      </c>
      <c r="H1" s="108" t="s">
        <v>300</v>
      </c>
      <c r="I1" s="108" t="s">
        <v>301</v>
      </c>
      <c r="J1" s="76" t="s">
        <v>262</v>
      </c>
    </row>
    <row r="2" spans="1:14" x14ac:dyDescent="0.25">
      <c r="A2" s="76" t="s">
        <v>295</v>
      </c>
      <c r="B2" s="21"/>
      <c r="C2" s="97">
        <f>SUM(C4,C8)</f>
        <v>3286383.2</v>
      </c>
      <c r="D2" s="97">
        <v>3560377.14</v>
      </c>
      <c r="E2" s="97">
        <v>1788800</v>
      </c>
      <c r="F2" s="97">
        <v>1200000</v>
      </c>
      <c r="G2" s="97">
        <f>2995705+237500+376500+500000+132299</f>
        <v>4242004</v>
      </c>
      <c r="H2" s="97">
        <f>SUM(H4,H8)</f>
        <v>1857344</v>
      </c>
      <c r="I2" s="97">
        <f>405137+713750.4</f>
        <v>1118887.3999999999</v>
      </c>
      <c r="J2" s="86">
        <f>SUM(C2:I2)</f>
        <v>17053795.739999998</v>
      </c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4" x14ac:dyDescent="0.25">
      <c r="A4" s="101" t="s">
        <v>291</v>
      </c>
      <c r="B4" s="101"/>
      <c r="C4" s="102">
        <f>SUM(C5:C6)</f>
        <v>2090829</v>
      </c>
      <c r="D4" s="102">
        <f t="shared" ref="D4:I4" si="0">D2*0.7</f>
        <v>2492263.9980000001</v>
      </c>
      <c r="E4" s="102">
        <f t="shared" si="0"/>
        <v>1252160</v>
      </c>
      <c r="F4" s="102">
        <f t="shared" si="0"/>
        <v>840000</v>
      </c>
      <c r="G4" s="102">
        <f>G2*0.7+80000+(102877.9+34292.63)</f>
        <v>3186573.3299999996</v>
      </c>
      <c r="H4" s="102">
        <f>SUM(H5:H6)</f>
        <v>1532344</v>
      </c>
      <c r="I4" s="102">
        <f t="shared" si="0"/>
        <v>783221.17999999993</v>
      </c>
      <c r="J4" s="102">
        <f>SUM(C4:I4)</f>
        <v>12177391.507999999</v>
      </c>
    </row>
    <row r="5" spans="1:14" x14ac:dyDescent="0.25">
      <c r="A5" s="21"/>
      <c r="B5" s="21" t="s">
        <v>292</v>
      </c>
      <c r="C5" s="97">
        <v>1539138</v>
      </c>
      <c r="D5" s="97">
        <f t="shared" ref="D5:I5" si="1">D4*0.9</f>
        <v>2243037.5982000004</v>
      </c>
      <c r="E5" s="97">
        <f t="shared" si="1"/>
        <v>1126944</v>
      </c>
      <c r="F5" s="97">
        <f t="shared" si="1"/>
        <v>756000</v>
      </c>
      <c r="G5" s="97">
        <f t="shared" si="1"/>
        <v>2867915.9969999995</v>
      </c>
      <c r="H5" s="97">
        <f>J23</f>
        <v>1122266.5</v>
      </c>
      <c r="I5" s="97">
        <f t="shared" si="1"/>
        <v>704899.06199999992</v>
      </c>
      <c r="J5" s="86">
        <f>SUM(C5:I5)</f>
        <v>10360201.157200001</v>
      </c>
      <c r="K5" s="135"/>
      <c r="L5" s="15">
        <f>WA_Elec_NIUC-E5-G14</f>
        <v>6989220.0952000013</v>
      </c>
      <c r="M5" t="s">
        <v>462</v>
      </c>
    </row>
    <row r="6" spans="1:14" x14ac:dyDescent="0.25">
      <c r="A6" s="21"/>
      <c r="B6" s="105" t="s">
        <v>293</v>
      </c>
      <c r="C6" s="106">
        <v>551691</v>
      </c>
      <c r="D6" s="106">
        <f t="shared" ref="D6:I6" si="2">D4*0.1</f>
        <v>249226.39980000001</v>
      </c>
      <c r="E6" s="106">
        <f t="shared" si="2"/>
        <v>125216</v>
      </c>
      <c r="F6" s="106">
        <f t="shared" si="2"/>
        <v>84000</v>
      </c>
      <c r="G6" s="106">
        <f t="shared" si="2"/>
        <v>318657.33299999998</v>
      </c>
      <c r="H6" s="106">
        <f>K23</f>
        <v>410077.5</v>
      </c>
      <c r="I6" s="106">
        <f t="shared" si="2"/>
        <v>78322.118000000002</v>
      </c>
      <c r="J6" s="107">
        <f>SUM(C6:I6)</f>
        <v>1817190.3507999999</v>
      </c>
      <c r="K6" s="135"/>
      <c r="L6" s="15"/>
    </row>
    <row r="7" spans="1:14" x14ac:dyDescent="0.25">
      <c r="A7" s="21"/>
      <c r="B7" s="21"/>
      <c r="C7" s="25"/>
      <c r="D7" s="25"/>
      <c r="E7" s="25"/>
      <c r="F7" s="25"/>
      <c r="G7" s="25"/>
      <c r="H7" s="25"/>
      <c r="I7" s="25"/>
      <c r="J7" s="25"/>
      <c r="K7" s="15"/>
      <c r="L7" s="15">
        <f>L5+G14</f>
        <v>9233257.1572000012</v>
      </c>
      <c r="M7" t="s">
        <v>463</v>
      </c>
    </row>
    <row r="8" spans="1:14" x14ac:dyDescent="0.25">
      <c r="A8" s="84" t="s">
        <v>294</v>
      </c>
      <c r="B8" s="84"/>
      <c r="C8" s="103">
        <f>SUM(C9:C10)</f>
        <v>1195554.2</v>
      </c>
      <c r="D8" s="103">
        <f t="shared" ref="D8:I8" si="3">D2*0.3</f>
        <v>1068113.142</v>
      </c>
      <c r="E8" s="103">
        <f t="shared" si="3"/>
        <v>536640</v>
      </c>
      <c r="F8" s="103">
        <f t="shared" si="3"/>
        <v>360000</v>
      </c>
      <c r="G8" s="103">
        <f t="shared" si="3"/>
        <v>1272601.2</v>
      </c>
      <c r="H8" s="103">
        <f>SUM(H9:H10)</f>
        <v>325000</v>
      </c>
      <c r="I8" s="103">
        <f t="shared" si="3"/>
        <v>335666.22</v>
      </c>
      <c r="J8" s="104">
        <f>SUM(C8:I8)</f>
        <v>5093574.7620000001</v>
      </c>
      <c r="K8" s="135"/>
      <c r="L8" s="15"/>
    </row>
    <row r="9" spans="1:14" x14ac:dyDescent="0.25">
      <c r="A9" s="21"/>
      <c r="B9" s="21" t="s">
        <v>292</v>
      </c>
      <c r="C9" s="97">
        <f>C19</f>
        <v>925544.6</v>
      </c>
      <c r="D9" s="97">
        <f t="shared" ref="D9:I9" si="4">D8*0.9</f>
        <v>961301.82779999997</v>
      </c>
      <c r="E9" s="97">
        <f t="shared" si="4"/>
        <v>482976</v>
      </c>
      <c r="F9" s="97">
        <f t="shared" si="4"/>
        <v>324000</v>
      </c>
      <c r="G9" s="97">
        <f t="shared" si="4"/>
        <v>1145341.08</v>
      </c>
      <c r="H9" s="97">
        <f>L23</f>
        <v>300000</v>
      </c>
      <c r="I9" s="97">
        <f t="shared" si="4"/>
        <v>302099.598</v>
      </c>
      <c r="J9" s="86">
        <f>SUM(C9:I9)</f>
        <v>4441263.1058</v>
      </c>
      <c r="K9" s="135"/>
      <c r="L9" s="15"/>
    </row>
    <row r="10" spans="1:14" x14ac:dyDescent="0.25">
      <c r="A10" s="21"/>
      <c r="B10" s="105" t="s">
        <v>293</v>
      </c>
      <c r="C10" s="106">
        <f>C18</f>
        <v>270009.59999999998</v>
      </c>
      <c r="D10" s="106">
        <f t="shared" ref="D10:I10" si="5">D8*0.1</f>
        <v>106811.31420000001</v>
      </c>
      <c r="E10" s="106">
        <f t="shared" si="5"/>
        <v>53664</v>
      </c>
      <c r="F10" s="106">
        <f t="shared" si="5"/>
        <v>36000</v>
      </c>
      <c r="G10" s="106">
        <f t="shared" si="5"/>
        <v>127260.12</v>
      </c>
      <c r="H10" s="106">
        <f>M23</f>
        <v>25000</v>
      </c>
      <c r="I10" s="106">
        <f t="shared" si="5"/>
        <v>33566.621999999996</v>
      </c>
      <c r="J10" s="107">
        <f>SUM(C10:I10)</f>
        <v>652311.65619999997</v>
      </c>
      <c r="K10" s="15"/>
      <c r="L10" s="15">
        <f>GETPIVOTDATA("Total Program Budget",'Annual Program Summary'!$A$2)-NIUC!G14</f>
        <v>24389801.888701521</v>
      </c>
      <c r="M10" t="s">
        <v>464</v>
      </c>
    </row>
    <row r="11" spans="1:14" x14ac:dyDescent="0.25">
      <c r="C11" s="3"/>
      <c r="D11" s="3"/>
      <c r="E11" s="3"/>
      <c r="F11" s="3"/>
      <c r="G11" s="3"/>
      <c r="H11" s="3"/>
      <c r="I11" s="3"/>
      <c r="J11" s="3"/>
    </row>
    <row r="12" spans="1:14" x14ac:dyDescent="0.25">
      <c r="C12" s="135"/>
    </row>
    <row r="13" spans="1:14" x14ac:dyDescent="0.25">
      <c r="D13" s="135">
        <f>D5+E5+F5</f>
        <v>4125981.5982000004</v>
      </c>
    </row>
    <row r="14" spans="1:14" x14ac:dyDescent="0.25">
      <c r="F14" t="s">
        <v>430</v>
      </c>
      <c r="G14" s="135">
        <f>I5+C5</f>
        <v>2244037.0619999999</v>
      </c>
    </row>
    <row r="16" spans="1:14" x14ac:dyDescent="0.25">
      <c r="C16" t="s">
        <v>412</v>
      </c>
      <c r="D16" s="44"/>
      <c r="G16" s="135">
        <f>WA_Elec_NIUC-I5-H5-E5-D5</f>
        <v>5163053.9970000014</v>
      </c>
      <c r="I16" s="76" t="s">
        <v>300</v>
      </c>
      <c r="J16" s="76" t="s">
        <v>438</v>
      </c>
      <c r="K16" s="76" t="s">
        <v>439</v>
      </c>
      <c r="L16" s="76" t="s">
        <v>440</v>
      </c>
      <c r="M16" s="76" t="s">
        <v>441</v>
      </c>
      <c r="N16" s="150" t="s">
        <v>262</v>
      </c>
    </row>
    <row r="17" spans="3:14" x14ac:dyDescent="0.25">
      <c r="C17">
        <f>2758453/5</f>
        <v>551690.6</v>
      </c>
      <c r="D17" t="s">
        <v>408</v>
      </c>
      <c r="I17" s="146" t="s">
        <v>432</v>
      </c>
      <c r="J17" s="25">
        <f>$N17*0.5</f>
        <v>65437.5</v>
      </c>
      <c r="K17" s="25">
        <f>$N17*0.5</f>
        <v>65437.5</v>
      </c>
      <c r="L17" s="25">
        <v>0</v>
      </c>
      <c r="M17" s="25">
        <v>0</v>
      </c>
      <c r="N17" s="151">
        <v>130875</v>
      </c>
    </row>
    <row r="18" spans="3:14" x14ac:dyDescent="0.25">
      <c r="C18">
        <f>1350048/5</f>
        <v>270009.59999999998</v>
      </c>
      <c r="D18" t="s">
        <v>409</v>
      </c>
      <c r="I18" s="146" t="s">
        <v>433</v>
      </c>
      <c r="J18" s="25">
        <v>456829</v>
      </c>
      <c r="K18" s="25">
        <v>219640</v>
      </c>
      <c r="L18" s="25">
        <v>0</v>
      </c>
      <c r="M18" s="25">
        <v>0</v>
      </c>
      <c r="N18" s="151">
        <f>SUM(J18:M18)</f>
        <v>676469</v>
      </c>
    </row>
    <row r="19" spans="3:14" x14ac:dyDescent="0.25">
      <c r="C19">
        <f>4627723/5</f>
        <v>925544.6</v>
      </c>
      <c r="D19" t="s">
        <v>410</v>
      </c>
      <c r="I19" s="146" t="s">
        <v>150</v>
      </c>
      <c r="J19" s="25">
        <v>100000</v>
      </c>
      <c r="K19" s="25">
        <v>100000</v>
      </c>
      <c r="L19" s="25">
        <v>0</v>
      </c>
      <c r="M19" s="25">
        <v>0</v>
      </c>
      <c r="N19" s="151">
        <f>SUM(J19:M19)</f>
        <v>200000</v>
      </c>
    </row>
    <row r="20" spans="3:14" x14ac:dyDescent="0.25">
      <c r="G20" s="135">
        <f>G16+G14</f>
        <v>7407091.0590000013</v>
      </c>
      <c r="I20" s="146" t="s">
        <v>434</v>
      </c>
      <c r="J20" s="25">
        <f>$N20*0.9*0.5</f>
        <v>225000</v>
      </c>
      <c r="K20" s="25">
        <f>$N20*0.1*0.5</f>
        <v>25000</v>
      </c>
      <c r="L20" s="25">
        <f>$N20*0.9*0.5</f>
        <v>225000</v>
      </c>
      <c r="M20" s="25">
        <f>$N20*0.1*0.5</f>
        <v>25000</v>
      </c>
      <c r="N20" s="151">
        <v>500000</v>
      </c>
    </row>
    <row r="21" spans="3:14" x14ac:dyDescent="0.25">
      <c r="E21" s="3"/>
      <c r="G21" t="s">
        <v>431</v>
      </c>
      <c r="I21" s="146" t="s">
        <v>435</v>
      </c>
      <c r="J21" s="25">
        <v>75000</v>
      </c>
      <c r="K21" s="25">
        <v>0</v>
      </c>
      <c r="L21" s="25">
        <v>75000</v>
      </c>
      <c r="M21" s="25">
        <v>0</v>
      </c>
      <c r="N21" s="151">
        <f>SUM(J21:M21)</f>
        <v>150000</v>
      </c>
    </row>
    <row r="22" spans="3:14" x14ac:dyDescent="0.25">
      <c r="E22" s="3"/>
      <c r="I22" s="146" t="s">
        <v>436</v>
      </c>
      <c r="J22" s="25">
        <v>200000</v>
      </c>
      <c r="K22" s="25">
        <v>0</v>
      </c>
      <c r="L22" s="25">
        <v>0</v>
      </c>
      <c r="M22" s="25">
        <v>0</v>
      </c>
      <c r="N22" s="151">
        <v>200000</v>
      </c>
    </row>
    <row r="23" spans="3:14" x14ac:dyDescent="0.25">
      <c r="E23" s="3"/>
      <c r="I23" s="147" t="s">
        <v>262</v>
      </c>
      <c r="J23" s="87">
        <f>SUM(J17:J22)</f>
        <v>1122266.5</v>
      </c>
      <c r="K23" s="87">
        <f>SUM(K17:K22)</f>
        <v>410077.5</v>
      </c>
      <c r="L23" s="87">
        <f>SUM(L17:L22)</f>
        <v>300000</v>
      </c>
      <c r="M23" s="87">
        <f>SUM(M17:M22)</f>
        <v>25000</v>
      </c>
      <c r="N23" s="87">
        <f>SUM(N17:N22)</f>
        <v>1857344</v>
      </c>
    </row>
    <row r="24" spans="3:14" x14ac:dyDescent="0.25">
      <c r="I24" s="148" t="s">
        <v>437</v>
      </c>
      <c r="J24" s="149">
        <f>J23/GETPIVOTDATA("Total Program Budget",'Annual Program Summary'!$A$14)</f>
        <v>4.213686588994113E-2</v>
      </c>
      <c r="K24" s="149"/>
      <c r="L24" s="149"/>
      <c r="M24" s="149"/>
    </row>
    <row r="26" spans="3:14" x14ac:dyDescent="0.25">
      <c r="F26" t="s">
        <v>466</v>
      </c>
      <c r="G26" s="135">
        <f>WA_Elec_NIUC-G14</f>
        <v>8116164.0952000013</v>
      </c>
    </row>
    <row r="29" spans="3:14" x14ac:dyDescent="0.25">
      <c r="D29" s="15">
        <f>D13-GETPIVOTDATA("Program NIUC",'Low-Income Summary'!$A$3,"Sub-Sector","Low Income")</f>
        <v>2878141.4452424459</v>
      </c>
    </row>
    <row r="30" spans="3:14" x14ac:dyDescent="0.25">
      <c r="G30" s="15"/>
    </row>
    <row r="31" spans="3:14" x14ac:dyDescent="0.25">
      <c r="C31" s="1"/>
      <c r="D31" s="39"/>
    </row>
  </sheetData>
  <conditionalFormatting sqref="J24:M24">
    <cfRule type="cellIs" dxfId="71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B1-E9B3-44F9-A565-5F950C51BDB4}">
  <sheetPr codeName="Sheet5"/>
  <dimension ref="A1:AT47"/>
  <sheetViews>
    <sheetView workbookViewId="0">
      <pane xSplit="1" ySplit="1" topLeftCell="B2" activePane="bottomRight" state="frozenSplit"/>
      <selection pane="topRight" activeCell="O1" sqref="O1"/>
      <selection pane="bottomLeft" activeCell="A19" sqref="A19"/>
      <selection pane="bottomRight" activeCell="I9" sqref="I9"/>
    </sheetView>
  </sheetViews>
  <sheetFormatPr defaultRowHeight="15" x14ac:dyDescent="0.25"/>
  <cols>
    <col min="1" max="1" width="12.42578125" bestFit="1" customWidth="1"/>
    <col min="3" max="3" width="9.28515625" bestFit="1" customWidth="1"/>
    <col min="4" max="4" width="15.85546875" bestFit="1" customWidth="1"/>
    <col min="5" max="5" width="9.42578125" bestFit="1" customWidth="1"/>
    <col min="6" max="6" width="8.42578125" bestFit="1" customWidth="1"/>
    <col min="7" max="7" width="9" bestFit="1" customWidth="1"/>
    <col min="8" max="8" width="13.140625" bestFit="1" customWidth="1"/>
    <col min="9" max="9" width="9" bestFit="1" customWidth="1"/>
    <col min="10" max="10" width="18" bestFit="1" customWidth="1"/>
    <col min="11" max="11" width="10.140625" bestFit="1" customWidth="1"/>
    <col min="12" max="12" width="19" bestFit="1" customWidth="1"/>
    <col min="13" max="13" width="10.140625" bestFit="1" customWidth="1"/>
    <col min="14" max="14" width="16.42578125" bestFit="1" customWidth="1"/>
    <col min="15" max="15" width="10.140625" bestFit="1" customWidth="1"/>
    <col min="16" max="16" width="18.28515625" bestFit="1" customWidth="1"/>
    <col min="17" max="17" width="8.7109375" bestFit="1" customWidth="1"/>
    <col min="18" max="18" width="10" bestFit="1" customWidth="1"/>
    <col min="19" max="19" width="9" bestFit="1" customWidth="1"/>
    <col min="20" max="20" width="16.7109375" bestFit="1" customWidth="1"/>
    <col min="21" max="21" width="9.7109375" bestFit="1" customWidth="1"/>
    <col min="22" max="22" width="24.140625" bestFit="1" customWidth="1"/>
    <col min="23" max="23" width="9" bestFit="1" customWidth="1"/>
    <col min="24" max="24" width="17" bestFit="1" customWidth="1"/>
    <col min="25" max="25" width="9.42578125" bestFit="1" customWidth="1"/>
    <col min="26" max="26" width="22.42578125" bestFit="1" customWidth="1"/>
    <col min="28" max="28" width="24.5703125" bestFit="1" customWidth="1"/>
    <col min="29" max="29" width="9.5703125" bestFit="1" customWidth="1"/>
    <col min="30" max="30" width="22.5703125" bestFit="1" customWidth="1"/>
    <col min="31" max="31" width="10.42578125" bestFit="1" customWidth="1"/>
    <col min="32" max="32" width="22.85546875" bestFit="1" customWidth="1"/>
    <col min="33" max="33" width="8.7109375" bestFit="1" customWidth="1"/>
    <col min="34" max="34" width="24.28515625" bestFit="1" customWidth="1"/>
    <col min="35" max="35" width="9" bestFit="1" customWidth="1"/>
    <col min="36" max="36" width="13.85546875" bestFit="1" customWidth="1"/>
    <col min="37" max="37" width="12.7109375" bestFit="1" customWidth="1"/>
    <col min="38" max="38" width="16.140625" bestFit="1" customWidth="1"/>
    <col min="39" max="39" width="9.7109375" bestFit="1" customWidth="1"/>
    <col min="40" max="40" width="25.85546875" bestFit="1" customWidth="1"/>
    <col min="41" max="41" width="10.28515625" bestFit="1" customWidth="1"/>
    <col min="42" max="42" width="16.5703125" bestFit="1" customWidth="1"/>
    <col min="43" max="43" width="10.28515625" bestFit="1" customWidth="1"/>
    <col min="44" max="44" width="21.85546875" bestFit="1" customWidth="1"/>
    <col min="45" max="45" width="9" bestFit="1" customWidth="1"/>
    <col min="46" max="46" width="20" bestFit="1" customWidth="1"/>
  </cols>
  <sheetData>
    <row r="1" spans="1:46" x14ac:dyDescent="0.25">
      <c r="A1" t="s">
        <v>5</v>
      </c>
      <c r="B1" t="s">
        <v>157</v>
      </c>
      <c r="C1" s="3" t="s">
        <v>158</v>
      </c>
      <c r="D1" s="4" t="s">
        <v>12</v>
      </c>
      <c r="E1" s="3" t="s">
        <v>159</v>
      </c>
      <c r="F1" s="4" t="s">
        <v>160</v>
      </c>
      <c r="G1" s="3" t="s">
        <v>161</v>
      </c>
      <c r="H1" s="4" t="s">
        <v>68</v>
      </c>
      <c r="I1" s="3" t="s">
        <v>162</v>
      </c>
      <c r="J1" s="4" t="s">
        <v>16</v>
      </c>
      <c r="K1" s="3" t="s">
        <v>163</v>
      </c>
      <c r="L1" s="4" t="s">
        <v>63</v>
      </c>
      <c r="M1" s="3" t="s">
        <v>164</v>
      </c>
      <c r="N1" s="4" t="s">
        <v>165</v>
      </c>
      <c r="O1" s="3" t="s">
        <v>166</v>
      </c>
      <c r="P1" s="4" t="s">
        <v>18</v>
      </c>
      <c r="Q1" s="3" t="s">
        <v>167</v>
      </c>
      <c r="R1" s="4" t="s">
        <v>66</v>
      </c>
      <c r="S1" s="3" t="s">
        <v>168</v>
      </c>
      <c r="T1" s="4" t="s">
        <v>169</v>
      </c>
      <c r="U1" s="3" t="s">
        <v>170</v>
      </c>
      <c r="V1" s="5" t="s">
        <v>131</v>
      </c>
      <c r="W1" s="3" t="s">
        <v>171</v>
      </c>
      <c r="X1" s="5" t="s">
        <v>172</v>
      </c>
      <c r="Y1" s="3" t="s">
        <v>173</v>
      </c>
      <c r="Z1" s="5" t="s">
        <v>174</v>
      </c>
      <c r="AA1" s="3" t="s">
        <v>175</v>
      </c>
      <c r="AB1" s="5" t="s">
        <v>82</v>
      </c>
      <c r="AC1" s="3" t="s">
        <v>176</v>
      </c>
      <c r="AD1" s="5" t="s">
        <v>89</v>
      </c>
      <c r="AE1" s="3" t="s">
        <v>177</v>
      </c>
      <c r="AF1" s="5" t="s">
        <v>48</v>
      </c>
      <c r="AG1" s="3" t="s">
        <v>178</v>
      </c>
      <c r="AH1" s="5" t="s">
        <v>80</v>
      </c>
      <c r="AI1" s="3" t="s">
        <v>179</v>
      </c>
      <c r="AJ1" s="5" t="s">
        <v>143</v>
      </c>
      <c r="AK1" s="3" t="s">
        <v>180</v>
      </c>
      <c r="AL1" s="5" t="s">
        <v>95</v>
      </c>
      <c r="AM1" s="3" t="s">
        <v>181</v>
      </c>
      <c r="AN1" s="5" t="s">
        <v>182</v>
      </c>
      <c r="AO1" s="3" t="s">
        <v>183</v>
      </c>
      <c r="AP1" s="5" t="s">
        <v>184</v>
      </c>
      <c r="AQ1" s="3" t="s">
        <v>185</v>
      </c>
      <c r="AR1" s="5" t="s">
        <v>186</v>
      </c>
      <c r="AS1" s="3" t="s">
        <v>187</v>
      </c>
      <c r="AT1" s="5" t="s">
        <v>133</v>
      </c>
    </row>
    <row r="2" spans="1:46" x14ac:dyDescent="0.25">
      <c r="A2">
        <v>0</v>
      </c>
      <c r="B2">
        <v>2026</v>
      </c>
      <c r="C2" s="3">
        <v>92.854806700633773</v>
      </c>
      <c r="D2" s="4">
        <f>(C2/1000)/(1+Electric_Discount_Rate)^($A2-0.5)</f>
        <v>9.4816534282542497E-2</v>
      </c>
      <c r="E2" s="3">
        <v>56.77839415724192</v>
      </c>
      <c r="F2" s="4">
        <f>(E2/1000)/(1+Electric_Discount_Rate)^($A2-0.5)</f>
        <v>5.7977941556374958E-2</v>
      </c>
      <c r="G2" s="3">
        <v>82.421912734448583</v>
      </c>
      <c r="H2" s="4">
        <f>(G2/1000)/(1+Electric_Discount_Rate)^($A2-0.5)</f>
        <v>8.4163226354174614E-2</v>
      </c>
      <c r="I2" s="3">
        <v>64.489740697991536</v>
      </c>
      <c r="J2" s="4">
        <f>(I2/1000)/(1+Electric_Discount_Rate)^($A2-0.5)</f>
        <v>6.5852204393438848E-2</v>
      </c>
      <c r="K2" s="3">
        <v>73.496946556189442</v>
      </c>
      <c r="L2" s="4">
        <f>(K2/1000)/(1+Electric_Discount_Rate)^($A2-0.5)</f>
        <v>7.5049703945585466E-2</v>
      </c>
      <c r="M2" s="3">
        <v>72.509714265366426</v>
      </c>
      <c r="N2" s="4">
        <f>(M2/1000)/(1+Electric_Discount_Rate)^($A2-0.5)</f>
        <v>7.4041614567407751E-2</v>
      </c>
      <c r="O2" s="3">
        <v>72.161273951602666</v>
      </c>
      <c r="P2" s="4">
        <f>(O2/1000)/(1+Electric_Discount_Rate)^($A2-0.5)</f>
        <v>7.3685812814872562E-2</v>
      </c>
      <c r="Q2" s="3">
        <v>67.062968730146437</v>
      </c>
      <c r="R2" s="4">
        <f>(Q2/1000)/(1+Electric_Discount_Rate)^($A2-0.5)</f>
        <v>6.8479796573068574E-2</v>
      </c>
      <c r="S2" s="3">
        <v>92.854806700633773</v>
      </c>
      <c r="T2" s="4">
        <f>(S2/1000)/(1+Electric_Discount_Rate)^($A2-0.5)</f>
        <v>9.4816534282542497E-2</v>
      </c>
      <c r="U2" s="3">
        <v>67.87412451186168</v>
      </c>
      <c r="V2" s="5">
        <f>(U2/1000)/(1+Electric_Discount_Rate)^($A2-0.5)</f>
        <v>6.9308089503917578E-2</v>
      </c>
      <c r="W2" s="3">
        <v>62.278013382295889</v>
      </c>
      <c r="X2" s="5">
        <f>(W2/1000)/(1+Electric_Discount_Rate)^($A2-0.5)</f>
        <v>6.3593750293928455E-2</v>
      </c>
      <c r="Y2" s="3">
        <v>41.26536358946192</v>
      </c>
      <c r="Z2" s="5">
        <f>(Y2/1000)/(1+Electric_Discount_Rate)^($A2-0.5)</f>
        <v>4.2137169851381447E-2</v>
      </c>
      <c r="AA2" s="3">
        <v>73.492104151608586</v>
      </c>
      <c r="AB2" s="5">
        <f>(AA2/1000)/(1+Electric_Discount_Rate)^($A2-0.5)</f>
        <v>7.5044759236353217E-2</v>
      </c>
      <c r="AC2" s="3">
        <v>94.800578473720435</v>
      </c>
      <c r="AD2" s="5">
        <f>(AC2/1000)/(1+Electric_Discount_Rate)^($A2-0.5)</f>
        <v>9.6803414042291272E-2</v>
      </c>
      <c r="AE2" s="3">
        <v>70.326086727852797</v>
      </c>
      <c r="AF2" s="5">
        <f>(AE2/1000)/(1+Electric_Discount_Rate)^($A2-0.5)</f>
        <v>7.181185390527553E-2</v>
      </c>
      <c r="AG2" s="3">
        <v>67.950466036379098</v>
      </c>
      <c r="AH2" s="5">
        <f>(AG2/1000)/(1+Electric_Discount_Rate)^($A2-0.5)</f>
        <v>6.9386043882735296E-2</v>
      </c>
      <c r="AI2" s="3">
        <v>67.16446888569719</v>
      </c>
      <c r="AJ2" s="5">
        <f>(AI2/1000)/(1+Electric_Discount_Rate)^($A2-0.5)</f>
        <v>6.8583441105004209E-2</v>
      </c>
      <c r="AK2" s="3">
        <v>65.167072591548262</v>
      </c>
      <c r="AL2" s="5">
        <f>(AK2/1000)/(1+Electric_Discount_Rate)^($A2-0.5)</f>
        <v>6.6543846161787309E-2</v>
      </c>
      <c r="AM2" s="6">
        <v>67.721806192554013</v>
      </c>
      <c r="AN2" s="5">
        <f>(AM2/1000)/(1+Electric_Discount_Rate)^($A2-0.5)</f>
        <v>6.9152553181591719E-2</v>
      </c>
      <c r="AO2" s="3">
        <v>77.592787644709787</v>
      </c>
      <c r="AP2" s="5">
        <f>(AO2/1000)/(1+Electric_Discount_Rate)^($A2-0.5)</f>
        <v>7.9232077166581941E-2</v>
      </c>
      <c r="AQ2" s="3">
        <v>62.398293534447049</v>
      </c>
      <c r="AR2" s="5">
        <f>(AQ2/1000)/(1+Electric_Discount_Rate)^($A2-0.5)</f>
        <v>6.3716571584232981E-2</v>
      </c>
      <c r="AS2" s="3">
        <v>65.443893575047497</v>
      </c>
      <c r="AT2" s="5">
        <f>(AS2/1000)/(1+Electric_Discount_Rate)^($A2-0.5)</f>
        <v>6.6826515494746067E-2</v>
      </c>
    </row>
    <row r="3" spans="1:46" x14ac:dyDescent="0.25">
      <c r="A3">
        <v>1</v>
      </c>
      <c r="B3">
        <f>B2+1</f>
        <v>2027</v>
      </c>
      <c r="C3" s="3">
        <v>90.466472255936893</v>
      </c>
      <c r="D3" s="4">
        <f t="shared" ref="D3:D47" si="0">(C3/1000)/(1+Electric_Discount_Rate)^($A3-0.5)+D2</f>
        <v>0.18341128052354605</v>
      </c>
      <c r="E3" s="3">
        <v>48.044569808398819</v>
      </c>
      <c r="F3" s="4">
        <f t="shared" ref="F3:F47" si="1">(E3/1000)/(1+Electric_Discount_Rate)^($A3-0.5)+F2</f>
        <v>0.10502848264955814</v>
      </c>
      <c r="G3" s="3">
        <v>79.252931229399977</v>
      </c>
      <c r="H3" s="4">
        <f t="shared" ref="H3:H47" si="2">(G3/1000)/(1+Electric_Discount_Rate)^($A3-0.5)+H2</f>
        <v>0.16177643659697388</v>
      </c>
      <c r="I3" s="3">
        <v>60.537498941510798</v>
      </c>
      <c r="J3" s="4">
        <f t="shared" ref="J3:J47" si="3">(I3/1000)/(1+Electric_Discount_Rate)^($A3-0.5)+J2</f>
        <v>0.12513719940921611</v>
      </c>
      <c r="K3" s="3">
        <v>69.394793720981156</v>
      </c>
      <c r="L3" s="4">
        <f t="shared" ref="L3:L47" si="4">(K3/1000)/(1+Electric_Discount_Rate)^($A3-0.5)+L2</f>
        <v>0.14300873878850373</v>
      </c>
      <c r="M3" s="3">
        <v>67.041977945112919</v>
      </c>
      <c r="N3" s="4">
        <f t="shared" ref="N3:N47" si="5">(M3/1000)/(1+Electric_Discount_Rate)^($A3-0.5)+N2</f>
        <v>0.13969651273497116</v>
      </c>
      <c r="O3" s="3">
        <v>67.384961152255627</v>
      </c>
      <c r="P3" s="4">
        <f t="shared" ref="P3:P47" si="6">(O3/1000)/(1+Electric_Discount_Rate)^($A3-0.5)+P2</f>
        <v>0.13967659796292714</v>
      </c>
      <c r="Q3" s="3">
        <v>63.168829760821119</v>
      </c>
      <c r="R3" s="4">
        <f t="shared" ref="R3:R47" si="7">(Q3/1000)/(1+Electric_Discount_Rate)^($A3-0.5)+R2</f>
        <v>0.13034168090927176</v>
      </c>
      <c r="S3" s="3">
        <v>90.466472255936893</v>
      </c>
      <c r="T3" s="4">
        <f t="shared" ref="T3:T47" si="8">(S3/1000)/(1+Electric_Discount_Rate)^($A3-0.5)+T2</f>
        <v>0.18341128052354605</v>
      </c>
      <c r="U3" s="3">
        <v>63.07796194077568</v>
      </c>
      <c r="V3" s="5">
        <f t="shared" ref="V3:V47" si="9">(U3/1000)/(1+Electric_Discount_Rate)^($A3-0.5)+V2</f>
        <v>0.13108098604986379</v>
      </c>
      <c r="W3" s="3">
        <v>56.179869400731064</v>
      </c>
      <c r="X3" s="5">
        <f t="shared" ref="X3:X47" si="10">(W3/1000)/(1+Electric_Discount_Rate)^($A3-0.5)+X2</f>
        <v>0.11861127390565365</v>
      </c>
      <c r="Y3" s="3">
        <v>33.454769073861577</v>
      </c>
      <c r="Z3" s="5">
        <f t="shared" ref="Z3:Z47" si="11">(Y3/1000)/(1+Electric_Discount_Rate)^($A3-0.5)+Z2</f>
        <v>7.4899769107656E-2</v>
      </c>
      <c r="AA3" s="3">
        <v>71.97614619332623</v>
      </c>
      <c r="AB3" s="5">
        <f t="shared" ref="AB3:AB47" si="12">(AA3/1000)/(1+Electric_Discount_Rate)^($A3-0.5)+AB2</f>
        <v>0.14553173909075601</v>
      </c>
      <c r="AC3" s="3">
        <v>92.093636378988677</v>
      </c>
      <c r="AD3" s="5">
        <f t="shared" ref="AD3:AD47" si="13">(AC3/1000)/(1+Electric_Discount_Rate)^($A3-0.5)+AD2</f>
        <v>0.18699165883562485</v>
      </c>
      <c r="AE3" s="3">
        <v>66.253204220233812</v>
      </c>
      <c r="AF3" s="5">
        <f t="shared" ref="AF3:AF47" si="14">(AE3/1000)/(1+Electric_Discount_Rate)^($A3-0.5)+AF2</f>
        <v>0.13669429785577236</v>
      </c>
      <c r="AG3" s="3">
        <v>63.445538448008769</v>
      </c>
      <c r="AH3" s="5">
        <f t="shared" ref="AH3:AH47" si="15">(AG3/1000)/(1+Electric_Discount_Rate)^($A3-0.5)+AH2</f>
        <v>0.1315189118807609</v>
      </c>
      <c r="AI3" s="3">
        <v>62.356956097014475</v>
      </c>
      <c r="AJ3" s="5">
        <f t="shared" ref="AJ3:AJ47" si="16">(AI3/1000)/(1+Electric_Discount_Rate)^($A3-0.5)+AJ2</f>
        <v>0.12965024921649052</v>
      </c>
      <c r="AK3" s="3">
        <v>60.327613487315304</v>
      </c>
      <c r="AL3" s="5">
        <f t="shared" ref="AL3:AL47" si="17">(AK3/1000)/(1+Electric_Discount_Rate)^($A3-0.5)+AL2</f>
        <v>0.12562329819472867</v>
      </c>
      <c r="AM3" s="6">
        <v>62.969265743639497</v>
      </c>
      <c r="AN3" s="5">
        <f t="shared" ref="AN3:AN47" si="18">(AM3/1000)/(1+Electric_Discount_Rate)^($A3-0.5)+AN2</f>
        <v>0.13081900242432709</v>
      </c>
      <c r="AO3" s="3">
        <v>71.561852485100474</v>
      </c>
      <c r="AP3" s="5">
        <f t="shared" ref="AP3:AP47" si="19">(AO3/1000)/(1+Electric_Discount_Rate)^($A3-0.5)+AP2</f>
        <v>0.14931333493373822</v>
      </c>
      <c r="AQ3" s="3">
        <v>58.490771700809667</v>
      </c>
      <c r="AR3" s="5">
        <f t="shared" ref="AR3:AR47" si="20">(AQ3/1000)/(1+Electric_Discount_Rate)^($A3-0.5)+AR2</f>
        <v>0.12099718557361772</v>
      </c>
      <c r="AS3" s="3">
        <v>60.927700103995896</v>
      </c>
      <c r="AT3" s="5">
        <f t="shared" ref="AT3:AT47" si="21">(AS3/1000)/(1+Electric_Discount_Rate)^($A3-0.5)+AT2</f>
        <v>0.12649363852006384</v>
      </c>
    </row>
    <row r="4" spans="1:46" x14ac:dyDescent="0.25">
      <c r="A4">
        <v>2</v>
      </c>
      <c r="B4">
        <f t="shared" ref="B4:B15" si="22">B3+1</f>
        <v>2028</v>
      </c>
      <c r="C4" s="3">
        <v>87.535699217953763</v>
      </c>
      <c r="D4" s="4">
        <f t="shared" si="0"/>
        <v>0.26562534984135538</v>
      </c>
      <c r="E4" s="3">
        <v>42.472295337580036</v>
      </c>
      <c r="F4" s="4">
        <f t="shared" si="1"/>
        <v>0.14491872473554465</v>
      </c>
      <c r="G4" s="3">
        <v>76.613589642811448</v>
      </c>
      <c r="H4" s="4">
        <f t="shared" si="2"/>
        <v>0.23373239314788039</v>
      </c>
      <c r="I4" s="3">
        <v>57.983816369677747</v>
      </c>
      <c r="J4" s="4">
        <f t="shared" si="3"/>
        <v>0.17959595784625473</v>
      </c>
      <c r="K4" s="3">
        <v>66.49757165304743</v>
      </c>
      <c r="L4" s="4">
        <f t="shared" si="4"/>
        <v>0.20546366876784106</v>
      </c>
      <c r="M4" s="3">
        <v>64.178285441768537</v>
      </c>
      <c r="N4" s="4">
        <f t="shared" si="5"/>
        <v>0.19997315478098021</v>
      </c>
      <c r="O4" s="3">
        <v>64.240666904666611</v>
      </c>
      <c r="P4" s="4">
        <f t="shared" si="6"/>
        <v>0.20001182906415216</v>
      </c>
      <c r="Q4" s="3">
        <v>60.442763482988511</v>
      </c>
      <c r="R4" s="4">
        <f t="shared" si="7"/>
        <v>0.18710989766135969</v>
      </c>
      <c r="S4" s="3">
        <v>87.535699217953763</v>
      </c>
      <c r="T4" s="4">
        <f t="shared" si="8"/>
        <v>0.26562534984135538</v>
      </c>
      <c r="U4" s="3">
        <v>60.490859494350396</v>
      </c>
      <c r="V4" s="5">
        <f t="shared" si="9"/>
        <v>0.18789437487285929</v>
      </c>
      <c r="W4" s="3">
        <v>54.215745509243604</v>
      </c>
      <c r="X4" s="5">
        <f t="shared" si="10"/>
        <v>0.16953103691931865</v>
      </c>
      <c r="Y4" s="3">
        <v>30.979595186864461</v>
      </c>
      <c r="Z4" s="5">
        <f t="shared" si="11"/>
        <v>0.10399599623424713</v>
      </c>
      <c r="AA4" s="3">
        <v>69.905904372712072</v>
      </c>
      <c r="AB4" s="5">
        <f t="shared" si="12"/>
        <v>0.2111877962099471</v>
      </c>
      <c r="AC4" s="3">
        <v>89.170738369476098</v>
      </c>
      <c r="AD4" s="5">
        <f t="shared" si="13"/>
        <v>0.27074136702239315</v>
      </c>
      <c r="AE4" s="3">
        <v>63.911252192731823</v>
      </c>
      <c r="AF4" s="5">
        <f t="shared" si="14"/>
        <v>0.19672014062511373</v>
      </c>
      <c r="AG4" s="3">
        <v>61.174494167837558</v>
      </c>
      <c r="AH4" s="5">
        <f t="shared" si="15"/>
        <v>0.18897437461115946</v>
      </c>
      <c r="AI4" s="3">
        <v>59.758276987372327</v>
      </c>
      <c r="AJ4" s="5">
        <f t="shared" si="16"/>
        <v>0.18577559202457103</v>
      </c>
      <c r="AK4" s="3">
        <v>57.696350708418024</v>
      </c>
      <c r="AL4" s="5">
        <f t="shared" si="17"/>
        <v>0.17981206710735109</v>
      </c>
      <c r="AM4" s="6">
        <v>60.382324332894285</v>
      </c>
      <c r="AN4" s="5">
        <f t="shared" si="18"/>
        <v>0.18753045435337998</v>
      </c>
      <c r="AO4" s="3">
        <v>68.745036383766376</v>
      </c>
      <c r="AP4" s="5">
        <f t="shared" si="19"/>
        <v>0.21387909766829916</v>
      </c>
      <c r="AQ4" s="3">
        <v>55.997761000670735</v>
      </c>
      <c r="AR4" s="5">
        <f t="shared" si="20"/>
        <v>0.17359062854239238</v>
      </c>
      <c r="AS4" s="3">
        <v>58.560968919151868</v>
      </c>
      <c r="AT4" s="5">
        <f t="shared" si="21"/>
        <v>0.18149446219600884</v>
      </c>
    </row>
    <row r="5" spans="1:46" x14ac:dyDescent="0.25">
      <c r="A5">
        <v>3</v>
      </c>
      <c r="B5">
        <f t="shared" si="22"/>
        <v>2029</v>
      </c>
      <c r="C5" s="3">
        <v>88.26243325511706</v>
      </c>
      <c r="D5" s="4">
        <f t="shared" si="0"/>
        <v>0.34512724148205232</v>
      </c>
      <c r="E5" s="3">
        <v>41.696924348814427</v>
      </c>
      <c r="F5" s="4">
        <f t="shared" si="1"/>
        <v>0.18247699544113494</v>
      </c>
      <c r="G5" s="3">
        <v>76.485430330330644</v>
      </c>
      <c r="H5" s="4">
        <f t="shared" si="2"/>
        <v>0.3026262154679385</v>
      </c>
      <c r="I5" s="3">
        <v>57.703833082785799</v>
      </c>
      <c r="J5" s="4">
        <f t="shared" si="3"/>
        <v>0.23157236180217597</v>
      </c>
      <c r="K5" s="3">
        <v>66.505218572211291</v>
      </c>
      <c r="L5" s="4">
        <f t="shared" si="4"/>
        <v>0.26536787133141898</v>
      </c>
      <c r="M5" s="3">
        <v>64.405566673338456</v>
      </c>
      <c r="N5" s="4">
        <f t="shared" si="5"/>
        <v>0.25798610767478203</v>
      </c>
      <c r="O5" s="3">
        <v>64.302288337685397</v>
      </c>
      <c r="P5" s="4">
        <f t="shared" si="6"/>
        <v>0.25793175457646106</v>
      </c>
      <c r="Q5" s="3">
        <v>60.149237812672254</v>
      </c>
      <c r="R5" s="4">
        <f t="shared" si="7"/>
        <v>0.24128898621006956</v>
      </c>
      <c r="S5" s="3">
        <v>88.26243325511706</v>
      </c>
      <c r="T5" s="4">
        <f t="shared" si="8"/>
        <v>0.34512724148205232</v>
      </c>
      <c r="U5" s="3">
        <v>60.589221074357809</v>
      </c>
      <c r="V5" s="5">
        <f t="shared" si="9"/>
        <v>0.24246977587641774</v>
      </c>
      <c r="W5" s="3">
        <v>55.144913323671275</v>
      </c>
      <c r="X5" s="5">
        <f t="shared" si="10"/>
        <v>0.219202508256644</v>
      </c>
      <c r="Y5" s="3">
        <v>30.977830813763568</v>
      </c>
      <c r="Z5" s="5">
        <f t="shared" si="11"/>
        <v>0.13189910356759149</v>
      </c>
      <c r="AA5" s="3">
        <v>69.349802141031546</v>
      </c>
      <c r="AB5" s="5">
        <f t="shared" si="12"/>
        <v>0.27365424146626366</v>
      </c>
      <c r="AC5" s="3">
        <v>90.395492478155447</v>
      </c>
      <c r="AD5" s="5">
        <f t="shared" si="13"/>
        <v>0.35216459979270776</v>
      </c>
      <c r="AE5" s="3">
        <v>64.133644084997613</v>
      </c>
      <c r="AF5" s="5">
        <f t="shared" si="14"/>
        <v>0.25448816077283498</v>
      </c>
      <c r="AG5" s="3">
        <v>61.369341001136462</v>
      </c>
      <c r="AH5" s="5">
        <f t="shared" si="15"/>
        <v>0.24425246426263039</v>
      </c>
      <c r="AI5" s="3">
        <v>59.844830944272253</v>
      </c>
      <c r="AJ5" s="5">
        <f t="shared" si="16"/>
        <v>0.23968048779415968</v>
      </c>
      <c r="AK5" s="3">
        <v>57.749670936495072</v>
      </c>
      <c r="AL5" s="5">
        <f t="shared" si="17"/>
        <v>0.23182975925287053</v>
      </c>
      <c r="AM5" s="6">
        <v>60.364339576285182</v>
      </c>
      <c r="AN5" s="5">
        <f t="shared" si="18"/>
        <v>0.24190329460903687</v>
      </c>
      <c r="AO5" s="3">
        <v>69.268223232016055</v>
      </c>
      <c r="AP5" s="5">
        <f t="shared" si="19"/>
        <v>0.27627206117994219</v>
      </c>
      <c r="AQ5" s="3">
        <v>55.774876822183103</v>
      </c>
      <c r="AR5" s="5">
        <f t="shared" si="20"/>
        <v>0.22382953596718111</v>
      </c>
      <c r="AS5" s="3">
        <v>58.632661489598505</v>
      </c>
      <c r="AT5" s="5">
        <f t="shared" si="21"/>
        <v>0.23430750312904336</v>
      </c>
    </row>
    <row r="6" spans="1:46" x14ac:dyDescent="0.25">
      <c r="A6">
        <v>4</v>
      </c>
      <c r="B6">
        <f t="shared" si="22"/>
        <v>2030</v>
      </c>
      <c r="C6" s="3">
        <v>96.921097951293632</v>
      </c>
      <c r="D6" s="4">
        <f t="shared" si="0"/>
        <v>0.42885327513932309</v>
      </c>
      <c r="E6" s="3">
        <v>47.534238425721185</v>
      </c>
      <c r="F6" s="4">
        <f t="shared" si="1"/>
        <v>0.22353981179825755</v>
      </c>
      <c r="G6" s="3">
        <v>83.855523414118309</v>
      </c>
      <c r="H6" s="4">
        <f t="shared" si="2"/>
        <v>0.375065452374301</v>
      </c>
      <c r="I6" s="3">
        <v>64.615232156486712</v>
      </c>
      <c r="J6" s="4">
        <f t="shared" si="3"/>
        <v>0.28739072557086831</v>
      </c>
      <c r="K6" s="3">
        <v>73.68683264763132</v>
      </c>
      <c r="L6" s="4">
        <f t="shared" si="4"/>
        <v>0.32902280674551898</v>
      </c>
      <c r="M6" s="3">
        <v>71.821900771836468</v>
      </c>
      <c r="N6" s="4">
        <f t="shared" si="5"/>
        <v>0.32003000738765852</v>
      </c>
      <c r="O6" s="3">
        <v>71.545988837952521</v>
      </c>
      <c r="P6" s="4">
        <f t="shared" si="6"/>
        <v>0.31973730564955616</v>
      </c>
      <c r="Q6" s="3">
        <v>67.082663930132739</v>
      </c>
      <c r="R6" s="4">
        <f t="shared" si="7"/>
        <v>0.29923885983671999</v>
      </c>
      <c r="S6" s="3">
        <v>96.921097951293632</v>
      </c>
      <c r="T6" s="4">
        <f t="shared" si="8"/>
        <v>0.42885327513932309</v>
      </c>
      <c r="U6" s="3">
        <v>67.706203685636268</v>
      </c>
      <c r="V6" s="5">
        <f t="shared" si="9"/>
        <v>0.30095829910216965</v>
      </c>
      <c r="W6" s="3">
        <v>62.293444081332964</v>
      </c>
      <c r="X6" s="5">
        <f t="shared" si="10"/>
        <v>0.27301517759311827</v>
      </c>
      <c r="Y6" s="3">
        <v>36.998588586328474</v>
      </c>
      <c r="Z6" s="5">
        <f t="shared" si="11"/>
        <v>0.16386061802347579</v>
      </c>
      <c r="AA6" s="3">
        <v>76.308626865734254</v>
      </c>
      <c r="AB6" s="5">
        <f t="shared" si="12"/>
        <v>0.33957403391961882</v>
      </c>
      <c r="AC6" s="3">
        <v>99.190106210162568</v>
      </c>
      <c r="AD6" s="5">
        <f t="shared" si="13"/>
        <v>0.43785073363318272</v>
      </c>
      <c r="AE6" s="3">
        <v>71.271971915538927</v>
      </c>
      <c r="AF6" s="5">
        <f t="shared" si="14"/>
        <v>0.31605700022633831</v>
      </c>
      <c r="AG6" s="3">
        <v>68.396038494640081</v>
      </c>
      <c r="AH6" s="5">
        <f t="shared" si="15"/>
        <v>0.3033369065778011</v>
      </c>
      <c r="AI6" s="3">
        <v>66.949770368265447</v>
      </c>
      <c r="AJ6" s="5">
        <f t="shared" si="16"/>
        <v>0.29751556029836179</v>
      </c>
      <c r="AK6" s="3">
        <v>64.820713612873703</v>
      </c>
      <c r="AL6" s="5">
        <f t="shared" si="17"/>
        <v>0.28782562975329684</v>
      </c>
      <c r="AM6" s="6">
        <v>67.434354779283439</v>
      </c>
      <c r="AN6" s="5">
        <f t="shared" si="18"/>
        <v>0.30015697907249544</v>
      </c>
      <c r="AO6" s="3">
        <v>77.221981226508987</v>
      </c>
      <c r="AP6" s="5">
        <f t="shared" si="19"/>
        <v>0.34298086180146387</v>
      </c>
      <c r="AQ6" s="3">
        <v>62.744004092218773</v>
      </c>
      <c r="AR6" s="5">
        <f t="shared" si="20"/>
        <v>0.27803142502395822</v>
      </c>
      <c r="AS6" s="3">
        <v>65.657784702930101</v>
      </c>
      <c r="AT6" s="5">
        <f t="shared" si="21"/>
        <v>0.29102648390928521</v>
      </c>
    </row>
    <row r="7" spans="1:46" x14ac:dyDescent="0.25">
      <c r="A7">
        <v>5</v>
      </c>
      <c r="B7">
        <f t="shared" si="22"/>
        <v>2031</v>
      </c>
      <c r="C7" s="3">
        <v>104.41876057346671</v>
      </c>
      <c r="D7" s="4">
        <f t="shared" si="0"/>
        <v>0.51536228732460598</v>
      </c>
      <c r="E7" s="3">
        <v>50.92175104666601</v>
      </c>
      <c r="F7" s="4">
        <f t="shared" si="1"/>
        <v>0.26572754087681311</v>
      </c>
      <c r="G7" s="3">
        <v>89.985118095505712</v>
      </c>
      <c r="H7" s="4">
        <f t="shared" si="2"/>
        <v>0.44961645867877831</v>
      </c>
      <c r="I7" s="3">
        <v>69.95282359860721</v>
      </c>
      <c r="J7" s="4">
        <f t="shared" si="3"/>
        <v>0.34534534632916702</v>
      </c>
      <c r="K7" s="3">
        <v>79.184945030857492</v>
      </c>
      <c r="L7" s="4">
        <f t="shared" si="4"/>
        <v>0.39462606938667771</v>
      </c>
      <c r="M7" s="3">
        <v>77.249046987037374</v>
      </c>
      <c r="N7" s="4">
        <f t="shared" si="5"/>
        <v>0.38402941429884552</v>
      </c>
      <c r="O7" s="3">
        <v>76.908044824541165</v>
      </c>
      <c r="P7" s="4">
        <f t="shared" si="6"/>
        <v>0.38345419857505153</v>
      </c>
      <c r="Q7" s="3">
        <v>72.282636053802833</v>
      </c>
      <c r="R7" s="4">
        <f t="shared" si="7"/>
        <v>0.35912368713040593</v>
      </c>
      <c r="S7" s="3">
        <v>104.41876057346671</v>
      </c>
      <c r="T7" s="4">
        <f t="shared" si="8"/>
        <v>0.51536228732460598</v>
      </c>
      <c r="U7" s="3">
        <v>72.89134026444016</v>
      </c>
      <c r="V7" s="5">
        <f t="shared" si="9"/>
        <v>0.36134742657798818</v>
      </c>
      <c r="W7" s="3">
        <v>66.622800569267653</v>
      </c>
      <c r="X7" s="5">
        <f t="shared" si="10"/>
        <v>0.32821093585161049</v>
      </c>
      <c r="Y7" s="3">
        <v>39.981498403290594</v>
      </c>
      <c r="Z7" s="5">
        <f t="shared" si="11"/>
        <v>0.19698455009813998</v>
      </c>
      <c r="AA7" s="3">
        <v>82.653602437984716</v>
      </c>
      <c r="AB7" s="5">
        <f t="shared" si="12"/>
        <v>0.40805101507890362</v>
      </c>
      <c r="AC7" s="3">
        <v>107.28434986772349</v>
      </c>
      <c r="AD7" s="5">
        <f t="shared" si="13"/>
        <v>0.52673383355723413</v>
      </c>
      <c r="AE7" s="3">
        <v>76.630225305282195</v>
      </c>
      <c r="AF7" s="5">
        <f t="shared" si="14"/>
        <v>0.37954372481766757</v>
      </c>
      <c r="AG7" s="3">
        <v>73.462552858090433</v>
      </c>
      <c r="AH7" s="5">
        <f t="shared" si="15"/>
        <v>0.3641992731243871</v>
      </c>
      <c r="AI7" s="3">
        <v>72.122623499507029</v>
      </c>
      <c r="AJ7" s="5">
        <f t="shared" si="16"/>
        <v>0.35726782014982422</v>
      </c>
      <c r="AK7" s="3">
        <v>69.958993760070996</v>
      </c>
      <c r="AL7" s="5">
        <f t="shared" si="17"/>
        <v>0.34578536237626739</v>
      </c>
      <c r="AM7" s="6">
        <v>72.668604161551514</v>
      </c>
      <c r="AN7" s="5">
        <f t="shared" si="18"/>
        <v>0.36036157380598804</v>
      </c>
      <c r="AO7" s="3">
        <v>82.918755244969006</v>
      </c>
      <c r="AP7" s="5">
        <f t="shared" si="19"/>
        <v>0.41167751715803264</v>
      </c>
      <c r="AQ7" s="3">
        <v>68.182867008680475</v>
      </c>
      <c r="AR7" s="5">
        <f t="shared" si="20"/>
        <v>0.33451966947818595</v>
      </c>
      <c r="AS7" s="3">
        <v>70.785412753554994</v>
      </c>
      <c r="AT7" s="5">
        <f t="shared" si="21"/>
        <v>0.34967088938591562</v>
      </c>
    </row>
    <row r="8" spans="1:46" x14ac:dyDescent="0.25">
      <c r="A8">
        <v>6</v>
      </c>
      <c r="B8">
        <f t="shared" si="22"/>
        <v>2032</v>
      </c>
      <c r="C8" s="3">
        <v>105.53131826484527</v>
      </c>
      <c r="D8" s="4">
        <f t="shared" si="0"/>
        <v>0.59921262362341399</v>
      </c>
      <c r="E8" s="3">
        <v>51.317859269935582</v>
      </c>
      <c r="F8" s="4">
        <f t="shared" si="1"/>
        <v>0.30650235378230517</v>
      </c>
      <c r="G8" s="3">
        <v>90.928787259340837</v>
      </c>
      <c r="H8" s="4">
        <f t="shared" si="2"/>
        <v>0.52186429483111363</v>
      </c>
      <c r="I8" s="3">
        <v>70.696709088735219</v>
      </c>
      <c r="J8" s="4">
        <f t="shared" si="3"/>
        <v>0.40151770283695232</v>
      </c>
      <c r="K8" s="3">
        <v>79.704978301835894</v>
      </c>
      <c r="L8" s="4">
        <f t="shared" si="4"/>
        <v>0.45795598267863058</v>
      </c>
      <c r="M8" s="3">
        <v>77.64633071804397</v>
      </c>
      <c r="N8" s="4">
        <f t="shared" si="5"/>
        <v>0.44572362081616612</v>
      </c>
      <c r="O8" s="3">
        <v>77.303469001883144</v>
      </c>
      <c r="P8" s="4">
        <f t="shared" si="6"/>
        <v>0.44487598292730529</v>
      </c>
      <c r="Q8" s="3">
        <v>72.991094205795306</v>
      </c>
      <c r="R8" s="4">
        <f t="shared" si="7"/>
        <v>0.4171190566245509</v>
      </c>
      <c r="S8" s="3">
        <v>105.53131826484527</v>
      </c>
      <c r="T8" s="4">
        <f t="shared" si="8"/>
        <v>0.59921262362341399</v>
      </c>
      <c r="U8" s="3">
        <v>73.362067830233443</v>
      </c>
      <c r="V8" s="5">
        <f t="shared" si="9"/>
        <v>0.41963755466776692</v>
      </c>
      <c r="W8" s="3">
        <v>66.764943560720624</v>
      </c>
      <c r="X8" s="5">
        <f t="shared" si="10"/>
        <v>0.38125929213659271</v>
      </c>
      <c r="Y8" s="3">
        <v>39.554742586525272</v>
      </c>
      <c r="Z8" s="5">
        <f t="shared" si="11"/>
        <v>0.22841293100559029</v>
      </c>
      <c r="AA8" s="3">
        <v>83.993842145155526</v>
      </c>
      <c r="AB8" s="5">
        <f t="shared" si="12"/>
        <v>0.4747886625062307</v>
      </c>
      <c r="AC8" s="3">
        <v>108.07270766097065</v>
      </c>
      <c r="AD8" s="5">
        <f t="shared" si="13"/>
        <v>0.61260344109262943</v>
      </c>
      <c r="AE8" s="3">
        <v>77.234707402787535</v>
      </c>
      <c r="AF8" s="5">
        <f t="shared" si="14"/>
        <v>0.44091087436289522</v>
      </c>
      <c r="AG8" s="3">
        <v>73.99150255215892</v>
      </c>
      <c r="AH8" s="5">
        <f t="shared" si="15"/>
        <v>0.42298952112150123</v>
      </c>
      <c r="AI8" s="3">
        <v>72.580822567718599</v>
      </c>
      <c r="AJ8" s="5">
        <f t="shared" si="16"/>
        <v>0.41493720665245326</v>
      </c>
      <c r="AK8" s="3">
        <v>70.381930126602597</v>
      </c>
      <c r="AL8" s="5">
        <f t="shared" si="17"/>
        <v>0.401707609984926</v>
      </c>
      <c r="AM8" s="6">
        <v>73.207644719630977</v>
      </c>
      <c r="AN8" s="5">
        <f t="shared" si="18"/>
        <v>0.41852900438786844</v>
      </c>
      <c r="AO8" s="3">
        <v>82.186217197290631</v>
      </c>
      <c r="AP8" s="5">
        <f t="shared" si="19"/>
        <v>0.47697890886267269</v>
      </c>
      <c r="AQ8" s="3">
        <v>68.836858060037187</v>
      </c>
      <c r="AR8" s="5">
        <f t="shared" si="20"/>
        <v>0.38921427381925772</v>
      </c>
      <c r="AS8" s="3">
        <v>71.291607274983207</v>
      </c>
      <c r="AT8" s="5">
        <f t="shared" si="21"/>
        <v>0.40631592465675076</v>
      </c>
    </row>
    <row r="9" spans="1:46" x14ac:dyDescent="0.25">
      <c r="A9">
        <v>7</v>
      </c>
      <c r="B9">
        <f t="shared" si="22"/>
        <v>2033</v>
      </c>
      <c r="C9" s="3">
        <v>107.2281581845852</v>
      </c>
      <c r="D9" s="4">
        <f t="shared" si="0"/>
        <v>0.68092219236682128</v>
      </c>
      <c r="E9" s="3">
        <v>52.436346194930046</v>
      </c>
      <c r="F9" s="4">
        <f t="shared" si="1"/>
        <v>0.3464596868803167</v>
      </c>
      <c r="G9" s="3">
        <v>92.592238846787993</v>
      </c>
      <c r="H9" s="4">
        <f t="shared" si="2"/>
        <v>0.59242105933446243</v>
      </c>
      <c r="I9" s="3">
        <v>72.125730306806915</v>
      </c>
      <c r="J9" s="4">
        <f t="shared" si="3"/>
        <v>0.45647866102600859</v>
      </c>
      <c r="K9" s="3">
        <v>81.213617052187047</v>
      </c>
      <c r="L9" s="4">
        <f t="shared" si="4"/>
        <v>0.51984205568198461</v>
      </c>
      <c r="M9" s="3">
        <v>79.123158701711063</v>
      </c>
      <c r="N9" s="4">
        <f t="shared" si="5"/>
        <v>0.50601673117626178</v>
      </c>
      <c r="O9" s="3">
        <v>78.844907394551086</v>
      </c>
      <c r="P9" s="4">
        <f t="shared" si="6"/>
        <v>0.50495706134826057</v>
      </c>
      <c r="Q9" s="3">
        <v>74.570469675488553</v>
      </c>
      <c r="R9" s="4">
        <f t="shared" si="7"/>
        <v>0.47394294524985636</v>
      </c>
      <c r="S9" s="3">
        <v>107.2281581845852</v>
      </c>
      <c r="T9" s="4">
        <f t="shared" si="8"/>
        <v>0.68092219236682128</v>
      </c>
      <c r="U9" s="3">
        <v>74.832143505391997</v>
      </c>
      <c r="V9" s="5">
        <f t="shared" si="9"/>
        <v>0.47666084292983607</v>
      </c>
      <c r="W9" s="3">
        <v>68.305419674570686</v>
      </c>
      <c r="X9" s="5">
        <f t="shared" si="10"/>
        <v>0.43330911262160932</v>
      </c>
      <c r="Y9" s="3">
        <v>40.582897887942323</v>
      </c>
      <c r="Z9" s="5">
        <f t="shared" si="11"/>
        <v>0.25933774721919384</v>
      </c>
      <c r="AA9" s="3">
        <v>85.578726759377759</v>
      </c>
      <c r="AB9" s="5">
        <f t="shared" si="12"/>
        <v>0.54000101880802798</v>
      </c>
      <c r="AC9" s="3">
        <v>109.47366514040466</v>
      </c>
      <c r="AD9" s="5">
        <f t="shared" si="13"/>
        <v>0.69602412199236496</v>
      </c>
      <c r="AE9" s="3">
        <v>78.76387086082832</v>
      </c>
      <c r="AF9" s="5">
        <f t="shared" si="14"/>
        <v>0.50093020165117175</v>
      </c>
      <c r="AG9" s="3">
        <v>75.539164738935241</v>
      </c>
      <c r="AH9" s="5">
        <f t="shared" si="15"/>
        <v>0.48055157085316313</v>
      </c>
      <c r="AI9" s="3">
        <v>74.038119810022849</v>
      </c>
      <c r="AJ9" s="5">
        <f t="shared" si="16"/>
        <v>0.47135543617977316</v>
      </c>
      <c r="AK9" s="3">
        <v>71.803261199560495</v>
      </c>
      <c r="AL9" s="5">
        <f t="shared" si="17"/>
        <v>0.45642284156511131</v>
      </c>
      <c r="AM9" s="6">
        <v>74.683063627583749</v>
      </c>
      <c r="AN9" s="5">
        <f t="shared" si="18"/>
        <v>0.47543869140255757</v>
      </c>
      <c r="AO9" s="3">
        <v>83.449511163365344</v>
      </c>
      <c r="AP9" s="5">
        <f t="shared" si="19"/>
        <v>0.54056876888124161</v>
      </c>
      <c r="AQ9" s="3">
        <v>70.190724955170552</v>
      </c>
      <c r="AR9" s="5">
        <f t="shared" si="20"/>
        <v>0.44270072703242674</v>
      </c>
      <c r="AS9" s="3">
        <v>72.747474463896197</v>
      </c>
      <c r="AT9" s="5">
        <f t="shared" si="21"/>
        <v>0.46175066182144742</v>
      </c>
    </row>
    <row r="10" spans="1:46" x14ac:dyDescent="0.25">
      <c r="A10">
        <v>8</v>
      </c>
      <c r="B10">
        <f t="shared" si="22"/>
        <v>2034</v>
      </c>
      <c r="C10" s="3">
        <v>108.43945163079474</v>
      </c>
      <c r="D10" s="4">
        <f t="shared" si="0"/>
        <v>0.76017086762452901</v>
      </c>
      <c r="E10" s="3">
        <v>51.277753965291033</v>
      </c>
      <c r="F10" s="4">
        <f t="shared" si="1"/>
        <v>0.38393400098673341</v>
      </c>
      <c r="G10" s="3">
        <v>93.449713882518665</v>
      </c>
      <c r="H10" s="4">
        <f t="shared" si="2"/>
        <v>0.66071507887281211</v>
      </c>
      <c r="I10" s="3">
        <v>72.513601168011164</v>
      </c>
      <c r="J10" s="4">
        <f t="shared" si="3"/>
        <v>0.50947235238380151</v>
      </c>
      <c r="K10" s="3">
        <v>81.738331184067277</v>
      </c>
      <c r="L10" s="4">
        <f t="shared" si="4"/>
        <v>0.57957727535247561</v>
      </c>
      <c r="M10" s="3">
        <v>79.572061362563019</v>
      </c>
      <c r="N10" s="4">
        <f t="shared" si="5"/>
        <v>0.56416881840719135</v>
      </c>
      <c r="O10" s="3">
        <v>79.206588970152168</v>
      </c>
      <c r="P10" s="4">
        <f t="shared" si="6"/>
        <v>0.56284205756659045</v>
      </c>
      <c r="Q10" s="3">
        <v>74.975413387385842</v>
      </c>
      <c r="R10" s="4">
        <f t="shared" si="7"/>
        <v>0.52873575449495591</v>
      </c>
      <c r="S10" s="3">
        <v>108.43945163079474</v>
      </c>
      <c r="T10" s="4">
        <f t="shared" si="8"/>
        <v>0.76017086762452901</v>
      </c>
      <c r="U10" s="3">
        <v>75.354874971122015</v>
      </c>
      <c r="V10" s="5">
        <f t="shared" si="9"/>
        <v>0.53173096663355779</v>
      </c>
      <c r="W10" s="3">
        <v>69.078589909037902</v>
      </c>
      <c r="X10" s="5">
        <f t="shared" si="10"/>
        <v>0.48379246214647065</v>
      </c>
      <c r="Y10" s="3">
        <v>40.762792396595856</v>
      </c>
      <c r="Z10" s="5">
        <f t="shared" si="11"/>
        <v>0.28912761842062484</v>
      </c>
      <c r="AA10" s="3">
        <v>86.370904730606114</v>
      </c>
      <c r="AB10" s="5">
        <f t="shared" si="12"/>
        <v>0.60312177124427901</v>
      </c>
      <c r="AC10" s="3">
        <v>110.75865141079692</v>
      </c>
      <c r="AD10" s="5">
        <f t="shared" si="13"/>
        <v>0.77696769248846709</v>
      </c>
      <c r="AE10" s="3">
        <v>79.407437007759697</v>
      </c>
      <c r="AF10" s="5">
        <f t="shared" si="14"/>
        <v>0.5589619796972326</v>
      </c>
      <c r="AG10" s="3">
        <v>76.230095336179986</v>
      </c>
      <c r="AH10" s="5">
        <f t="shared" si="15"/>
        <v>0.53626131467157856</v>
      </c>
      <c r="AI10" s="3">
        <v>74.547817924957087</v>
      </c>
      <c r="AJ10" s="5">
        <f t="shared" si="16"/>
        <v>0.52583575422878048</v>
      </c>
      <c r="AK10" s="3">
        <v>72.276275653265259</v>
      </c>
      <c r="AL10" s="5">
        <f t="shared" si="17"/>
        <v>0.50924309297678105</v>
      </c>
      <c r="AM10" s="6">
        <v>75.1651783708853</v>
      </c>
      <c r="AN10" s="5">
        <f t="shared" si="18"/>
        <v>0.53037018286456683</v>
      </c>
      <c r="AO10" s="3">
        <v>84.130669826602784</v>
      </c>
      <c r="AP10" s="5">
        <f t="shared" si="19"/>
        <v>0.60205233442897166</v>
      </c>
      <c r="AQ10" s="3">
        <v>70.62338970628015</v>
      </c>
      <c r="AR10" s="5">
        <f t="shared" si="20"/>
        <v>0.49431303226140433</v>
      </c>
      <c r="AS10" s="3">
        <v>73.331847588650476</v>
      </c>
      <c r="AT10" s="5">
        <f t="shared" si="21"/>
        <v>0.51534233614480163</v>
      </c>
    </row>
    <row r="11" spans="1:46" x14ac:dyDescent="0.25">
      <c r="A11">
        <v>9</v>
      </c>
      <c r="B11">
        <f t="shared" si="22"/>
        <v>2035</v>
      </c>
      <c r="C11" s="3">
        <v>111.5186595705151</v>
      </c>
      <c r="D11" s="4">
        <f t="shared" si="0"/>
        <v>0.83833236406351064</v>
      </c>
      <c r="E11" s="3">
        <v>52.721453237035973</v>
      </c>
      <c r="F11" s="4">
        <f t="shared" si="1"/>
        <v>0.4208855541646021</v>
      </c>
      <c r="G11" s="3">
        <v>95.843266567098183</v>
      </c>
      <c r="H11" s="4">
        <f t="shared" si="2"/>
        <v>0.72788996393092886</v>
      </c>
      <c r="I11" s="3">
        <v>74.164067471266279</v>
      </c>
      <c r="J11" s="4">
        <f t="shared" si="3"/>
        <v>0.56145266238645508</v>
      </c>
      <c r="K11" s="3">
        <v>83.638173989445775</v>
      </c>
      <c r="L11" s="4">
        <f t="shared" si="4"/>
        <v>0.63819782247540213</v>
      </c>
      <c r="M11" s="3">
        <v>81.151153806472735</v>
      </c>
      <c r="N11" s="4">
        <f t="shared" si="5"/>
        <v>0.62104625617134546</v>
      </c>
      <c r="O11" s="3">
        <v>81.069641194481505</v>
      </c>
      <c r="P11" s="4">
        <f t="shared" si="6"/>
        <v>0.61966236455320101</v>
      </c>
      <c r="Q11" s="3">
        <v>76.640097795841186</v>
      </c>
      <c r="R11" s="4">
        <f t="shared" si="7"/>
        <v>0.58245147125502938</v>
      </c>
      <c r="S11" s="3">
        <v>111.5186595705151</v>
      </c>
      <c r="T11" s="4">
        <f t="shared" si="8"/>
        <v>0.83833236406351064</v>
      </c>
      <c r="U11" s="3">
        <v>76.991612449964308</v>
      </c>
      <c r="V11" s="5">
        <f t="shared" si="9"/>
        <v>0.58569305392473614</v>
      </c>
      <c r="W11" s="3">
        <v>70.54633399863242</v>
      </c>
      <c r="X11" s="5">
        <f t="shared" si="10"/>
        <v>0.53323716543516753</v>
      </c>
      <c r="Y11" s="3">
        <v>41.469115647757008</v>
      </c>
      <c r="Z11" s="5">
        <f t="shared" si="11"/>
        <v>0.31819260312823205</v>
      </c>
      <c r="AA11" s="3">
        <v>88.735995859891759</v>
      </c>
      <c r="AB11" s="5">
        <f t="shared" si="12"/>
        <v>0.66531529339674744</v>
      </c>
      <c r="AC11" s="3">
        <v>114.27556393843378</v>
      </c>
      <c r="AD11" s="5">
        <f t="shared" si="13"/>
        <v>0.85706145543572243</v>
      </c>
      <c r="AE11" s="3">
        <v>81.237915895610158</v>
      </c>
      <c r="AF11" s="5">
        <f t="shared" si="14"/>
        <v>0.6159002275065153</v>
      </c>
      <c r="AG11" s="3">
        <v>77.958041168250759</v>
      </c>
      <c r="AH11" s="5">
        <f t="shared" si="15"/>
        <v>0.59090075510808515</v>
      </c>
      <c r="AI11" s="3">
        <v>76.17126205303471</v>
      </c>
      <c r="AJ11" s="5">
        <f t="shared" si="16"/>
        <v>0.57922287213927159</v>
      </c>
      <c r="AK11" s="3">
        <v>73.862304324358888</v>
      </c>
      <c r="AL11" s="5">
        <f t="shared" si="17"/>
        <v>0.56101190241779542</v>
      </c>
      <c r="AM11" s="6">
        <v>76.699784596410154</v>
      </c>
      <c r="AN11" s="5">
        <f t="shared" si="18"/>
        <v>0.58412773306908883</v>
      </c>
      <c r="AO11" s="3">
        <v>86.174397340018885</v>
      </c>
      <c r="AP11" s="5">
        <f t="shared" si="19"/>
        <v>0.66245047655839973</v>
      </c>
      <c r="AQ11" s="3">
        <v>72.231226593991735</v>
      </c>
      <c r="AR11" s="5">
        <f t="shared" si="20"/>
        <v>0.54493864757952681</v>
      </c>
      <c r="AS11" s="3">
        <v>74.981728099653623</v>
      </c>
      <c r="AT11" s="5">
        <f t="shared" si="21"/>
        <v>0.56789573031597129</v>
      </c>
    </row>
    <row r="12" spans="1:46" x14ac:dyDescent="0.25">
      <c r="A12">
        <v>10</v>
      </c>
      <c r="B12">
        <f t="shared" si="22"/>
        <v>2036</v>
      </c>
      <c r="C12" s="3">
        <v>112.48562419329478</v>
      </c>
      <c r="D12" s="4">
        <f t="shared" si="0"/>
        <v>0.91394301448116155</v>
      </c>
      <c r="E12" s="3">
        <v>52.503911408221533</v>
      </c>
      <c r="F12" s="4">
        <f t="shared" si="1"/>
        <v>0.45617766299643442</v>
      </c>
      <c r="G12" s="3">
        <v>96.419919232045913</v>
      </c>
      <c r="H12" s="4">
        <f t="shared" si="2"/>
        <v>0.7927015597116005</v>
      </c>
      <c r="I12" s="3">
        <v>74.398471426079155</v>
      </c>
      <c r="J12" s="4">
        <f t="shared" si="3"/>
        <v>0.61146186894015964</v>
      </c>
      <c r="K12" s="3">
        <v>84.045796764784512</v>
      </c>
      <c r="L12" s="4">
        <f t="shared" si="4"/>
        <v>0.69469177362541812</v>
      </c>
      <c r="M12" s="3">
        <v>81.560721966840248</v>
      </c>
      <c r="N12" s="4">
        <f t="shared" si="5"/>
        <v>0.67586978833976619</v>
      </c>
      <c r="O12" s="3">
        <v>81.660670121926444</v>
      </c>
      <c r="P12" s="4">
        <f t="shared" si="6"/>
        <v>0.67455307992897207</v>
      </c>
      <c r="Q12" s="3">
        <v>77.026952355398933</v>
      </c>
      <c r="R12" s="4">
        <f t="shared" si="7"/>
        <v>0.6342274916047328</v>
      </c>
      <c r="S12" s="3">
        <v>112.48562419329478</v>
      </c>
      <c r="T12" s="4">
        <f t="shared" si="8"/>
        <v>0.91394301448116155</v>
      </c>
      <c r="U12" s="3">
        <v>77.097273718179423</v>
      </c>
      <c r="V12" s="5">
        <f t="shared" si="9"/>
        <v>0.63751634292780057</v>
      </c>
      <c r="W12" s="3">
        <v>69.817630888754493</v>
      </c>
      <c r="X12" s="5">
        <f t="shared" si="10"/>
        <v>0.58016722000860232</v>
      </c>
      <c r="Y12" s="3">
        <v>40.032972639102944</v>
      </c>
      <c r="Z12" s="5">
        <f t="shared" si="11"/>
        <v>0.34510198929293123</v>
      </c>
      <c r="AA12" s="3">
        <v>89.320318969870385</v>
      </c>
      <c r="AB12" s="5">
        <f t="shared" si="12"/>
        <v>0.72535467586235602</v>
      </c>
      <c r="AC12" s="3">
        <v>115.0841199594477</v>
      </c>
      <c r="AD12" s="5">
        <f t="shared" si="13"/>
        <v>0.934418764205455</v>
      </c>
      <c r="AE12" s="3">
        <v>81.377090757585393</v>
      </c>
      <c r="AF12" s="5">
        <f t="shared" si="14"/>
        <v>0.67060032634495881</v>
      </c>
      <c r="AG12" s="3">
        <v>77.792803625849132</v>
      </c>
      <c r="AH12" s="5">
        <f t="shared" si="15"/>
        <v>0.64319156579741821</v>
      </c>
      <c r="AI12" s="3">
        <v>76.263364787148546</v>
      </c>
      <c r="AJ12" s="5">
        <f t="shared" si="16"/>
        <v>0.63048562376596884</v>
      </c>
      <c r="AK12" s="3">
        <v>73.916245216630685</v>
      </c>
      <c r="AL12" s="5">
        <f t="shared" si="17"/>
        <v>0.61069696588560496</v>
      </c>
      <c r="AM12" s="6">
        <v>76.864401984565248</v>
      </c>
      <c r="AN12" s="5">
        <f t="shared" si="18"/>
        <v>0.63579449021869439</v>
      </c>
      <c r="AO12" s="3">
        <v>87.561093407437554</v>
      </c>
      <c r="AP12" s="5">
        <f t="shared" si="19"/>
        <v>0.72130734179159894</v>
      </c>
      <c r="AQ12" s="3">
        <v>72.415545024196632</v>
      </c>
      <c r="AR12" s="5">
        <f t="shared" si="20"/>
        <v>0.59361496954418347</v>
      </c>
      <c r="AS12" s="3">
        <v>74.902135923887229</v>
      </c>
      <c r="AT12" s="5">
        <f t="shared" si="21"/>
        <v>0.61824349035635162</v>
      </c>
    </row>
    <row r="13" spans="1:46" x14ac:dyDescent="0.25">
      <c r="A13">
        <v>11</v>
      </c>
      <c r="B13">
        <f t="shared" si="22"/>
        <v>2037</v>
      </c>
      <c r="C13" s="3">
        <v>114.49791229749361</v>
      </c>
      <c r="D13" s="4">
        <f t="shared" si="0"/>
        <v>0.98775453397128266</v>
      </c>
      <c r="E13" s="3">
        <v>53.024057945267941</v>
      </c>
      <c r="F13" s="4">
        <f t="shared" si="1"/>
        <v>0.49035982586682353</v>
      </c>
      <c r="G13" s="3">
        <v>98.332061385115807</v>
      </c>
      <c r="H13" s="4">
        <f t="shared" si="2"/>
        <v>0.85609170124163203</v>
      </c>
      <c r="I13" s="3">
        <v>76.00982685976075</v>
      </c>
      <c r="J13" s="4">
        <f t="shared" si="3"/>
        <v>0.66046189613823436</v>
      </c>
      <c r="K13" s="3">
        <v>85.558976983751293</v>
      </c>
      <c r="L13" s="4">
        <f t="shared" si="4"/>
        <v>0.74984769717433353</v>
      </c>
      <c r="M13" s="3">
        <v>83.096056058604788</v>
      </c>
      <c r="N13" s="4">
        <f t="shared" si="5"/>
        <v>0.72943798044256813</v>
      </c>
      <c r="O13" s="3">
        <v>83.189193007529497</v>
      </c>
      <c r="P13" s="4">
        <f t="shared" si="6"/>
        <v>0.72818131312407741</v>
      </c>
      <c r="Q13" s="3">
        <v>78.656903800499762</v>
      </c>
      <c r="R13" s="4">
        <f t="shared" si="7"/>
        <v>0.68493396713258625</v>
      </c>
      <c r="S13" s="3">
        <v>114.49791229749361</v>
      </c>
      <c r="T13" s="4">
        <f t="shared" si="8"/>
        <v>0.98775453397128266</v>
      </c>
      <c r="U13" s="3">
        <v>78.557910075488266</v>
      </c>
      <c r="V13" s="5">
        <f t="shared" si="9"/>
        <v>0.68815900177012268</v>
      </c>
      <c r="W13" s="3">
        <v>70.963934297435145</v>
      </c>
      <c r="X13" s="5">
        <f t="shared" si="10"/>
        <v>0.62591439316125608</v>
      </c>
      <c r="Y13" s="3">
        <v>40.764545418875343</v>
      </c>
      <c r="Z13" s="5">
        <f t="shared" si="11"/>
        <v>0.37138101026646131</v>
      </c>
      <c r="AA13" s="3">
        <v>91.405778709237808</v>
      </c>
      <c r="AB13" s="5">
        <f t="shared" si="12"/>
        <v>0.78427976262880084</v>
      </c>
      <c r="AC13" s="3">
        <v>116.72378343895396</v>
      </c>
      <c r="AD13" s="5">
        <f t="shared" si="13"/>
        <v>1.0096652000870079</v>
      </c>
      <c r="AE13" s="3">
        <v>82.893260576675132</v>
      </c>
      <c r="AF13" s="5">
        <f t="shared" si="14"/>
        <v>0.72403778556043896</v>
      </c>
      <c r="AG13" s="3">
        <v>79.242302358385999</v>
      </c>
      <c r="AH13" s="5">
        <f t="shared" si="15"/>
        <v>0.69427542075689519</v>
      </c>
      <c r="AI13" s="3">
        <v>77.710172140290439</v>
      </c>
      <c r="AJ13" s="5">
        <f t="shared" si="16"/>
        <v>0.68058178508819822</v>
      </c>
      <c r="AK13" s="3">
        <v>75.324129463048024</v>
      </c>
      <c r="AL13" s="5">
        <f t="shared" si="17"/>
        <v>0.6592549556198849</v>
      </c>
      <c r="AM13" s="6">
        <v>78.380533095206445</v>
      </c>
      <c r="AN13" s="5">
        <f t="shared" si="18"/>
        <v>0.6863228023085346</v>
      </c>
      <c r="AO13" s="3">
        <v>88.488789645214794</v>
      </c>
      <c r="AP13" s="5">
        <f t="shared" si="19"/>
        <v>0.7783519803399821</v>
      </c>
      <c r="AQ13" s="3">
        <v>73.971761607887458</v>
      </c>
      <c r="AR13" s="5">
        <f t="shared" si="20"/>
        <v>0.64130115013979849</v>
      </c>
      <c r="AS13" s="3">
        <v>76.339145124232815</v>
      </c>
      <c r="AT13" s="5">
        <f t="shared" si="21"/>
        <v>0.6674558138400859</v>
      </c>
    </row>
    <row r="14" spans="1:46" x14ac:dyDescent="0.25">
      <c r="A14">
        <v>12</v>
      </c>
      <c r="B14">
        <f t="shared" si="22"/>
        <v>2038</v>
      </c>
      <c r="C14" s="3">
        <v>115.57037223073183</v>
      </c>
      <c r="D14" s="4">
        <f t="shared" si="0"/>
        <v>1.0592064232112075</v>
      </c>
      <c r="E14" s="3">
        <v>52.014154549588199</v>
      </c>
      <c r="F14" s="4">
        <f t="shared" si="1"/>
        <v>0.52251780492364996</v>
      </c>
      <c r="G14" s="3">
        <v>98.934434311217601</v>
      </c>
      <c r="H14" s="4">
        <f t="shared" si="2"/>
        <v>0.91725834893838465</v>
      </c>
      <c r="I14" s="3">
        <v>76.140495046666317</v>
      </c>
      <c r="J14" s="4">
        <f t="shared" si="3"/>
        <v>0.70753609096635117</v>
      </c>
      <c r="K14" s="3">
        <v>85.975733205337292</v>
      </c>
      <c r="L14" s="4">
        <f t="shared" si="4"/>
        <v>0.80300257110728723</v>
      </c>
      <c r="M14" s="3">
        <v>83.506138182436757</v>
      </c>
      <c r="N14" s="4">
        <f t="shared" si="5"/>
        <v>0.78106601642702533</v>
      </c>
      <c r="O14" s="3">
        <v>83.529397995900936</v>
      </c>
      <c r="P14" s="4">
        <f t="shared" si="6"/>
        <v>0.77982372959016932</v>
      </c>
      <c r="Q14" s="3">
        <v>78.860819670924101</v>
      </c>
      <c r="R14" s="4">
        <f t="shared" si="7"/>
        <v>0.73369001458432404</v>
      </c>
      <c r="S14" s="3">
        <v>115.57037223073183</v>
      </c>
      <c r="T14" s="4">
        <f t="shared" si="8"/>
        <v>1.0592064232112075</v>
      </c>
      <c r="U14" s="3">
        <v>78.906214010747419</v>
      </c>
      <c r="V14" s="5">
        <f t="shared" si="9"/>
        <v>0.73694311447144445</v>
      </c>
      <c r="W14" s="3">
        <v>71.41952152960306</v>
      </c>
      <c r="X14" s="5">
        <f t="shared" si="10"/>
        <v>0.67006982541783444</v>
      </c>
      <c r="Y14" s="3">
        <v>40.438406331457948</v>
      </c>
      <c r="Z14" s="5">
        <f t="shared" si="11"/>
        <v>0.39638223224458069</v>
      </c>
      <c r="AA14" s="3">
        <v>91.678944478379108</v>
      </c>
      <c r="AB14" s="5">
        <f t="shared" si="12"/>
        <v>0.84096067193161306</v>
      </c>
      <c r="AC14" s="3">
        <v>118.02285793922101</v>
      </c>
      <c r="AD14" s="5">
        <f t="shared" si="13"/>
        <v>1.082633349366795</v>
      </c>
      <c r="AE14" s="3">
        <v>83.315932097458941</v>
      </c>
      <c r="AF14" s="5">
        <f t="shared" si="14"/>
        <v>0.77554822579908111</v>
      </c>
      <c r="AG14" s="3">
        <v>79.620090519572926</v>
      </c>
      <c r="AH14" s="5">
        <f t="shared" si="15"/>
        <v>0.7435008907391103</v>
      </c>
      <c r="AI14" s="3">
        <v>78.044371209164908</v>
      </c>
      <c r="AJ14" s="5">
        <f t="shared" si="16"/>
        <v>0.72883305969951229</v>
      </c>
      <c r="AK14" s="3">
        <v>75.618628983567675</v>
      </c>
      <c r="AL14" s="5">
        <f t="shared" si="17"/>
        <v>0.70600650446686597</v>
      </c>
      <c r="AM14" s="6">
        <v>78.761325380753377</v>
      </c>
      <c r="AN14" s="5">
        <f t="shared" si="18"/>
        <v>0.73501733697923632</v>
      </c>
      <c r="AO14" s="3">
        <v>88.376525115313356</v>
      </c>
      <c r="AP14" s="5">
        <f t="shared" si="19"/>
        <v>0.83299115439526517</v>
      </c>
      <c r="AQ14" s="3">
        <v>74.15154292934055</v>
      </c>
      <c r="AR14" s="5">
        <f t="shared" si="20"/>
        <v>0.68714566660271159</v>
      </c>
      <c r="AS14" s="3">
        <v>76.621437325318425</v>
      </c>
      <c r="AT14" s="5">
        <f t="shared" si="21"/>
        <v>0.71482735334021297</v>
      </c>
    </row>
    <row r="15" spans="1:46" x14ac:dyDescent="0.25">
      <c r="A15">
        <v>13</v>
      </c>
      <c r="B15">
        <f t="shared" si="22"/>
        <v>2039</v>
      </c>
      <c r="C15" s="3">
        <v>117.83483712790064</v>
      </c>
      <c r="D15" s="4">
        <f t="shared" si="0"/>
        <v>1.1290749420459538</v>
      </c>
      <c r="E15" s="3">
        <v>52.968755020708699</v>
      </c>
      <c r="F15" s="4">
        <f t="shared" si="1"/>
        <v>0.55392488748108137</v>
      </c>
      <c r="G15" s="3">
        <v>100.77484157863461</v>
      </c>
      <c r="H15" s="4">
        <f t="shared" si="2"/>
        <v>0.97701138198465576</v>
      </c>
      <c r="I15" s="3">
        <v>77.581852915611705</v>
      </c>
      <c r="J15" s="4">
        <f t="shared" si="3"/>
        <v>0.75353716572309204</v>
      </c>
      <c r="K15" s="3">
        <v>87.625066933763307</v>
      </c>
      <c r="L15" s="4">
        <f t="shared" si="4"/>
        <v>0.85495862916855769</v>
      </c>
      <c r="M15" s="3">
        <v>84.982849293325444</v>
      </c>
      <c r="N15" s="4">
        <f t="shared" si="5"/>
        <v>0.83145540848801902</v>
      </c>
      <c r="O15" s="3">
        <v>85.102486511243612</v>
      </c>
      <c r="P15" s="4">
        <f t="shared" si="6"/>
        <v>0.83028405886648227</v>
      </c>
      <c r="Q15" s="3">
        <v>80.45155769424467</v>
      </c>
      <c r="R15" s="4">
        <f t="shared" si="7"/>
        <v>0.78139264065868119</v>
      </c>
      <c r="S15" s="3">
        <v>117.83483712790064</v>
      </c>
      <c r="T15" s="4">
        <f t="shared" si="8"/>
        <v>1.1290749420459538</v>
      </c>
      <c r="U15" s="3">
        <v>80.437755672280559</v>
      </c>
      <c r="V15" s="5">
        <f t="shared" si="9"/>
        <v>0.78463755682988989</v>
      </c>
      <c r="W15" s="3">
        <v>73.001538153361096</v>
      </c>
      <c r="X15" s="5">
        <f t="shared" si="10"/>
        <v>0.71335506658889281</v>
      </c>
      <c r="Y15" s="3">
        <v>41.352107979319584</v>
      </c>
      <c r="Z15" s="5">
        <f t="shared" si="11"/>
        <v>0.42090138638974695</v>
      </c>
      <c r="AA15" s="3">
        <v>93.459954650960782</v>
      </c>
      <c r="AB15" s="5">
        <f t="shared" si="12"/>
        <v>0.89637644506785019</v>
      </c>
      <c r="AC15" s="3">
        <v>120.37189103658848</v>
      </c>
      <c r="AD15" s="5">
        <f t="shared" si="13"/>
        <v>1.1540061788377205</v>
      </c>
      <c r="AE15" s="3">
        <v>85.006518761756013</v>
      </c>
      <c r="AF15" s="5">
        <f t="shared" si="14"/>
        <v>0.82595165234037926</v>
      </c>
      <c r="AG15" s="3">
        <v>81.266218757979459</v>
      </c>
      <c r="AH15" s="5">
        <f t="shared" si="15"/>
        <v>0.79168655869872673</v>
      </c>
      <c r="AI15" s="3">
        <v>79.561526642418173</v>
      </c>
      <c r="AJ15" s="5">
        <f t="shared" si="16"/>
        <v>0.77600795430816927</v>
      </c>
      <c r="AK15" s="3">
        <v>77.095292947446822</v>
      </c>
      <c r="AL15" s="5">
        <f t="shared" si="17"/>
        <v>0.75171908029469447</v>
      </c>
      <c r="AM15" s="6">
        <v>80.249676101017386</v>
      </c>
      <c r="AN15" s="5">
        <f t="shared" si="18"/>
        <v>0.78260026018606643</v>
      </c>
      <c r="AO15" s="3">
        <v>89.737631302464706</v>
      </c>
      <c r="AP15" s="5">
        <f t="shared" si="19"/>
        <v>0.88619982795617791</v>
      </c>
      <c r="AQ15" s="3">
        <v>75.56578440871813</v>
      </c>
      <c r="AR15" s="5">
        <f t="shared" si="20"/>
        <v>0.73195134173164</v>
      </c>
      <c r="AS15" s="3">
        <v>78.169309645304764</v>
      </c>
      <c r="AT15" s="5">
        <f t="shared" si="21"/>
        <v>0.76117675234964155</v>
      </c>
    </row>
    <row r="16" spans="1:46" x14ac:dyDescent="0.25">
      <c r="A16" s="7">
        <v>14</v>
      </c>
      <c r="B16" s="7">
        <f t="shared" ref="B16:B21" si="23">B15+1</f>
        <v>2040</v>
      </c>
      <c r="C16" s="8">
        <v>119.98621046705696</v>
      </c>
      <c r="D16" s="4">
        <f t="shared" si="0"/>
        <v>1.1973056369444892</v>
      </c>
      <c r="E16" s="8">
        <v>53.043976140525658</v>
      </c>
      <c r="F16" s="4">
        <f t="shared" si="1"/>
        <v>0.58408858161027533</v>
      </c>
      <c r="G16" s="8">
        <v>102.55166392089184</v>
      </c>
      <c r="H16" s="4">
        <f t="shared" si="2"/>
        <v>1.0353278440604758</v>
      </c>
      <c r="I16" s="8">
        <v>79.212849708729749</v>
      </c>
      <c r="J16" s="4">
        <f t="shared" si="3"/>
        <v>0.79858190677692986</v>
      </c>
      <c r="K16" s="8">
        <v>89.33230288745645</v>
      </c>
      <c r="L16" s="4">
        <f t="shared" si="4"/>
        <v>0.90575784250458569</v>
      </c>
      <c r="M16" s="8">
        <v>86.757395444738307</v>
      </c>
      <c r="N16" s="4">
        <f t="shared" si="5"/>
        <v>0.8807903891973794</v>
      </c>
      <c r="O16" s="8">
        <v>86.477584912225382</v>
      </c>
      <c r="P16" s="4">
        <f t="shared" si="6"/>
        <v>0.87945992406582729</v>
      </c>
      <c r="Q16" s="8">
        <v>82.046468878442226</v>
      </c>
      <c r="R16" s="4">
        <f t="shared" si="7"/>
        <v>0.82804873191913608</v>
      </c>
      <c r="S16" s="8">
        <v>119.98621046705696</v>
      </c>
      <c r="T16" s="4">
        <f t="shared" si="8"/>
        <v>1.1973056369444892</v>
      </c>
      <c r="U16" s="8">
        <v>82.297757436177577</v>
      </c>
      <c r="V16" s="5">
        <f t="shared" si="9"/>
        <v>0.83143654445191495</v>
      </c>
      <c r="W16" s="8">
        <v>75.627267631442137</v>
      </c>
      <c r="X16" s="5">
        <f t="shared" si="10"/>
        <v>0.75636085036758416</v>
      </c>
      <c r="Y16" s="8">
        <v>43.343858324591913</v>
      </c>
      <c r="Z16" s="5">
        <f t="shared" si="11"/>
        <v>0.44554906516515541</v>
      </c>
      <c r="AA16" s="8">
        <v>95.083984158037225</v>
      </c>
      <c r="AB16" s="5">
        <f t="shared" si="12"/>
        <v>0.95044637766735862</v>
      </c>
      <c r="AC16" s="8">
        <v>122.32436876279806</v>
      </c>
      <c r="AD16" s="5">
        <f t="shared" si="13"/>
        <v>1.2235664779022695</v>
      </c>
      <c r="AE16" s="8">
        <v>86.976255522161026</v>
      </c>
      <c r="AF16" s="5">
        <f t="shared" si="14"/>
        <v>0.87541108881103069</v>
      </c>
      <c r="AG16" s="8">
        <v>83.422614021137818</v>
      </c>
      <c r="AH16" s="5">
        <f t="shared" si="15"/>
        <v>0.83912520104569288</v>
      </c>
      <c r="AI16" s="8">
        <v>81.406855206792486</v>
      </c>
      <c r="AJ16" s="5">
        <f t="shared" si="16"/>
        <v>0.82230032639528428</v>
      </c>
      <c r="AK16" s="8">
        <v>78.899322333361312</v>
      </c>
      <c r="AL16" s="5">
        <f t="shared" si="17"/>
        <v>0.796585532605119</v>
      </c>
      <c r="AM16" s="6">
        <v>81.993552654795394</v>
      </c>
      <c r="AN16" s="5">
        <f t="shared" si="18"/>
        <v>0.82922626039941871</v>
      </c>
      <c r="AO16" s="8">
        <v>91.999028074918087</v>
      </c>
      <c r="AP16" s="5">
        <f t="shared" si="19"/>
        <v>0.93851548648983041</v>
      </c>
      <c r="AQ16" s="8">
        <v>77.210148614714981</v>
      </c>
      <c r="AR16" s="5">
        <f t="shared" si="20"/>
        <v>0.77585723785665828</v>
      </c>
      <c r="AS16" s="8">
        <v>80.16886608414039</v>
      </c>
      <c r="AT16" s="5">
        <f t="shared" si="21"/>
        <v>0.80676513638857528</v>
      </c>
    </row>
    <row r="17" spans="1:46" x14ac:dyDescent="0.25">
      <c r="A17">
        <v>15</v>
      </c>
      <c r="B17">
        <f t="shared" si="23"/>
        <v>2041</v>
      </c>
      <c r="C17" s="3">
        <v>121.80994212762089</v>
      </c>
      <c r="D17" s="4">
        <f t="shared" si="0"/>
        <v>1.2637367945728217</v>
      </c>
      <c r="E17" s="3">
        <v>53.28042103793922</v>
      </c>
      <c r="F17" s="4">
        <f t="shared" si="1"/>
        <v>0.61314598026470479</v>
      </c>
      <c r="G17" s="3">
        <v>103.71826783656144</v>
      </c>
      <c r="H17" s="4">
        <f t="shared" si="2"/>
        <v>1.0918923943692627</v>
      </c>
      <c r="I17" s="3">
        <v>79.837179337713337</v>
      </c>
      <c r="J17" s="4">
        <f t="shared" si="3"/>
        <v>0.84212249264822436</v>
      </c>
      <c r="K17" s="3">
        <v>90.190904151407892</v>
      </c>
      <c r="L17" s="4">
        <f t="shared" si="4"/>
        <v>0.95494501118451747</v>
      </c>
      <c r="M17" s="3">
        <v>87.414609354567304</v>
      </c>
      <c r="N17" s="4">
        <f t="shared" si="5"/>
        <v>0.92846345751694481</v>
      </c>
      <c r="O17" s="3">
        <v>87.448282264348961</v>
      </c>
      <c r="P17" s="4">
        <f t="shared" si="6"/>
        <v>0.92715135648883473</v>
      </c>
      <c r="Q17" s="3">
        <v>82.677106911584829</v>
      </c>
      <c r="R17" s="4">
        <f t="shared" si="7"/>
        <v>0.87313812138574998</v>
      </c>
      <c r="S17" s="3">
        <v>121.80994212762089</v>
      </c>
      <c r="T17" s="4">
        <f t="shared" si="8"/>
        <v>1.2637367945728217</v>
      </c>
      <c r="U17" s="3">
        <v>82.807567032400783</v>
      </c>
      <c r="V17" s="5">
        <f t="shared" si="9"/>
        <v>0.87659708260063773</v>
      </c>
      <c r="W17" s="3">
        <v>75.418791577343569</v>
      </c>
      <c r="X17" s="5">
        <f t="shared" si="10"/>
        <v>0.79749179209452226</v>
      </c>
      <c r="Y17" s="3">
        <v>42.546220824672552</v>
      </c>
      <c r="Z17" s="5">
        <f t="shared" si="11"/>
        <v>0.468752382174636</v>
      </c>
      <c r="AA17" s="3">
        <v>96.368612332608933</v>
      </c>
      <c r="AB17" s="5">
        <f t="shared" si="12"/>
        <v>1.0030026662959497</v>
      </c>
      <c r="AC17" s="3">
        <v>124.55808145712199</v>
      </c>
      <c r="AD17" s="5">
        <f t="shared" si="13"/>
        <v>1.2914963808201403</v>
      </c>
      <c r="AE17" s="3">
        <v>87.653760872347888</v>
      </c>
      <c r="AF17" s="5">
        <f t="shared" si="14"/>
        <v>0.92321458254495259</v>
      </c>
      <c r="AG17" s="3">
        <v>83.786810009062108</v>
      </c>
      <c r="AH17" s="5">
        <f t="shared" si="15"/>
        <v>0.88481978627959423</v>
      </c>
      <c r="AI17" s="3">
        <v>81.901698911045088</v>
      </c>
      <c r="AJ17" s="5">
        <f t="shared" si="16"/>
        <v>0.86696683370457672</v>
      </c>
      <c r="AK17" s="3">
        <v>79.352043047168195</v>
      </c>
      <c r="AL17" s="5">
        <f t="shared" si="17"/>
        <v>0.8398615410139707</v>
      </c>
      <c r="AM17" s="6">
        <v>82.480509971736879</v>
      </c>
      <c r="AN17" s="5">
        <f t="shared" si="18"/>
        <v>0.8742084323263789</v>
      </c>
      <c r="AO17" s="3">
        <v>93.408669742415327</v>
      </c>
      <c r="AP17" s="5">
        <f t="shared" si="19"/>
        <v>0.98945751925929004</v>
      </c>
      <c r="AQ17" s="3">
        <v>77.803913354999139</v>
      </c>
      <c r="AR17" s="5">
        <f t="shared" si="20"/>
        <v>0.81828894697586885</v>
      </c>
      <c r="AS17" s="3">
        <v>80.577748171155108</v>
      </c>
      <c r="AT17" s="5">
        <f t="shared" si="21"/>
        <v>0.85070960427516096</v>
      </c>
    </row>
    <row r="18" spans="1:46" x14ac:dyDescent="0.25">
      <c r="A18">
        <v>16</v>
      </c>
      <c r="B18">
        <f t="shared" si="23"/>
        <v>2042</v>
      </c>
      <c r="C18" s="3">
        <v>125.79572224327539</v>
      </c>
      <c r="D18" s="4">
        <f t="shared" si="0"/>
        <v>1.3295322023749654</v>
      </c>
      <c r="E18" s="3">
        <v>55.319074400678616</v>
      </c>
      <c r="F18" s="4">
        <f t="shared" si="1"/>
        <v>0.64207972295899851</v>
      </c>
      <c r="G18" s="3">
        <v>107.26044404293698</v>
      </c>
      <c r="H18" s="4">
        <f t="shared" si="2"/>
        <v>1.1479932261860719</v>
      </c>
      <c r="I18" s="3">
        <v>82.721723447644294</v>
      </c>
      <c r="J18" s="4">
        <f t="shared" si="3"/>
        <v>0.88538874551657143</v>
      </c>
      <c r="K18" s="3">
        <v>93.258834212843723</v>
      </c>
      <c r="L18" s="4">
        <f t="shared" si="4"/>
        <v>1.0037225285655951</v>
      </c>
      <c r="M18" s="3">
        <v>90.239899521844052</v>
      </c>
      <c r="N18" s="4">
        <f t="shared" si="5"/>
        <v>0.97566197017846412</v>
      </c>
      <c r="O18" s="3">
        <v>90.654725272387864</v>
      </c>
      <c r="P18" s="4">
        <f t="shared" si="6"/>
        <v>0.97456683701648772</v>
      </c>
      <c r="Q18" s="3">
        <v>85.658210164945231</v>
      </c>
      <c r="R18" s="4">
        <f t="shared" si="7"/>
        <v>0.91794025590114348</v>
      </c>
      <c r="S18" s="3">
        <v>125.79572224327539</v>
      </c>
      <c r="T18" s="4">
        <f t="shared" si="8"/>
        <v>1.3295322023749654</v>
      </c>
      <c r="U18" s="3">
        <v>85.475303386209703</v>
      </c>
      <c r="V18" s="5">
        <f t="shared" si="9"/>
        <v>0.92130355069842917</v>
      </c>
      <c r="W18" s="3">
        <v>77.213821721921093</v>
      </c>
      <c r="X18" s="5">
        <f t="shared" si="10"/>
        <v>0.8378772264921327</v>
      </c>
      <c r="Y18" s="3">
        <v>43.571577101976146</v>
      </c>
      <c r="Z18" s="5">
        <f t="shared" si="11"/>
        <v>0.49154178735379594</v>
      </c>
      <c r="AA18" s="3">
        <v>100.08704059775631</v>
      </c>
      <c r="AB18" s="5">
        <f t="shared" si="12"/>
        <v>1.055351566039169</v>
      </c>
      <c r="AC18" s="3">
        <v>128.65275005251215</v>
      </c>
      <c r="AD18" s="5">
        <f t="shared" si="13"/>
        <v>1.3587861105790138</v>
      </c>
      <c r="AE18" s="3">
        <v>90.473387410491569</v>
      </c>
      <c r="AF18" s="5">
        <f t="shared" si="14"/>
        <v>0.97053521725145464</v>
      </c>
      <c r="AG18" s="3">
        <v>86.313161558530012</v>
      </c>
      <c r="AH18" s="5">
        <f t="shared" si="15"/>
        <v>0.92996448247564767</v>
      </c>
      <c r="AI18" s="3">
        <v>84.554170845142067</v>
      </c>
      <c r="AJ18" s="5">
        <f t="shared" si="16"/>
        <v>0.91119151839909662</v>
      </c>
      <c r="AK18" s="3">
        <v>81.961551754820036</v>
      </c>
      <c r="AL18" s="5">
        <f t="shared" si="17"/>
        <v>0.88273019843441936</v>
      </c>
      <c r="AM18" s="6">
        <v>85.215640299144098</v>
      </c>
      <c r="AN18" s="5">
        <f t="shared" si="18"/>
        <v>0.91877908786711371</v>
      </c>
      <c r="AO18" s="3">
        <v>96.448299130565388</v>
      </c>
      <c r="AP18" s="5">
        <f t="shared" si="19"/>
        <v>1.0399032344231689</v>
      </c>
      <c r="AQ18" s="3">
        <v>80.639438666241531</v>
      </c>
      <c r="AR18" s="5">
        <f t="shared" si="20"/>
        <v>0.86046609463531509</v>
      </c>
      <c r="AS18" s="3">
        <v>83.137616528903891</v>
      </c>
      <c r="AT18" s="5">
        <f t="shared" si="21"/>
        <v>0.89419338325962394</v>
      </c>
    </row>
    <row r="19" spans="1:46" x14ac:dyDescent="0.25">
      <c r="A19">
        <v>17</v>
      </c>
      <c r="B19">
        <f t="shared" si="23"/>
        <v>2043</v>
      </c>
      <c r="C19" s="3">
        <v>127.13249801851092</v>
      </c>
      <c r="D19" s="4">
        <f t="shared" si="0"/>
        <v>1.39330374418284</v>
      </c>
      <c r="E19" s="9">
        <v>56.449839635649475</v>
      </c>
      <c r="F19" s="4">
        <f t="shared" si="1"/>
        <v>0.67039579764077251</v>
      </c>
      <c r="G19" s="3">
        <v>108.96356963007783</v>
      </c>
      <c r="H19" s="4">
        <f t="shared" si="2"/>
        <v>1.2026509647226655</v>
      </c>
      <c r="I19" s="3">
        <v>83.985994751662886</v>
      </c>
      <c r="J19" s="4">
        <f t="shared" si="3"/>
        <v>0.92751736297519927</v>
      </c>
      <c r="K19" s="3">
        <v>94.482078068601496</v>
      </c>
      <c r="L19" s="4">
        <f t="shared" si="4"/>
        <v>1.0511161366953543</v>
      </c>
      <c r="M19" s="3">
        <v>91.432518267852046</v>
      </c>
      <c r="N19" s="4">
        <f t="shared" si="5"/>
        <v>1.0215258739968931</v>
      </c>
      <c r="O19" s="3">
        <v>91.989488740208515</v>
      </c>
      <c r="P19" s="4">
        <f t="shared" si="6"/>
        <v>1.0207101254636877</v>
      </c>
      <c r="Q19" s="3">
        <v>86.972439306867585</v>
      </c>
      <c r="R19" s="4">
        <f t="shared" si="7"/>
        <v>0.96156691813020767</v>
      </c>
      <c r="S19" s="3">
        <v>127.13249801851092</v>
      </c>
      <c r="T19" s="4">
        <f t="shared" si="8"/>
        <v>1.39330374418284</v>
      </c>
      <c r="U19" s="3">
        <v>86.59048530288149</v>
      </c>
      <c r="V19" s="5">
        <f t="shared" si="9"/>
        <v>0.96473861914845549</v>
      </c>
      <c r="W19" s="3">
        <v>77.84302702882853</v>
      </c>
      <c r="X19" s="5">
        <f t="shared" si="10"/>
        <v>0.87692444046174767</v>
      </c>
      <c r="Y19" s="3">
        <v>44.010911363709909</v>
      </c>
      <c r="Z19" s="5">
        <f t="shared" si="11"/>
        <v>0.51361831159250659</v>
      </c>
      <c r="AA19" s="3">
        <v>101.83336501867807</v>
      </c>
      <c r="AB19" s="5">
        <f t="shared" si="12"/>
        <v>1.1064326884582347</v>
      </c>
      <c r="AC19" s="3">
        <v>129.6992529954729</v>
      </c>
      <c r="AD19" s="5">
        <f t="shared" si="13"/>
        <v>1.4238451746559786</v>
      </c>
      <c r="AE19" s="3">
        <v>91.589325880633069</v>
      </c>
      <c r="AF19" s="5">
        <f t="shared" si="14"/>
        <v>1.0164777780882708</v>
      </c>
      <c r="AG19" s="3">
        <v>87.372362975300021</v>
      </c>
      <c r="AH19" s="5">
        <f t="shared" si="15"/>
        <v>0.97379175233327964</v>
      </c>
      <c r="AI19" s="3">
        <v>85.653783862703207</v>
      </c>
      <c r="AJ19" s="5">
        <f t="shared" si="16"/>
        <v>0.95415672354914183</v>
      </c>
      <c r="AK19" s="3">
        <v>83.017344558405512</v>
      </c>
      <c r="AL19" s="5">
        <f t="shared" si="17"/>
        <v>0.92437292662587078</v>
      </c>
      <c r="AM19" s="6">
        <v>86.40846602610705</v>
      </c>
      <c r="AN19" s="5">
        <f t="shared" si="18"/>
        <v>0.96212285275511167</v>
      </c>
      <c r="AO19" s="3">
        <v>97.220087544935183</v>
      </c>
      <c r="AP19" s="5">
        <f t="shared" si="19"/>
        <v>1.0886702686124472</v>
      </c>
      <c r="AQ19" s="3">
        <v>81.797667517841234</v>
      </c>
      <c r="AR19" s="5">
        <f t="shared" si="20"/>
        <v>0.90149701477928268</v>
      </c>
      <c r="AS19" s="3">
        <v>84.177927006378269</v>
      </c>
      <c r="AT19" s="5">
        <f t="shared" si="21"/>
        <v>0.93641827677666822</v>
      </c>
    </row>
    <row r="20" spans="1:46" x14ac:dyDescent="0.25">
      <c r="A20" s="7">
        <v>18</v>
      </c>
      <c r="B20" s="7">
        <f t="shared" si="23"/>
        <v>2044</v>
      </c>
      <c r="C20" s="8">
        <v>129.61228490408487</v>
      </c>
      <c r="D20" s="4">
        <f t="shared" si="0"/>
        <v>1.4556567120506028</v>
      </c>
      <c r="E20" s="10">
        <v>58.136674453862788</v>
      </c>
      <c r="F20" s="4">
        <f t="shared" si="1"/>
        <v>0.69836378074393934</v>
      </c>
      <c r="G20" s="8">
        <v>110.99915338599227</v>
      </c>
      <c r="H20" s="4">
        <f t="shared" si="2"/>
        <v>1.2560496579834732</v>
      </c>
      <c r="I20" s="8">
        <v>85.523829517212079</v>
      </c>
      <c r="J20" s="4">
        <f t="shared" si="3"/>
        <v>0.96866056632016773</v>
      </c>
      <c r="K20" s="8">
        <v>96.127119613921863</v>
      </c>
      <c r="L20" s="4">
        <f t="shared" si="4"/>
        <v>1.0973602963824007</v>
      </c>
      <c r="M20" s="8">
        <v>92.985220383094713</v>
      </c>
      <c r="N20" s="4">
        <f t="shared" si="5"/>
        <v>1.0662585508647879</v>
      </c>
      <c r="O20" s="8">
        <v>93.47478690725157</v>
      </c>
      <c r="P20" s="4">
        <f t="shared" si="6"/>
        <v>1.0656783195572257</v>
      </c>
      <c r="Q20" s="8">
        <v>88.582457622092633</v>
      </c>
      <c r="R20" s="4">
        <f t="shared" si="7"/>
        <v>1.0041815448057978</v>
      </c>
      <c r="S20" s="8">
        <v>129.61228490408487</v>
      </c>
      <c r="T20" s="4">
        <f t="shared" si="8"/>
        <v>1.4556567120506028</v>
      </c>
      <c r="U20" s="8">
        <v>88.20094597561723</v>
      </c>
      <c r="V20" s="5">
        <f t="shared" si="9"/>
        <v>1.0071697108801823</v>
      </c>
      <c r="W20" s="8">
        <v>79.451499377706156</v>
      </c>
      <c r="X20" s="5">
        <f t="shared" si="10"/>
        <v>0.91514640986387452</v>
      </c>
      <c r="Y20" s="8">
        <v>45.012882497613425</v>
      </c>
      <c r="Z20" s="5">
        <f t="shared" si="11"/>
        <v>0.53527279301829167</v>
      </c>
      <c r="AA20" s="8">
        <v>103.73125107911582</v>
      </c>
      <c r="AB20" s="5">
        <f t="shared" si="12"/>
        <v>1.1563349903133815</v>
      </c>
      <c r="AC20" s="8">
        <v>132.43697118340916</v>
      </c>
      <c r="AD20" s="5">
        <f t="shared" si="13"/>
        <v>1.4875570227636936</v>
      </c>
      <c r="AE20" s="8">
        <v>93.315811913921621</v>
      </c>
      <c r="AF20" s="5">
        <f t="shared" si="14"/>
        <v>1.0613694936083602</v>
      </c>
      <c r="AG20" s="8">
        <v>89.076463391396146</v>
      </c>
      <c r="AH20" s="5">
        <f t="shared" si="15"/>
        <v>1.0166440318353951</v>
      </c>
      <c r="AI20" s="8">
        <v>87.248365086587512</v>
      </c>
      <c r="AJ20" s="5">
        <f t="shared" si="16"/>
        <v>0.99612955435591799</v>
      </c>
      <c r="AK20" s="8">
        <v>84.567231495202407</v>
      </c>
      <c r="AL20" s="5">
        <f t="shared" si="17"/>
        <v>0.96505593651176336</v>
      </c>
      <c r="AM20" s="11">
        <v>88.081899632086333</v>
      </c>
      <c r="AN20" s="5">
        <f t="shared" si="18"/>
        <v>1.0044966745078512</v>
      </c>
      <c r="AO20" s="8">
        <v>98.097536107198039</v>
      </c>
      <c r="AP20" s="5">
        <f t="shared" si="19"/>
        <v>1.1358623424295646</v>
      </c>
      <c r="AQ20" s="8">
        <v>83.304167181105328</v>
      </c>
      <c r="AR20" s="5">
        <f t="shared" si="20"/>
        <v>0.94157239855434716</v>
      </c>
      <c r="AS20" s="8">
        <v>85.786117442668242</v>
      </c>
      <c r="AT20" s="5">
        <f t="shared" si="21"/>
        <v>0.97768765975499605</v>
      </c>
    </row>
    <row r="21" spans="1:46" x14ac:dyDescent="0.25">
      <c r="A21">
        <v>19</v>
      </c>
      <c r="B21">
        <f t="shared" si="23"/>
        <v>2045</v>
      </c>
      <c r="C21" s="3">
        <v>132.74670699274563</v>
      </c>
      <c r="D21" s="4">
        <f t="shared" si="0"/>
        <v>1.5169023758425528</v>
      </c>
      <c r="E21" s="9">
        <v>57.84173635777465</v>
      </c>
      <c r="F21" s="4">
        <f t="shared" si="1"/>
        <v>0.72505036015795432</v>
      </c>
      <c r="G21" s="3">
        <v>113.56293298885228</v>
      </c>
      <c r="H21" s="4">
        <f t="shared" si="2"/>
        <v>1.3084444583565107</v>
      </c>
      <c r="I21" s="3">
        <v>87.053021409037072</v>
      </c>
      <c r="J21" s="4">
        <f t="shared" si="3"/>
        <v>1.0088244257640233</v>
      </c>
      <c r="K21" s="3">
        <v>98.076892553634721</v>
      </c>
      <c r="L21" s="4">
        <f t="shared" si="4"/>
        <v>1.1426102654639494</v>
      </c>
      <c r="M21" s="3">
        <v>94.469991488880837</v>
      </c>
      <c r="N21" s="4">
        <f t="shared" si="5"/>
        <v>1.1098443954271888</v>
      </c>
      <c r="O21" s="3">
        <v>95.261947011735373</v>
      </c>
      <c r="P21" s="4">
        <f t="shared" si="6"/>
        <v>1.1096295505219693</v>
      </c>
      <c r="Q21" s="3">
        <v>90.394601165896603</v>
      </c>
      <c r="R21" s="4">
        <f t="shared" si="7"/>
        <v>1.0458871168462136</v>
      </c>
      <c r="S21" s="3">
        <v>132.74670699274563</v>
      </c>
      <c r="T21" s="4">
        <f t="shared" si="8"/>
        <v>1.5169023758425528</v>
      </c>
      <c r="U21" s="3">
        <v>89.83209873252153</v>
      </c>
      <c r="V21" s="5">
        <f t="shared" si="9"/>
        <v>1.0486157598356411</v>
      </c>
      <c r="W21" s="3">
        <v>80.900459508512213</v>
      </c>
      <c r="X21" s="5">
        <f t="shared" si="10"/>
        <v>0.95247164719683064</v>
      </c>
      <c r="Y21" s="3">
        <v>45.337302807827193</v>
      </c>
      <c r="Z21" s="5">
        <f t="shared" si="11"/>
        <v>0.55619017219782763</v>
      </c>
      <c r="AA21" s="3">
        <v>106.13808533525459</v>
      </c>
      <c r="AB21" s="5">
        <f t="shared" si="12"/>
        <v>1.2053041710729431</v>
      </c>
      <c r="AC21" s="3">
        <v>135.5483678604723</v>
      </c>
      <c r="AD21" s="5">
        <f t="shared" si="13"/>
        <v>1.5500952954907432</v>
      </c>
      <c r="AE21" s="3">
        <v>95.135889896071873</v>
      </c>
      <c r="AF21" s="5">
        <f t="shared" si="14"/>
        <v>1.105262565301967</v>
      </c>
      <c r="AG21" s="3">
        <v>90.894346050551675</v>
      </c>
      <c r="AH21" s="5">
        <f t="shared" si="15"/>
        <v>1.0585801723613177</v>
      </c>
      <c r="AI21" s="3">
        <v>88.863321653505523</v>
      </c>
      <c r="AJ21" s="5">
        <f t="shared" si="16"/>
        <v>1.0371286363272993</v>
      </c>
      <c r="AK21" s="3">
        <v>86.136602275627325</v>
      </c>
      <c r="AL21" s="5">
        <f t="shared" si="17"/>
        <v>1.0047969854813796</v>
      </c>
      <c r="AM21" s="11">
        <v>89.582116992254313</v>
      </c>
      <c r="AN21" s="5">
        <f t="shared" si="18"/>
        <v>1.0458273887935063</v>
      </c>
      <c r="AO21" s="3">
        <v>99.808111977085318</v>
      </c>
      <c r="AP21" s="5">
        <f t="shared" si="19"/>
        <v>1.1819110483322424</v>
      </c>
      <c r="AQ21" s="3">
        <v>84.817108339971981</v>
      </c>
      <c r="AR21" s="5">
        <f t="shared" si="20"/>
        <v>0.98070466946995805</v>
      </c>
      <c r="AS21" s="3">
        <v>87.443227974615922</v>
      </c>
      <c r="AT21" s="5">
        <f t="shared" si="21"/>
        <v>1.0180315497296744</v>
      </c>
    </row>
    <row r="22" spans="1:46" x14ac:dyDescent="0.25">
      <c r="A22">
        <v>20</v>
      </c>
      <c r="B22">
        <f t="shared" ref="B22:B47" si="24">B21+1</f>
        <v>2046</v>
      </c>
      <c r="C22" s="3">
        <v>134.40159537074976</v>
      </c>
      <c r="D22" s="4">
        <f t="shared" si="0"/>
        <v>1.5763721980130481</v>
      </c>
      <c r="E22" s="9">
        <v>57.897802381316986</v>
      </c>
      <c r="F22" s="4">
        <f t="shared" si="1"/>
        <v>0.75066889543040649</v>
      </c>
      <c r="G22" s="3">
        <v>114.77986631715652</v>
      </c>
      <c r="H22" s="4">
        <f t="shared" si="2"/>
        <v>1.359232086433432</v>
      </c>
      <c r="I22" s="3">
        <v>87.913604008106873</v>
      </c>
      <c r="J22" s="4">
        <f t="shared" si="3"/>
        <v>1.0477243092237942</v>
      </c>
      <c r="K22" s="3">
        <v>99.117016031130632</v>
      </c>
      <c r="L22" s="4">
        <f t="shared" si="4"/>
        <v>1.1864674183584625</v>
      </c>
      <c r="M22" s="3">
        <v>95.432972095353648</v>
      </c>
      <c r="N22" s="4">
        <f t="shared" si="5"/>
        <v>1.1520714379266237</v>
      </c>
      <c r="O22" s="3">
        <v>96.218217726948225</v>
      </c>
      <c r="P22" s="4">
        <f t="shared" si="6"/>
        <v>1.1522040473648014</v>
      </c>
      <c r="Q22" s="3">
        <v>91.300899111714983</v>
      </c>
      <c r="R22" s="4">
        <f t="shared" si="7"/>
        <v>1.0862858057100042</v>
      </c>
      <c r="S22" s="3">
        <v>134.40159537074976</v>
      </c>
      <c r="T22" s="4">
        <f t="shared" si="8"/>
        <v>1.5763721980130481</v>
      </c>
      <c r="U22" s="3">
        <v>90.784699387206075</v>
      </c>
      <c r="V22" s="5">
        <f t="shared" si="9"/>
        <v>1.08878604139715</v>
      </c>
      <c r="W22" s="3">
        <v>81.893957145009395</v>
      </c>
      <c r="X22" s="5">
        <f t="shared" si="10"/>
        <v>0.98870796607993061</v>
      </c>
      <c r="Y22" s="3">
        <v>45.729197183125365</v>
      </c>
      <c r="Z22" s="5">
        <f t="shared" si="11"/>
        <v>0.57642436076514447</v>
      </c>
      <c r="AA22" s="3">
        <v>107.26679744156783</v>
      </c>
      <c r="AB22" s="5">
        <f t="shared" si="12"/>
        <v>1.2527674273762004</v>
      </c>
      <c r="AC22" s="3">
        <v>137.32330467429657</v>
      </c>
      <c r="AD22" s="5">
        <f t="shared" si="13"/>
        <v>1.6108579113385493</v>
      </c>
      <c r="AE22" s="3">
        <v>96.205490068627142</v>
      </c>
      <c r="AF22" s="5">
        <f t="shared" si="14"/>
        <v>1.1478314304290824</v>
      </c>
      <c r="AG22" s="3">
        <v>91.915176576320974</v>
      </c>
      <c r="AH22" s="5">
        <f t="shared" si="15"/>
        <v>1.099250665822983</v>
      </c>
      <c r="AI22" s="3">
        <v>89.803027985735653</v>
      </c>
      <c r="AJ22" s="5">
        <f t="shared" si="16"/>
        <v>1.0768645493568405</v>
      </c>
      <c r="AK22" s="3">
        <v>87.04001625571307</v>
      </c>
      <c r="AL22" s="5">
        <f t="shared" si="17"/>
        <v>1.0433103251048079</v>
      </c>
      <c r="AM22" s="11">
        <v>90.501054460821905</v>
      </c>
      <c r="AN22" s="5">
        <f t="shared" si="18"/>
        <v>1.0858721635611033</v>
      </c>
      <c r="AO22" s="3">
        <v>100.89621563543022</v>
      </c>
      <c r="AP22" s="5">
        <f t="shared" si="19"/>
        <v>1.2265554588763514</v>
      </c>
      <c r="AQ22" s="3">
        <v>85.679643281933139</v>
      </c>
      <c r="AR22" s="5">
        <f t="shared" si="20"/>
        <v>1.0186160732412628</v>
      </c>
      <c r="AS22" s="3">
        <v>88.394854908664243</v>
      </c>
      <c r="AT22" s="5">
        <f t="shared" si="21"/>
        <v>1.0571443763870061</v>
      </c>
    </row>
    <row r="23" spans="1:46" x14ac:dyDescent="0.25">
      <c r="A23">
        <v>21</v>
      </c>
      <c r="B23">
        <f t="shared" si="24"/>
        <v>2047</v>
      </c>
      <c r="C23" s="3">
        <v>136.07757256966605</v>
      </c>
      <c r="D23" s="4">
        <f t="shared" si="0"/>
        <v>1.6341178641878782</v>
      </c>
      <c r="E23" s="9">
        <v>57.953925400326803</v>
      </c>
      <c r="F23" s="4">
        <f t="shared" si="1"/>
        <v>0.77526213270302879</v>
      </c>
      <c r="G23" s="3">
        <v>116.01050625430116</v>
      </c>
      <c r="H23" s="4">
        <f t="shared" si="2"/>
        <v>1.408462123686663</v>
      </c>
      <c r="I23" s="3">
        <v>88.783279650461722</v>
      </c>
      <c r="J23" s="4">
        <f t="shared" si="3"/>
        <v>1.0854002431178782</v>
      </c>
      <c r="K23" s="3">
        <v>100.16880144997586</v>
      </c>
      <c r="L23" s="4">
        <f t="shared" si="4"/>
        <v>1.2289748945019086</v>
      </c>
      <c r="M23" s="3">
        <v>96.406551228521053</v>
      </c>
      <c r="N23" s="4">
        <f t="shared" si="5"/>
        <v>1.1929823714418342</v>
      </c>
      <c r="O23" s="3">
        <v>97.184804607796963</v>
      </c>
      <c r="P23" s="4">
        <f t="shared" si="6"/>
        <v>1.1934452392685946</v>
      </c>
      <c r="Q23" s="3">
        <v>92.216890323675116</v>
      </c>
      <c r="R23" s="4">
        <f t="shared" si="7"/>
        <v>1.125418821266889</v>
      </c>
      <c r="S23" s="3">
        <v>136.07757256966605</v>
      </c>
      <c r="T23" s="4">
        <f t="shared" si="8"/>
        <v>1.6341178641878782</v>
      </c>
      <c r="U23" s="3">
        <v>91.747984893554815</v>
      </c>
      <c r="V23" s="5">
        <f t="shared" si="9"/>
        <v>1.1277200729780277</v>
      </c>
      <c r="W23" s="3">
        <v>82.900095128663338</v>
      </c>
      <c r="X23" s="5">
        <f t="shared" si="10"/>
        <v>1.0238873209784805</v>
      </c>
      <c r="Y23" s="3">
        <v>46.124751108653669</v>
      </c>
      <c r="Z23" s="5">
        <f t="shared" si="11"/>
        <v>0.59599778810971171</v>
      </c>
      <c r="AA23" s="3">
        <v>108.40805011783928</v>
      </c>
      <c r="AB23" s="5">
        <f t="shared" si="12"/>
        <v>1.2987712982165924</v>
      </c>
      <c r="AC23" s="3">
        <v>139.12195420762205</v>
      </c>
      <c r="AD23" s="5">
        <f t="shared" si="13"/>
        <v>1.6698954865506617</v>
      </c>
      <c r="AE23" s="3">
        <v>97.287632783297198</v>
      </c>
      <c r="AF23" s="5">
        <f t="shared" si="14"/>
        <v>1.1891162583368375</v>
      </c>
      <c r="AG23" s="3">
        <v>92.947971788382517</v>
      </c>
      <c r="AH23" s="5">
        <f t="shared" si="15"/>
        <v>1.1386939219684555</v>
      </c>
      <c r="AI23" s="3">
        <v>90.753247547535338</v>
      </c>
      <c r="AJ23" s="5">
        <f t="shared" si="16"/>
        <v>1.1153764557511048</v>
      </c>
      <c r="AK23" s="3">
        <v>87.953460417925015</v>
      </c>
      <c r="AL23" s="5">
        <f t="shared" si="17"/>
        <v>1.0806341182053529</v>
      </c>
      <c r="AM23" s="11">
        <v>91.430068261542957</v>
      </c>
      <c r="AN23" s="5">
        <f t="shared" si="18"/>
        <v>1.1246712845365308</v>
      </c>
      <c r="AO23" s="3">
        <v>101.99687783596144</v>
      </c>
      <c r="AP23" s="5">
        <f t="shared" si="19"/>
        <v>1.2698386946599334</v>
      </c>
      <c r="AQ23" s="3">
        <v>86.551471419152705</v>
      </c>
      <c r="AR23" s="5">
        <f t="shared" si="20"/>
        <v>1.0553449204798626</v>
      </c>
      <c r="AS23" s="3">
        <v>89.35734855922351</v>
      </c>
      <c r="AT23" s="5">
        <f t="shared" si="21"/>
        <v>1.0950639212666529</v>
      </c>
    </row>
    <row r="24" spans="1:46" x14ac:dyDescent="0.25">
      <c r="A24" s="12">
        <v>22</v>
      </c>
      <c r="B24" s="12">
        <f t="shared" si="24"/>
        <v>2048</v>
      </c>
      <c r="C24" s="13">
        <v>137.77490773641051</v>
      </c>
      <c r="D24" s="128">
        <f t="shared" si="0"/>
        <v>1.6901895479659117</v>
      </c>
      <c r="E24" s="13">
        <v>58.010105472744407</v>
      </c>
      <c r="F24" s="128">
        <f t="shared" si="1"/>
        <v>0.79887110725027488</v>
      </c>
      <c r="G24" s="13">
        <v>117.25501126183988</v>
      </c>
      <c r="H24" s="128">
        <f t="shared" si="2"/>
        <v>1.4561826122784047</v>
      </c>
      <c r="I24" s="13">
        <v>89.662148106287219</v>
      </c>
      <c r="J24" s="128">
        <f t="shared" si="3"/>
        <v>1.1218909778828292</v>
      </c>
      <c r="K24" s="13">
        <v>101.23238328081248</v>
      </c>
      <c r="L24" s="128">
        <f t="shared" si="4"/>
        <v>1.2701744879306205</v>
      </c>
      <c r="M24" s="13">
        <v>97.390850919036637</v>
      </c>
      <c r="N24" s="128">
        <f t="shared" si="5"/>
        <v>1.2326185365848623</v>
      </c>
      <c r="O24" s="13">
        <v>98.161823876581138</v>
      </c>
      <c r="P24" s="128">
        <f t="shared" si="6"/>
        <v>1.2333951752759049</v>
      </c>
      <c r="Q24" s="13">
        <v>93.142682310554889</v>
      </c>
      <c r="R24" s="128">
        <f t="shared" si="7"/>
        <v>1.1633260651515824</v>
      </c>
      <c r="S24" s="13">
        <v>137.77490773641051</v>
      </c>
      <c r="T24" s="128">
        <f t="shared" si="8"/>
        <v>1.6901895479659117</v>
      </c>
      <c r="U24" s="13">
        <v>92.722078278093065</v>
      </c>
      <c r="V24" s="129">
        <f t="shared" si="9"/>
        <v>1.1654561392753693</v>
      </c>
      <c r="W24" s="13">
        <v>83.919034541846145</v>
      </c>
      <c r="X24" s="129">
        <f t="shared" si="10"/>
        <v>1.0580407212245597</v>
      </c>
      <c r="Y24" s="13">
        <v>46.52399950632114</v>
      </c>
      <c r="Z24" s="129">
        <f t="shared" si="11"/>
        <v>0.61493214292995746</v>
      </c>
      <c r="AA24" s="13">
        <v>109.56198544544796</v>
      </c>
      <c r="AB24" s="129">
        <f t="shared" si="12"/>
        <v>1.3433608762676552</v>
      </c>
      <c r="AC24" s="13">
        <v>140.94463325981869</v>
      </c>
      <c r="AD24" s="129">
        <f t="shared" si="13"/>
        <v>1.7272571864145831</v>
      </c>
      <c r="AE24" s="13">
        <v>98.382467144805119</v>
      </c>
      <c r="AF24" s="129">
        <f t="shared" si="14"/>
        <v>1.2291559918244501</v>
      </c>
      <c r="AG24" s="13">
        <v>93.992873748342731</v>
      </c>
      <c r="AH24" s="129">
        <f t="shared" si="15"/>
        <v>1.1769471770843207</v>
      </c>
      <c r="AI24" s="13">
        <v>91.714101081157565</v>
      </c>
      <c r="AJ24" s="129">
        <f t="shared" si="16"/>
        <v>1.1527022951096617</v>
      </c>
      <c r="AK24" s="13">
        <v>88.877049075204823</v>
      </c>
      <c r="AL24" s="129">
        <f t="shared" si="17"/>
        <v>1.1168053330712993</v>
      </c>
      <c r="AM24" s="14">
        <v>92.369272969480164</v>
      </c>
      <c r="AN24" s="129">
        <f t="shared" si="18"/>
        <v>1.1622637659966566</v>
      </c>
      <c r="AO24" s="13">
        <v>103.11024763239948</v>
      </c>
      <c r="AP24" s="129">
        <f t="shared" si="19"/>
        <v>1.3118025420288597</v>
      </c>
      <c r="AQ24" s="13">
        <v>87.432695697789171</v>
      </c>
      <c r="AR24" s="129">
        <f t="shared" si="20"/>
        <v>1.0909283118649389</v>
      </c>
      <c r="AS24" s="13">
        <v>90.330835210391854</v>
      </c>
      <c r="AT24" s="129">
        <f t="shared" si="21"/>
        <v>1.1318267985607757</v>
      </c>
    </row>
    <row r="25" spans="1:46" x14ac:dyDescent="0.25">
      <c r="A25">
        <v>23</v>
      </c>
      <c r="B25">
        <f t="shared" si="24"/>
        <v>2049</v>
      </c>
      <c r="C25" s="3">
        <v>139.49387345810158</v>
      </c>
      <c r="D25" s="4">
        <f t="shared" si="0"/>
        <v>1.7446359554599935</v>
      </c>
      <c r="E25" s="3">
        <v>58.066342656569034</v>
      </c>
      <c r="F25" s="4">
        <f t="shared" si="1"/>
        <v>0.82153521195678114</v>
      </c>
      <c r="G25" s="3">
        <v>118.51354167970753</v>
      </c>
      <c r="H25" s="4">
        <f t="shared" si="2"/>
        <v>1.502440103191067</v>
      </c>
      <c r="I25" s="15">
        <v>90.550310282327729</v>
      </c>
      <c r="J25" s="4">
        <f t="shared" si="3"/>
        <v>1.1572340289439784</v>
      </c>
      <c r="K25" s="15">
        <v>102.3078975867746</v>
      </c>
      <c r="L25" s="4">
        <f t="shared" si="4"/>
        <v>1.3101066895663105</v>
      </c>
      <c r="M25" s="15">
        <v>98.385994658463616</v>
      </c>
      <c r="N25" s="4">
        <f t="shared" si="5"/>
        <v>1.2710199647199425</v>
      </c>
      <c r="O25" s="15">
        <v>99.149393118168703</v>
      </c>
      <c r="P25" s="4">
        <f t="shared" si="6"/>
        <v>1.2720945684942326</v>
      </c>
      <c r="Q25" s="15">
        <v>94.078383816838979</v>
      </c>
      <c r="R25" s="4">
        <f t="shared" si="7"/>
        <v>1.2000461725992746</v>
      </c>
      <c r="S25" s="15">
        <v>139.49387345810158</v>
      </c>
      <c r="T25" s="4">
        <f t="shared" si="8"/>
        <v>1.7446359554599935</v>
      </c>
      <c r="U25" s="15">
        <v>93.707104020193015</v>
      </c>
      <c r="V25" s="5">
        <f t="shared" si="9"/>
        <v>1.2020313310317743</v>
      </c>
      <c r="W25" s="15">
        <v>84.950938523002264</v>
      </c>
      <c r="X25" s="5">
        <f t="shared" si="10"/>
        <v>1.0911982592666682</v>
      </c>
      <c r="Y25" s="15">
        <v>46.926977640736581</v>
      </c>
      <c r="Z25" s="5">
        <f t="shared" si="11"/>
        <v>0.63324839785753051</v>
      </c>
      <c r="AA25" s="15">
        <v>110.72874714846219</v>
      </c>
      <c r="AB25" s="5">
        <f t="shared" si="12"/>
        <v>1.3865798531237616</v>
      </c>
      <c r="AC25" s="15">
        <v>142.79166286270527</v>
      </c>
      <c r="AD25" s="5">
        <f t="shared" si="13"/>
        <v>1.7829907671823118</v>
      </c>
      <c r="AE25" s="15">
        <v>99.490144054634598</v>
      </c>
      <c r="AF25" s="5">
        <f t="shared" si="14"/>
        <v>1.2679883848934588</v>
      </c>
      <c r="AG25" s="15">
        <v>95.050026226565905</v>
      </c>
      <c r="AH25" s="5">
        <f t="shared" si="15"/>
        <v>1.214046530138053</v>
      </c>
      <c r="AI25" s="15">
        <v>92.685710751298842</v>
      </c>
      <c r="AJ25" s="5">
        <f t="shared" si="16"/>
        <v>1.1888788228046903</v>
      </c>
      <c r="AK25" s="15">
        <v>89.810897877364113</v>
      </c>
      <c r="AL25" s="5">
        <f t="shared" si="17"/>
        <v>1.1518597811414437</v>
      </c>
      <c r="AM25" s="15">
        <v>93.318784507475698</v>
      </c>
      <c r="AN25" s="5">
        <f t="shared" si="18"/>
        <v>1.1986873912225524</v>
      </c>
      <c r="AO25" s="15">
        <v>104.2364758920948</v>
      </c>
      <c r="AP25" s="5">
        <f t="shared" si="19"/>
        <v>1.3524874947187187</v>
      </c>
      <c r="AQ25" s="15">
        <v>88.323420237424159</v>
      </c>
      <c r="AR25" s="5">
        <f t="shared" si="20"/>
        <v>1.125402176632643</v>
      </c>
      <c r="AS25" s="3">
        <v>91.3154426399432</v>
      </c>
      <c r="AT25" s="5">
        <f t="shared" si="21"/>
        <v>1.1674684914697488</v>
      </c>
    </row>
    <row r="26" spans="1:46" x14ac:dyDescent="0.25">
      <c r="A26">
        <v>24</v>
      </c>
      <c r="B26">
        <f t="shared" si="24"/>
        <v>2050</v>
      </c>
      <c r="C26" s="3">
        <v>141.23474580609894</v>
      </c>
      <c r="D26" s="4">
        <f t="shared" si="0"/>
        <v>1.7975043685135252</v>
      </c>
      <c r="E26" s="3">
        <v>58.122637009858856</v>
      </c>
      <c r="F26" s="4">
        <f t="shared" si="1"/>
        <v>0.84329226305394123</v>
      </c>
      <c r="G26" s="3">
        <v>119.78625974900056</v>
      </c>
      <c r="H26" s="4">
        <f t="shared" si="2"/>
        <v>1.5472797028405914</v>
      </c>
      <c r="I26" s="15">
        <v>91.447868235291011</v>
      </c>
      <c r="J26" s="4">
        <f t="shared" si="3"/>
        <v>1.1914657163600897</v>
      </c>
      <c r="K26" s="15">
        <v>103.3954820428079</v>
      </c>
      <c r="L26" s="4">
        <f t="shared" si="4"/>
        <v>1.3488107281604178</v>
      </c>
      <c r="M26" s="15">
        <v>99.392107417318357</v>
      </c>
      <c r="N26" s="4">
        <f t="shared" si="5"/>
        <v>1.3082254197884422</v>
      </c>
      <c r="O26" s="15">
        <v>100.14763129651999</v>
      </c>
      <c r="P26" s="4">
        <f t="shared" si="6"/>
        <v>1.309582838873437</v>
      </c>
      <c r="Q26" s="15">
        <v>95.024104837393907</v>
      </c>
      <c r="R26" s="4">
        <f t="shared" si="7"/>
        <v>1.2356165529324723</v>
      </c>
      <c r="S26" s="15">
        <v>141.23474580609894</v>
      </c>
      <c r="T26" s="4">
        <f t="shared" si="8"/>
        <v>1.7975043685135252</v>
      </c>
      <c r="U26" s="15">
        <v>94.703188069634479</v>
      </c>
      <c r="V26" s="5">
        <f t="shared" si="9"/>
        <v>1.237481582567084</v>
      </c>
      <c r="W26" s="15">
        <v>85.995972292934908</v>
      </c>
      <c r="X26" s="5">
        <f t="shared" si="10"/>
        <v>1.1233891380633405</v>
      </c>
      <c r="Y26" s="15">
        <v>47.333721122688331</v>
      </c>
      <c r="Z26" s="5">
        <f t="shared" si="11"/>
        <v>0.65096683325663962</v>
      </c>
      <c r="AA26" s="15">
        <v>111.90848061301895</v>
      </c>
      <c r="AB26" s="5">
        <f t="shared" si="12"/>
        <v>1.4284705631149481</v>
      </c>
      <c r="AC26" s="15">
        <v>144.6633683370959</v>
      </c>
      <c r="AD26" s="5">
        <f t="shared" si="13"/>
        <v>1.8371426167665557</v>
      </c>
      <c r="AE26" s="15">
        <v>100.61081623296705</v>
      </c>
      <c r="AF26" s="5">
        <f t="shared" si="14"/>
        <v>1.3056500393248698</v>
      </c>
      <c r="AG26" s="15">
        <v>96.119574722989043</v>
      </c>
      <c r="AH26" s="5">
        <f t="shared" si="15"/>
        <v>1.250026977796177</v>
      </c>
      <c r="AI26" s="15">
        <v>93.668200162255204</v>
      </c>
      <c r="AJ26" s="5">
        <f t="shared" si="16"/>
        <v>1.2239416472385425</v>
      </c>
      <c r="AK26" s="15">
        <v>90.755123827101656</v>
      </c>
      <c r="AL26" s="5">
        <f t="shared" si="17"/>
        <v>1.185832153490971</v>
      </c>
      <c r="AM26" s="15">
        <v>94.27872016248277</v>
      </c>
      <c r="AN26" s="5">
        <f t="shared" si="18"/>
        <v>1.2339787516541525</v>
      </c>
      <c r="AO26" s="15">
        <v>105.37571531856564</v>
      </c>
      <c r="AP26" s="5">
        <f t="shared" si="19"/>
        <v>1.3919327941843458</v>
      </c>
      <c r="AQ26" s="15">
        <v>89.22375034481405</v>
      </c>
      <c r="AR26" s="5">
        <f t="shared" si="20"/>
        <v>1.1588013098310059</v>
      </c>
      <c r="AS26" s="3">
        <v>92.311300137299227</v>
      </c>
      <c r="AT26" s="5">
        <f t="shared" si="21"/>
        <v>1.2020233874148833</v>
      </c>
    </row>
    <row r="27" spans="1:46" x14ac:dyDescent="0.25">
      <c r="A27">
        <v>25</v>
      </c>
      <c r="B27">
        <f t="shared" si="24"/>
        <v>2051</v>
      </c>
      <c r="C27" s="3">
        <v>142.99780438060736</v>
      </c>
      <c r="D27" s="4">
        <f t="shared" si="0"/>
        <v>1.8488406866325886</v>
      </c>
      <c r="E27" s="3">
        <v>58.17898859073108</v>
      </c>
      <c r="F27" s="4">
        <f t="shared" si="1"/>
        <v>0.86417856322530362</v>
      </c>
      <c r="G27" s="3">
        <v>121.07332963503919</v>
      </c>
      <c r="H27" s="4">
        <f t="shared" si="2"/>
        <v>1.5907451182209236</v>
      </c>
      <c r="I27" s="15">
        <v>92.354925185415794</v>
      </c>
      <c r="J27" s="4">
        <f t="shared" si="3"/>
        <v>1.224621203185339</v>
      </c>
      <c r="K27" s="15">
        <v>104.49527595522902</v>
      </c>
      <c r="L27" s="4">
        <f t="shared" si="4"/>
        <v>1.3863246099407205</v>
      </c>
      <c r="M27" s="15">
        <v>100.40931566334196</v>
      </c>
      <c r="N27" s="4">
        <f t="shared" si="5"/>
        <v>1.3442724387852585</v>
      </c>
      <c r="O27" s="15">
        <v>101.15665877141763</v>
      </c>
      <c r="P27" s="4">
        <f t="shared" si="6"/>
        <v>1.345898154601846</v>
      </c>
      <c r="Q27" s="15">
        <v>95.979956632322299</v>
      </c>
      <c r="R27" s="4">
        <f t="shared" si="7"/>
        <v>1.2700734287430706</v>
      </c>
      <c r="S27" s="15">
        <v>142.99780438060736</v>
      </c>
      <c r="T27" s="4">
        <f t="shared" si="8"/>
        <v>1.8488406866325886</v>
      </c>
      <c r="U27" s="15">
        <v>95.710457864382448</v>
      </c>
      <c r="V27" s="5">
        <f t="shared" si="9"/>
        <v>1.2718417081195674</v>
      </c>
      <c r="W27" s="15">
        <v>87.054303181429191</v>
      </c>
      <c r="X27" s="5">
        <f t="shared" si="10"/>
        <v>1.1546416976471245</v>
      </c>
      <c r="Y27" s="15">
        <v>47.744265912660779</v>
      </c>
      <c r="Z27" s="5">
        <f t="shared" si="11"/>
        <v>0.66810706022634758</v>
      </c>
      <c r="AA27" s="15">
        <v>113.10133290693628</v>
      </c>
      <c r="AB27" s="5">
        <f t="shared" si="12"/>
        <v>1.4690740257411756</v>
      </c>
      <c r="AC27" s="15">
        <v>146.56007935010149</v>
      </c>
      <c r="AD27" s="5">
        <f t="shared" si="13"/>
        <v>1.8897577942489054</v>
      </c>
      <c r="AE27" s="15">
        <v>101.74463824088973</v>
      </c>
      <c r="AF27" s="5">
        <f t="shared" si="14"/>
        <v>1.3421764401200953</v>
      </c>
      <c r="AG27" s="15">
        <v>97.201666488192984</v>
      </c>
      <c r="AH27" s="5">
        <f t="shared" si="15"/>
        <v>1.2849224483536095</v>
      </c>
      <c r="AI27" s="15">
        <v>94.661694375289656</v>
      </c>
      <c r="AJ27" s="5">
        <f t="shared" si="16"/>
        <v>1.2579252659184839</v>
      </c>
      <c r="AK27" s="15">
        <v>91.709845296216571</v>
      </c>
      <c r="AL27" s="5">
        <f t="shared" si="17"/>
        <v>1.2187560561562567</v>
      </c>
      <c r="AM27" s="15">
        <v>95.249198602100336</v>
      </c>
      <c r="AN27" s="5">
        <f t="shared" si="18"/>
        <v>1.2681732847884415</v>
      </c>
      <c r="AO27" s="15">
        <v>106.52812047432027</v>
      </c>
      <c r="AP27" s="5">
        <f t="shared" si="19"/>
        <v>1.4301764686588139</v>
      </c>
      <c r="AQ27" s="15">
        <v>90.133792527806889</v>
      </c>
      <c r="AR27" s="5">
        <f t="shared" si="20"/>
        <v>1.1911594083803334</v>
      </c>
      <c r="AS27" s="3">
        <v>93.318538521721081</v>
      </c>
      <c r="AT27" s="5">
        <f t="shared" si="21"/>
        <v>1.2355248121444984</v>
      </c>
    </row>
    <row r="28" spans="1:46" x14ac:dyDescent="0.25">
      <c r="A28">
        <v>26</v>
      </c>
      <c r="B28">
        <f t="shared" si="24"/>
        <v>2052</v>
      </c>
      <c r="C28" s="3">
        <v>144.7833323558522</v>
      </c>
      <c r="D28" s="4">
        <f t="shared" si="0"/>
        <v>1.8986894676722552</v>
      </c>
      <c r="E28" s="3">
        <v>58.235397457361977</v>
      </c>
      <c r="F28" s="4">
        <f t="shared" si="1"/>
        <v>0.88422896218611091</v>
      </c>
      <c r="G28" s="3">
        <v>122.37491745071499</v>
      </c>
      <c r="H28" s="4">
        <f t="shared" si="2"/>
        <v>1.632878700626353</v>
      </c>
      <c r="I28" s="15">
        <v>93.271585530204149</v>
      </c>
      <c r="J28" s="4">
        <f t="shared" si="3"/>
        <v>1.2567345325904813</v>
      </c>
      <c r="K28" s="15">
        <v>105.60742028152676</v>
      </c>
      <c r="L28" s="4">
        <f t="shared" si="4"/>
        <v>1.4226851570017516</v>
      </c>
      <c r="M28" s="15">
        <v>101.43774738000305</v>
      </c>
      <c r="N28" s="4">
        <f t="shared" si="5"/>
        <v>1.3791973709305878</v>
      </c>
      <c r="O28" s="15">
        <v>102.17659731540478</v>
      </c>
      <c r="P28" s="4">
        <f t="shared" si="6"/>
        <v>1.3810774721660748</v>
      </c>
      <c r="Q28" s="15">
        <v>96.946051741998815</v>
      </c>
      <c r="R28" s="4">
        <f t="shared" si="7"/>
        <v>1.3034518738120742</v>
      </c>
      <c r="S28" s="15">
        <v>144.7833323558522</v>
      </c>
      <c r="T28" s="4">
        <f t="shared" si="8"/>
        <v>1.8986894676722552</v>
      </c>
      <c r="U28" s="15">
        <v>96.729042348583761</v>
      </c>
      <c r="V28" s="5">
        <f t="shared" si="9"/>
        <v>1.3051454370347162</v>
      </c>
      <c r="W28" s="15">
        <v>88.126100654216074</v>
      </c>
      <c r="X28" s="5">
        <f t="shared" si="10"/>
        <v>1.1849834408844915</v>
      </c>
      <c r="Y28" s="15">
        <v>48.158648324387975</v>
      </c>
      <c r="Z28" s="5">
        <f t="shared" si="11"/>
        <v>0.68468804283274554</v>
      </c>
      <c r="AA28" s="15">
        <v>114.30745279956143</v>
      </c>
      <c r="AB28" s="5">
        <f t="shared" si="12"/>
        <v>1.5084299867699111</v>
      </c>
      <c r="AC28" s="15">
        <v>148.482129973197</v>
      </c>
      <c r="AD28" s="5">
        <f t="shared" si="13"/>
        <v>1.9408800682351488</v>
      </c>
      <c r="AE28" s="15">
        <v>102.89176650287854</v>
      </c>
      <c r="AF28" s="5">
        <f t="shared" si="14"/>
        <v>1.3776019898413867</v>
      </c>
      <c r="AG28" s="15">
        <v>98.296450544733744</v>
      </c>
      <c r="AH28" s="5">
        <f t="shared" si="15"/>
        <v>1.3187658346084417</v>
      </c>
      <c r="AI28" s="15">
        <v>95.666319926213433</v>
      </c>
      <c r="AJ28" s="5">
        <f t="shared" si="16"/>
        <v>1.2908631003865532</v>
      </c>
      <c r="AK28" s="15">
        <v>92.675182042020211</v>
      </c>
      <c r="AL28" s="5">
        <f t="shared" si="17"/>
        <v>1.2506640443359278</v>
      </c>
      <c r="AM28" s="15">
        <v>96.230339891313037</v>
      </c>
      <c r="AN28" s="5">
        <f t="shared" si="18"/>
        <v>1.3013053108618893</v>
      </c>
      <c r="AO28" s="15">
        <v>107.69384780396823</v>
      </c>
      <c r="AP28" s="5">
        <f t="shared" si="19"/>
        <v>1.4672553709823533</v>
      </c>
      <c r="AQ28" s="15">
        <v>91.053654509426593</v>
      </c>
      <c r="AR28" s="5">
        <f t="shared" si="20"/>
        <v>1.2225091059777475</v>
      </c>
      <c r="AS28" s="3">
        <v>94.337290160723484</v>
      </c>
      <c r="AT28" s="5">
        <f t="shared" si="21"/>
        <v>1.2680050627685082</v>
      </c>
    </row>
    <row r="29" spans="1:46" x14ac:dyDescent="0.25">
      <c r="A29">
        <v>27</v>
      </c>
      <c r="B29">
        <f t="shared" si="24"/>
        <v>2053</v>
      </c>
      <c r="C29" s="3">
        <v>146.59161652583407</v>
      </c>
      <c r="D29" s="4">
        <f t="shared" si="0"/>
        <v>1.9470939673145427</v>
      </c>
      <c r="E29" s="3">
        <v>58.291863667986988</v>
      </c>
      <c r="F29" s="4">
        <f t="shared" si="1"/>
        <v>0.90347691483808334</v>
      </c>
      <c r="G29" s="3">
        <v>123.69119128012747</v>
      </c>
      <c r="H29" s="4">
        <f t="shared" si="2"/>
        <v>1.6737214879969249</v>
      </c>
      <c r="I29" s="15">
        <v>94.197954858321026</v>
      </c>
      <c r="J29" s="4">
        <f t="shared" si="3"/>
        <v>1.2878386637836883</v>
      </c>
      <c r="K29" s="15">
        <v>106.73205765040903</v>
      </c>
      <c r="L29" s="4">
        <f t="shared" si="4"/>
        <v>1.4579280444792178</v>
      </c>
      <c r="M29" s="15">
        <v>102.47753208523439</v>
      </c>
      <c r="N29" s="4">
        <f t="shared" si="5"/>
        <v>1.413035415579533</v>
      </c>
      <c r="O29" s="15">
        <v>103.20757013093468</v>
      </c>
      <c r="P29" s="4">
        <f t="shared" si="6"/>
        <v>1.4151565751180761</v>
      </c>
      <c r="Q29" s="15">
        <v>97.922504002289529</v>
      </c>
      <c r="R29" s="4">
        <f t="shared" si="7"/>
        <v>1.3357858498080031</v>
      </c>
      <c r="S29" s="15">
        <v>146.59161652583407</v>
      </c>
      <c r="T29" s="4">
        <f t="shared" si="8"/>
        <v>1.9470939673145427</v>
      </c>
      <c r="U29" s="15">
        <v>97.759071990786097</v>
      </c>
      <c r="V29" s="5">
        <f t="shared" si="9"/>
        <v>1.3374254478385703</v>
      </c>
      <c r="W29" s="15">
        <v>89.211536340281768</v>
      </c>
      <c r="X29" s="5">
        <f t="shared" si="10"/>
        <v>1.2144410584564356</v>
      </c>
      <c r="Y29" s="15">
        <v>48.576905028444926</v>
      </c>
      <c r="Z29" s="5">
        <f t="shared" si="11"/>
        <v>0.70072811959701542</v>
      </c>
      <c r="AA29" s="15">
        <v>115.52699078185813</v>
      </c>
      <c r="AB29" s="5">
        <f t="shared" si="12"/>
        <v>1.5465769580395097</v>
      </c>
      <c r="AC29" s="15">
        <v>150.42985874106475</v>
      </c>
      <c r="AD29" s="5">
        <f t="shared" si="13"/>
        <v>1.9905519540918548</v>
      </c>
      <c r="AE29" s="15">
        <v>104.05235932955871</v>
      </c>
      <c r="AF29" s="5">
        <f t="shared" si="14"/>
        <v>1.4119600418863287</v>
      </c>
      <c r="AG29" s="15">
        <v>99.404077708736523</v>
      </c>
      <c r="AH29" s="5">
        <f t="shared" si="15"/>
        <v>1.3515890257153254</v>
      </c>
      <c r="AI29" s="15">
        <v>96.682204843183939</v>
      </c>
      <c r="AJ29" s="5">
        <f t="shared" si="16"/>
        <v>1.3227875300412513</v>
      </c>
      <c r="AK29" s="15">
        <v>93.651255223948866</v>
      </c>
      <c r="AL29" s="5">
        <f t="shared" si="17"/>
        <v>1.281587655504296</v>
      </c>
      <c r="AM29" s="15">
        <v>97.22226550943914</v>
      </c>
      <c r="AN29" s="5">
        <f t="shared" si="18"/>
        <v>1.333408068356515</v>
      </c>
      <c r="AO29" s="15">
        <v>108.87305565762352</v>
      </c>
      <c r="AP29" s="5">
        <f t="shared" si="19"/>
        <v>1.5032052152403668</v>
      </c>
      <c r="AQ29" s="15">
        <v>91.983445242126791</v>
      </c>
      <c r="AR29" s="5">
        <f t="shared" si="20"/>
        <v>1.2528820068832658</v>
      </c>
      <c r="AS29" s="3">
        <v>95.367688988714207</v>
      </c>
      <c r="AT29" s="5">
        <f t="shared" si="21"/>
        <v>1.2994954397555611</v>
      </c>
    </row>
    <row r="30" spans="1:46" x14ac:dyDescent="0.25">
      <c r="A30">
        <v>28</v>
      </c>
      <c r="B30">
        <f t="shared" si="24"/>
        <v>2054</v>
      </c>
      <c r="C30" s="3">
        <v>148.42294735067031</v>
      </c>
      <c r="D30" s="4">
        <f t="shared" si="0"/>
        <v>1.9940961773743346</v>
      </c>
      <c r="E30" s="3">
        <v>58.348387280900717</v>
      </c>
      <c r="F30" s="4">
        <f t="shared" si="1"/>
        <v>0.92195453709650299</v>
      </c>
      <c r="G30" s="3">
        <v>125.0223212025132</v>
      </c>
      <c r="H30" s="4">
        <f t="shared" si="2"/>
        <v>1.7133132459306875</v>
      </c>
      <c r="I30" s="15">
        <v>95.134139963662676</v>
      </c>
      <c r="J30" s="4">
        <f t="shared" si="3"/>
        <v>1.3179655067702054</v>
      </c>
      <c r="K30" s="15">
        <v>107.86933238209798</v>
      </c>
      <c r="L30" s="4">
        <f t="shared" si="4"/>
        <v>1.492087836547314</v>
      </c>
      <c r="M30" s="15">
        <v>103.52880085040677</v>
      </c>
      <c r="N30" s="4">
        <f t="shared" si="5"/>
        <v>1.4458206589106224</v>
      </c>
      <c r="O30" s="15">
        <v>104.24970186773383</v>
      </c>
      <c r="P30" s="4">
        <f t="shared" si="6"/>
        <v>1.4481701115915235</v>
      </c>
      <c r="Q30" s="15">
        <v>98.909428559957718</v>
      </c>
      <c r="R30" s="4">
        <f t="shared" si="7"/>
        <v>1.3671082418036646</v>
      </c>
      <c r="S30" s="15">
        <v>148.42294735067031</v>
      </c>
      <c r="T30" s="4">
        <f t="shared" si="8"/>
        <v>1.9940961773743346</v>
      </c>
      <c r="U30" s="15">
        <v>98.800678802381796</v>
      </c>
      <c r="V30" s="5">
        <f t="shared" si="9"/>
        <v>1.3687134012313018</v>
      </c>
      <c r="W30" s="15">
        <v>90.310784059526711</v>
      </c>
      <c r="X30" s="5">
        <f t="shared" si="10"/>
        <v>1.2430404530837464</v>
      </c>
      <c r="Y30" s="15">
        <v>48.999073055876671</v>
      </c>
      <c r="Z30" s="5">
        <f t="shared" si="11"/>
        <v>0.71624502426449987</v>
      </c>
      <c r="AA30" s="15">
        <v>116.76009908673538</v>
      </c>
      <c r="AB30" s="5">
        <f t="shared" si="12"/>
        <v>1.5835522560095112</v>
      </c>
      <c r="AC30" s="15">
        <v>152.40360871122337</v>
      </c>
      <c r="AD30" s="5">
        <f t="shared" si="13"/>
        <v>2.0388147500973197</v>
      </c>
      <c r="AE30" s="15">
        <v>105.22657694074705</v>
      </c>
      <c r="AF30" s="5">
        <f t="shared" si="14"/>
        <v>1.445282932729862</v>
      </c>
      <c r="AG30" s="15">
        <v>100.52470061175633</v>
      </c>
      <c r="AH30" s="5">
        <f t="shared" si="15"/>
        <v>1.3834229380495702</v>
      </c>
      <c r="AI30" s="15">
        <v>97.709478664721857</v>
      </c>
      <c r="AJ30" s="5">
        <f t="shared" si="16"/>
        <v>1.3537299248865811</v>
      </c>
      <c r="AK30" s="15">
        <v>94.638187420380206</v>
      </c>
      <c r="AL30" s="5">
        <f t="shared" si="17"/>
        <v>1.311557441472103</v>
      </c>
      <c r="AM30" s="15">
        <v>98.225098367289007</v>
      </c>
      <c r="AN30" s="5">
        <f t="shared" si="18"/>
        <v>1.3645137483676741</v>
      </c>
      <c r="AO30" s="15">
        <v>110.06590431460401</v>
      </c>
      <c r="AP30" s="5">
        <f t="shared" si="19"/>
        <v>1.5380606122484402</v>
      </c>
      <c r="AQ30" s="15">
        <v>92.923274922215882</v>
      </c>
      <c r="AR30" s="5">
        <f t="shared" si="20"/>
        <v>1.2823087186235922</v>
      </c>
      <c r="AS30" s="3">
        <v>96.409870525861507</v>
      </c>
      <c r="AT30" s="5">
        <f t="shared" si="21"/>
        <v>1.33002627792567</v>
      </c>
    </row>
    <row r="31" spans="1:46" x14ac:dyDescent="0.25">
      <c r="A31">
        <v>29</v>
      </c>
      <c r="B31">
        <f t="shared" si="24"/>
        <v>2055</v>
      </c>
      <c r="C31" s="3">
        <v>150.27761900353048</v>
      </c>
      <c r="D31" s="4">
        <f t="shared" si="0"/>
        <v>2.0397368629684736</v>
      </c>
      <c r="E31" s="3">
        <v>58.404968354457068</v>
      </c>
      <c r="F31" s="4">
        <f t="shared" si="1"/>
        <v>0.93969265948276992</v>
      </c>
      <c r="G31" s="3">
        <v>126.36847931647117</v>
      </c>
      <c r="H31" s="4">
        <f t="shared" si="2"/>
        <v>1.7516925074051257</v>
      </c>
      <c r="I31" s="15">
        <v>96.080248859596423</v>
      </c>
      <c r="J31" s="4">
        <f t="shared" si="3"/>
        <v>1.3471459559886911</v>
      </c>
      <c r="K31" s="15">
        <v>109.0193905088769</v>
      </c>
      <c r="L31" s="4">
        <f t="shared" si="4"/>
        <v>1.5251980212765743</v>
      </c>
      <c r="M31" s="15">
        <v>104.59168631954283</v>
      </c>
      <c r="N31" s="4">
        <f t="shared" si="5"/>
        <v>1.4775861094329581</v>
      </c>
      <c r="O31" s="15">
        <v>105.30311864038173</v>
      </c>
      <c r="P31" s="4">
        <f t="shared" si="6"/>
        <v>1.4801516306082381</v>
      </c>
      <c r="Q31" s="15">
        <v>99.906941888257634</v>
      </c>
      <c r="R31" s="4">
        <f t="shared" si="7"/>
        <v>1.3974508926496749</v>
      </c>
      <c r="S31" s="15">
        <v>150.27761900353048</v>
      </c>
      <c r="T31" s="4">
        <f t="shared" si="8"/>
        <v>2.0397368629684736</v>
      </c>
      <c r="U31" s="15">
        <v>99.853996356279367</v>
      </c>
      <c r="V31" s="5">
        <f t="shared" si="9"/>
        <v>1.3990399720356221</v>
      </c>
      <c r="W31" s="15">
        <v>91.424019850778919</v>
      </c>
      <c r="X31" s="5">
        <f t="shared" si="10"/>
        <v>1.2708067630201827</v>
      </c>
      <c r="Y31" s="15">
        <v>49.425189801865869</v>
      </c>
      <c r="Z31" s="5">
        <f t="shared" si="11"/>
        <v>0.73125590587904432</v>
      </c>
      <c r="AA31" s="15">
        <v>118.00693170962099</v>
      </c>
      <c r="AB31" s="5">
        <f t="shared" si="12"/>
        <v>1.6193920390976457</v>
      </c>
      <c r="AC31" s="15">
        <v>154.40372752445387</v>
      </c>
      <c r="AD31" s="5">
        <f t="shared" si="13"/>
        <v>2.0857085725389779</v>
      </c>
      <c r="AE31" s="15">
        <v>106.41458148877899</v>
      </c>
      <c r="AF31" s="5">
        <f t="shared" si="14"/>
        <v>1.4776020131662317</v>
      </c>
      <c r="AG31" s="15">
        <v>101.65847372290807</v>
      </c>
      <c r="AH31" s="5">
        <f t="shared" si="15"/>
        <v>1.4142975451130364</v>
      </c>
      <c r="AI31" s="15">
        <v>98.748272457950364</v>
      </c>
      <c r="AJ31" s="5">
        <f t="shared" si="16"/>
        <v>1.3837206772428039</v>
      </c>
      <c r="AK31" s="15">
        <v>95.636102645655626</v>
      </c>
      <c r="AL31" s="5">
        <f t="shared" si="17"/>
        <v>1.3406029994283855</v>
      </c>
      <c r="AM31" s="15">
        <v>99.238962824536955</v>
      </c>
      <c r="AN31" s="5">
        <f t="shared" si="18"/>
        <v>1.3946535278704137</v>
      </c>
      <c r="AO31" s="15">
        <v>111.2725560074304</v>
      </c>
      <c r="AP31" s="5">
        <f t="shared" si="19"/>
        <v>1.5718551039210293</v>
      </c>
      <c r="AQ31" s="15">
        <v>93.873255004455928</v>
      </c>
      <c r="AR31" s="5">
        <f t="shared" si="20"/>
        <v>1.3108188836486061</v>
      </c>
      <c r="AS31" s="3">
        <v>97.463971897192309</v>
      </c>
      <c r="AT31" s="5">
        <f t="shared" si="21"/>
        <v>1.3596269764702167</v>
      </c>
    </row>
    <row r="32" spans="1:46" x14ac:dyDescent="0.25">
      <c r="A32">
        <v>30</v>
      </c>
      <c r="B32">
        <f t="shared" si="24"/>
        <v>2056</v>
      </c>
      <c r="C32" s="3">
        <v>152.1559294181738</v>
      </c>
      <c r="D32" s="4">
        <f t="shared" si="0"/>
        <v>2.0840555985821601</v>
      </c>
      <c r="E32" s="3">
        <v>58.461606947069235</v>
      </c>
      <c r="F32" s="4">
        <f t="shared" si="1"/>
        <v>0.95672087857187071</v>
      </c>
      <c r="G32" s="3">
        <v>127.7298397644884</v>
      </c>
      <c r="H32" s="4">
        <f t="shared" si="2"/>
        <v>1.7888966112487763</v>
      </c>
      <c r="I32" s="15">
        <v>97.036390793373585</v>
      </c>
      <c r="J32" s="4">
        <f t="shared" si="3"/>
        <v>1.3754099228608505</v>
      </c>
      <c r="K32" s="15">
        <v>110.18237979589188</v>
      </c>
      <c r="L32" s="4">
        <f t="shared" si="4"/>
        <v>1.5572910443886769</v>
      </c>
      <c r="M32" s="15">
        <v>105.66632272877422</v>
      </c>
      <c r="N32" s="4">
        <f t="shared" si="5"/>
        <v>1.5083637323504102</v>
      </c>
      <c r="O32" s="15">
        <v>106.36794804610987</v>
      </c>
      <c r="P32" s="4">
        <f t="shared" si="6"/>
        <v>1.5111336172140313</v>
      </c>
      <c r="Q32" s="15">
        <v>100.91516180271935</v>
      </c>
      <c r="R32" s="4">
        <f t="shared" si="7"/>
        <v>1.4268446362418514</v>
      </c>
      <c r="S32" s="15">
        <v>152.1559294181738</v>
      </c>
      <c r="T32" s="4">
        <f t="shared" si="8"/>
        <v>2.0840555985821601</v>
      </c>
      <c r="U32" s="15">
        <v>100.91915980580562</v>
      </c>
      <c r="V32" s="5">
        <f t="shared" si="9"/>
        <v>1.4284348801334636</v>
      </c>
      <c r="W32" s="15">
        <v>92.551422000165886</v>
      </c>
      <c r="X32" s="5">
        <f t="shared" si="10"/>
        <v>1.2977643848360443</v>
      </c>
      <c r="Y32" s="15">
        <v>49.855293029439189</v>
      </c>
      <c r="Z32" s="5">
        <f t="shared" si="11"/>
        <v>0.74577734818604824</v>
      </c>
      <c r="AA32" s="15">
        <v>119.26764442928291</v>
      </c>
      <c r="AB32" s="5">
        <f t="shared" si="12"/>
        <v>1.6541313438420666</v>
      </c>
      <c r="AC32" s="15">
        <v>156.43056746603273</v>
      </c>
      <c r="AD32" s="5">
        <f t="shared" si="13"/>
        <v>2.1312723897884025</v>
      </c>
      <c r="AE32" s="15">
        <v>107.61653708212441</v>
      </c>
      <c r="AF32" s="5">
        <f t="shared" si="14"/>
        <v>1.5089476785822356</v>
      </c>
      <c r="AG32" s="15">
        <v>102.80555337126974</v>
      </c>
      <c r="AH32" s="5">
        <f t="shared" si="15"/>
        <v>1.4442419065119148</v>
      </c>
      <c r="AI32" s="15">
        <v>99.798718837059255</v>
      </c>
      <c r="AJ32" s="5">
        <f t="shared" si="16"/>
        <v>1.4127892324521678</v>
      </c>
      <c r="AK32" s="15">
        <v>96.645126367311278</v>
      </c>
      <c r="AL32" s="5">
        <f t="shared" si="17"/>
        <v>1.3687530019961631</v>
      </c>
      <c r="AM32" s="15">
        <v>100.26398470730894</v>
      </c>
      <c r="AN32" s="5">
        <f t="shared" si="18"/>
        <v>1.4238576019200391</v>
      </c>
      <c r="AO32" s="15">
        <v>112.49317494612912</v>
      </c>
      <c r="AP32" s="5">
        <f t="shared" si="19"/>
        <v>1.6046211965593238</v>
      </c>
      <c r="AQ32" s="15">
        <v>94.8334982168371</v>
      </c>
      <c r="AR32" s="5">
        <f t="shared" si="20"/>
        <v>1.3384412099743983</v>
      </c>
      <c r="AS32" s="3">
        <v>98.530131851924338</v>
      </c>
      <c r="AT32" s="5">
        <f t="shared" si="21"/>
        <v>1.3883260280301852</v>
      </c>
    </row>
    <row r="33" spans="1:46" x14ac:dyDescent="0.25">
      <c r="A33">
        <v>31</v>
      </c>
      <c r="B33">
        <f t="shared" si="24"/>
        <v>2057</v>
      </c>
      <c r="C33" s="3">
        <v>154.05818033709588</v>
      </c>
      <c r="D33" s="4">
        <f t="shared" si="0"/>
        <v>2.1270908030657538</v>
      </c>
      <c r="E33" s="3">
        <v>58.518303117209804</v>
      </c>
      <c r="F33" s="4">
        <f t="shared" si="1"/>
        <v>0.97306760638062206</v>
      </c>
      <c r="G33" s="3">
        <v>129.106578757769</v>
      </c>
      <c r="H33" s="4">
        <f t="shared" si="2"/>
        <v>1.8249617394027009</v>
      </c>
      <c r="I33" s="15">
        <v>98.002676260717962</v>
      </c>
      <c r="J33" s="4">
        <f t="shared" si="3"/>
        <v>1.4027863672897729</v>
      </c>
      <c r="K33" s="15">
        <v>111.35844976221139</v>
      </c>
      <c r="L33" s="4">
        <f t="shared" si="4"/>
        <v>1.5883983419434489</v>
      </c>
      <c r="M33" s="15">
        <v>106.75284592604496</v>
      </c>
      <c r="N33" s="4">
        <f t="shared" si="5"/>
        <v>1.5381844828200084</v>
      </c>
      <c r="O33" s="15">
        <v>107.44431918282292</v>
      </c>
      <c r="P33" s="4">
        <f t="shared" si="6"/>
        <v>1.5411475264820476</v>
      </c>
      <c r="Q33" s="15">
        <v>101.93420747712645</v>
      </c>
      <c r="R33" s="4">
        <f t="shared" si="7"/>
        <v>1.455319329718384</v>
      </c>
      <c r="S33" s="15">
        <v>154.05818033709588</v>
      </c>
      <c r="T33" s="4">
        <f t="shared" si="8"/>
        <v>2.1270908030657538</v>
      </c>
      <c r="U33" s="15">
        <v>101.9963059038413</v>
      </c>
      <c r="V33" s="5">
        <f t="shared" si="9"/>
        <v>1.4569269204232971</v>
      </c>
      <c r="W33" s="15">
        <v>93.693171069850138</v>
      </c>
      <c r="X33" s="5">
        <f t="shared" si="10"/>
        <v>1.3239369955139364</v>
      </c>
      <c r="Y33" s="15">
        <v>50.289420873212805</v>
      </c>
      <c r="Z33" s="5">
        <f t="shared" si="11"/>
        <v>0.75982538838686509</v>
      </c>
      <c r="AA33" s="15">
        <v>120.54239482890129</v>
      </c>
      <c r="AB33" s="5">
        <f t="shared" si="12"/>
        <v>1.6878041199260947</v>
      </c>
      <c r="AC33" s="15">
        <v>158.48448552778325</v>
      </c>
      <c r="AD33" s="5">
        <f t="shared" si="13"/>
        <v>2.1755440553840981</v>
      </c>
      <c r="AE33" s="15">
        <v>108.83260980929535</v>
      </c>
      <c r="AF33" s="5">
        <f t="shared" si="14"/>
        <v>1.5393493982921391</v>
      </c>
      <c r="AG33" s="15">
        <v>103.96609776856198</v>
      </c>
      <c r="AH33" s="5">
        <f t="shared" si="15"/>
        <v>1.4732841960355305</v>
      </c>
      <c r="AI33" s="15">
        <v>100.86095198199654</v>
      </c>
      <c r="AJ33" s="5">
        <f t="shared" si="16"/>
        <v>1.440964118611783</v>
      </c>
      <c r="AK33" s="15">
        <v>97.665385523520385</v>
      </c>
      <c r="AL33" s="5">
        <f t="shared" si="17"/>
        <v>1.3960352263335984</v>
      </c>
      <c r="AM33" s="15">
        <v>101.30029132598919</v>
      </c>
      <c r="AN33" s="5">
        <f t="shared" si="18"/>
        <v>1.4521552148213634</v>
      </c>
      <c r="AO33" s="15">
        <v>113.72792734284246</v>
      </c>
      <c r="AP33" s="5">
        <f t="shared" si="19"/>
        <v>1.6363903930926416</v>
      </c>
      <c r="AQ33" s="15">
        <v>95.80411857553031</v>
      </c>
      <c r="AR33" s="5">
        <f t="shared" si="20"/>
        <v>1.3652035008455934</v>
      </c>
      <c r="AS33" s="3">
        <v>99.608490783034568</v>
      </c>
      <c r="AT33" s="5">
        <f t="shared" si="21"/>
        <v>1.4161510468624883</v>
      </c>
    </row>
    <row r="34" spans="1:46" x14ac:dyDescent="0.25">
      <c r="A34">
        <v>32</v>
      </c>
      <c r="B34">
        <f t="shared" si="24"/>
        <v>2058</v>
      </c>
      <c r="C34" s="3">
        <v>155.98467736029329</v>
      </c>
      <c r="D34" s="4">
        <f t="shared" si="0"/>
        <v>2.1688797735940613</v>
      </c>
      <c r="E34" s="3">
        <v>58.57505692341082</v>
      </c>
      <c r="F34" s="4">
        <f t="shared" si="1"/>
        <v>0.9887601177791131</v>
      </c>
      <c r="G34" s="3">
        <v>130.49887460137117</v>
      </c>
      <c r="H34" s="4">
        <f t="shared" si="2"/>
        <v>1.8599229530102255</v>
      </c>
      <c r="I34" s="15">
        <v>98.979217020592046</v>
      </c>
      <c r="J34" s="4">
        <f t="shared" si="3"/>
        <v>1.42930332814122</v>
      </c>
      <c r="K34" s="15">
        <v>112.54775170214717</v>
      </c>
      <c r="L34" s="4">
        <f t="shared" si="4"/>
        <v>1.6185503719921743</v>
      </c>
      <c r="M34" s="15">
        <v>107.85139339106428</v>
      </c>
      <c r="N34" s="4">
        <f t="shared" si="5"/>
        <v>1.5670783381404629</v>
      </c>
      <c r="O34" s="15">
        <v>108.53236266734454</v>
      </c>
      <c r="P34" s="4">
        <f t="shared" si="6"/>
        <v>1.5702238164204321</v>
      </c>
      <c r="Q34" s="15">
        <v>102.96419945968944</v>
      </c>
      <c r="R34" s="4">
        <f t="shared" si="7"/>
        <v>1.4829038846215121</v>
      </c>
      <c r="S34" s="15">
        <v>155.98467736029329</v>
      </c>
      <c r="T34" s="4">
        <f t="shared" si="8"/>
        <v>2.1688797735940613</v>
      </c>
      <c r="U34" s="15">
        <v>103.08557302219306</v>
      </c>
      <c r="V34" s="5">
        <f t="shared" si="9"/>
        <v>1.4845439918294063</v>
      </c>
      <c r="W34" s="15">
        <v>94.849449927132582</v>
      </c>
      <c r="X34" s="5">
        <f t="shared" si="10"/>
        <v>1.3493475738778347</v>
      </c>
      <c r="Y34" s="15">
        <v>50.727611843177733</v>
      </c>
      <c r="Z34" s="5">
        <f t="shared" si="11"/>
        <v>0.77341553526641749</v>
      </c>
      <c r="AA34" s="15">
        <v>121.83134231739422</v>
      </c>
      <c r="AB34" s="5">
        <f t="shared" si="12"/>
        <v>1.7204432641015581</v>
      </c>
      <c r="AC34" s="15">
        <v>160.56584347095597</v>
      </c>
      <c r="AD34" s="5">
        <f t="shared" si="13"/>
        <v>2.2185603401513649</v>
      </c>
      <c r="AE34" s="15">
        <v>110.06296776304976</v>
      </c>
      <c r="AF34" s="5">
        <f t="shared" si="14"/>
        <v>1.5688357439636722</v>
      </c>
      <c r="AG34" s="15">
        <v>105.14026703210762</v>
      </c>
      <c r="AH34" s="5">
        <f t="shared" si="15"/>
        <v>1.5014517288643774</v>
      </c>
      <c r="AI34" s="15">
        <v>101.93510765739074</v>
      </c>
      <c r="AJ34" s="5">
        <f t="shared" si="16"/>
        <v>1.4682729753647792</v>
      </c>
      <c r="AK34" s="15">
        <v>98.697008540749351</v>
      </c>
      <c r="AL34" s="5">
        <f t="shared" si="17"/>
        <v>1.4224765823112426</v>
      </c>
      <c r="AM34" s="15">
        <v>102.34801149324791</v>
      </c>
      <c r="AN34" s="5">
        <f t="shared" si="18"/>
        <v>1.4795746902999913</v>
      </c>
      <c r="AO34" s="15">
        <v>114.97698143675049</v>
      </c>
      <c r="AP34" s="5">
        <f t="shared" si="19"/>
        <v>1.6671932243066081</v>
      </c>
      <c r="AQ34" s="15">
        <v>96.785231400019612</v>
      </c>
      <c r="AR34" s="5">
        <f t="shared" si="20"/>
        <v>1.3911326834486304</v>
      </c>
      <c r="AS34" s="3">
        <v>100.69919074706752</v>
      </c>
      <c r="AT34" s="5">
        <f t="shared" si="21"/>
        <v>1.4431287961232937</v>
      </c>
    </row>
    <row r="35" spans="1:46" x14ac:dyDescent="0.25">
      <c r="A35">
        <v>33</v>
      </c>
      <c r="B35">
        <f t="shared" si="24"/>
        <v>2059</v>
      </c>
      <c r="C35" s="3">
        <v>157.93572999465275</v>
      </c>
      <c r="D35" s="4">
        <f t="shared" si="0"/>
        <v>2.2094587186192207</v>
      </c>
      <c r="E35" s="3">
        <v>58.6318684242638</v>
      </c>
      <c r="F35" s="4">
        <f t="shared" si="1"/>
        <v>1.0038245960044718</v>
      </c>
      <c r="G35" s="3">
        <v>131.90690771965549</v>
      </c>
      <c r="H35" s="4">
        <f t="shared" si="2"/>
        <v>1.8938142273721188</v>
      </c>
      <c r="I35" s="15">
        <v>99.966126110142795</v>
      </c>
      <c r="J35" s="4">
        <f t="shared" si="3"/>
        <v>1.4549879527409795</v>
      </c>
      <c r="K35" s="15">
        <v>113.75043870683955</v>
      </c>
      <c r="L35" s="4">
        <f t="shared" si="4"/>
        <v>1.6477766452302116</v>
      </c>
      <c r="M35" s="15">
        <v>108.96210425551232</v>
      </c>
      <c r="N35" s="4">
        <f t="shared" si="5"/>
        <v>1.595074328905566</v>
      </c>
      <c r="O35" s="15">
        <v>109.63221065389116</v>
      </c>
      <c r="P35" s="4">
        <f t="shared" si="6"/>
        <v>1.5983919798199464</v>
      </c>
      <c r="Q35" s="15">
        <v>104.00525968941699</v>
      </c>
      <c r="R35" s="4">
        <f t="shared" si="7"/>
        <v>1.5096262970572996</v>
      </c>
      <c r="S35" s="15">
        <v>157.93572999465275</v>
      </c>
      <c r="T35" s="4">
        <f t="shared" si="8"/>
        <v>2.2094587186192207</v>
      </c>
      <c r="U35" s="15">
        <v>104.18710117120493</v>
      </c>
      <c r="V35" s="5">
        <f t="shared" si="9"/>
        <v>1.5113131253934211</v>
      </c>
      <c r="W35" s="15">
        <v>96.020443773928605</v>
      </c>
      <c r="X35" s="5">
        <f t="shared" si="10"/>
        <v>1.3740184213758997</v>
      </c>
      <c r="Y35" s="15">
        <v>51.169904828525112</v>
      </c>
      <c r="Z35" s="5">
        <f t="shared" si="11"/>
        <v>0.78656278671515334</v>
      </c>
      <c r="AA35" s="15">
        <v>123.13464815100062</v>
      </c>
      <c r="AB35" s="5">
        <f t="shared" si="12"/>
        <v>1.7520806530456621</v>
      </c>
      <c r="AC35" s="15">
        <v>162.6750078899488</v>
      </c>
      <c r="AD35" s="5">
        <f t="shared" si="13"/>
        <v>2.2603569633876468</v>
      </c>
      <c r="AE35" s="15">
        <v>111.3077810648945</v>
      </c>
      <c r="AF35" s="5">
        <f t="shared" si="14"/>
        <v>1.597434417163573</v>
      </c>
      <c r="AG35" s="15">
        <v>106.32822320807443</v>
      </c>
      <c r="AH35" s="5">
        <f t="shared" si="15"/>
        <v>1.5287709879346929</v>
      </c>
      <c r="AI35" s="15">
        <v>103.02132323170643</v>
      </c>
      <c r="AJ35" s="5">
        <f t="shared" si="16"/>
        <v>1.4947425817798705</v>
      </c>
      <c r="AK35" s="15">
        <v>99.740125351630468</v>
      </c>
      <c r="AL35" s="5">
        <f t="shared" si="17"/>
        <v>1.4481031397949948</v>
      </c>
      <c r="AM35" s="15">
        <v>103.40727554229379</v>
      </c>
      <c r="AN35" s="5">
        <f t="shared" si="18"/>
        <v>1.506143460707893</v>
      </c>
      <c r="AO35" s="15">
        <v>116.24050751930801</v>
      </c>
      <c r="AP35" s="5">
        <f t="shared" si="19"/>
        <v>1.6970592790902999</v>
      </c>
      <c r="AQ35" s="15">
        <v>97.776953328417164</v>
      </c>
      <c r="AR35" s="5">
        <f t="shared" si="20"/>
        <v>1.4162548367066408</v>
      </c>
      <c r="AS35" s="3">
        <v>101.80237548418593</v>
      </c>
      <c r="AT35" s="5">
        <f t="shared" si="21"/>
        <v>1.4692852142963271</v>
      </c>
    </row>
    <row r="36" spans="1:46" x14ac:dyDescent="0.25">
      <c r="A36">
        <v>34</v>
      </c>
      <c r="B36">
        <f t="shared" si="24"/>
        <v>2060</v>
      </c>
      <c r="C36" s="3">
        <v>159.9116517039744</v>
      </c>
      <c r="D36" s="4">
        <f t="shared" si="0"/>
        <v>2.248862789847343</v>
      </c>
      <c r="E36" s="3">
        <v>58.688737678419834</v>
      </c>
      <c r="F36" s="4">
        <f t="shared" si="1"/>
        <v>1.0182861763529134</v>
      </c>
      <c r="G36" s="3">
        <v>133.33086068204869</v>
      </c>
      <c r="H36" s="4">
        <f t="shared" si="2"/>
        <v>1.9266684858031928</v>
      </c>
      <c r="I36" s="15">
        <v>100.96351785982995</v>
      </c>
      <c r="J36" s="4">
        <f t="shared" si="3"/>
        <v>1.4798665254203187</v>
      </c>
      <c r="K36" s="15">
        <v>114.9666656861108</v>
      </c>
      <c r="L36" s="4">
        <f t="shared" si="4"/>
        <v>1.676105754680856</v>
      </c>
      <c r="M36" s="15">
        <v>110.08511932350154</v>
      </c>
      <c r="N36" s="4">
        <f t="shared" si="5"/>
        <v>1.6222005691560866</v>
      </c>
      <c r="O36" s="15">
        <v>110.74399685277633</v>
      </c>
      <c r="P36" s="4">
        <f t="shared" si="6"/>
        <v>1.6256805750759811</v>
      </c>
      <c r="Q36" s="15">
        <v>105.05751151268771</v>
      </c>
      <c r="R36" s="4">
        <f t="shared" si="7"/>
        <v>1.5355136768859974</v>
      </c>
      <c r="S36" s="15">
        <v>159.9116517039744</v>
      </c>
      <c r="T36" s="4">
        <f t="shared" si="8"/>
        <v>2.248862789847343</v>
      </c>
      <c r="U36" s="15">
        <v>105.30103201961211</v>
      </c>
      <c r="V36" s="5">
        <f t="shared" si="9"/>
        <v>1.537260511477436</v>
      </c>
      <c r="W36" s="15">
        <v>97.206340176621865</v>
      </c>
      <c r="X36" s="5">
        <f t="shared" si="10"/>
        <v>1.3979711822368488</v>
      </c>
      <c r="Y36" s="15">
        <v>51.616339101512132</v>
      </c>
      <c r="Z36" s="5">
        <f t="shared" si="11"/>
        <v>0.79928164666574653</v>
      </c>
      <c r="AA36" s="15">
        <v>124.45247545512299</v>
      </c>
      <c r="AB36" s="5">
        <f t="shared" si="12"/>
        <v>1.7827471751851987</v>
      </c>
      <c r="AC36" s="15">
        <v>164.81235027687913</v>
      </c>
      <c r="AD36" s="5">
        <f t="shared" si="13"/>
        <v>2.3009686231409114</v>
      </c>
      <c r="AE36" s="15">
        <v>112.5672218898919</v>
      </c>
      <c r="AF36" s="5">
        <f t="shared" si="14"/>
        <v>1.6251722760502554</v>
      </c>
      <c r="AG36" s="15">
        <v>107.53013029500482</v>
      </c>
      <c r="AH36" s="5">
        <f t="shared" si="15"/>
        <v>1.5552676494860183</v>
      </c>
      <c r="AI36" s="15">
        <v>104.11973769663618</v>
      </c>
      <c r="AJ36" s="5">
        <f t="shared" si="16"/>
        <v>1.5203988833484803</v>
      </c>
      <c r="AK36" s="15">
        <v>100.79486741305394</v>
      </c>
      <c r="AL36" s="5">
        <f t="shared" si="17"/>
        <v>1.4729401550634351</v>
      </c>
      <c r="AM36" s="15">
        <v>104.47821534535314</v>
      </c>
      <c r="AN36" s="5">
        <f t="shared" si="18"/>
        <v>1.5318880952944736</v>
      </c>
      <c r="AO36" s="15">
        <v>117.51867795980155</v>
      </c>
      <c r="AP36" s="5">
        <f t="shared" si="19"/>
        <v>1.7260172337334991</v>
      </c>
      <c r="AQ36" s="15">
        <v>98.779402332962675</v>
      </c>
      <c r="AR36" s="5">
        <f t="shared" si="20"/>
        <v>1.4405952181855637</v>
      </c>
      <c r="AS36" s="3">
        <v>102.91819043846692</v>
      </c>
      <c r="AT36" s="5">
        <f t="shared" si="21"/>
        <v>1.4946454407932308</v>
      </c>
    </row>
    <row r="37" spans="1:46" x14ac:dyDescent="0.25">
      <c r="A37">
        <v>35</v>
      </c>
      <c r="B37">
        <f t="shared" si="24"/>
        <v>2061</v>
      </c>
      <c r="C37" s="3">
        <v>161.91275995963571</v>
      </c>
      <c r="D37" s="4">
        <f t="shared" si="0"/>
        <v>2.2871261132681573</v>
      </c>
      <c r="E37" s="3">
        <v>58.745664744589661</v>
      </c>
      <c r="F37" s="4">
        <f t="shared" si="1"/>
        <v>1.0321689881229883</v>
      </c>
      <c r="G37" s="3">
        <v>134.77091822912686</v>
      </c>
      <c r="H37" s="4">
        <f t="shared" si="2"/>
        <v>1.9585176324251561</v>
      </c>
      <c r="I37" s="15">
        <v>101.97150790873846</v>
      </c>
      <c r="J37" s="4">
        <f t="shared" si="3"/>
        <v>1.5039644951405116</v>
      </c>
      <c r="K37" s="15">
        <v>116.19658939058955</v>
      </c>
      <c r="L37" s="4">
        <f t="shared" si="4"/>
        <v>1.7035654044413571</v>
      </c>
      <c r="M37" s="15">
        <v>111.22058109229771</v>
      </c>
      <c r="N37" s="4">
        <f t="shared" si="5"/>
        <v>1.6484842855626649</v>
      </c>
      <c r="O37" s="15">
        <v>111.86785654934857</v>
      </c>
      <c r="P37" s="4">
        <f t="shared" si="6"/>
        <v>1.6521172560182864</v>
      </c>
      <c r="Q37" s="15">
        <v>106.12107970002486</v>
      </c>
      <c r="R37" s="4">
        <f t="shared" si="7"/>
        <v>1.560592275974422</v>
      </c>
      <c r="S37" s="15">
        <v>161.91275995963571</v>
      </c>
      <c r="T37" s="4">
        <f t="shared" si="8"/>
        <v>2.2871261132681573</v>
      </c>
      <c r="U37" s="15">
        <v>106.4275089146401</v>
      </c>
      <c r="V37" s="5">
        <f t="shared" si="9"/>
        <v>1.5624115261070899</v>
      </c>
      <c r="W37" s="15">
        <v>98.407329096300288</v>
      </c>
      <c r="X37" s="5">
        <f t="shared" si="10"/>
        <v>1.4212268630190732</v>
      </c>
      <c r="Y37" s="15">
        <v>52.066954321368947</v>
      </c>
      <c r="Z37" s="5">
        <f t="shared" si="11"/>
        <v>0.81158614146425379</v>
      </c>
      <c r="AA37" s="15">
        <v>125.78498924643365</v>
      </c>
      <c r="AB37" s="5">
        <f t="shared" si="12"/>
        <v>1.8124727615208263</v>
      </c>
      <c r="AC37" s="15">
        <v>166.97824708701799</v>
      </c>
      <c r="AD37" s="5">
        <f t="shared" si="13"/>
        <v>2.3404290256077953</v>
      </c>
      <c r="AE37" s="15">
        <v>113.84146449177307</v>
      </c>
      <c r="AF37" s="5">
        <f t="shared" si="14"/>
        <v>1.6520753612402908</v>
      </c>
      <c r="AG37" s="15">
        <v>108.74615426763611</v>
      </c>
      <c r="AH37" s="5">
        <f t="shared" si="15"/>
        <v>1.5809666078173421</v>
      </c>
      <c r="AI37" s="15">
        <v>105.23049168673182</v>
      </c>
      <c r="AJ37" s="5">
        <f t="shared" si="16"/>
        <v>1.5452670181276322</v>
      </c>
      <c r="AK37" s="15">
        <v>101.86136772448167</v>
      </c>
      <c r="AL37" s="5">
        <f t="shared" si="17"/>
        <v>1.4970120963872688</v>
      </c>
      <c r="AM37" s="15">
        <v>105.56096433237938</v>
      </c>
      <c r="AN37" s="5">
        <f t="shared" si="18"/>
        <v>1.5568343275733241</v>
      </c>
      <c r="AO37" s="15">
        <v>118.81166723122944</v>
      </c>
      <c r="AP37" s="5">
        <f t="shared" si="19"/>
        <v>1.754094880304208</v>
      </c>
      <c r="AQ37" s="15">
        <v>99.79269773570968</v>
      </c>
      <c r="AR37" s="5">
        <f t="shared" si="20"/>
        <v>1.4641782901401701</v>
      </c>
      <c r="AS37" s="3">
        <v>104.04678277844695</v>
      </c>
      <c r="AT37" s="5">
        <f t="shared" si="21"/>
        <v>1.5192338407521926</v>
      </c>
    </row>
    <row r="38" spans="1:46" x14ac:dyDescent="0.25">
      <c r="A38">
        <v>36</v>
      </c>
      <c r="B38">
        <f t="shared" si="24"/>
        <v>2062</v>
      </c>
      <c r="C38" s="3">
        <v>163.9393762919058</v>
      </c>
      <c r="D38" s="4">
        <f t="shared" si="0"/>
        <v>2.324281819266016</v>
      </c>
      <c r="E38" s="3">
        <v>58.802649681543663</v>
      </c>
      <c r="F38" s="4">
        <f t="shared" si="1"/>
        <v>1.045496194880029</v>
      </c>
      <c r="G38" s="3">
        <v>136.22726729902192</v>
      </c>
      <c r="H38" s="4">
        <f t="shared" si="2"/>
        <v>1.989392583929434</v>
      </c>
      <c r="I38" s="15">
        <v>102.99021322007762</v>
      </c>
      <c r="J38" s="4">
        <f t="shared" si="3"/>
        <v>1.527306502226401</v>
      </c>
      <c r="K38" s="15">
        <v>117.44036843411011</v>
      </c>
      <c r="L38" s="4">
        <f t="shared" si="4"/>
        <v>1.7301824375210018</v>
      </c>
      <c r="M38" s="15">
        <v>112.36863377330306</v>
      </c>
      <c r="N38" s="4">
        <f t="shared" si="5"/>
        <v>1.6739518456711513</v>
      </c>
      <c r="O38" s="15">
        <v>113.00392662316597</v>
      </c>
      <c r="P38" s="4">
        <f t="shared" si="6"/>
        <v>1.677728800780649</v>
      </c>
      <c r="Q38" s="15">
        <v>107.19609046307666</v>
      </c>
      <c r="R38" s="4">
        <f t="shared" si="7"/>
        <v>1.584887515540748</v>
      </c>
      <c r="S38" s="15">
        <v>163.9393762919058</v>
      </c>
      <c r="T38" s="4">
        <f t="shared" si="8"/>
        <v>2.324281819266016</v>
      </c>
      <c r="U38" s="15">
        <v>107.5666769023527</v>
      </c>
      <c r="V38" s="5">
        <f t="shared" si="9"/>
        <v>1.5867907564820671</v>
      </c>
      <c r="W38" s="15">
        <v>99.623602919379465</v>
      </c>
      <c r="X38" s="5">
        <f t="shared" si="10"/>
        <v>1.443805851571091</v>
      </c>
      <c r="Y38" s="15">
        <v>52.521790538246933</v>
      </c>
      <c r="Z38" s="5">
        <f t="shared" si="11"/>
        <v>0.82348983569476897</v>
      </c>
      <c r="AA38" s="15">
        <v>127.13235645524723</v>
      </c>
      <c r="AB38" s="5">
        <f t="shared" si="12"/>
        <v>1.841286415483101</v>
      </c>
      <c r="AC38" s="15">
        <v>169.17307980509881</v>
      </c>
      <c r="AD38" s="5">
        <f t="shared" si="13"/>
        <v>2.3787709136774331</v>
      </c>
      <c r="AE38" s="15">
        <v>115.13068522836225</v>
      </c>
      <c r="AF38" s="5">
        <f t="shared" si="14"/>
        <v>1.6781689208745556</v>
      </c>
      <c r="AG38" s="15">
        <v>109.97646310101473</v>
      </c>
      <c r="AH38" s="5">
        <f t="shared" si="15"/>
        <v>1.6058919992766203</v>
      </c>
      <c r="AI38" s="15">
        <v>106.35372749927795</v>
      </c>
      <c r="AJ38" s="5">
        <f t="shared" si="16"/>
        <v>1.5693713420559077</v>
      </c>
      <c r="AK38" s="15">
        <v>102.93976084648615</v>
      </c>
      <c r="AL38" s="5">
        <f t="shared" si="17"/>
        <v>1.5203426687977164</v>
      </c>
      <c r="AM38" s="15">
        <v>106.65565750999532</v>
      </c>
      <c r="AN38" s="5">
        <f t="shared" si="18"/>
        <v>1.5810070818138522</v>
      </c>
      <c r="AO38" s="15">
        <v>120.11965193651014</v>
      </c>
      <c r="AP38" s="5">
        <f t="shared" si="19"/>
        <v>1.7813191541355977</v>
      </c>
      <c r="AQ38" s="15">
        <v>100.81696022440099</v>
      </c>
      <c r="AR38" s="5">
        <f t="shared" si="20"/>
        <v>1.4870277447277351</v>
      </c>
      <c r="AS38" s="3">
        <v>105.18830141791827</v>
      </c>
      <c r="AT38" s="5">
        <f t="shared" si="21"/>
        <v>1.5430740290602121</v>
      </c>
    </row>
    <row r="39" spans="1:46" x14ac:dyDescent="0.25">
      <c r="A39">
        <v>37</v>
      </c>
      <c r="B39">
        <f t="shared" si="24"/>
        <v>2063</v>
      </c>
      <c r="C39" s="3">
        <v>165.99182634191743</v>
      </c>
      <c r="D39" s="4">
        <f t="shared" si="0"/>
        <v>2.3603620718397536</v>
      </c>
      <c r="E39" s="3">
        <v>58.859692548111994</v>
      </c>
      <c r="F39" s="4">
        <f t="shared" si="1"/>
        <v>1.0582900331089908</v>
      </c>
      <c r="G39" s="3">
        <v>137.70009705415586</v>
      </c>
      <c r="H39" s="4">
        <f t="shared" si="2"/>
        <v>2.0193233003425921</v>
      </c>
      <c r="I39" s="15">
        <v>104.01975209686935</v>
      </c>
      <c r="J39" s="4">
        <f t="shared" si="3"/>
        <v>1.5499164042379729</v>
      </c>
      <c r="K39" s="15">
        <v>118.69816331638967</v>
      </c>
      <c r="L39" s="4">
        <f t="shared" si="4"/>
        <v>1.755982862800211</v>
      </c>
      <c r="M39" s="15">
        <v>113.52942331330577</v>
      </c>
      <c r="N39" s="4">
        <f t="shared" si="5"/>
        <v>1.6986287852407984</v>
      </c>
      <c r="O39" s="15">
        <v>114.15234556741015</v>
      </c>
      <c r="P39" s="4">
        <f t="shared" si="6"/>
        <v>1.702541139741683</v>
      </c>
      <c r="Q39" s="15">
        <v>108.28267147180445</v>
      </c>
      <c r="R39" s="4">
        <f t="shared" si="7"/>
        <v>1.6084240126211178</v>
      </c>
      <c r="S39" s="15">
        <v>165.99182634191743</v>
      </c>
      <c r="T39" s="4">
        <f t="shared" si="8"/>
        <v>2.3603620718397536</v>
      </c>
      <c r="U39" s="15">
        <v>108.7186827482512</v>
      </c>
      <c r="V39" s="5">
        <f t="shared" si="9"/>
        <v>1.6104220256805939</v>
      </c>
      <c r="W39" s="15">
        <v>100.85535648861821</v>
      </c>
      <c r="X39" s="5">
        <f t="shared" si="10"/>
        <v>1.4657279354213413</v>
      </c>
      <c r="Y39" s="15">
        <v>52.980888197208991</v>
      </c>
      <c r="Z39" s="5">
        <f t="shared" si="11"/>
        <v>0.83500584747596795</v>
      </c>
      <c r="AA39" s="15">
        <v>128.4947459481632</v>
      </c>
      <c r="AB39" s="5">
        <f t="shared" si="12"/>
        <v>1.8692162418509266</v>
      </c>
      <c r="AC39" s="15">
        <v>171.39723501251208</v>
      </c>
      <c r="AD39" s="5">
        <f t="shared" si="13"/>
        <v>2.4160260946461243</v>
      </c>
      <c r="AE39" s="15">
        <v>116.435062587316</v>
      </c>
      <c r="AF39" s="5">
        <f t="shared" si="14"/>
        <v>1.7034774349090713</v>
      </c>
      <c r="AG39" s="15">
        <v>111.22122679490833</v>
      </c>
      <c r="AH39" s="5">
        <f t="shared" si="15"/>
        <v>1.6300672255076718</v>
      </c>
      <c r="AI39" s="15">
        <v>107.48958911441078</v>
      </c>
      <c r="AJ39" s="5">
        <f t="shared" si="16"/>
        <v>1.5927354534688796</v>
      </c>
      <c r="AK39" s="15">
        <v>104.03018291951665</v>
      </c>
      <c r="AL39" s="5">
        <f t="shared" si="17"/>
        <v>1.5429548380698155</v>
      </c>
      <c r="AM39" s="15">
        <v>107.76243148067134</v>
      </c>
      <c r="AN39" s="5">
        <f t="shared" si="18"/>
        <v>1.6044304986860412</v>
      </c>
      <c r="AO39" s="15">
        <v>121.44281083502216</v>
      </c>
      <c r="AP39" s="5">
        <f t="shared" si="19"/>
        <v>1.8077161604506355</v>
      </c>
      <c r="AQ39" s="15">
        <v>101.85231186853554</v>
      </c>
      <c r="AR39" s="5">
        <f t="shared" si="20"/>
        <v>1.5091665284161937</v>
      </c>
      <c r="AS39" s="3">
        <v>106.34289703698029</v>
      </c>
      <c r="AT39" s="5">
        <f t="shared" si="21"/>
        <v>1.5661888936235664</v>
      </c>
    </row>
    <row r="40" spans="1:46" x14ac:dyDescent="0.25">
      <c r="A40">
        <v>38</v>
      </c>
      <c r="B40">
        <f t="shared" si="24"/>
        <v>2064</v>
      </c>
      <c r="C40" s="3">
        <v>168.07043991430544</v>
      </c>
      <c r="D40" s="4">
        <f t="shared" si="0"/>
        <v>2.3953980969580608</v>
      </c>
      <c r="E40" s="3">
        <v>58.916793403184613</v>
      </c>
      <c r="F40" s="4">
        <f t="shared" si="1"/>
        <v>1.0705718493201972</v>
      </c>
      <c r="G40" s="3">
        <v>139.18959890830627</v>
      </c>
      <c r="H40" s="4">
        <f t="shared" si="2"/>
        <v>2.048338814825954</v>
      </c>
      <c r="I40" s="15">
        <v>105.06024419782776</v>
      </c>
      <c r="J40" s="4">
        <f t="shared" si="3"/>
        <v>1.5718173010079663</v>
      </c>
      <c r="K40" s="15">
        <v>119.97013644598736</v>
      </c>
      <c r="L40" s="4">
        <f t="shared" si="4"/>
        <v>1.7809918811386618</v>
      </c>
      <c r="M40" s="15">
        <v>114.70309741599876</v>
      </c>
      <c r="N40" s="4">
        <f t="shared" si="5"/>
        <v>1.7225398347047232</v>
      </c>
      <c r="O40" s="15">
        <v>115.313253508543</v>
      </c>
      <c r="P40" s="4">
        <f t="shared" si="6"/>
        <v>1.7265793825668876</v>
      </c>
      <c r="Q40" s="15">
        <v>109.38095187188173</v>
      </c>
      <c r="R40" s="4">
        <f t="shared" si="7"/>
        <v>1.6312256056865109</v>
      </c>
      <c r="S40" s="15">
        <v>168.07043991430544</v>
      </c>
      <c r="T40" s="4">
        <f t="shared" si="8"/>
        <v>2.3953980969580608</v>
      </c>
      <c r="U40" s="15">
        <v>109.88367495812881</v>
      </c>
      <c r="V40" s="5">
        <f t="shared" si="9"/>
        <v>1.6333284165836452</v>
      </c>
      <c r="W40" s="15">
        <v>102.10278713453135</v>
      </c>
      <c r="X40" s="5">
        <f t="shared" si="10"/>
        <v>1.4870123196147698</v>
      </c>
      <c r="Y40" s="15">
        <v>53.444288142262117</v>
      </c>
      <c r="Z40" s="5">
        <f t="shared" si="11"/>
        <v>0.84614686324731392</v>
      </c>
      <c r="AA40" s="15">
        <v>129.87232855098119</v>
      </c>
      <c r="AB40" s="5">
        <f t="shared" si="12"/>
        <v>1.8962894747621111</v>
      </c>
      <c r="AC40" s="15">
        <v>173.65110445539764</v>
      </c>
      <c r="AD40" s="5">
        <f t="shared" si="13"/>
        <v>2.4522254671272292</v>
      </c>
      <c r="AE40" s="15">
        <v>117.75477721218088</v>
      </c>
      <c r="AF40" s="5">
        <f t="shared" si="14"/>
        <v>1.7280246386547757</v>
      </c>
      <c r="AG40" s="15">
        <v>112.48061739851939</v>
      </c>
      <c r="AH40" s="5">
        <f t="shared" si="15"/>
        <v>1.6535149759776924</v>
      </c>
      <c r="AI40" s="15">
        <v>108.63822221548544</v>
      </c>
      <c r="AJ40" s="5">
        <f t="shared" si="16"/>
        <v>1.615382216839587</v>
      </c>
      <c r="AK40" s="15">
        <v>105.13277168289592</v>
      </c>
      <c r="AL40" s="5">
        <f t="shared" si="17"/>
        <v>1.5648708539457616</v>
      </c>
      <c r="AM40" s="15">
        <v>108.88142446214241</v>
      </c>
      <c r="AN40" s="5">
        <f t="shared" si="18"/>
        <v>1.6271279600856645</v>
      </c>
      <c r="AO40" s="15">
        <v>122.7813248694804</v>
      </c>
      <c r="AP40" s="5">
        <f t="shared" si="19"/>
        <v>1.8333112001517247</v>
      </c>
      <c r="AQ40" s="15">
        <v>102.89887613562912</v>
      </c>
      <c r="AR40" s="5">
        <f t="shared" si="20"/>
        <v>1.5306168656127386</v>
      </c>
      <c r="AS40" s="3">
        <v>107.51072210334887</v>
      </c>
      <c r="AT40" s="5">
        <f t="shared" si="21"/>
        <v>1.5886006179102454</v>
      </c>
    </row>
    <row r="41" spans="1:46" x14ac:dyDescent="0.25">
      <c r="A41">
        <v>39</v>
      </c>
      <c r="B41">
        <f t="shared" si="24"/>
        <v>2065</v>
      </c>
      <c r="C41" s="3">
        <v>170.17555103052047</v>
      </c>
      <c r="D41" s="4">
        <f t="shared" si="0"/>
        <v>2.4294202100762217</v>
      </c>
      <c r="E41" s="3">
        <v>58.973952305711329</v>
      </c>
      <c r="F41" s="4">
        <f t="shared" si="1"/>
        <v>1.0823621356699096</v>
      </c>
      <c r="G41" s="3">
        <v>140.69596655400787</v>
      </c>
      <c r="H41" s="4">
        <f t="shared" si="2"/>
        <v>2.0764672625399911</v>
      </c>
      <c r="I41" s="15">
        <v>106.11181055343248</v>
      </c>
      <c r="J41" s="4">
        <f t="shared" si="3"/>
        <v>1.5930315588726245</v>
      </c>
      <c r="K41" s="15">
        <v>121.25645216354854</v>
      </c>
      <c r="L41" s="4">
        <f t="shared" si="4"/>
        <v>1.805233910659549</v>
      </c>
      <c r="M41" s="15">
        <v>115.88980556377112</v>
      </c>
      <c r="N41" s="4">
        <f t="shared" si="5"/>
        <v>1.7457089447810887</v>
      </c>
      <c r="O41" s="15">
        <v>116.48679222620903</v>
      </c>
      <c r="P41" s="4">
        <f t="shared" si="6"/>
        <v>1.7498678443811291</v>
      </c>
      <c r="Q41" s="15">
        <v>110.49106230230652</v>
      </c>
      <c r="R41" s="4">
        <f t="shared" si="7"/>
        <v>1.6533153794373867</v>
      </c>
      <c r="S41" s="15">
        <v>170.17555103052047</v>
      </c>
      <c r="T41" s="4">
        <f t="shared" si="8"/>
        <v>2.4294202100762217</v>
      </c>
      <c r="U41" s="15">
        <v>111.06180379918273</v>
      </c>
      <c r="V41" s="5">
        <f t="shared" si="9"/>
        <v>1.6555322950437485</v>
      </c>
      <c r="W41" s="15">
        <v>103.36609470720509</v>
      </c>
      <c r="X41" s="5">
        <f t="shared" si="10"/>
        <v>1.5076776440131043</v>
      </c>
      <c r="Y41" s="15">
        <v>53.912031620432849</v>
      </c>
      <c r="Z41" s="5">
        <f t="shared" si="11"/>
        <v>0.85692515206208775</v>
      </c>
      <c r="AA41" s="15">
        <v>131.26527707189308</v>
      </c>
      <c r="AB41" s="5">
        <f t="shared" si="12"/>
        <v>1.9225325048447681</v>
      </c>
      <c r="AC41" s="15">
        <v>175.93508511364655</v>
      </c>
      <c r="AD41" s="5">
        <f t="shared" si="13"/>
        <v>2.4873990471799607</v>
      </c>
      <c r="AE41" s="15">
        <v>119.09001192877417</v>
      </c>
      <c r="AF41" s="5">
        <f t="shared" si="14"/>
        <v>1.7518335455896927</v>
      </c>
      <c r="AG41" s="15">
        <v>113.7548090355039</v>
      </c>
      <c r="AH41" s="5">
        <f t="shared" si="15"/>
        <v>1.6762572498078889</v>
      </c>
      <c r="AI41" s="15">
        <v>109.79977420969479</v>
      </c>
      <c r="AJ41" s="5">
        <f t="shared" si="16"/>
        <v>1.6373337857687853</v>
      </c>
      <c r="AK41" s="15">
        <v>106.24766649405021</v>
      </c>
      <c r="AL41" s="5">
        <f t="shared" si="17"/>
        <v>1.5861122726226013</v>
      </c>
      <c r="AM41" s="15">
        <v>110.012776307067</v>
      </c>
      <c r="AN41" s="5">
        <f t="shared" si="18"/>
        <v>1.6491221131663893</v>
      </c>
      <c r="AO41" s="15">
        <v>124.135377193153</v>
      </c>
      <c r="AP41" s="5">
        <f t="shared" si="19"/>
        <v>1.8581287948018137</v>
      </c>
      <c r="AQ41" s="15">
        <v>103.95677790767139</v>
      </c>
      <c r="AR41" s="5">
        <f t="shared" si="20"/>
        <v>1.5514002815379793</v>
      </c>
      <c r="AS41" s="3">
        <v>108.69193089392688</v>
      </c>
      <c r="AT41" s="5">
        <f t="shared" si="21"/>
        <v>1.610330702787369</v>
      </c>
    </row>
    <row r="42" spans="1:46" x14ac:dyDescent="0.25">
      <c r="A42">
        <v>40</v>
      </c>
      <c r="B42">
        <f t="shared" si="24"/>
        <v>2066</v>
      </c>
      <c r="C42" s="3">
        <v>172.30749798282622</v>
      </c>
      <c r="D42" s="4">
        <f t="shared" si="0"/>
        <v>2.4624578428392865</v>
      </c>
      <c r="E42" s="3">
        <v>59.031169314701891</v>
      </c>
      <c r="F42" s="4">
        <f t="shared" si="1"/>
        <v>1.0936805641551737</v>
      </c>
      <c r="G42" s="3">
        <v>142.21939599029409</v>
      </c>
      <c r="H42" s="4">
        <f t="shared" si="2"/>
        <v>2.1037359086030922</v>
      </c>
      <c r="I42" s="15">
        <v>107.17457358219825</v>
      </c>
      <c r="J42" s="4">
        <f t="shared" si="3"/>
        <v>1.613580834121805</v>
      </c>
      <c r="K42" s="15">
        <v>122.55727676533766</v>
      </c>
      <c r="L42" s="4">
        <f t="shared" si="4"/>
        <v>1.8287326112362241</v>
      </c>
      <c r="M42" s="15">
        <v>117.08969903977624</v>
      </c>
      <c r="N42" s="4">
        <f t="shared" si="5"/>
        <v>1.7681593112625256</v>
      </c>
      <c r="O42" s="15">
        <v>117.67310517338657</v>
      </c>
      <c r="P42" s="4">
        <f t="shared" si="6"/>
        <v>1.7724300710997558</v>
      </c>
      <c r="Q42" s="15">
        <v>111.61313491322963</v>
      </c>
      <c r="R42" s="4">
        <f t="shared" si="7"/>
        <v>1.6747156888027122</v>
      </c>
      <c r="S42" s="15">
        <v>172.30749798282622</v>
      </c>
      <c r="T42" s="4">
        <f t="shared" si="8"/>
        <v>2.4624578428392865</v>
      </c>
      <c r="U42" s="15">
        <v>112.25322132138791</v>
      </c>
      <c r="V42" s="5">
        <f t="shared" si="9"/>
        <v>1.6770553323224668</v>
      </c>
      <c r="W42" s="15">
        <v>104.64548160851967</v>
      </c>
      <c r="X42" s="5">
        <f t="shared" si="10"/>
        <v>1.5277420000752002</v>
      </c>
      <c r="Y42" s="15">
        <v>54.384160285886004</v>
      </c>
      <c r="Z42" s="5">
        <f t="shared" si="11"/>
        <v>0.86735257940382671</v>
      </c>
      <c r="AA42" s="15">
        <v>132.6737663249545</v>
      </c>
      <c r="AB42" s="5">
        <f t="shared" si="12"/>
        <v>1.9479709054973815</v>
      </c>
      <c r="AC42" s="15">
        <v>178.24957927082531</v>
      </c>
      <c r="AD42" s="5">
        <f t="shared" si="13"/>
        <v>2.5215759936800328</v>
      </c>
      <c r="AE42" s="15">
        <v>120.44095177189098</v>
      </c>
      <c r="AF42" s="5">
        <f t="shared" si="14"/>
        <v>1.7749264694662283</v>
      </c>
      <c r="AG42" s="15">
        <v>115.0439779292994</v>
      </c>
      <c r="AH42" s="5">
        <f t="shared" si="15"/>
        <v>1.6983153769290265</v>
      </c>
      <c r="AI42" s="15">
        <v>110.974394248943</v>
      </c>
      <c r="AJ42" s="5">
        <f t="shared" si="16"/>
        <v>1.658611625248908</v>
      </c>
      <c r="AK42" s="15">
        <v>107.37500834797551</v>
      </c>
      <c r="AL42" s="5">
        <f t="shared" si="17"/>
        <v>1.6066999785278022</v>
      </c>
      <c r="AM42" s="15">
        <v>111.15662852293113</v>
      </c>
      <c r="AN42" s="5">
        <f t="shared" si="18"/>
        <v>1.6704348936043423</v>
      </c>
      <c r="AO42" s="15">
        <v>125.50515319742306</v>
      </c>
      <c r="AP42" s="5">
        <f t="shared" si="19"/>
        <v>1.8821927108225889</v>
      </c>
      <c r="AQ42" s="15">
        <v>105.02614349778145</v>
      </c>
      <c r="AR42" s="5">
        <f t="shared" si="20"/>
        <v>1.5715376243699579</v>
      </c>
      <c r="AS42" s="3">
        <v>109.88667951663911</v>
      </c>
      <c r="AT42" s="5">
        <f t="shared" si="21"/>
        <v>1.6313999876758603</v>
      </c>
    </row>
    <row r="43" spans="1:46" x14ac:dyDescent="0.25">
      <c r="A43">
        <v>41</v>
      </c>
      <c r="B43">
        <f t="shared" si="24"/>
        <v>2067</v>
      </c>
      <c r="C43" s="3">
        <v>174.46662338898918</v>
      </c>
      <c r="D43" s="4">
        <f t="shared" si="0"/>
        <v>2.4945395689959828</v>
      </c>
      <c r="E43" s="3">
        <v>59.088444489226035</v>
      </c>
      <c r="F43" s="4">
        <f t="shared" si="1"/>
        <v>1.1045460194400045</v>
      </c>
      <c r="G43" s="3">
        <v>143.76008555078292</v>
      </c>
      <c r="H43" s="4">
        <f t="shared" si="2"/>
        <v>2.1301711751733658</v>
      </c>
      <c r="I43" s="15">
        <v>108.2486571071431</v>
      </c>
      <c r="J43" s="4">
        <f t="shared" si="3"/>
        <v>1.6334860956938051</v>
      </c>
      <c r="K43" s="15">
        <v>123.87277852706391</v>
      </c>
      <c r="L43" s="4">
        <f t="shared" si="4"/>
        <v>1.851510908206607</v>
      </c>
      <c r="M43" s="15">
        <v>118.30293095027974</v>
      </c>
      <c r="N43" s="4">
        <f t="shared" si="5"/>
        <v>1.7899133990104115</v>
      </c>
      <c r="O43" s="15">
        <v>118.87233749679109</v>
      </c>
      <c r="P43" s="4">
        <f t="shared" si="6"/>
        <v>1.7942888639456265</v>
      </c>
      <c r="Q43" s="15">
        <v>112.74730338400167</v>
      </c>
      <c r="R43" s="4">
        <f t="shared" si="7"/>
        <v>1.6954481821691183</v>
      </c>
      <c r="S43" s="15">
        <v>174.46662338898918</v>
      </c>
      <c r="T43" s="4">
        <f t="shared" si="8"/>
        <v>2.4945395689959828</v>
      </c>
      <c r="U43" s="15">
        <v>113.45808137913495</v>
      </c>
      <c r="V43" s="5">
        <f t="shared" si="9"/>
        <v>1.6979185268198695</v>
      </c>
      <c r="W43" s="15">
        <v>105.94115282478498</v>
      </c>
      <c r="X43" s="5">
        <f t="shared" si="10"/>
        <v>1.5472229471333179</v>
      </c>
      <c r="Y43" s="15">
        <v>54.860716204087268</v>
      </c>
      <c r="Z43" s="5">
        <f t="shared" si="11"/>
        <v>0.87744062054219174</v>
      </c>
      <c r="AA43" s="15">
        <v>134.09797315384006</v>
      </c>
      <c r="AB43" s="5">
        <f t="shared" si="12"/>
        <v>1.9726294583444643</v>
      </c>
      <c r="AC43" s="15">
        <v>180.59499458503385</v>
      </c>
      <c r="AD43" s="5">
        <f t="shared" si="13"/>
        <v>2.5547846329544304</v>
      </c>
      <c r="AE43" s="15">
        <v>121.80778401234252</v>
      </c>
      <c r="AF43" s="5">
        <f t="shared" si="14"/>
        <v>1.7973250457355998</v>
      </c>
      <c r="AG43" s="15">
        <v>116.34830242876566</v>
      </c>
      <c r="AH43" s="5">
        <f t="shared" si="15"/>
        <v>1.7197100385829855</v>
      </c>
      <c r="AI43" s="15">
        <v>112.16223325097693</v>
      </c>
      <c r="AJ43" s="5">
        <f t="shared" si="16"/>
        <v>1.679236533224908</v>
      </c>
      <c r="AK43" s="15">
        <v>108.51493989694281</v>
      </c>
      <c r="AL43" s="5">
        <f t="shared" si="17"/>
        <v>1.6266542054054676</v>
      </c>
      <c r="AM43" s="15">
        <v>112.31312429220023</v>
      </c>
      <c r="AN43" s="5">
        <f t="shared" si="18"/>
        <v>1.6910875481198808</v>
      </c>
      <c r="AO43" s="15">
        <v>126.89084053969977</v>
      </c>
      <c r="AP43" s="5">
        <f t="shared" si="19"/>
        <v>1.9055259829345348</v>
      </c>
      <c r="AQ43" s="15">
        <v>106.10710066706446</v>
      </c>
      <c r="AR43" s="5">
        <f t="shared" si="20"/>
        <v>1.5910490866815314</v>
      </c>
      <c r="AS43" s="3">
        <v>111.09512593253491</v>
      </c>
      <c r="AT43" s="5">
        <f t="shared" si="21"/>
        <v>1.6518286710439376</v>
      </c>
    </row>
    <row r="44" spans="1:46" x14ac:dyDescent="0.25">
      <c r="A44">
        <v>42</v>
      </c>
      <c r="B44">
        <f t="shared" si="24"/>
        <v>2068</v>
      </c>
      <c r="C44" s="3">
        <v>176.65327424766991</v>
      </c>
      <c r="D44" s="4">
        <f t="shared" si="0"/>
        <v>2.5256931295469398</v>
      </c>
      <c r="E44" s="3">
        <v>59.145777888413541</v>
      </c>
      <c r="F44" s="4">
        <f t="shared" si="1"/>
        <v>1.1149766303676956</v>
      </c>
      <c r="G44" s="3">
        <v>145.31823593211126</v>
      </c>
      <c r="H44" s="4">
        <f t="shared" si="2"/>
        <v>2.1557986676812155</v>
      </c>
      <c r="I44" s="15">
        <v>109.33418637245774</v>
      </c>
      <c r="J44" s="4">
        <f t="shared" si="3"/>
        <v>1.6527676471394268</v>
      </c>
      <c r="K44" s="15">
        <v>125.20312772800274</v>
      </c>
      <c r="L44" s="4">
        <f t="shared" si="4"/>
        <v>1.8735910153399453</v>
      </c>
      <c r="M44" s="15">
        <v>119.5296562472909</v>
      </c>
      <c r="N44" s="4">
        <f t="shared" si="5"/>
        <v>1.8109929651797556</v>
      </c>
      <c r="O44" s="15">
        <v>120.0846360575336</v>
      </c>
      <c r="P44" s="4">
        <f t="shared" si="6"/>
        <v>1.8154663031784424</v>
      </c>
      <c r="Q44" s="15">
        <v>113.89370294144152</v>
      </c>
      <c r="R44" s="4">
        <f t="shared" si="7"/>
        <v>1.7155338238650899</v>
      </c>
      <c r="S44" s="15">
        <v>176.65327424766991</v>
      </c>
      <c r="T44" s="4">
        <f t="shared" si="8"/>
        <v>2.5256931295469398</v>
      </c>
      <c r="U44" s="15">
        <v>114.6765396531362</v>
      </c>
      <c r="V44" s="5">
        <f t="shared" si="9"/>
        <v>1.7181422251185459</v>
      </c>
      <c r="W44" s="15">
        <v>107.25331595979402</v>
      </c>
      <c r="X44" s="5">
        <f t="shared" si="10"/>
        <v>1.5661375281807077</v>
      </c>
      <c r="Y44" s="15">
        <v>55.341741856009897</v>
      </c>
      <c r="Z44" s="5">
        <f t="shared" si="11"/>
        <v>0.88720037344373959</v>
      </c>
      <c r="AA44" s="15">
        <v>135.53807645588486</v>
      </c>
      <c r="AB44" s="5">
        <f t="shared" si="12"/>
        <v>1.9965321778938832</v>
      </c>
      <c r="AC44" s="15">
        <v>182.97174416071027</v>
      </c>
      <c r="AD44" s="5">
        <f t="shared" si="13"/>
        <v>2.5870524827019143</v>
      </c>
      <c r="AE44" s="15">
        <v>123.19069818432921</v>
      </c>
      <c r="AF44" s="5">
        <f t="shared" si="14"/>
        <v>1.8190502523107097</v>
      </c>
      <c r="AG44" s="15">
        <v>117.66796303414247</v>
      </c>
      <c r="AH44" s="5">
        <f t="shared" si="15"/>
        <v>1.7404612871907665</v>
      </c>
      <c r="AI44" s="15">
        <v>113.36344392077866</v>
      </c>
      <c r="AJ44" s="5">
        <f t="shared" si="16"/>
        <v>1.6992286614743937</v>
      </c>
      <c r="AK44" s="15">
        <v>109.66760547044589</v>
      </c>
      <c r="AL44" s="5">
        <f t="shared" si="17"/>
        <v>1.6459945567352254</v>
      </c>
      <c r="AM44" s="15">
        <v>113.4824084927224</v>
      </c>
      <c r="AN44" s="5">
        <f t="shared" si="18"/>
        <v>1.7111006562805018</v>
      </c>
      <c r="AO44" s="15">
        <v>128.2926291716833</v>
      </c>
      <c r="AP44" s="5">
        <f t="shared" si="19"/>
        <v>1.9281509368628609</v>
      </c>
      <c r="AQ44" s="15">
        <v>107.19977864167195</v>
      </c>
      <c r="AR44" s="5">
        <f t="shared" si="20"/>
        <v>1.6099542261938637</v>
      </c>
      <c r="AS44" s="3">
        <v>112.31742997816194</v>
      </c>
      <c r="AT44" s="5">
        <f t="shared" si="21"/>
        <v>1.6716363302603003</v>
      </c>
    </row>
    <row r="45" spans="1:46" x14ac:dyDescent="0.25">
      <c r="A45">
        <v>43</v>
      </c>
      <c r="B45">
        <f t="shared" si="24"/>
        <v>2069</v>
      </c>
      <c r="C45" s="3">
        <v>178.86780199452465</v>
      </c>
      <c r="D45" s="4">
        <f t="shared" si="0"/>
        <v>2.5559454571500804</v>
      </c>
      <c r="E45" s="3">
        <v>59.203169571454296</v>
      </c>
      <c r="F45" s="4">
        <f t="shared" si="1"/>
        <v>1.1249898002118397</v>
      </c>
      <c r="G45" s="3">
        <v>146.89405022272268</v>
      </c>
      <c r="H45" s="4">
        <f t="shared" si="2"/>
        <v>2.1806432002395462</v>
      </c>
      <c r="I45" s="15">
        <v>110.43128806037839</v>
      </c>
      <c r="J45" s="4">
        <f t="shared" si="3"/>
        <v>1.6714451478790044</v>
      </c>
      <c r="K45" s="15">
        <v>126.54849667541754</v>
      </c>
      <c r="L45" s="4">
        <f t="shared" si="4"/>
        <v>1.8949944570797106</v>
      </c>
      <c r="M45" s="15">
        <v>120.77003175148131</v>
      </c>
      <c r="N45" s="4">
        <f t="shared" si="5"/>
        <v>1.8314190816995939</v>
      </c>
      <c r="O45" s="15">
        <v>121.31014945203763</v>
      </c>
      <c r="P45" s="4">
        <f t="shared" si="6"/>
        <v>1.8359837710619094</v>
      </c>
      <c r="Q45" s="15">
        <v>115.05247037832898</v>
      </c>
      <c r="R45" s="4">
        <f t="shared" si="7"/>
        <v>1.7349929159242767</v>
      </c>
      <c r="S45" s="15">
        <v>178.86780199452465</v>
      </c>
      <c r="T45" s="4">
        <f t="shared" si="8"/>
        <v>2.5559454571500804</v>
      </c>
      <c r="U45" s="15">
        <v>115.90875367260291</v>
      </c>
      <c r="V45" s="5">
        <f t="shared" si="9"/>
        <v>1.7377461423639911</v>
      </c>
      <c r="W45" s="15">
        <v>108.5821812683001</v>
      </c>
      <c r="X45" s="5">
        <f t="shared" si="10"/>
        <v>1.5845022851853965</v>
      </c>
      <c r="Y45" s="15">
        <v>55.827280142386421</v>
      </c>
      <c r="Z45" s="5">
        <f t="shared" si="11"/>
        <v>0.89664257125255198</v>
      </c>
      <c r="AA45" s="15">
        <v>136.99425720641665</v>
      </c>
      <c r="AB45" s="5">
        <f t="shared" si="12"/>
        <v>2.0197023354210848</v>
      </c>
      <c r="AC45" s="15">
        <v>185.38024662139537</v>
      </c>
      <c r="AD45" s="5">
        <f t="shared" si="13"/>
        <v>2.6184062752202188</v>
      </c>
      <c r="AE45" s="15">
        <v>124.58988611315297</v>
      </c>
      <c r="AF45" s="5">
        <f t="shared" si="14"/>
        <v>1.8401224296881031</v>
      </c>
      <c r="AG45" s="15">
        <v>119.0031424233279</v>
      </c>
      <c r="AH45" s="5">
        <f t="shared" si="15"/>
        <v>1.7605885656067217</v>
      </c>
      <c r="AI45" s="15">
        <v>114.57818077222265</v>
      </c>
      <c r="AJ45" s="5">
        <f t="shared" si="16"/>
        <v>1.7186075358287576</v>
      </c>
      <c r="AK45" s="15">
        <v>110.8331510953939</v>
      </c>
      <c r="AL45" s="5">
        <f t="shared" si="17"/>
        <v>1.6647400255051099</v>
      </c>
      <c r="AM45" s="15">
        <v>114.6646277183862</v>
      </c>
      <c r="AN45" s="5">
        <f t="shared" si="18"/>
        <v>1.7304941516080452</v>
      </c>
      <c r="AO45" s="15">
        <v>129.71071136798815</v>
      </c>
      <c r="AP45" s="5">
        <f t="shared" si="19"/>
        <v>1.9500892113325217</v>
      </c>
      <c r="AQ45" s="15">
        <v>108.30430813006819</v>
      </c>
      <c r="AR45" s="5">
        <f t="shared" si="20"/>
        <v>1.6282719858680315</v>
      </c>
      <c r="AS45" s="3">
        <v>113.5537533882143</v>
      </c>
      <c r="AT45" s="5">
        <f t="shared" si="21"/>
        <v>1.6908419408272131</v>
      </c>
    </row>
    <row r="46" spans="1:46" x14ac:dyDescent="0.25">
      <c r="A46">
        <v>44</v>
      </c>
      <c r="B46">
        <f t="shared" si="24"/>
        <v>2070</v>
      </c>
      <c r="C46" s="3">
        <v>181.11056255902645</v>
      </c>
      <c r="D46" s="4">
        <f t="shared" si="0"/>
        <v>2.5853226998053507</v>
      </c>
      <c r="E46" s="3">
        <v>59.260619597598371</v>
      </c>
      <c r="F46" s="4">
        <f t="shared" si="1"/>
        <v>1.1346022357165493</v>
      </c>
      <c r="G46" s="3">
        <v>148.4877339320125</v>
      </c>
      <c r="H46" s="4">
        <f t="shared" si="2"/>
        <v>2.2047288202575959</v>
      </c>
      <c r="I46" s="15">
        <v>111.54009030826606</v>
      </c>
      <c r="J46" s="4">
        <f t="shared" si="3"/>
        <v>1.6895376337753405</v>
      </c>
      <c r="K46" s="15">
        <v>127.90905972928486</v>
      </c>
      <c r="L46" s="4">
        <f t="shared" si="4"/>
        <v>1.9157420900856541</v>
      </c>
      <c r="M46" s="15">
        <v>122.02421617539456</v>
      </c>
      <c r="N46" s="4">
        <f t="shared" si="5"/>
        <v>1.8512121570329854</v>
      </c>
      <c r="O46" s="15">
        <v>122.54902803321804</v>
      </c>
      <c r="P46" s="4">
        <f t="shared" si="6"/>
        <v>1.8558619740934195</v>
      </c>
      <c r="Q46" s="15">
        <v>116.22374407212465</v>
      </c>
      <c r="R46" s="4">
        <f t="shared" si="7"/>
        <v>1.7538451191512312</v>
      </c>
      <c r="S46" s="15">
        <v>181.11056255902645</v>
      </c>
      <c r="T46" s="4">
        <f t="shared" si="8"/>
        <v>2.5853226998053507</v>
      </c>
      <c r="U46" s="15">
        <v>117.1548828376972</v>
      </c>
      <c r="V46" s="5">
        <f t="shared" si="9"/>
        <v>1.7567493820024913</v>
      </c>
      <c r="W46" s="15">
        <v>109.92796168992263</v>
      </c>
      <c r="X46" s="5">
        <f t="shared" si="10"/>
        <v>1.6023332739446059</v>
      </c>
      <c r="Y46" s="15">
        <v>56.317374388005391</v>
      </c>
      <c r="Z46" s="5">
        <f t="shared" si="11"/>
        <v>0.90577759435516603</v>
      </c>
      <c r="AA46" s="15">
        <v>138.46669848338155</v>
      </c>
      <c r="AB46" s="5">
        <f t="shared" si="12"/>
        <v>2.0421624821046591</v>
      </c>
      <c r="AC46" s="15">
        <v>187.82092618346866</v>
      </c>
      <c r="AD46" s="5">
        <f t="shared" si="13"/>
        <v>2.648871979960278</v>
      </c>
      <c r="AE46" s="15">
        <v>126.005541943273</v>
      </c>
      <c r="AF46" s="5">
        <f t="shared" si="14"/>
        <v>1.8605613004489949</v>
      </c>
      <c r="AG46" s="15">
        <v>120.35402547848172</v>
      </c>
      <c r="AH46" s="5">
        <f t="shared" si="15"/>
        <v>1.7801107257781783</v>
      </c>
      <c r="AI46" s="15">
        <v>115.80660015000029</v>
      </c>
      <c r="AJ46" s="5">
        <f t="shared" si="16"/>
        <v>1.7373920757562928</v>
      </c>
      <c r="AK46" s="15">
        <v>112.01172451655226</v>
      </c>
      <c r="AL46" s="5">
        <f t="shared" si="17"/>
        <v>1.6829090133590656</v>
      </c>
      <c r="AM46" s="15">
        <v>115.85993030003573</v>
      </c>
      <c r="AN46" s="5">
        <f t="shared" si="18"/>
        <v>1.7492873420125945</v>
      </c>
      <c r="AO46" s="15">
        <v>131.14528175512939</v>
      </c>
      <c r="AP46" s="5">
        <f t="shared" si="19"/>
        <v>1.9713617793748111</v>
      </c>
      <c r="AQ46" s="15">
        <v>109.42082134050509</v>
      </c>
      <c r="AR46" s="5">
        <f t="shared" si="20"/>
        <v>1.6460207133560338</v>
      </c>
      <c r="AS46" s="3">
        <v>114.80425981845859</v>
      </c>
      <c r="AT46" s="5">
        <f t="shared" si="21"/>
        <v>1.709463895013051</v>
      </c>
    </row>
    <row r="47" spans="1:46" x14ac:dyDescent="0.25">
      <c r="A47">
        <v>45</v>
      </c>
      <c r="B47">
        <f t="shared" si="24"/>
        <v>2071</v>
      </c>
      <c r="C47" s="3">
        <v>183.38191642201491</v>
      </c>
      <c r="D47" s="4">
        <f t="shared" si="0"/>
        <v>2.613850243840278</v>
      </c>
      <c r="E47" s="3">
        <v>59.318128026156067</v>
      </c>
      <c r="F47" s="4">
        <f t="shared" si="1"/>
        <v>1.1438299749743361</v>
      </c>
      <c r="G47" s="3">
        <v>150.09949501983482</v>
      </c>
      <c r="H47" s="4">
        <f t="shared" si="2"/>
        <v>2.2280788322835616</v>
      </c>
      <c r="I47" s="15">
        <v>112.66072272589439</v>
      </c>
      <c r="J47" s="4">
        <f t="shared" si="3"/>
        <v>1.7070635370447418</v>
      </c>
      <c r="K47" s="15">
        <v>129.28499332732713</v>
      </c>
      <c r="L47" s="4">
        <f t="shared" si="4"/>
        <v>1.9358541240973013</v>
      </c>
      <c r="M47" s="15">
        <v>123.29237014695045</v>
      </c>
      <c r="N47" s="4">
        <f t="shared" si="5"/>
        <v>1.8703919572399126</v>
      </c>
      <c r="O47" s="15">
        <v>123.8014239319247</v>
      </c>
      <c r="P47" s="4">
        <f t="shared" si="6"/>
        <v>1.8751209645201368</v>
      </c>
      <c r="Q47" s="15">
        <v>117.40766400391929</v>
      </c>
      <c r="R47" s="4">
        <f t="shared" si="7"/>
        <v>1.7721094735121155</v>
      </c>
      <c r="S47" s="15">
        <v>183.38191642201491</v>
      </c>
      <c r="T47" s="4">
        <f t="shared" si="8"/>
        <v>2.613850243840278</v>
      </c>
      <c r="U47" s="15">
        <v>118.41508844226206</v>
      </c>
      <c r="V47" s="5">
        <f t="shared" si="9"/>
        <v>1.7751704548969554</v>
      </c>
      <c r="W47" s="15">
        <v>111.29087288348724</v>
      </c>
      <c r="X47" s="5">
        <f t="shared" si="10"/>
        <v>1.6196460784937901</v>
      </c>
      <c r="Y47" s="15">
        <v>56.812068346054026</v>
      </c>
      <c r="Z47" s="5">
        <f t="shared" si="11"/>
        <v>0.91461548204376253</v>
      </c>
      <c r="AA47" s="15">
        <v>139.95558549226729</v>
      </c>
      <c r="AB47" s="5">
        <f t="shared" si="12"/>
        <v>2.0639344714368928</v>
      </c>
      <c r="AC47" s="15">
        <v>190.29421273086984</v>
      </c>
      <c r="AD47" s="5">
        <f t="shared" si="13"/>
        <v>2.678474825427215</v>
      </c>
      <c r="AE47" s="15">
        <v>127.43786216670925</v>
      </c>
      <c r="AF47" s="5">
        <f t="shared" si="14"/>
        <v>1.8803859881587224</v>
      </c>
      <c r="AG47" s="15">
        <v>121.72079931295737</v>
      </c>
      <c r="AH47" s="5">
        <f t="shared" si="15"/>
        <v>1.7990460468290062</v>
      </c>
      <c r="AI47" s="15">
        <v>117.04886025181592</v>
      </c>
      <c r="AJ47" s="5">
        <f t="shared" si="16"/>
        <v>1.7556006133276172</v>
      </c>
      <c r="AK47" s="15">
        <v>113.20347521723529</v>
      </c>
      <c r="AL47" s="5">
        <f t="shared" si="17"/>
        <v>1.7005193491390378</v>
      </c>
      <c r="AM47" s="15">
        <v>117.06846632664694</v>
      </c>
      <c r="AN47" s="5">
        <f t="shared" si="18"/>
        <v>1.7674989295747467</v>
      </c>
      <c r="AO47" s="15">
        <v>132.59653734087644</v>
      </c>
      <c r="AP47" s="5">
        <f t="shared" si="19"/>
        <v>1.9919889689672992</v>
      </c>
      <c r="AQ47" s="15">
        <v>110.54945199870845</v>
      </c>
      <c r="AR47" s="5">
        <f t="shared" si="20"/>
        <v>1.6632181798318049</v>
      </c>
      <c r="AS47" s="3">
        <v>116.06911486894103</v>
      </c>
      <c r="AT47" s="5">
        <f t="shared" si="21"/>
        <v>1.7275200199032434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F5F1-3598-4787-844E-6A790533928E}">
  <sheetPr codeName="Sheet6"/>
  <dimension ref="A1:J47"/>
  <sheetViews>
    <sheetView workbookViewId="0">
      <selection activeCell="F24" sqref="F24"/>
    </sheetView>
  </sheetViews>
  <sheetFormatPr defaultRowHeight="15" x14ac:dyDescent="0.25"/>
  <cols>
    <col min="1" max="1" width="12.42578125" bestFit="1" customWidth="1"/>
    <col min="2" max="2" width="12.42578125" customWidth="1"/>
    <col min="3" max="4" width="9" bestFit="1" customWidth="1"/>
    <col min="5" max="5" width="11.7109375" bestFit="1" customWidth="1"/>
    <col min="6" max="6" width="11.5703125" bestFit="1" customWidth="1"/>
    <col min="7" max="8" width="8.140625" bestFit="1" customWidth="1"/>
    <col min="9" max="9" width="10.85546875" bestFit="1" customWidth="1"/>
    <col min="10" max="10" width="10.7109375" bestFit="1" customWidth="1"/>
  </cols>
  <sheetData>
    <row r="1" spans="1:10" x14ac:dyDescent="0.25">
      <c r="A1" s="20" t="s">
        <v>5</v>
      </c>
      <c r="B1" s="20" t="s">
        <v>157</v>
      </c>
      <c r="C1" s="21" t="s">
        <v>194</v>
      </c>
      <c r="D1" s="22" t="s">
        <v>195</v>
      </c>
      <c r="E1" s="23" t="s">
        <v>156</v>
      </c>
      <c r="F1" s="24" t="s">
        <v>155</v>
      </c>
      <c r="G1" s="21" t="s">
        <v>196</v>
      </c>
      <c r="H1" s="22" t="s">
        <v>197</v>
      </c>
      <c r="I1" s="23" t="s">
        <v>154</v>
      </c>
      <c r="J1" s="24" t="s">
        <v>153</v>
      </c>
    </row>
    <row r="2" spans="1:10" x14ac:dyDescent="0.25">
      <c r="A2" s="20">
        <v>0</v>
      </c>
      <c r="B2" s="20">
        <v>2023</v>
      </c>
      <c r="C2" s="25">
        <v>0.84490756324999994</v>
      </c>
      <c r="D2" s="25">
        <v>1.1658643420000001</v>
      </c>
      <c r="E2" s="26">
        <f>C2/(1+Gas_Discount_Rate)^($A2-0.5)</f>
        <v>0.86494768187332061</v>
      </c>
      <c r="F2" s="27">
        <f>D2/(1+Gas_Discount_Rate)^($A2-0.5)</f>
        <v>1.1935171418193178</v>
      </c>
      <c r="G2" s="25">
        <v>0.83543360199999994</v>
      </c>
      <c r="H2" s="25">
        <v>1.1803406353333332</v>
      </c>
      <c r="I2" s="26">
        <f>G2/((1+Gas_Discount_Rate)^($A2-0.5))</f>
        <v>0.85524901047094315</v>
      </c>
      <c r="J2" s="27">
        <f>H2/(1+Gas_Discount_Rate)^($A2-0.5)</f>
        <v>1.2083367941758676</v>
      </c>
    </row>
    <row r="3" spans="1:10" x14ac:dyDescent="0.25">
      <c r="A3" s="20">
        <v>1</v>
      </c>
      <c r="B3" s="20">
        <f>B2+1</f>
        <v>2024</v>
      </c>
      <c r="C3" s="25">
        <v>0.79903134225000005</v>
      </c>
      <c r="D3" s="28">
        <v>0.87534874065000001</v>
      </c>
      <c r="E3" s="26">
        <f t="shared" ref="E3:E47" si="0">C3/(1+Gas_Discount_Rate)^($A3-0.5)+E2</f>
        <v>1.6454661322825557</v>
      </c>
      <c r="F3" s="27">
        <f t="shared" ref="F3:F47" si="1">D3/(1+Gas_Discount_Rate)^($A3-0.5)+F2</f>
        <v>2.048584779962161</v>
      </c>
      <c r="G3" s="25">
        <v>0.84276710050000003</v>
      </c>
      <c r="H3" s="25">
        <v>0.88737726500000014</v>
      </c>
      <c r="I3" s="26">
        <f t="shared" ref="I3:I47" si="2">G3/((1+Gas_Discount_Rate)^($A3-0.5))+I2</f>
        <v>1.6784898979758713</v>
      </c>
      <c r="J3" s="27">
        <f t="shared" ref="J3:J47" si="3">H3/(1+Gas_Discount_Rate)^($A3-0.5)+J2</f>
        <v>2.0751542657607067</v>
      </c>
    </row>
    <row r="4" spans="1:10" x14ac:dyDescent="0.25">
      <c r="A4" s="20">
        <v>2</v>
      </c>
      <c r="B4" s="20">
        <f t="shared" ref="B4:B47" si="4">B3+1</f>
        <v>2025</v>
      </c>
      <c r="C4" s="25">
        <v>0.69501813425000003</v>
      </c>
      <c r="D4" s="28">
        <v>0.7720801100000001</v>
      </c>
      <c r="E4" s="26">
        <f t="shared" si="0"/>
        <v>2.2932859242255135</v>
      </c>
      <c r="F4" s="27">
        <f t="shared" si="1"/>
        <v>2.768233306490512</v>
      </c>
      <c r="G4" s="25">
        <v>0.731082448</v>
      </c>
      <c r="H4" s="25">
        <v>0.78173588020000007</v>
      </c>
      <c r="I4" s="26">
        <f t="shared" si="2"/>
        <v>2.359924893722543</v>
      </c>
      <c r="J4" s="27">
        <f t="shared" si="3"/>
        <v>2.8038028438470834</v>
      </c>
    </row>
    <row r="5" spans="1:10" x14ac:dyDescent="0.25">
      <c r="A5" s="20">
        <v>3</v>
      </c>
      <c r="B5" s="20">
        <f t="shared" si="4"/>
        <v>2026</v>
      </c>
      <c r="C5" s="25">
        <v>0.66345995749999997</v>
      </c>
      <c r="D5" s="28">
        <v>0.70564272459999999</v>
      </c>
      <c r="E5" s="26">
        <f t="shared" si="0"/>
        <v>2.8833667596975605</v>
      </c>
      <c r="F5" s="27">
        <f t="shared" si="1"/>
        <v>3.3958314663639957</v>
      </c>
      <c r="G5" s="25">
        <v>0.69780155849999992</v>
      </c>
      <c r="H5" s="25">
        <v>0.71495790879999999</v>
      </c>
      <c r="I5" s="26">
        <f t="shared" si="2"/>
        <v>2.9805491257936647</v>
      </c>
      <c r="J5" s="27">
        <f t="shared" si="3"/>
        <v>3.4396859222196792</v>
      </c>
    </row>
    <row r="6" spans="1:10" x14ac:dyDescent="0.25">
      <c r="A6" s="20">
        <v>4</v>
      </c>
      <c r="B6" s="20">
        <f t="shared" si="4"/>
        <v>2027</v>
      </c>
      <c r="C6" s="25">
        <v>0.66372094950000005</v>
      </c>
      <c r="D6" s="28">
        <v>0.69167429250000001</v>
      </c>
      <c r="E6" s="26">
        <f t="shared" si="0"/>
        <v>3.4466424863955942</v>
      </c>
      <c r="F6" s="27">
        <f t="shared" si="1"/>
        <v>3.9828301742393237</v>
      </c>
      <c r="G6" s="25">
        <v>0.69638047449999996</v>
      </c>
      <c r="H6" s="25">
        <v>0.70070611520000003</v>
      </c>
      <c r="I6" s="26">
        <f t="shared" si="2"/>
        <v>3.5715417984338842</v>
      </c>
      <c r="J6" s="27">
        <f t="shared" si="3"/>
        <v>4.034349608123172</v>
      </c>
    </row>
    <row r="7" spans="1:10" x14ac:dyDescent="0.25">
      <c r="A7" s="20">
        <v>5</v>
      </c>
      <c r="B7" s="20">
        <f t="shared" si="4"/>
        <v>2028</v>
      </c>
      <c r="C7" s="25">
        <v>0.71102703500000008</v>
      </c>
      <c r="D7" s="28">
        <v>0.73046371644999997</v>
      </c>
      <c r="E7" s="26">
        <f t="shared" si="0"/>
        <v>4.0224274802455264</v>
      </c>
      <c r="F7" s="27">
        <f t="shared" si="1"/>
        <v>4.5743548642727507</v>
      </c>
      <c r="G7" s="25">
        <v>0.75209006550000002</v>
      </c>
      <c r="H7" s="25">
        <v>0.74045605400000003</v>
      </c>
      <c r="I7" s="26">
        <f t="shared" si="2"/>
        <v>4.1805793630020345</v>
      </c>
      <c r="J7" s="27">
        <f t="shared" si="3"/>
        <v>4.6339660270664194</v>
      </c>
    </row>
    <row r="8" spans="1:10" x14ac:dyDescent="0.25">
      <c r="A8" s="20">
        <v>6</v>
      </c>
      <c r="B8" s="20">
        <f t="shared" si="4"/>
        <v>2029</v>
      </c>
      <c r="C8" s="25">
        <v>0.72155921374999998</v>
      </c>
      <c r="D8" s="28">
        <v>0.72980233449999998</v>
      </c>
      <c r="E8" s="26">
        <f t="shared" si="0"/>
        <v>4.5799788949361426</v>
      </c>
      <c r="F8" s="27">
        <f t="shared" si="1"/>
        <v>5.1382757681862161</v>
      </c>
      <c r="G8" s="25">
        <v>0.75466687349999995</v>
      </c>
      <c r="H8" s="25">
        <v>0.73784790189999994</v>
      </c>
      <c r="I8" s="26">
        <f t="shared" si="2"/>
        <v>4.7637131861477719</v>
      </c>
      <c r="J8" s="27">
        <f t="shared" si="3"/>
        <v>5.2041037700145436</v>
      </c>
    </row>
    <row r="9" spans="1:10" x14ac:dyDescent="0.25">
      <c r="A9" s="20">
        <v>7</v>
      </c>
      <c r="B9" s="20">
        <f t="shared" si="4"/>
        <v>2030</v>
      </c>
      <c r="C9" s="25">
        <v>0.70266946575</v>
      </c>
      <c r="D9" s="28">
        <v>0.73803367845000012</v>
      </c>
      <c r="E9" s="26">
        <f t="shared" si="0"/>
        <v>5.0980659541706199</v>
      </c>
      <c r="F9" s="27">
        <f t="shared" si="1"/>
        <v>5.6824373074613614</v>
      </c>
      <c r="G9" s="25">
        <v>0.7334275939999999</v>
      </c>
      <c r="H9" s="25">
        <v>0.74574246999999994</v>
      </c>
      <c r="I9" s="26">
        <f t="shared" si="2"/>
        <v>5.3044786012655383</v>
      </c>
      <c r="J9" s="27">
        <f t="shared" si="3"/>
        <v>5.753949098523548</v>
      </c>
    </row>
    <row r="10" spans="1:10" x14ac:dyDescent="0.25">
      <c r="A10" s="20">
        <v>8</v>
      </c>
      <c r="B10" s="20">
        <f t="shared" si="4"/>
        <v>2031</v>
      </c>
      <c r="C10" s="25">
        <v>0.70017301425</v>
      </c>
      <c r="D10" s="28">
        <v>0.72241124064999995</v>
      </c>
      <c r="E10" s="26">
        <f t="shared" si="0"/>
        <v>5.5906674752183614</v>
      </c>
      <c r="F10" s="27">
        <f t="shared" si="1"/>
        <v>6.190684367436047</v>
      </c>
      <c r="G10" s="25">
        <v>0.72835585899999999</v>
      </c>
      <c r="H10" s="25">
        <v>0.7293981370999999</v>
      </c>
      <c r="I10" s="26">
        <f t="shared" si="2"/>
        <v>5.8169079533046997</v>
      </c>
      <c r="J10" s="27">
        <f t="shared" si="3"/>
        <v>6.2671117375745844</v>
      </c>
    </row>
    <row r="11" spans="1:10" x14ac:dyDescent="0.25">
      <c r="A11" s="20">
        <v>9</v>
      </c>
      <c r="B11" s="20">
        <f t="shared" si="4"/>
        <v>2032</v>
      </c>
      <c r="C11" s="25">
        <v>0.73061078199999996</v>
      </c>
      <c r="D11" s="28">
        <v>0.74733239655000006</v>
      </c>
      <c r="E11" s="26">
        <f t="shared" si="0"/>
        <v>6.0811405538052137</v>
      </c>
      <c r="F11" s="27">
        <f t="shared" si="1"/>
        <v>6.6923829876783758</v>
      </c>
      <c r="G11" s="25">
        <v>0.76382468699999995</v>
      </c>
      <c r="H11" s="25">
        <v>0.75378293010000008</v>
      </c>
      <c r="I11" s="26">
        <f t="shared" si="2"/>
        <v>6.3296781655208241</v>
      </c>
      <c r="J11" s="27">
        <f t="shared" si="3"/>
        <v>6.7731407251297737</v>
      </c>
    </row>
    <row r="12" spans="1:10" x14ac:dyDescent="0.25">
      <c r="A12" s="20">
        <v>10</v>
      </c>
      <c r="B12" s="20">
        <f t="shared" si="4"/>
        <v>2033</v>
      </c>
      <c r="C12" s="25">
        <v>0.76364360100000006</v>
      </c>
      <c r="D12" s="28">
        <v>0.78556284910000007</v>
      </c>
      <c r="E12" s="26">
        <f t="shared" si="0"/>
        <v>6.5703091088618146</v>
      </c>
      <c r="F12" s="27">
        <f t="shared" si="1"/>
        <v>7.1955923949164964</v>
      </c>
      <c r="G12" s="25">
        <v>0.79667188199999994</v>
      </c>
      <c r="H12" s="25">
        <v>0.79302279230000017</v>
      </c>
      <c r="I12" s="26">
        <f t="shared" si="2"/>
        <v>6.8400037059454899</v>
      </c>
      <c r="J12" s="27">
        <f t="shared" si="3"/>
        <v>7.2811287616017015</v>
      </c>
    </row>
    <row r="13" spans="1:10" x14ac:dyDescent="0.25">
      <c r="A13" s="20">
        <v>11</v>
      </c>
      <c r="B13" s="20">
        <f t="shared" si="4"/>
        <v>2034</v>
      </c>
      <c r="C13" s="25">
        <v>0.78867800674999999</v>
      </c>
      <c r="D13" s="28">
        <v>0.80767172384999986</v>
      </c>
      <c r="E13" s="26">
        <f t="shared" si="0"/>
        <v>7.0523748430003721</v>
      </c>
      <c r="F13" s="27">
        <f t="shared" si="1"/>
        <v>7.6892677087561063</v>
      </c>
      <c r="G13" s="25">
        <v>0.82152440700000007</v>
      </c>
      <c r="H13" s="25">
        <v>0.81467977319999996</v>
      </c>
      <c r="I13" s="26">
        <f t="shared" si="2"/>
        <v>7.3421462317719186</v>
      </c>
      <c r="J13" s="27">
        <f t="shared" si="3"/>
        <v>7.7790876238931173</v>
      </c>
    </row>
    <row r="14" spans="1:10" x14ac:dyDescent="0.25">
      <c r="A14" s="20">
        <v>12</v>
      </c>
      <c r="B14" s="20">
        <f t="shared" si="4"/>
        <v>2035</v>
      </c>
      <c r="C14" s="25">
        <v>0.73239483475</v>
      </c>
      <c r="D14" s="28">
        <v>0.78497003230000006</v>
      </c>
      <c r="E14" s="26">
        <f t="shared" si="0"/>
        <v>7.4795347883823</v>
      </c>
      <c r="F14" s="27">
        <f t="shared" si="1"/>
        <v>8.1470914674916166</v>
      </c>
      <c r="G14" s="25">
        <v>0.76440035900000003</v>
      </c>
      <c r="H14" s="25">
        <v>0.79189853300000002</v>
      </c>
      <c r="I14" s="26">
        <f t="shared" si="2"/>
        <v>7.7879729909295285</v>
      </c>
      <c r="J14" s="27">
        <f t="shared" si="3"/>
        <v>8.2409523422861337</v>
      </c>
    </row>
    <row r="15" spans="1:10" x14ac:dyDescent="0.25">
      <c r="A15" s="20">
        <v>13</v>
      </c>
      <c r="B15" s="20">
        <f t="shared" si="4"/>
        <v>2036</v>
      </c>
      <c r="C15" s="25">
        <v>0.75984931649999998</v>
      </c>
      <c r="D15" s="28">
        <v>0.78194276640000004</v>
      </c>
      <c r="E15" s="26">
        <f t="shared" si="0"/>
        <v>7.9024092365405387</v>
      </c>
      <c r="F15" s="27">
        <f t="shared" si="1"/>
        <v>8.582261452714242</v>
      </c>
      <c r="G15" s="25">
        <v>0.79821825000000002</v>
      </c>
      <c r="H15" s="25">
        <v>0.78937027620000011</v>
      </c>
      <c r="I15" s="26">
        <f t="shared" si="2"/>
        <v>8.2322006748253056</v>
      </c>
      <c r="J15" s="27">
        <f t="shared" si="3"/>
        <v>8.680255915629008</v>
      </c>
    </row>
    <row r="16" spans="1:10" x14ac:dyDescent="0.25">
      <c r="A16" s="29">
        <v>14</v>
      </c>
      <c r="B16" s="29">
        <f t="shared" si="4"/>
        <v>2037</v>
      </c>
      <c r="C16" s="30">
        <v>0.76925402624999994</v>
      </c>
      <c r="D16" s="31">
        <v>0.79373760865000009</v>
      </c>
      <c r="E16" s="26">
        <f t="shared" si="0"/>
        <v>8.3109096140960474</v>
      </c>
      <c r="F16" s="27">
        <f t="shared" si="1"/>
        <v>9.0037634556275901</v>
      </c>
      <c r="G16" s="30">
        <v>0.80195760000000005</v>
      </c>
      <c r="H16" s="30">
        <v>0.79969645150000002</v>
      </c>
      <c r="I16" s="26">
        <f t="shared" si="2"/>
        <v>8.6580677762046925</v>
      </c>
      <c r="J16" s="27">
        <f t="shared" si="3"/>
        <v>9.1049222692912046</v>
      </c>
    </row>
    <row r="17" spans="1:10" x14ac:dyDescent="0.25">
      <c r="A17" s="20">
        <v>15</v>
      </c>
      <c r="B17" s="20">
        <f t="shared" si="4"/>
        <v>2038</v>
      </c>
      <c r="C17" s="25">
        <v>0.80372734999999995</v>
      </c>
      <c r="D17" s="28">
        <v>0.84224906785000009</v>
      </c>
      <c r="E17" s="26">
        <f t="shared" si="0"/>
        <v>8.7181681060536267</v>
      </c>
      <c r="F17" s="27">
        <f t="shared" si="1"/>
        <v>9.4305413738174693</v>
      </c>
      <c r="G17" s="25">
        <v>0.83899770900000004</v>
      </c>
      <c r="H17" s="25">
        <v>0.85985270909999989</v>
      </c>
      <c r="I17" s="26">
        <f t="shared" si="2"/>
        <v>9.0831981910440085</v>
      </c>
      <c r="J17" s="27">
        <f t="shared" si="3"/>
        <v>9.5406201681044092</v>
      </c>
    </row>
    <row r="18" spans="1:10" x14ac:dyDescent="0.25">
      <c r="A18" s="20">
        <v>16</v>
      </c>
      <c r="B18" s="20">
        <f t="shared" si="4"/>
        <v>2039</v>
      </c>
      <c r="C18" s="25">
        <v>0.79324735574999994</v>
      </c>
      <c r="D18" s="28">
        <v>0.84176623970000009</v>
      </c>
      <c r="E18" s="26">
        <f t="shared" si="0"/>
        <v>9.1017064176152367</v>
      </c>
      <c r="F18" s="27">
        <f t="shared" si="1"/>
        <v>9.8375387624174682</v>
      </c>
      <c r="G18" s="25">
        <v>0.83001748650000007</v>
      </c>
      <c r="H18" s="25">
        <v>0.85765222409999997</v>
      </c>
      <c r="I18" s="26">
        <f t="shared" si="2"/>
        <v>9.484515009853741</v>
      </c>
      <c r="J18" s="27">
        <f t="shared" si="3"/>
        <v>9.9552984945482024</v>
      </c>
    </row>
    <row r="19" spans="1:10" x14ac:dyDescent="0.25">
      <c r="A19" s="20">
        <v>17</v>
      </c>
      <c r="B19" s="20">
        <f t="shared" si="4"/>
        <v>2040</v>
      </c>
      <c r="C19" s="32">
        <v>0.82111996975000001</v>
      </c>
      <c r="D19" s="33">
        <v>0.84257858574999989</v>
      </c>
      <c r="E19" s="26">
        <f t="shared" si="0"/>
        <v>9.4805373655152287</v>
      </c>
      <c r="F19" s="27">
        <f t="shared" si="1"/>
        <v>10.226269832272084</v>
      </c>
      <c r="G19" s="25">
        <v>0.86042840450000002</v>
      </c>
      <c r="H19" s="25">
        <v>0.84788960420000004</v>
      </c>
      <c r="I19" s="26">
        <f t="shared" si="2"/>
        <v>9.8814812511887986</v>
      </c>
      <c r="J19" s="27">
        <f t="shared" si="3"/>
        <v>10.346479849656921</v>
      </c>
    </row>
    <row r="20" spans="1:10" x14ac:dyDescent="0.25">
      <c r="A20" s="29">
        <v>18</v>
      </c>
      <c r="B20" s="29">
        <f t="shared" si="4"/>
        <v>2041</v>
      </c>
      <c r="C20" s="30">
        <v>0.85670543200000004</v>
      </c>
      <c r="D20" s="31">
        <v>0.8940637817499999</v>
      </c>
      <c r="E20" s="26">
        <f t="shared" si="0"/>
        <v>9.8576829906117993</v>
      </c>
      <c r="F20" s="27">
        <f t="shared" si="1"/>
        <v>10.619861644871106</v>
      </c>
      <c r="G20" s="30">
        <v>0.89357509549999992</v>
      </c>
      <c r="H20" s="30">
        <v>0.90604923910000001</v>
      </c>
      <c r="I20" s="26">
        <f t="shared" si="2"/>
        <v>10.274857930470874</v>
      </c>
      <c r="J20" s="27">
        <f t="shared" si="3"/>
        <v>10.745347994861634</v>
      </c>
    </row>
    <row r="21" spans="1:10" x14ac:dyDescent="0.25">
      <c r="A21" s="20">
        <v>19</v>
      </c>
      <c r="B21" s="20">
        <f t="shared" si="4"/>
        <v>2042</v>
      </c>
      <c r="C21" s="25">
        <v>0.88860120274999999</v>
      </c>
      <c r="D21" s="28">
        <v>0.91764068485000005</v>
      </c>
      <c r="E21" s="26">
        <f t="shared" si="0"/>
        <v>10.23095306023894</v>
      </c>
      <c r="F21" s="27">
        <f t="shared" si="1"/>
        <v>11.00533017818686</v>
      </c>
      <c r="G21" s="25">
        <v>0.92245368250000015</v>
      </c>
      <c r="H21" s="25">
        <v>0.92741041429999993</v>
      </c>
      <c r="I21" s="26">
        <f t="shared" si="2"/>
        <v>10.662348234590416</v>
      </c>
      <c r="J21" s="27">
        <f t="shared" si="3"/>
        <v>11.134920447439205</v>
      </c>
    </row>
    <row r="22" spans="1:10" x14ac:dyDescent="0.25">
      <c r="A22" s="20">
        <v>20</v>
      </c>
      <c r="B22" s="20">
        <f t="shared" si="4"/>
        <v>2043</v>
      </c>
      <c r="C22" s="25">
        <v>0.93061021449999992</v>
      </c>
      <c r="D22" s="28">
        <v>0.94898808670000001</v>
      </c>
      <c r="E22" s="26">
        <f t="shared" si="0"/>
        <v>10.603965060189148</v>
      </c>
      <c r="F22" s="27">
        <f t="shared" si="1"/>
        <v>11.385708491935628</v>
      </c>
      <c r="G22" s="25">
        <v>0.96067417100000019</v>
      </c>
      <c r="H22" s="25">
        <v>0.95698473399999995</v>
      </c>
      <c r="I22" s="26">
        <f t="shared" si="2"/>
        <v>11.047410625097005</v>
      </c>
      <c r="J22" s="27">
        <f t="shared" si="3"/>
        <v>11.518504018723075</v>
      </c>
    </row>
    <row r="23" spans="1:10" x14ac:dyDescent="0.25">
      <c r="A23" s="20">
        <v>21</v>
      </c>
      <c r="B23" s="20">
        <f t="shared" si="4"/>
        <v>2044</v>
      </c>
      <c r="C23" s="25">
        <v>1.3830038769999999</v>
      </c>
      <c r="D23" s="28">
        <v>1.2348382481</v>
      </c>
      <c r="E23" s="26">
        <f t="shared" si="0"/>
        <v>11.132918082950114</v>
      </c>
      <c r="F23" s="27">
        <f t="shared" si="1"/>
        <v>11.857993085504667</v>
      </c>
      <c r="G23" s="25">
        <v>1.4113484119999999</v>
      </c>
      <c r="H23" s="25">
        <v>1.2365708742999999</v>
      </c>
      <c r="I23" s="26">
        <f t="shared" si="2"/>
        <v>11.587204490545647</v>
      </c>
      <c r="J23" s="27">
        <f t="shared" si="3"/>
        <v>11.991451284234721</v>
      </c>
    </row>
    <row r="24" spans="1:10" ht="15.75" thickBot="1" x14ac:dyDescent="0.3">
      <c r="A24" s="34">
        <v>22</v>
      </c>
      <c r="B24" s="34">
        <f t="shared" si="4"/>
        <v>2045</v>
      </c>
      <c r="C24" s="35">
        <v>1.4150018594999998</v>
      </c>
      <c r="D24" s="36">
        <v>1.4319559356</v>
      </c>
      <c r="E24" s="132">
        <f t="shared" si="0"/>
        <v>11.649321888012595</v>
      </c>
      <c r="F24" s="133">
        <f t="shared" si="1"/>
        <v>12.380584267177699</v>
      </c>
      <c r="G24" s="37">
        <v>1.4393216894999998</v>
      </c>
      <c r="H24" s="37">
        <v>1.433957304</v>
      </c>
      <c r="I24" s="132">
        <f t="shared" si="2"/>
        <v>12.112483798255813</v>
      </c>
      <c r="J24" s="133">
        <f t="shared" si="3"/>
        <v>12.514772863716175</v>
      </c>
    </row>
    <row r="25" spans="1:10" x14ac:dyDescent="0.25">
      <c r="A25" s="38">
        <v>23</v>
      </c>
      <c r="B25" s="38">
        <f t="shared" si="4"/>
        <v>2046</v>
      </c>
      <c r="C25" s="32">
        <f>C24*((C$20/C$16)^0.2)</f>
        <v>1.4458037907767245</v>
      </c>
      <c r="D25" s="32">
        <f>D24*((D$20/D$16)^0.2)</f>
        <v>1.4664523732339807</v>
      </c>
      <c r="E25" s="130">
        <f t="shared" si="0"/>
        <v>12.152799889371456</v>
      </c>
      <c r="F25" s="131">
        <f t="shared" si="1"/>
        <v>12.891252806487003</v>
      </c>
      <c r="G25" s="32">
        <f>G24*((G$20/G$16)^0.2)</f>
        <v>1.4708006044714832</v>
      </c>
      <c r="H25" s="32">
        <f>H24*((H$20/H$16)^0.2)</f>
        <v>1.4702173604912019</v>
      </c>
      <c r="I25" s="130">
        <f t="shared" si="2"/>
        <v>12.624666539413852</v>
      </c>
      <c r="J25" s="131">
        <f t="shared" si="3"/>
        <v>13.026752499504475</v>
      </c>
    </row>
    <row r="26" spans="1:10" x14ac:dyDescent="0.25">
      <c r="A26" s="20">
        <v>24</v>
      </c>
      <c r="B26" s="20">
        <f t="shared" si="4"/>
        <v>2047</v>
      </c>
      <c r="C26" s="25">
        <f>C25*((C$20/C$16)^0.2)</f>
        <v>1.477276222211457</v>
      </c>
      <c r="D26" s="25">
        <f t="shared" ref="C26:D41" si="5">D25*((D$20/D$16)^0.2)</f>
        <v>1.501779844966044</v>
      </c>
      <c r="E26" s="26">
        <f t="shared" si="0"/>
        <v>12.643675625311557</v>
      </c>
      <c r="F26" s="27">
        <f t="shared" si="1"/>
        <v>13.390270712233947</v>
      </c>
      <c r="G26" s="32">
        <f t="shared" ref="G26:H41" si="6">G25*((G$20/G$16)^0.2)</f>
        <v>1.5029679840822552</v>
      </c>
      <c r="H26" s="32">
        <f t="shared" si="6"/>
        <v>1.5073943143635724</v>
      </c>
      <c r="I26" s="26">
        <f t="shared" si="2"/>
        <v>13.12407924516793</v>
      </c>
      <c r="J26" s="27">
        <f t="shared" si="3"/>
        <v>13.527636005439106</v>
      </c>
    </row>
    <row r="27" spans="1:10" x14ac:dyDescent="0.25">
      <c r="A27" s="20">
        <v>25</v>
      </c>
      <c r="B27" s="20">
        <f t="shared" si="4"/>
        <v>2048</v>
      </c>
      <c r="C27" s="25">
        <f t="shared" si="5"/>
        <v>1.5094337493325702</v>
      </c>
      <c r="D27" s="25">
        <f t="shared" si="5"/>
        <v>1.5379583707669329</v>
      </c>
      <c r="E27" s="26">
        <f t="shared" si="0"/>
        <v>13.122264535818868</v>
      </c>
      <c r="F27" s="27">
        <f t="shared" si="1"/>
        <v>13.877903787482468</v>
      </c>
      <c r="G27" s="32">
        <f t="shared" si="6"/>
        <v>1.5358388855082057</v>
      </c>
      <c r="H27" s="32">
        <f t="shared" si="6"/>
        <v>1.5455113509314475</v>
      </c>
      <c r="I27" s="26">
        <f t="shared" si="2"/>
        <v>13.611040305403366</v>
      </c>
      <c r="J27" s="27">
        <f t="shared" si="3"/>
        <v>14.017663867838515</v>
      </c>
    </row>
    <row r="28" spans="1:10" x14ac:dyDescent="0.25">
      <c r="A28" s="20">
        <v>26</v>
      </c>
      <c r="B28" s="20">
        <f t="shared" si="4"/>
        <v>2049</v>
      </c>
      <c r="C28" s="25">
        <f t="shared" si="5"/>
        <v>1.5422912853856605</v>
      </c>
      <c r="D28" s="25">
        <f t="shared" si="5"/>
        <v>1.5750084528971418</v>
      </c>
      <c r="E28" s="26">
        <f t="shared" si="0"/>
        <v>13.588874165284286</v>
      </c>
      <c r="F28" s="27">
        <f t="shared" si="1"/>
        <v>14.354411771139699</v>
      </c>
      <c r="G28" s="32">
        <f t="shared" si="6"/>
        <v>1.5694286952355958</v>
      </c>
      <c r="H28" s="32">
        <f t="shared" si="6"/>
        <v>1.5845922417893863</v>
      </c>
      <c r="I28" s="26">
        <f t="shared" si="2"/>
        <v>14.085860171725283</v>
      </c>
      <c r="J28" s="27">
        <f t="shared" si="3"/>
        <v>14.497071360963417</v>
      </c>
    </row>
    <row r="29" spans="1:10" x14ac:dyDescent="0.25">
      <c r="A29" s="20">
        <v>27</v>
      </c>
      <c r="B29" s="20">
        <f t="shared" si="4"/>
        <v>2050</v>
      </c>
      <c r="C29" s="25">
        <f t="shared" si="5"/>
        <v>1.5758640682496541</v>
      </c>
      <c r="D29" s="25">
        <f t="shared" si="5"/>
        <v>1.6129510875254853</v>
      </c>
      <c r="E29" s="26">
        <f t="shared" si="0"/>
        <v>14.04380436013369</v>
      </c>
      <c r="F29" s="27">
        <f t="shared" si="1"/>
        <v>14.820048476306503</v>
      </c>
      <c r="G29" s="32">
        <f t="shared" si="6"/>
        <v>1.6037531362632924</v>
      </c>
      <c r="H29" s="32">
        <f t="shared" si="6"/>
        <v>1.6246613596372657</v>
      </c>
      <c r="I29" s="26">
        <f t="shared" si="2"/>
        <v>14.548841555380397</v>
      </c>
      <c r="J29" s="27">
        <f t="shared" si="3"/>
        <v>14.966088659977679</v>
      </c>
    </row>
    <row r="30" spans="1:10" x14ac:dyDescent="0.25">
      <c r="A30" s="20">
        <v>28</v>
      </c>
      <c r="B30" s="20">
        <f t="shared" si="4"/>
        <v>2051</v>
      </c>
      <c r="C30" s="25">
        <f t="shared" si="5"/>
        <v>1.6101676675034653</v>
      </c>
      <c r="D30" s="25">
        <f t="shared" si="5"/>
        <v>1.6518077766275634</v>
      </c>
      <c r="E30" s="26">
        <f t="shared" si="0"/>
        <v>14.487347461511231</v>
      </c>
      <c r="F30" s="27">
        <f t="shared" si="1"/>
        <v>15.275061925471636</v>
      </c>
      <c r="G30" s="32">
        <f t="shared" si="6"/>
        <v>1.6388282754625214</v>
      </c>
      <c r="H30" s="32">
        <f t="shared" si="6"/>
        <v>1.6657436934802545</v>
      </c>
      <c r="I30" s="26">
        <f t="shared" si="2"/>
        <v>15.000279620244092</v>
      </c>
      <c r="J30" s="27">
        <f t="shared" si="3"/>
        <v>15.424940951460995</v>
      </c>
    </row>
    <row r="31" spans="1:10" x14ac:dyDescent="0.25">
      <c r="A31" s="20">
        <v>29</v>
      </c>
      <c r="B31" s="20">
        <f t="shared" si="4"/>
        <v>2052</v>
      </c>
      <c r="C31" s="25">
        <f t="shared" si="5"/>
        <v>1.6452179916464817</v>
      </c>
      <c r="D31" s="25">
        <f t="shared" si="5"/>
        <v>1.6916005401708645</v>
      </c>
      <c r="E31" s="26">
        <f t="shared" si="0"/>
        <v>14.919788493139679</v>
      </c>
      <c r="F31" s="27">
        <f t="shared" si="1"/>
        <v>15.719694482621493</v>
      </c>
      <c r="G31" s="32">
        <f t="shared" si="6"/>
        <v>1.6746705310975827</v>
      </c>
      <c r="H31" s="32">
        <f t="shared" si="6"/>
        <v>1.7078648642131438</v>
      </c>
      <c r="I31" s="26">
        <f t="shared" si="2"/>
        <v>15.440462170995829</v>
      </c>
      <c r="J31" s="27">
        <f t="shared" si="3"/>
        <v>15.873848541526426</v>
      </c>
    </row>
    <row r="32" spans="1:10" x14ac:dyDescent="0.25">
      <c r="A32" s="20">
        <v>30</v>
      </c>
      <c r="B32" s="20">
        <f t="shared" si="4"/>
        <v>2053</v>
      </c>
      <c r="C32" s="25">
        <f t="shared" si="5"/>
        <v>1.6810312954762257</v>
      </c>
      <c r="D32" s="25">
        <f t="shared" si="5"/>
        <v>1.732351928593415</v>
      </c>
      <c r="E32" s="26">
        <f t="shared" si="0"/>
        <v>15.341405344478551</v>
      </c>
      <c r="F32" s="27">
        <f t="shared" si="1"/>
        <v>16.154182982335868</v>
      </c>
      <c r="G32" s="32">
        <f t="shared" si="6"/>
        <v>1.711296680511049</v>
      </c>
      <c r="H32" s="32">
        <f t="shared" si="6"/>
        <v>1.7510511405987532</v>
      </c>
      <c r="I32" s="26">
        <f t="shared" si="2"/>
        <v>15.869669836602871</v>
      </c>
      <c r="J32" s="27">
        <f t="shared" si="3"/>
        <v>16.313026961594709</v>
      </c>
    </row>
    <row r="33" spans="1:10" x14ac:dyDescent="0.25">
      <c r="A33" s="20">
        <v>31</v>
      </c>
      <c r="B33" s="20">
        <f t="shared" si="4"/>
        <v>2054</v>
      </c>
      <c r="C33" s="25">
        <f t="shared" si="5"/>
        <v>1.7176241876266138</v>
      </c>
      <c r="D33" s="25">
        <f t="shared" si="5"/>
        <v>1.774085035583044</v>
      </c>
      <c r="E33" s="26">
        <f t="shared" si="0"/>
        <v>15.752468949297706</v>
      </c>
      <c r="F33" s="27">
        <f t="shared" si="1"/>
        <v>16.578758855938442</v>
      </c>
      <c r="G33" s="32">
        <f t="shared" si="6"/>
        <v>1.7487238679770438</v>
      </c>
      <c r="H33" s="32">
        <f t="shared" si="6"/>
        <v>1.7953294556503807</v>
      </c>
      <c r="I33" s="26">
        <f t="shared" si="2"/>
        <v>16.288176249229263</v>
      </c>
      <c r="J33" s="27">
        <f t="shared" si="3"/>
        <v>16.742687071876112</v>
      </c>
    </row>
    <row r="34" spans="1:10" x14ac:dyDescent="0.25">
      <c r="A34" s="20">
        <v>32</v>
      </c>
      <c r="B34" s="20">
        <f t="shared" si="4"/>
        <v>2055</v>
      </c>
      <c r="C34" s="25">
        <f t="shared" si="5"/>
        <v>1.7550136382703112</v>
      </c>
      <c r="D34" s="25">
        <f t="shared" si="5"/>
        <v>1.8168235111645052</v>
      </c>
      <c r="E34" s="26">
        <f t="shared" si="0"/>
        <v>16.153243459781176</v>
      </c>
      <c r="F34" s="27">
        <f t="shared" si="1"/>
        <v>16.993648254769237</v>
      </c>
      <c r="G34" s="32">
        <f t="shared" si="6"/>
        <v>1.7869696127262775</v>
      </c>
      <c r="H34" s="32">
        <f t="shared" si="6"/>
        <v>1.8407274234285076</v>
      </c>
      <c r="I34" s="26">
        <f t="shared" si="2"/>
        <v>16.696248218684183</v>
      </c>
      <c r="J34" s="27">
        <f t="shared" si="3"/>
        <v>17.163035162609543</v>
      </c>
    </row>
    <row r="35" spans="1:10" x14ac:dyDescent="0.25">
      <c r="A35" s="20">
        <v>33</v>
      </c>
      <c r="B35" s="20">
        <f t="shared" si="4"/>
        <v>2056</v>
      </c>
      <c r="C35" s="25">
        <f t="shared" si="5"/>
        <v>1.7932169869887493</v>
      </c>
      <c r="D35" s="25">
        <f t="shared" si="5"/>
        <v>1.8605915751018747</v>
      </c>
      <c r="E35" s="26">
        <f t="shared" si="0"/>
        <v>16.543986416273103</v>
      </c>
      <c r="F35" s="27">
        <f t="shared" si="1"/>
        <v>17.399072170644644</v>
      </c>
      <c r="G35" s="32">
        <f t="shared" si="6"/>
        <v>1.8260518171465945</v>
      </c>
      <c r="H35" s="32">
        <f t="shared" si="6"/>
        <v>1.8872733562622388</v>
      </c>
      <c r="I35" s="26">
        <f t="shared" si="2"/>
        <v>17.094145902520808</v>
      </c>
      <c r="J35" s="27">
        <f t="shared" si="3"/>
        <v>17.574273053107493</v>
      </c>
    </row>
    <row r="36" spans="1:10" x14ac:dyDescent="0.25">
      <c r="A36" s="20">
        <v>34</v>
      </c>
      <c r="B36" s="20">
        <f t="shared" si="4"/>
        <v>2057</v>
      </c>
      <c r="C36" s="25">
        <f t="shared" si="5"/>
        <v>1.8322519508134616</v>
      </c>
      <c r="D36" s="25">
        <f t="shared" si="5"/>
        <v>1.9054140306238168</v>
      </c>
      <c r="E36" s="26">
        <f t="shared" si="0"/>
        <v>16.924948912774855</v>
      </c>
      <c r="F36" s="27">
        <f t="shared" si="1"/>
        <v>17.795246553569243</v>
      </c>
      <c r="G36" s="32">
        <f t="shared" si="6"/>
        <v>1.8659887751628728</v>
      </c>
      <c r="H36" s="32">
        <f t="shared" si="6"/>
        <v>1.9349962824062164</v>
      </c>
      <c r="I36" s="26">
        <f t="shared" si="2"/>
        <v>17.482122971894206</v>
      </c>
      <c r="J36" s="27">
        <f t="shared" si="3"/>
        <v>17.976598188654386</v>
      </c>
    </row>
    <row r="37" spans="1:10" x14ac:dyDescent="0.25">
      <c r="A37" s="20">
        <v>35</v>
      </c>
      <c r="B37" s="20">
        <f t="shared" si="4"/>
        <v>2058</v>
      </c>
      <c r="C37" s="25">
        <f t="shared" si="5"/>
        <v>1.8721366324424622</v>
      </c>
      <c r="D37" s="25">
        <f t="shared" si="5"/>
        <v>1.9513162784794988</v>
      </c>
      <c r="E37" s="26">
        <f t="shared" si="0"/>
        <v>17.296375758299703</v>
      </c>
      <c r="F37" s="27">
        <f t="shared" si="1"/>
        <v>18.182382426762086</v>
      </c>
      <c r="G37" s="32">
        <f t="shared" si="6"/>
        <v>1.9067991808001974</v>
      </c>
      <c r="H37" s="32">
        <f t="shared" si="6"/>
        <v>1.9839259641440175</v>
      </c>
      <c r="I37" s="26">
        <f t="shared" si="2"/>
        <v>17.860426773283951</v>
      </c>
      <c r="J37" s="27">
        <f t="shared" si="3"/>
        <v>18.370203735304838</v>
      </c>
    </row>
    <row r="38" spans="1:10" x14ac:dyDescent="0.25">
      <c r="A38" s="20">
        <v>36</v>
      </c>
      <c r="B38" s="20">
        <f t="shared" si="4"/>
        <v>2059</v>
      </c>
      <c r="C38" s="25">
        <f t="shared" si="5"/>
        <v>1.9128895286354808</v>
      </c>
      <c r="D38" s="25">
        <f t="shared" si="5"/>
        <v>1.9983243313331187</v>
      </c>
      <c r="E38" s="26">
        <f t="shared" si="0"/>
        <v>17.658505634188689</v>
      </c>
      <c r="F38" s="27">
        <f t="shared" si="1"/>
        <v>18.560685999058709</v>
      </c>
      <c r="G38" s="32">
        <f t="shared" si="6"/>
        <v>1.9485021369343156</v>
      </c>
      <c r="H38" s="32">
        <f t="shared" si="6"/>
        <v>2.0340929163493282</v>
      </c>
      <c r="I38" s="26">
        <f t="shared" si="2"/>
        <v>18.229298486184582</v>
      </c>
      <c r="J38" s="27">
        <f t="shared" si="3"/>
        <v>18.755278672627377</v>
      </c>
    </row>
    <row r="39" spans="1:10" x14ac:dyDescent="0.25">
      <c r="A39" s="20">
        <v>37</v>
      </c>
      <c r="B39" s="20">
        <f t="shared" si="4"/>
        <v>2060</v>
      </c>
      <c r="C39" s="25">
        <f t="shared" si="5"/>
        <v>1.9545295387919457</v>
      </c>
      <c r="D39" s="25">
        <f t="shared" si="5"/>
        <v>2.0464648285052016</v>
      </c>
      <c r="E39" s="26">
        <f t="shared" si="0"/>
        <v>18.011571247488845</v>
      </c>
      <c r="F39" s="27">
        <f t="shared" si="1"/>
        <v>18.930358774748747</v>
      </c>
      <c r="G39" s="32">
        <f t="shared" si="6"/>
        <v>1.9911171642334711</v>
      </c>
      <c r="H39" s="32">
        <f t="shared" si="6"/>
        <v>2.0855284255164688</v>
      </c>
      <c r="I39" s="26">
        <f t="shared" si="2"/>
        <v>18.588973276864422</v>
      </c>
      <c r="J39" s="27">
        <f t="shared" si="3"/>
        <v>19.13200788443811</v>
      </c>
    </row>
    <row r="40" spans="1:10" x14ac:dyDescent="0.25">
      <c r="A40" s="20">
        <v>38</v>
      </c>
      <c r="B40" s="20">
        <f t="shared" si="4"/>
        <v>2061</v>
      </c>
      <c r="C40" s="25">
        <f t="shared" si="5"/>
        <v>1.9970759737156929</v>
      </c>
      <c r="D40" s="25">
        <f t="shared" si="5"/>
        <v>2.0957650510690229</v>
      </c>
      <c r="E40" s="26">
        <f t="shared" si="0"/>
        <v>18.355799480492273</v>
      </c>
      <c r="F40" s="27">
        <f t="shared" si="1"/>
        <v>19.29159766090768</v>
      </c>
      <c r="G40" s="32">
        <f t="shared" si="6"/>
        <v>2.0346642102958006</v>
      </c>
      <c r="H40" s="32">
        <f t="shared" si="6"/>
        <v>2.1382645692721369</v>
      </c>
      <c r="I40" s="26">
        <f t="shared" si="2"/>
        <v>18.939680448290815</v>
      </c>
      <c r="J40" s="27">
        <f t="shared" si="3"/>
        <v>19.500572247567927</v>
      </c>
    </row>
    <row r="41" spans="1:10" x14ac:dyDescent="0.25">
      <c r="A41" s="20">
        <v>39</v>
      </c>
      <c r="B41" s="20">
        <f t="shared" si="4"/>
        <v>2062</v>
      </c>
      <c r="C41" s="25">
        <f t="shared" si="5"/>
        <v>2.0405485645704675</v>
      </c>
      <c r="D41" s="25">
        <f t="shared" si="5"/>
        <v>2.1462529373107082</v>
      </c>
      <c r="E41" s="26">
        <f t="shared" si="0"/>
        <v>18.691411536532193</v>
      </c>
      <c r="F41" s="27">
        <f t="shared" si="1"/>
        <v>19.644595072279849</v>
      </c>
      <c r="G41" s="32">
        <f t="shared" si="6"/>
        <v>2.0791636589865736</v>
      </c>
      <c r="H41" s="32">
        <f t="shared" si="6"/>
        <v>2.1923342363805403</v>
      </c>
      <c r="I41" s="26">
        <f t="shared" si="2"/>
        <v>19.281643586317308</v>
      </c>
      <c r="J41" s="27">
        <f t="shared" si="3"/>
        <v>19.861148718705856</v>
      </c>
    </row>
    <row r="42" spans="1:10" x14ac:dyDescent="0.25">
      <c r="A42" s="20">
        <v>40</v>
      </c>
      <c r="B42" s="20">
        <f t="shared" si="4"/>
        <v>2063</v>
      </c>
      <c r="C42" s="25">
        <f t="shared" ref="C42:D47" si="7">C41*((C$20/C$16)^0.2)</f>
        <v>2.0849674720303688</v>
      </c>
      <c r="D42" s="25">
        <f t="shared" si="7"/>
        <v>2.1979570985617767</v>
      </c>
      <c r="E42" s="26">
        <f t="shared" si="0"/>
        <v>19.018623082129682</v>
      </c>
      <c r="F42" s="27">
        <f t="shared" si="1"/>
        <v>19.989539033768612</v>
      </c>
      <c r="G42" s="32">
        <f t="shared" ref="G42:H47" si="8">G41*((G$20/G$16)^0.2)</f>
        <v>2.1246363399796411</v>
      </c>
      <c r="H42" s="32">
        <f t="shared" si="8"/>
        <v>2.2477711472543902</v>
      </c>
      <c r="I42" s="26">
        <f t="shared" si="2"/>
        <v>19.615080702226042</v>
      </c>
      <c r="J42" s="27">
        <f t="shared" si="3"/>
        <v>20.213910419360261</v>
      </c>
    </row>
    <row r="43" spans="1:10" x14ac:dyDescent="0.25">
      <c r="A43" s="20">
        <v>41</v>
      </c>
      <c r="B43" s="20">
        <f t="shared" si="4"/>
        <v>2064</v>
      </c>
      <c r="C43" s="25">
        <f t="shared" si="7"/>
        <v>2.1303532956294835</v>
      </c>
      <c r="D43" s="25">
        <f t="shared" si="7"/>
        <v>2.2509068354130939</v>
      </c>
      <c r="E43" s="26">
        <f t="shared" si="0"/>
        <v>19.337644385582383</v>
      </c>
      <c r="F43" s="27">
        <f t="shared" si="1"/>
        <v>20.326613280588269</v>
      </c>
      <c r="G43" s="32">
        <f t="shared" si="8"/>
        <v>2.1711035385075648</v>
      </c>
      <c r="H43" s="32">
        <f t="shared" si="8"/>
        <v>2.3046098749845556</v>
      </c>
      <c r="I43" s="26">
        <f t="shared" si="2"/>
        <v>19.940204371716174</v>
      </c>
      <c r="J43" s="27">
        <f t="shared" si="3"/>
        <v>20.559026718978675</v>
      </c>
    </row>
    <row r="44" spans="1:10" x14ac:dyDescent="0.25">
      <c r="A44" s="20">
        <v>42</v>
      </c>
      <c r="B44" s="20">
        <f t="shared" si="4"/>
        <v>2065</v>
      </c>
      <c r="C44" s="25">
        <f t="shared" si="7"/>
        <v>2.1767270833150421</v>
      </c>
      <c r="D44" s="25">
        <f t="shared" si="7"/>
        <v>2.3051321543194288</v>
      </c>
      <c r="E44" s="26">
        <f t="shared" si="0"/>
        <v>19.648680452084317</v>
      </c>
      <c r="F44" s="27">
        <f t="shared" si="1"/>
        <v>20.655997356131042</v>
      </c>
      <c r="G44" s="32">
        <f t="shared" si="8"/>
        <v>2.2185870053249848</v>
      </c>
      <c r="H44" s="32">
        <f t="shared" si="8"/>
        <v>2.3628858669014821</v>
      </c>
      <c r="I44" s="26">
        <f t="shared" si="2"/>
        <v>20.257221870426971</v>
      </c>
      <c r="J44" s="27">
        <f t="shared" si="3"/>
        <v>20.896663316266181</v>
      </c>
    </row>
    <row r="45" spans="1:10" x14ac:dyDescent="0.25">
      <c r="A45" s="20">
        <v>43</v>
      </c>
      <c r="B45" s="20">
        <f t="shared" si="4"/>
        <v>2066</v>
      </c>
      <c r="C45" s="25">
        <f t="shared" si="7"/>
        <v>2.2241103412085317</v>
      </c>
      <c r="D45" s="25">
        <f t="shared" si="7"/>
        <v>2.3606637846040193</v>
      </c>
      <c r="E45" s="26">
        <f t="shared" si="0"/>
        <v>19.951931155463562</v>
      </c>
      <c r="F45" s="27">
        <f t="shared" si="1"/>
        <v>20.977866707601297</v>
      </c>
      <c r="G45" s="32">
        <f t="shared" si="8"/>
        <v>2.2671089668898965</v>
      </c>
      <c r="H45" s="32">
        <f t="shared" si="8"/>
        <v>2.4226354666818324</v>
      </c>
      <c r="I45" s="26">
        <f t="shared" si="2"/>
        <v>20.566335306081957</v>
      </c>
      <c r="J45" s="27">
        <f t="shared" si="3"/>
        <v>21.226982318741378</v>
      </c>
    </row>
    <row r="46" spans="1:10" x14ac:dyDescent="0.25">
      <c r="A46" s="20">
        <v>44</v>
      </c>
      <c r="B46" s="20">
        <f t="shared" si="4"/>
        <v>2067</v>
      </c>
      <c r="C46" s="25">
        <f t="shared" si="7"/>
        <v>2.2725250435792872</v>
      </c>
      <c r="D46" s="25">
        <f t="shared" si="7"/>
        <v>2.417533195872787</v>
      </c>
      <c r="E46" s="26">
        <f t="shared" si="0"/>
        <v>20.247591366622498</v>
      </c>
      <c r="F46" s="27">
        <f t="shared" si="1"/>
        <v>21.292392779467903</v>
      </c>
      <c r="G46" s="32">
        <f t="shared" si="8"/>
        <v>2.316692135767596</v>
      </c>
      <c r="H46" s="32">
        <f t="shared" si="8"/>
        <v>2.4838959370141294</v>
      </c>
      <c r="I46" s="26">
        <f t="shared" si="2"/>
        <v>20.867741747338364</v>
      </c>
      <c r="J46" s="27">
        <f t="shared" si="3"/>
        <v>21.550142320568128</v>
      </c>
    </row>
    <row r="47" spans="1:10" x14ac:dyDescent="0.25">
      <c r="A47" s="20">
        <v>45</v>
      </c>
      <c r="B47" s="20">
        <f t="shared" si="4"/>
        <v>2068</v>
      </c>
      <c r="C47" s="25">
        <f t="shared" si="7"/>
        <v>2.3219936430351913</v>
      </c>
      <c r="D47" s="25">
        <f t="shared" si="7"/>
        <v>2.4757726158480673</v>
      </c>
      <c r="E47" s="26">
        <f t="shared" si="0"/>
        <v>20.535851078763134</v>
      </c>
      <c r="F47" s="27">
        <f t="shared" si="1"/>
        <v>21.599743104784544</v>
      </c>
      <c r="G47" s="32">
        <f t="shared" si="8"/>
        <v>2.3673597212621673</v>
      </c>
      <c r="H47" s="32">
        <f t="shared" si="8"/>
        <v>2.5467054828375377</v>
      </c>
      <c r="I47" s="26">
        <f t="shared" si="2"/>
        <v>21.16163334942404</v>
      </c>
      <c r="J47" s="27">
        <f t="shared" si="3"/>
        <v>21.866298478700472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7FBA-652F-4291-B5D7-2F1EC9B420B2}">
  <sheetPr codeName="Sheet7"/>
  <dimension ref="A1:N80"/>
  <sheetViews>
    <sheetView zoomScale="98" zoomScaleNormal="98" workbookViewId="0">
      <selection activeCell="A42" sqref="A42:A52"/>
    </sheetView>
  </sheetViews>
  <sheetFormatPr defaultRowHeight="15" x14ac:dyDescent="0.25"/>
  <cols>
    <col min="1" max="1" width="85.28515625" style="112" bestFit="1" customWidth="1"/>
    <col min="2" max="2" width="13.28515625" style="123" bestFit="1" customWidth="1"/>
    <col min="3" max="3" width="18.42578125" style="113" bestFit="1" customWidth="1"/>
    <col min="4" max="4" width="19.85546875" style="113" bestFit="1" customWidth="1"/>
    <col min="5" max="5" width="30.42578125" style="114" bestFit="1" customWidth="1"/>
    <col min="6" max="6" width="12.140625" style="114" bestFit="1" customWidth="1"/>
    <col min="7" max="7" width="18.140625" style="113" bestFit="1" customWidth="1"/>
    <col min="8" max="8" width="20.5703125" style="113" bestFit="1" customWidth="1"/>
    <col min="9" max="9" width="16.28515625" style="114" bestFit="1" customWidth="1"/>
    <col min="10" max="10" width="16.85546875" style="114" bestFit="1" customWidth="1"/>
    <col min="11" max="11" width="22.42578125" style="114" bestFit="1" customWidth="1"/>
    <col min="12" max="12" width="14.28515625" style="114" bestFit="1" customWidth="1"/>
    <col min="13" max="13" width="20.28515625" style="115" bestFit="1" customWidth="1"/>
    <col min="14" max="14" width="20.28515625" style="112" bestFit="1" customWidth="1"/>
    <col min="15" max="16384" width="9.140625" style="112"/>
  </cols>
  <sheetData>
    <row r="1" spans="1:14" s="124" customFormat="1" x14ac:dyDescent="0.25">
      <c r="A1" s="111" t="s">
        <v>71</v>
      </c>
      <c r="B1" s="112" t="s">
        <v>41</v>
      </c>
      <c r="C1" s="125"/>
      <c r="D1" s="125"/>
      <c r="E1" s="126"/>
      <c r="F1" s="126"/>
      <c r="G1" s="125"/>
      <c r="H1" s="125"/>
      <c r="I1" s="126"/>
      <c r="J1" s="126"/>
      <c r="K1" s="126"/>
      <c r="L1" s="126"/>
      <c r="M1" s="127"/>
    </row>
    <row r="3" spans="1:14" x14ac:dyDescent="0.25">
      <c r="A3" s="111" t="s">
        <v>188</v>
      </c>
      <c r="B3" s="116" t="s">
        <v>271</v>
      </c>
      <c r="C3" s="112" t="s">
        <v>272</v>
      </c>
      <c r="D3" s="112" t="s">
        <v>273</v>
      </c>
      <c r="E3" s="112" t="s">
        <v>274</v>
      </c>
      <c r="F3" s="112" t="s">
        <v>275</v>
      </c>
      <c r="G3" s="112" t="s">
        <v>266</v>
      </c>
      <c r="H3" s="112" t="s">
        <v>267</v>
      </c>
      <c r="I3" s="112" t="s">
        <v>268</v>
      </c>
      <c r="J3" s="112" t="s">
        <v>269</v>
      </c>
      <c r="K3" s="112" t="s">
        <v>270</v>
      </c>
      <c r="L3" s="112" t="s">
        <v>276</v>
      </c>
      <c r="M3" s="117" t="s">
        <v>277</v>
      </c>
      <c r="N3"/>
    </row>
    <row r="4" spans="1:14" x14ac:dyDescent="0.25">
      <c r="A4" s="118" t="s">
        <v>52</v>
      </c>
      <c r="B4" s="116">
        <v>14946</v>
      </c>
      <c r="C4" s="119">
        <v>2021.1403621435225</v>
      </c>
      <c r="D4" s="119">
        <v>0</v>
      </c>
      <c r="E4" s="120">
        <v>3188.9772670717202</v>
      </c>
      <c r="F4" s="120">
        <v>870.38884000000007</v>
      </c>
      <c r="G4" s="119">
        <v>38332.361475542886</v>
      </c>
      <c r="H4" s="119">
        <v>0</v>
      </c>
      <c r="I4" s="120">
        <v>97664.178545219023</v>
      </c>
      <c r="J4" s="120">
        <v>242306.50583912281</v>
      </c>
      <c r="K4" s="120">
        <v>28879.166519999999</v>
      </c>
      <c r="L4" s="120">
        <v>28555.896836753334</v>
      </c>
      <c r="M4" s="121">
        <v>57435.063356753322</v>
      </c>
      <c r="N4"/>
    </row>
    <row r="5" spans="1:14" x14ac:dyDescent="0.25">
      <c r="A5" s="122" t="s">
        <v>32</v>
      </c>
      <c r="B5" s="116">
        <v>14261</v>
      </c>
      <c r="C5" s="119">
        <v>1.19</v>
      </c>
      <c r="D5" s="119">
        <v>0</v>
      </c>
      <c r="E5" s="120">
        <v>1.19</v>
      </c>
      <c r="F5" s="120">
        <v>1.5</v>
      </c>
      <c r="G5" s="119">
        <v>16970.59</v>
      </c>
      <c r="H5" s="119">
        <v>0</v>
      </c>
      <c r="I5" s="120">
        <v>44358.580809613384</v>
      </c>
      <c r="J5" s="120">
        <v>57696.34548685902</v>
      </c>
      <c r="K5" s="120">
        <v>21391.5</v>
      </c>
      <c r="L5" s="120">
        <v>12969.945340170118</v>
      </c>
      <c r="M5" s="121">
        <v>34361.445340170118</v>
      </c>
      <c r="N5"/>
    </row>
    <row r="6" spans="1:14" x14ac:dyDescent="0.25">
      <c r="A6" s="122" t="s">
        <v>42</v>
      </c>
      <c r="B6" s="116">
        <v>3</v>
      </c>
      <c r="C6" s="119">
        <v>488.7</v>
      </c>
      <c r="D6" s="119">
        <v>0</v>
      </c>
      <c r="E6" s="120">
        <v>488.7</v>
      </c>
      <c r="F6" s="120">
        <v>230.88884000000002</v>
      </c>
      <c r="G6" s="119">
        <v>1466.1</v>
      </c>
      <c r="H6" s="119">
        <v>0</v>
      </c>
      <c r="I6" s="120">
        <v>2134.1383055373885</v>
      </c>
      <c r="J6" s="120">
        <v>0</v>
      </c>
      <c r="K6" s="120">
        <v>692.66651999999999</v>
      </c>
      <c r="L6" s="120">
        <v>623.99780754898427</v>
      </c>
      <c r="M6" s="121">
        <v>1316.6643275489841</v>
      </c>
      <c r="N6"/>
    </row>
    <row r="7" spans="1:14" x14ac:dyDescent="0.25">
      <c r="A7" s="122" t="s">
        <v>310</v>
      </c>
      <c r="B7" s="116">
        <v>2</v>
      </c>
      <c r="C7" s="119">
        <v>692.5546682810558</v>
      </c>
      <c r="D7" s="119">
        <v>0</v>
      </c>
      <c r="E7" s="120">
        <v>1272.1426588004358</v>
      </c>
      <c r="F7" s="120">
        <v>400</v>
      </c>
      <c r="G7" s="119">
        <v>1385.1093365621116</v>
      </c>
      <c r="H7" s="119">
        <v>0</v>
      </c>
      <c r="I7" s="120">
        <v>3620.4683771183209</v>
      </c>
      <c r="J7" s="120">
        <v>12557.810089570678</v>
      </c>
      <c r="K7" s="120">
        <v>800</v>
      </c>
      <c r="L7" s="120">
        <v>1058.5838433059712</v>
      </c>
      <c r="M7" s="121">
        <v>1858.5838433059712</v>
      </c>
      <c r="N7"/>
    </row>
    <row r="8" spans="1:14" x14ac:dyDescent="0.25">
      <c r="A8" s="122" t="s">
        <v>368</v>
      </c>
      <c r="B8" s="116">
        <v>260</v>
      </c>
      <c r="C8" s="119">
        <v>31.568913523447165</v>
      </c>
      <c r="D8" s="119">
        <v>0</v>
      </c>
      <c r="E8" s="120">
        <v>31.803566470010896</v>
      </c>
      <c r="F8" s="120">
        <v>10</v>
      </c>
      <c r="G8" s="119">
        <v>8207.9175160962623</v>
      </c>
      <c r="H8" s="119">
        <v>0</v>
      </c>
      <c r="I8" s="120">
        <v>21454.267200869104</v>
      </c>
      <c r="J8" s="120">
        <v>74415.402941279273</v>
      </c>
      <c r="K8" s="120">
        <v>2600</v>
      </c>
      <c r="L8" s="120">
        <v>6272.9841178411243</v>
      </c>
      <c r="M8" s="121">
        <v>8872.9841178411243</v>
      </c>
      <c r="N8"/>
    </row>
    <row r="9" spans="1:14" x14ac:dyDescent="0.25">
      <c r="A9" s="122" t="s">
        <v>367</v>
      </c>
      <c r="B9" s="116">
        <v>187</v>
      </c>
      <c r="C9" s="119">
        <v>17.313866707026396</v>
      </c>
      <c r="D9" s="119">
        <v>0</v>
      </c>
      <c r="E9" s="120">
        <v>31.803566470010896</v>
      </c>
      <c r="F9" s="120">
        <v>10</v>
      </c>
      <c r="G9" s="119">
        <v>3237.6930742139361</v>
      </c>
      <c r="H9" s="119">
        <v>0</v>
      </c>
      <c r="I9" s="120">
        <v>8462.8448315140758</v>
      </c>
      <c r="J9" s="120">
        <v>29353.881084371453</v>
      </c>
      <c r="K9" s="120">
        <v>1870</v>
      </c>
      <c r="L9" s="120">
        <v>2474.4397337277078</v>
      </c>
      <c r="M9" s="121">
        <v>4344.4397337277078</v>
      </c>
      <c r="N9"/>
    </row>
    <row r="10" spans="1:14" x14ac:dyDescent="0.25">
      <c r="A10" s="122" t="s">
        <v>369</v>
      </c>
      <c r="B10" s="116">
        <v>98</v>
      </c>
      <c r="C10" s="119">
        <v>31.568913523447165</v>
      </c>
      <c r="D10" s="119">
        <v>0</v>
      </c>
      <c r="E10" s="120">
        <v>31.803566470010896</v>
      </c>
      <c r="F10" s="120">
        <v>5</v>
      </c>
      <c r="G10" s="119">
        <v>3093.7535252978223</v>
      </c>
      <c r="H10" s="119">
        <v>0</v>
      </c>
      <c r="I10" s="120">
        <v>8086.6084064814322</v>
      </c>
      <c r="J10" s="120">
        <v>28048.882647097569</v>
      </c>
      <c r="K10" s="120">
        <v>490</v>
      </c>
      <c r="L10" s="120">
        <v>2364.43247518627</v>
      </c>
      <c r="M10" s="121">
        <v>2854.43247518627</v>
      </c>
      <c r="N10"/>
    </row>
    <row r="11" spans="1:14" x14ac:dyDescent="0.25">
      <c r="A11" s="122" t="s">
        <v>370</v>
      </c>
      <c r="B11" s="116">
        <v>103</v>
      </c>
      <c r="C11" s="119">
        <v>17.313866707026396</v>
      </c>
      <c r="D11" s="119">
        <v>0</v>
      </c>
      <c r="E11" s="120">
        <v>31.803566470010896</v>
      </c>
      <c r="F11" s="120">
        <v>5</v>
      </c>
      <c r="G11" s="119">
        <v>1783.3282708237186</v>
      </c>
      <c r="H11" s="119">
        <v>0</v>
      </c>
      <c r="I11" s="120">
        <v>4661.3530355398379</v>
      </c>
      <c r="J11" s="120">
        <v>16168.180490322246</v>
      </c>
      <c r="K11" s="120">
        <v>515</v>
      </c>
      <c r="L11" s="120">
        <v>1362.9266982564377</v>
      </c>
      <c r="M11" s="121">
        <v>1877.9266982564377</v>
      </c>
      <c r="N11"/>
    </row>
    <row r="12" spans="1:14" x14ac:dyDescent="0.25">
      <c r="A12" s="122" t="s">
        <v>381</v>
      </c>
      <c r="B12" s="116">
        <v>2</v>
      </c>
      <c r="C12" s="119">
        <v>692.5546682810558</v>
      </c>
      <c r="D12" s="119">
        <v>0</v>
      </c>
      <c r="E12" s="120">
        <v>1272.1426588004358</v>
      </c>
      <c r="F12" s="120">
        <v>200</v>
      </c>
      <c r="G12" s="119">
        <v>1385.1093365621116</v>
      </c>
      <c r="H12" s="119">
        <v>0</v>
      </c>
      <c r="I12" s="120">
        <v>3620.4683771183209</v>
      </c>
      <c r="J12" s="120">
        <v>12557.810089570678</v>
      </c>
      <c r="K12" s="120">
        <v>400</v>
      </c>
      <c r="L12" s="120">
        <v>1058.5838433059712</v>
      </c>
      <c r="M12" s="121">
        <v>1458.5838433059712</v>
      </c>
      <c r="N12"/>
    </row>
    <row r="13" spans="1:14" x14ac:dyDescent="0.25">
      <c r="A13" s="122" t="s">
        <v>373</v>
      </c>
      <c r="B13" s="116">
        <v>20</v>
      </c>
      <c r="C13" s="119">
        <v>31.900576478228739</v>
      </c>
      <c r="D13" s="119">
        <v>0</v>
      </c>
      <c r="E13" s="120">
        <v>13.793841795402404</v>
      </c>
      <c r="F13" s="120">
        <v>4</v>
      </c>
      <c r="G13" s="119">
        <v>638.01152956457474</v>
      </c>
      <c r="H13" s="119">
        <v>0</v>
      </c>
      <c r="I13" s="120">
        <v>1005.7436372173755</v>
      </c>
      <c r="J13" s="120">
        <v>9146.3899796812602</v>
      </c>
      <c r="K13" s="120">
        <v>80</v>
      </c>
      <c r="L13" s="120">
        <v>294.06801937419635</v>
      </c>
      <c r="M13" s="121">
        <v>374.06801937419635</v>
      </c>
      <c r="N13"/>
    </row>
    <row r="14" spans="1:14" x14ac:dyDescent="0.25">
      <c r="A14" s="122" t="s">
        <v>374</v>
      </c>
      <c r="B14" s="116">
        <v>10</v>
      </c>
      <c r="C14" s="119">
        <v>16.474888642234884</v>
      </c>
      <c r="D14" s="119">
        <v>0</v>
      </c>
      <c r="E14" s="120">
        <v>13.793841795402404</v>
      </c>
      <c r="F14" s="120">
        <v>4</v>
      </c>
      <c r="G14" s="119">
        <v>164.74888642234885</v>
      </c>
      <c r="H14" s="119">
        <v>0</v>
      </c>
      <c r="I14" s="120">
        <v>259.70556420980006</v>
      </c>
      <c r="J14" s="120">
        <v>2361.803030370636</v>
      </c>
      <c r="K14" s="120">
        <v>40</v>
      </c>
      <c r="L14" s="120">
        <v>75.934958036555471</v>
      </c>
      <c r="M14" s="121">
        <v>115.93495803655547</v>
      </c>
      <c r="N14"/>
    </row>
    <row r="15" spans="1:14" x14ac:dyDescent="0.25">
      <c r="A15" s="118" t="s">
        <v>73</v>
      </c>
      <c r="B15" s="116">
        <v>2952</v>
      </c>
      <c r="C15" s="119">
        <v>3636.5461673924947</v>
      </c>
      <c r="D15" s="119">
        <v>0</v>
      </c>
      <c r="E15" s="120">
        <v>1410.29</v>
      </c>
      <c r="F15" s="120">
        <v>638.01373122962332</v>
      </c>
      <c r="G15" s="119">
        <v>5677081.9850312946</v>
      </c>
      <c r="H15" s="119">
        <v>0</v>
      </c>
      <c r="I15" s="120">
        <v>5624091.3971454725</v>
      </c>
      <c r="J15" s="120">
        <v>3075372.0911450326</v>
      </c>
      <c r="K15" s="120">
        <v>1102619.8269912661</v>
      </c>
      <c r="L15" s="120">
        <v>1644420.4633636365</v>
      </c>
      <c r="M15" s="121">
        <v>2747040.2903549029</v>
      </c>
      <c r="N15"/>
    </row>
    <row r="16" spans="1:14" x14ac:dyDescent="0.25">
      <c r="A16" s="122" t="s">
        <v>72</v>
      </c>
      <c r="B16" s="116">
        <v>722</v>
      </c>
      <c r="C16" s="119">
        <v>1613.0079365079366</v>
      </c>
      <c r="D16" s="119">
        <v>0</v>
      </c>
      <c r="E16" s="120">
        <v>634.41</v>
      </c>
      <c r="F16" s="120">
        <v>212.30158730158729</v>
      </c>
      <c r="G16" s="119">
        <v>1164591.7301587302</v>
      </c>
      <c r="H16" s="119">
        <v>0</v>
      </c>
      <c r="I16" s="120">
        <v>1314911.3402361653</v>
      </c>
      <c r="J16" s="120">
        <v>30644.686439327157</v>
      </c>
      <c r="K16" s="120">
        <v>153281.74603174604</v>
      </c>
      <c r="L16" s="120">
        <v>384465.14515939797</v>
      </c>
      <c r="M16" s="121">
        <v>537746.89119114401</v>
      </c>
      <c r="N16"/>
    </row>
    <row r="17" spans="1:14" x14ac:dyDescent="0.25">
      <c r="A17" s="122" t="s">
        <v>283</v>
      </c>
      <c r="B17" s="116">
        <v>2230</v>
      </c>
      <c r="C17" s="119">
        <v>2023.5382308845578</v>
      </c>
      <c r="D17" s="119">
        <v>0</v>
      </c>
      <c r="E17" s="120">
        <v>775.88</v>
      </c>
      <c r="F17" s="120">
        <v>425.71214392803597</v>
      </c>
      <c r="G17" s="119">
        <v>4512490.2548725642</v>
      </c>
      <c r="H17" s="119">
        <v>0</v>
      </c>
      <c r="I17" s="120">
        <v>4309180.0569093069</v>
      </c>
      <c r="J17" s="120">
        <v>3044727.4047057056</v>
      </c>
      <c r="K17" s="120">
        <v>949338.08095952019</v>
      </c>
      <c r="L17" s="120">
        <v>1259955.3182042385</v>
      </c>
      <c r="M17" s="121">
        <v>2209293.3991637588</v>
      </c>
      <c r="N17"/>
    </row>
    <row r="18" spans="1:14" x14ac:dyDescent="0.25">
      <c r="A18" s="118" t="s">
        <v>382</v>
      </c>
      <c r="B18" s="116">
        <v>1</v>
      </c>
      <c r="C18" s="119">
        <v>103651</v>
      </c>
      <c r="D18" s="119">
        <v>0</v>
      </c>
      <c r="E18" s="120">
        <v>57040.824871519762</v>
      </c>
      <c r="F18" s="120">
        <v>26949.232427313964</v>
      </c>
      <c r="G18" s="119">
        <v>103651</v>
      </c>
      <c r="H18" s="119">
        <v>0</v>
      </c>
      <c r="I18" s="120">
        <v>163392.55469625044</v>
      </c>
      <c r="J18" s="120">
        <v>632759.1538264422</v>
      </c>
      <c r="K18" s="120">
        <v>26949.232427313964</v>
      </c>
      <c r="L18" s="120">
        <v>47774.127682233091</v>
      </c>
      <c r="M18" s="121">
        <v>74723.360109547051</v>
      </c>
      <c r="N18"/>
    </row>
    <row r="19" spans="1:14" x14ac:dyDescent="0.25">
      <c r="A19" s="122" t="s">
        <v>382</v>
      </c>
      <c r="B19" s="116">
        <v>1</v>
      </c>
      <c r="C19" s="119">
        <v>103651</v>
      </c>
      <c r="D19" s="119">
        <v>0</v>
      </c>
      <c r="E19" s="120">
        <v>57040.824871519762</v>
      </c>
      <c r="F19" s="120">
        <v>26949.232427313964</v>
      </c>
      <c r="G19" s="119">
        <v>103651</v>
      </c>
      <c r="H19" s="119">
        <v>0</v>
      </c>
      <c r="I19" s="120">
        <v>163392.55469625044</v>
      </c>
      <c r="J19" s="120">
        <v>632759.1538264422</v>
      </c>
      <c r="K19" s="120">
        <v>26949.232427313964</v>
      </c>
      <c r="L19" s="120">
        <v>47774.127682233091</v>
      </c>
      <c r="M19" s="121">
        <v>74723.360109547051</v>
      </c>
      <c r="N19"/>
    </row>
    <row r="20" spans="1:14" x14ac:dyDescent="0.25">
      <c r="A20" s="118" t="s">
        <v>384</v>
      </c>
      <c r="B20" s="116">
        <v>38</v>
      </c>
      <c r="C20" s="119">
        <v>3778.6</v>
      </c>
      <c r="D20" s="119">
        <v>150.26769461398436</v>
      </c>
      <c r="E20" s="120">
        <v>7104.35</v>
      </c>
      <c r="F20" s="120">
        <v>2000</v>
      </c>
      <c r="G20" s="119">
        <v>105026.8</v>
      </c>
      <c r="H20" s="119">
        <v>1507.4954491915623</v>
      </c>
      <c r="I20" s="120">
        <v>300364.27534276625</v>
      </c>
      <c r="J20" s="120">
        <v>21629.963287591363</v>
      </c>
      <c r="K20" s="120">
        <v>38000</v>
      </c>
      <c r="L20" s="120">
        <v>87823.10349503356</v>
      </c>
      <c r="M20" s="121">
        <v>125823.10349503355</v>
      </c>
      <c r="N20"/>
    </row>
    <row r="21" spans="1:14" x14ac:dyDescent="0.25">
      <c r="A21" s="122" t="s">
        <v>25</v>
      </c>
      <c r="B21" s="116">
        <v>10</v>
      </c>
      <c r="C21" s="119">
        <v>43</v>
      </c>
      <c r="D21" s="119">
        <v>150</v>
      </c>
      <c r="E21" s="120">
        <v>2675.93</v>
      </c>
      <c r="F21" s="120">
        <v>1000</v>
      </c>
      <c r="G21" s="119">
        <v>430</v>
      </c>
      <c r="H21" s="119">
        <v>1500</v>
      </c>
      <c r="I21" s="120">
        <v>32866.405628987377</v>
      </c>
      <c r="J21" s="120">
        <v>0</v>
      </c>
      <c r="K21" s="120">
        <v>10000</v>
      </c>
      <c r="L21" s="120">
        <v>9609.7638101948342</v>
      </c>
      <c r="M21" s="121">
        <v>19609.763810194832</v>
      </c>
      <c r="N21"/>
    </row>
    <row r="22" spans="1:14" x14ac:dyDescent="0.25">
      <c r="A22" s="122" t="s">
        <v>35</v>
      </c>
      <c r="B22" s="116">
        <v>28</v>
      </c>
      <c r="C22" s="119">
        <v>3735.6</v>
      </c>
      <c r="D22" s="119">
        <v>0.26769461398436661</v>
      </c>
      <c r="E22" s="120">
        <v>4428.42</v>
      </c>
      <c r="F22" s="120">
        <v>1000</v>
      </c>
      <c r="G22" s="119">
        <v>104596.8</v>
      </c>
      <c r="H22" s="119">
        <v>7.4954491915622654</v>
      </c>
      <c r="I22" s="120">
        <v>267497.8697137789</v>
      </c>
      <c r="J22" s="120">
        <v>21629.963287591363</v>
      </c>
      <c r="K22" s="120">
        <v>28000</v>
      </c>
      <c r="L22" s="120">
        <v>78213.33968483872</v>
      </c>
      <c r="M22" s="121">
        <v>106213.33968483872</v>
      </c>
      <c r="N22"/>
    </row>
    <row r="23" spans="1:14" x14ac:dyDescent="0.25">
      <c r="A23" s="118" t="s">
        <v>383</v>
      </c>
      <c r="B23" s="116">
        <v>1427</v>
      </c>
      <c r="C23" s="119">
        <v>558.29</v>
      </c>
      <c r="D23" s="119">
        <v>4.9899516522186671</v>
      </c>
      <c r="E23" s="120">
        <v>649.65</v>
      </c>
      <c r="F23" s="120">
        <v>250</v>
      </c>
      <c r="G23" s="119">
        <v>213849.15</v>
      </c>
      <c r="H23" s="119">
        <v>1710.8198730294407</v>
      </c>
      <c r="I23" s="120">
        <v>189223.92609635706</v>
      </c>
      <c r="J23" s="120">
        <v>235729.64810509601</v>
      </c>
      <c r="K23" s="120">
        <v>106050</v>
      </c>
      <c r="L23" s="120">
        <v>55326.927366221367</v>
      </c>
      <c r="M23" s="121">
        <v>161376.92736622138</v>
      </c>
      <c r="N23"/>
    </row>
    <row r="24" spans="1:14" x14ac:dyDescent="0.25">
      <c r="A24" s="122" t="s">
        <v>29</v>
      </c>
      <c r="B24" s="116">
        <v>435</v>
      </c>
      <c r="C24" s="119">
        <v>318</v>
      </c>
      <c r="D24" s="119">
        <v>0.15723270440251572</v>
      </c>
      <c r="E24" s="120">
        <v>411.53</v>
      </c>
      <c r="F24" s="120">
        <v>50</v>
      </c>
      <c r="G24" s="119">
        <v>138330</v>
      </c>
      <c r="H24" s="119">
        <v>68.396226415094333</v>
      </c>
      <c r="I24" s="120">
        <v>108405.68447821037</v>
      </c>
      <c r="J24" s="120">
        <v>177660.62257043622</v>
      </c>
      <c r="K24" s="120">
        <v>21750</v>
      </c>
      <c r="L24" s="120">
        <v>31696.591202516676</v>
      </c>
      <c r="M24" s="121">
        <v>53446.591202516676</v>
      </c>
      <c r="N24"/>
    </row>
    <row r="25" spans="1:14" x14ac:dyDescent="0.25">
      <c r="A25" s="122" t="s">
        <v>28</v>
      </c>
      <c r="B25" s="116">
        <v>235</v>
      </c>
      <c r="C25" s="119">
        <v>171.29</v>
      </c>
      <c r="D25" s="119">
        <v>0.29190262128553918</v>
      </c>
      <c r="E25" s="120">
        <v>59</v>
      </c>
      <c r="F25" s="120">
        <v>50</v>
      </c>
      <c r="G25" s="119">
        <v>40253.15</v>
      </c>
      <c r="H25" s="119">
        <v>68.5971160021017</v>
      </c>
      <c r="I25" s="120">
        <v>35994.950722008733</v>
      </c>
      <c r="J25" s="120">
        <v>58062.958882659492</v>
      </c>
      <c r="K25" s="120">
        <v>11750</v>
      </c>
      <c r="L25" s="120">
        <v>10524.514870985096</v>
      </c>
      <c r="M25" s="121">
        <v>22274.514870985098</v>
      </c>
      <c r="N25"/>
    </row>
    <row r="26" spans="1:14" x14ac:dyDescent="0.25">
      <c r="A26" s="122" t="s">
        <v>27</v>
      </c>
      <c r="B26" s="116">
        <v>63</v>
      </c>
      <c r="C26" s="119">
        <v>20</v>
      </c>
      <c r="D26" s="119">
        <v>2.5</v>
      </c>
      <c r="E26" s="120">
        <v>72.239999999999995</v>
      </c>
      <c r="F26" s="120">
        <v>50</v>
      </c>
      <c r="G26" s="119">
        <v>1260</v>
      </c>
      <c r="H26" s="119">
        <v>157.5</v>
      </c>
      <c r="I26" s="120">
        <v>3321.2988303576553</v>
      </c>
      <c r="J26" s="120">
        <v>0.27692217433874566</v>
      </c>
      <c r="K26" s="120">
        <v>3150</v>
      </c>
      <c r="L26" s="120">
        <v>971.11006488228486</v>
      </c>
      <c r="M26" s="121">
        <v>4121.1100648822849</v>
      </c>
      <c r="N26"/>
    </row>
    <row r="27" spans="1:14" x14ac:dyDescent="0.25">
      <c r="A27" s="122" t="s">
        <v>26</v>
      </c>
      <c r="B27" s="116">
        <v>694</v>
      </c>
      <c r="C27" s="119">
        <v>49</v>
      </c>
      <c r="D27" s="119">
        <v>2.0408163265306123</v>
      </c>
      <c r="E27" s="120">
        <v>106.88</v>
      </c>
      <c r="F27" s="120">
        <v>100</v>
      </c>
      <c r="G27" s="119">
        <v>34006</v>
      </c>
      <c r="H27" s="119">
        <v>1416.3265306122448</v>
      </c>
      <c r="I27" s="120">
        <v>41501.992065780301</v>
      </c>
      <c r="J27" s="120">
        <v>5.7897298259524907</v>
      </c>
      <c r="K27" s="120">
        <v>69400</v>
      </c>
      <c r="L27" s="120">
        <v>12134.711227837313</v>
      </c>
      <c r="M27" s="121">
        <v>81534.71122783731</v>
      </c>
      <c r="N27"/>
    </row>
    <row r="28" spans="1:14" x14ac:dyDescent="0.25">
      <c r="A28" s="118" t="s">
        <v>386</v>
      </c>
      <c r="B28" s="116">
        <v>61630</v>
      </c>
      <c r="C28" s="119">
        <v>802.82967017823853</v>
      </c>
      <c r="D28" s="119">
        <v>0</v>
      </c>
      <c r="E28" s="120">
        <v>378.43052284035707</v>
      </c>
      <c r="F28" s="120">
        <v>105.5</v>
      </c>
      <c r="G28" s="119">
        <v>57126.183894328671</v>
      </c>
      <c r="H28" s="119">
        <v>0</v>
      </c>
      <c r="I28" s="120">
        <v>149319.28970185557</v>
      </c>
      <c r="J28" s="120">
        <v>12399.910343750253</v>
      </c>
      <c r="K28" s="120">
        <v>92242</v>
      </c>
      <c r="L28" s="120">
        <v>43659.264798804834</v>
      </c>
      <c r="M28" s="121">
        <v>135901.26479880483</v>
      </c>
      <c r="N28"/>
    </row>
    <row r="29" spans="1:14" x14ac:dyDescent="0.25">
      <c r="A29" s="122" t="s">
        <v>32</v>
      </c>
      <c r="B29" s="116">
        <v>35242</v>
      </c>
      <c r="C29" s="119">
        <v>0.70954110122347303</v>
      </c>
      <c r="D29" s="119">
        <v>0</v>
      </c>
      <c r="E29" s="120">
        <v>1.3737162511552601</v>
      </c>
      <c r="F29" s="120">
        <v>1.5</v>
      </c>
      <c r="G29" s="119">
        <v>25005.647489317635</v>
      </c>
      <c r="H29" s="119">
        <v>0</v>
      </c>
      <c r="I29" s="120">
        <v>65361.017787336932</v>
      </c>
      <c r="J29" s="120">
        <v>5253.3642500011383</v>
      </c>
      <c r="K29" s="120">
        <v>52863</v>
      </c>
      <c r="L29" s="120">
        <v>19110.819431263841</v>
      </c>
      <c r="M29" s="121">
        <v>71973.819431263837</v>
      </c>
      <c r="N29"/>
    </row>
    <row r="30" spans="1:14" x14ac:dyDescent="0.25">
      <c r="A30" s="122" t="s">
        <v>34</v>
      </c>
      <c r="B30" s="116">
        <v>6000</v>
      </c>
      <c r="C30" s="119">
        <v>0.161409779</v>
      </c>
      <c r="D30" s="119">
        <v>0</v>
      </c>
      <c r="E30" s="120">
        <v>1.68</v>
      </c>
      <c r="F30" s="120">
        <v>1.5</v>
      </c>
      <c r="G30" s="119">
        <v>968.45867399999997</v>
      </c>
      <c r="H30" s="119">
        <v>0</v>
      </c>
      <c r="I30" s="120">
        <v>2531.4059411841322</v>
      </c>
      <c r="J30" s="120">
        <v>203.46068534192318</v>
      </c>
      <c r="K30" s="120">
        <v>9000</v>
      </c>
      <c r="L30" s="120">
        <v>740.15435326606973</v>
      </c>
      <c r="M30" s="121">
        <v>9740.1543532660689</v>
      </c>
      <c r="N30"/>
    </row>
    <row r="31" spans="1:14" x14ac:dyDescent="0.25">
      <c r="A31" s="122" t="s">
        <v>33</v>
      </c>
      <c r="B31" s="116">
        <v>800</v>
      </c>
      <c r="C31" s="119">
        <v>0.46904069199999998</v>
      </c>
      <c r="D31" s="119">
        <v>0</v>
      </c>
      <c r="E31" s="120">
        <v>1.86</v>
      </c>
      <c r="F31" s="120">
        <v>1</v>
      </c>
      <c r="G31" s="119">
        <v>375.23255359999996</v>
      </c>
      <c r="H31" s="119">
        <v>0</v>
      </c>
      <c r="I31" s="120">
        <v>980.80170172417002</v>
      </c>
      <c r="J31" s="120">
        <v>78.831523293327351</v>
      </c>
      <c r="K31" s="120">
        <v>800</v>
      </c>
      <c r="L31" s="120">
        <v>286.77528064990389</v>
      </c>
      <c r="M31" s="121">
        <v>1086.7752806499038</v>
      </c>
      <c r="N31"/>
    </row>
    <row r="32" spans="1:14" x14ac:dyDescent="0.25">
      <c r="A32" s="122" t="s">
        <v>30</v>
      </c>
      <c r="B32" s="116">
        <v>2</v>
      </c>
      <c r="C32" s="119">
        <v>800</v>
      </c>
      <c r="D32" s="119">
        <v>0</v>
      </c>
      <c r="E32" s="120">
        <v>371</v>
      </c>
      <c r="F32" s="120">
        <v>100</v>
      </c>
      <c r="G32" s="119">
        <v>1600</v>
      </c>
      <c r="H32" s="119">
        <v>0</v>
      </c>
      <c r="I32" s="120">
        <v>4182.160390144445</v>
      </c>
      <c r="J32" s="120">
        <v>0</v>
      </c>
      <c r="K32" s="120">
        <v>200</v>
      </c>
      <c r="L32" s="120">
        <v>1222.8162099415629</v>
      </c>
      <c r="M32" s="121">
        <v>1422.8162099415629</v>
      </c>
      <c r="N32"/>
    </row>
    <row r="33" spans="1:14" x14ac:dyDescent="0.25">
      <c r="A33" s="122" t="s">
        <v>31</v>
      </c>
      <c r="B33" s="116">
        <v>19586</v>
      </c>
      <c r="C33" s="119">
        <v>1.4896786060150637</v>
      </c>
      <c r="D33" s="119">
        <v>0</v>
      </c>
      <c r="E33" s="120">
        <v>2.5168065892018188</v>
      </c>
      <c r="F33" s="120">
        <v>1.5</v>
      </c>
      <c r="G33" s="119">
        <v>29176.84517741104</v>
      </c>
      <c r="H33" s="119">
        <v>0</v>
      </c>
      <c r="I33" s="120">
        <v>76263.903881465885</v>
      </c>
      <c r="J33" s="120">
        <v>6864.2538851138634</v>
      </c>
      <c r="K33" s="120">
        <v>29379</v>
      </c>
      <c r="L33" s="120">
        <v>22298.699523683455</v>
      </c>
      <c r="M33" s="121">
        <v>51677.699523683455</v>
      </c>
      <c r="N33"/>
    </row>
    <row r="34" spans="1:14" x14ac:dyDescent="0.25">
      <c r="A34" s="118" t="s">
        <v>189</v>
      </c>
      <c r="B34" s="116">
        <v>80994</v>
      </c>
      <c r="C34" s="119">
        <v>114448.40619971426</v>
      </c>
      <c r="D34" s="119">
        <v>155.25764626620301</v>
      </c>
      <c r="E34" s="120">
        <v>69772.522661431853</v>
      </c>
      <c r="F34" s="120">
        <v>30813.134998543588</v>
      </c>
      <c r="G34" s="119">
        <v>6195067.4804011667</v>
      </c>
      <c r="H34" s="119">
        <v>3218.315322221003</v>
      </c>
      <c r="I34" s="120">
        <v>6524055.6215279205</v>
      </c>
      <c r="J34" s="120">
        <v>4220197.2725470364</v>
      </c>
      <c r="K34" s="120">
        <v>1394740.2259385802</v>
      </c>
      <c r="L34" s="120">
        <v>1907559.7835426826</v>
      </c>
      <c r="M34" s="121">
        <v>3302300.0094812638</v>
      </c>
      <c r="N34"/>
    </row>
    <row r="35" spans="1:1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4" x14ac:dyDescent="0.25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</row>
    <row r="58" spans="1:14" x14ac:dyDescent="0.25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</row>
    <row r="59" spans="1:14" x14ac:dyDescent="0.25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</row>
    <row r="60" spans="1:14" x14ac:dyDescent="0.25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</row>
    <row r="61" spans="1:14" x14ac:dyDescent="0.25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</row>
    <row r="62" spans="1:14" x14ac:dyDescent="0.25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</row>
    <row r="63" spans="1:14" x14ac:dyDescent="0.25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</row>
    <row r="64" spans="1:14" x14ac:dyDescent="0.25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</row>
    <row r="65" s="112" customFormat="1" x14ac:dyDescent="0.25"/>
    <row r="66" s="112" customFormat="1" x14ac:dyDescent="0.25"/>
    <row r="67" s="112" customFormat="1" x14ac:dyDescent="0.25"/>
    <row r="68" s="112" customFormat="1" x14ac:dyDescent="0.25"/>
    <row r="69" s="112" customFormat="1" x14ac:dyDescent="0.25"/>
    <row r="70" s="112" customFormat="1" x14ac:dyDescent="0.25"/>
    <row r="71" s="112" customFormat="1" x14ac:dyDescent="0.25"/>
    <row r="72" s="112" customFormat="1" x14ac:dyDescent="0.25"/>
    <row r="73" s="112" customFormat="1" x14ac:dyDescent="0.25"/>
    <row r="74" s="112" customFormat="1" x14ac:dyDescent="0.25"/>
    <row r="75" s="112" customFormat="1" x14ac:dyDescent="0.25"/>
    <row r="76" s="112" customFormat="1" x14ac:dyDescent="0.25"/>
    <row r="77" s="112" customFormat="1" x14ac:dyDescent="0.25"/>
    <row r="78" s="112" customFormat="1" x14ac:dyDescent="0.25"/>
    <row r="79" s="112" customFormat="1" x14ac:dyDescent="0.25"/>
    <row r="80" s="112" customFormat="1" x14ac:dyDescent="0.25"/>
  </sheetData>
  <sheetProtection pivotTables="0"/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9B4F-1926-4DDC-A45C-42E7EEBC6F2C}">
  <sheetPr codeName="Sheet8"/>
  <dimension ref="A1:N34"/>
  <sheetViews>
    <sheetView workbookViewId="0">
      <selection activeCell="C35" sqref="C35"/>
    </sheetView>
  </sheetViews>
  <sheetFormatPr defaultRowHeight="15" x14ac:dyDescent="0.25"/>
  <cols>
    <col min="1" max="1" width="49.85546875" bestFit="1" customWidth="1"/>
    <col min="2" max="2" width="17.85546875" style="45" bestFit="1" customWidth="1"/>
    <col min="3" max="3" width="18.42578125" style="44" bestFit="1" customWidth="1"/>
    <col min="4" max="4" width="19.85546875" style="44" bestFit="1" customWidth="1"/>
    <col min="5" max="5" width="30.42578125" style="3" bestFit="1" customWidth="1"/>
    <col min="6" max="6" width="14.28515625" style="3" bestFit="1" customWidth="1"/>
    <col min="7" max="7" width="22.7109375" style="44" bestFit="1" customWidth="1"/>
    <col min="8" max="8" width="18.140625" style="44" bestFit="1" customWidth="1"/>
    <col min="9" max="9" width="20.5703125" style="3" bestFit="1" customWidth="1"/>
    <col min="10" max="10" width="16.28515625" style="3" bestFit="1" customWidth="1"/>
    <col min="11" max="11" width="16.85546875" style="3" bestFit="1" customWidth="1"/>
    <col min="12" max="12" width="22.42578125" style="3" bestFit="1" customWidth="1"/>
    <col min="13" max="13" width="14.28515625" style="16" bestFit="1" customWidth="1"/>
    <col min="14" max="14" width="20.28515625" bestFit="1" customWidth="1"/>
  </cols>
  <sheetData>
    <row r="1" spans="1:14" x14ac:dyDescent="0.25">
      <c r="A1" s="17" t="s">
        <v>71</v>
      </c>
      <c r="B1" t="s">
        <v>472</v>
      </c>
    </row>
    <row r="3" spans="1:14" x14ac:dyDescent="0.25">
      <c r="A3" s="17" t="s">
        <v>188</v>
      </c>
      <c r="B3" s="49" t="s">
        <v>271</v>
      </c>
      <c r="C3" t="s">
        <v>272</v>
      </c>
      <c r="D3" t="s">
        <v>273</v>
      </c>
      <c r="E3" t="s">
        <v>274</v>
      </c>
      <c r="F3" t="s">
        <v>275</v>
      </c>
      <c r="G3" t="s">
        <v>470</v>
      </c>
      <c r="H3" t="s">
        <v>266</v>
      </c>
      <c r="I3" t="s">
        <v>267</v>
      </c>
      <c r="J3" t="s">
        <v>268</v>
      </c>
      <c r="K3" t="s">
        <v>269</v>
      </c>
      <c r="L3" t="s">
        <v>270</v>
      </c>
      <c r="M3" t="s">
        <v>276</v>
      </c>
      <c r="N3" s="1" t="s">
        <v>277</v>
      </c>
    </row>
    <row r="4" spans="1:14" x14ac:dyDescent="0.25">
      <c r="A4" s="18" t="s">
        <v>70</v>
      </c>
      <c r="B4" s="49">
        <v>145041</v>
      </c>
      <c r="C4" s="50">
        <v>15735.849820095307</v>
      </c>
      <c r="D4" s="50">
        <v>0</v>
      </c>
      <c r="E4" s="15">
        <v>30618.478486450182</v>
      </c>
      <c r="F4" s="15">
        <v>23836.393841324189</v>
      </c>
      <c r="G4" s="15">
        <v>777719.45699999994</v>
      </c>
      <c r="H4" s="50">
        <v>723224.62625609548</v>
      </c>
      <c r="I4" s="50">
        <v>0</v>
      </c>
      <c r="J4" s="15">
        <v>1607862.3567762352</v>
      </c>
      <c r="K4" s="15">
        <v>5169077.8421086492</v>
      </c>
      <c r="L4" s="15">
        <v>1816173.5374942918</v>
      </c>
      <c r="M4" s="15">
        <v>1247840.1529575547</v>
      </c>
      <c r="N4" s="75">
        <v>3064013.6904518465</v>
      </c>
    </row>
    <row r="5" spans="1:14" x14ac:dyDescent="0.25">
      <c r="A5" s="19" t="s">
        <v>53</v>
      </c>
      <c r="B5" s="49">
        <v>62</v>
      </c>
      <c r="C5" s="50">
        <v>802.88440000000003</v>
      </c>
      <c r="D5" s="50">
        <v>0</v>
      </c>
      <c r="E5" s="15">
        <v>1612.9</v>
      </c>
      <c r="F5" s="15">
        <v>1612.9</v>
      </c>
      <c r="G5" s="15">
        <v>13064.49</v>
      </c>
      <c r="H5" s="50">
        <v>49778.832800000004</v>
      </c>
      <c r="I5" s="50">
        <v>0</v>
      </c>
      <c r="J5" s="15">
        <v>62907.342600248448</v>
      </c>
      <c r="K5" s="15">
        <v>103199.28880037344</v>
      </c>
      <c r="L5" s="15">
        <v>99999.8</v>
      </c>
      <c r="M5" s="15">
        <v>31457.8826678681</v>
      </c>
      <c r="N5" s="75">
        <v>131457.6826678681</v>
      </c>
    </row>
    <row r="6" spans="1:14" x14ac:dyDescent="0.25">
      <c r="A6" s="19" t="s">
        <v>47</v>
      </c>
      <c r="B6" s="49">
        <v>41</v>
      </c>
      <c r="C6" s="50">
        <v>878.44</v>
      </c>
      <c r="D6" s="50">
        <v>0</v>
      </c>
      <c r="E6" s="15">
        <v>7819.5</v>
      </c>
      <c r="F6" s="15">
        <v>483.28384132419274</v>
      </c>
      <c r="G6" s="15">
        <v>0</v>
      </c>
      <c r="H6" s="50">
        <v>36016.04</v>
      </c>
      <c r="I6" s="50">
        <v>0</v>
      </c>
      <c r="J6" s="15">
        <v>45514.794942806533</v>
      </c>
      <c r="K6" s="15">
        <v>60122.977073725328</v>
      </c>
      <c r="L6" s="15">
        <v>19814.637494291903</v>
      </c>
      <c r="M6" s="15">
        <v>13308.009223985746</v>
      </c>
      <c r="N6" s="75">
        <v>33122.646718277647</v>
      </c>
    </row>
    <row r="7" spans="1:14" x14ac:dyDescent="0.25">
      <c r="A7" s="19" t="s">
        <v>56</v>
      </c>
      <c r="B7" s="49">
        <v>26385</v>
      </c>
      <c r="C7" s="50">
        <v>0.56999999999999995</v>
      </c>
      <c r="D7" s="50">
        <v>0</v>
      </c>
      <c r="E7" s="15">
        <v>1.76</v>
      </c>
      <c r="F7" s="15">
        <v>1.76</v>
      </c>
      <c r="G7" s="15">
        <v>21455.280000000002</v>
      </c>
      <c r="H7" s="50">
        <v>15039.449999999999</v>
      </c>
      <c r="I7" s="50">
        <v>0</v>
      </c>
      <c r="J7" s="15">
        <v>39310.870049723664</v>
      </c>
      <c r="K7" s="15">
        <v>602389.75989155413</v>
      </c>
      <c r="L7" s="15">
        <v>46437.599999999999</v>
      </c>
      <c r="M7" s="15">
        <v>32949.332030378522</v>
      </c>
      <c r="N7" s="75">
        <v>79386.932030378521</v>
      </c>
    </row>
    <row r="8" spans="1:14" x14ac:dyDescent="0.25">
      <c r="A8" s="19" t="s">
        <v>64</v>
      </c>
      <c r="B8" s="49">
        <v>15</v>
      </c>
      <c r="C8" s="50">
        <v>7234.2980219999999</v>
      </c>
      <c r="D8" s="50">
        <v>0</v>
      </c>
      <c r="E8" s="15">
        <v>7819.5</v>
      </c>
      <c r="F8" s="15">
        <v>7819.5</v>
      </c>
      <c r="G8" s="15">
        <v>0</v>
      </c>
      <c r="H8" s="50">
        <v>108514.47033</v>
      </c>
      <c r="I8" s="50">
        <v>0</v>
      </c>
      <c r="J8" s="15">
        <v>137133.72889960176</v>
      </c>
      <c r="K8" s="15">
        <v>132347.40355123382</v>
      </c>
      <c r="L8" s="15">
        <v>117292.5</v>
      </c>
      <c r="M8" s="15">
        <v>40096.345186410479</v>
      </c>
      <c r="N8" s="75">
        <v>157388.84518641047</v>
      </c>
    </row>
    <row r="9" spans="1:14" x14ac:dyDescent="0.25">
      <c r="A9" s="19" t="s">
        <v>69</v>
      </c>
      <c r="B9" s="49">
        <v>1</v>
      </c>
      <c r="C9" s="50">
        <v>16.070522095305463</v>
      </c>
      <c r="D9" s="50">
        <v>0</v>
      </c>
      <c r="E9" s="15">
        <v>16.738486450182716</v>
      </c>
      <c r="F9" s="15">
        <v>20</v>
      </c>
      <c r="G9" s="15">
        <v>24</v>
      </c>
      <c r="H9" s="50">
        <v>16.070522095305463</v>
      </c>
      <c r="I9" s="50">
        <v>0</v>
      </c>
      <c r="J9" s="15">
        <v>8.2821410255372427</v>
      </c>
      <c r="K9" s="15">
        <v>31.27242824501419</v>
      </c>
      <c r="L9" s="15">
        <v>20</v>
      </c>
      <c r="M9" s="15">
        <v>26.421603992739072</v>
      </c>
      <c r="N9" s="75">
        <v>46.421603992739072</v>
      </c>
    </row>
    <row r="10" spans="1:14" x14ac:dyDescent="0.25">
      <c r="A10" s="19" t="s">
        <v>57</v>
      </c>
      <c r="B10" s="49">
        <v>17705</v>
      </c>
      <c r="C10" s="50">
        <v>2.68</v>
      </c>
      <c r="D10" s="50">
        <v>0</v>
      </c>
      <c r="E10" s="15">
        <v>3.05</v>
      </c>
      <c r="F10" s="15">
        <v>3.05</v>
      </c>
      <c r="G10" s="15">
        <v>16045.439999999999</v>
      </c>
      <c r="H10" s="50">
        <v>47449.4</v>
      </c>
      <c r="I10" s="50">
        <v>0</v>
      </c>
      <c r="J10" s="15">
        <v>124025.62576007489</v>
      </c>
      <c r="K10" s="15">
        <v>837868.86158742663</v>
      </c>
      <c r="L10" s="15">
        <v>54000.25</v>
      </c>
      <c r="M10" s="15">
        <v>52309.124670000747</v>
      </c>
      <c r="N10" s="75">
        <v>106309.37467000075</v>
      </c>
    </row>
    <row r="11" spans="1:14" x14ac:dyDescent="0.25">
      <c r="A11" s="19" t="s">
        <v>59</v>
      </c>
      <c r="B11" s="49">
        <v>4</v>
      </c>
      <c r="C11" s="50">
        <v>709.93</v>
      </c>
      <c r="D11" s="50">
        <v>0</v>
      </c>
      <c r="E11" s="15">
        <v>654.20000000000005</v>
      </c>
      <c r="F11" s="15">
        <v>654.20000000000005</v>
      </c>
      <c r="G11" s="15">
        <v>4121.46</v>
      </c>
      <c r="H11" s="50">
        <v>2839.72</v>
      </c>
      <c r="I11" s="50">
        <v>0</v>
      </c>
      <c r="J11" s="15">
        <v>4476.4556581416127</v>
      </c>
      <c r="K11" s="15">
        <v>15019.977066429321</v>
      </c>
      <c r="L11" s="15">
        <v>2616.8000000000002</v>
      </c>
      <c r="M11" s="15">
        <v>5430.3248046018944</v>
      </c>
      <c r="N11" s="75">
        <v>8047.1248046018945</v>
      </c>
    </row>
    <row r="12" spans="1:14" x14ac:dyDescent="0.25">
      <c r="A12" s="19" t="s">
        <v>61</v>
      </c>
      <c r="B12" s="49">
        <v>2</v>
      </c>
      <c r="C12" s="50">
        <v>3016.23</v>
      </c>
      <c r="D12" s="50">
        <v>0</v>
      </c>
      <c r="E12" s="15">
        <v>6286.7</v>
      </c>
      <c r="F12" s="15">
        <v>6286.7</v>
      </c>
      <c r="G12" s="15">
        <v>0</v>
      </c>
      <c r="H12" s="50">
        <v>6032.46</v>
      </c>
      <c r="I12" s="50">
        <v>0</v>
      </c>
      <c r="J12" s="15">
        <v>7623.4416637887643</v>
      </c>
      <c r="K12" s="15">
        <v>6381.5660495930406</v>
      </c>
      <c r="L12" s="15">
        <v>12573.4</v>
      </c>
      <c r="M12" s="15">
        <v>2229.0077788486751</v>
      </c>
      <c r="N12" s="75">
        <v>14802.407778848676</v>
      </c>
    </row>
    <row r="13" spans="1:14" x14ac:dyDescent="0.25">
      <c r="A13" s="19" t="s">
        <v>60</v>
      </c>
      <c r="B13" s="49">
        <v>2</v>
      </c>
      <c r="C13" s="50">
        <v>3016.23</v>
      </c>
      <c r="D13" s="50">
        <v>0</v>
      </c>
      <c r="E13" s="15">
        <v>6286.7</v>
      </c>
      <c r="F13" s="15">
        <v>6286.7</v>
      </c>
      <c r="G13" s="15">
        <v>0</v>
      </c>
      <c r="H13" s="50">
        <v>6032.46</v>
      </c>
      <c r="I13" s="50">
        <v>0</v>
      </c>
      <c r="J13" s="15">
        <v>7623.4416637887643</v>
      </c>
      <c r="K13" s="15">
        <v>7615.1244762247297</v>
      </c>
      <c r="L13" s="15">
        <v>12573.4</v>
      </c>
      <c r="M13" s="15">
        <v>2229.0077788486751</v>
      </c>
      <c r="N13" s="75">
        <v>14802.407778848676</v>
      </c>
    </row>
    <row r="14" spans="1:14" x14ac:dyDescent="0.25">
      <c r="A14" s="19" t="s">
        <v>55</v>
      </c>
      <c r="B14" s="49">
        <v>12</v>
      </c>
      <c r="C14" s="50">
        <v>39</v>
      </c>
      <c r="D14" s="50">
        <v>0</v>
      </c>
      <c r="E14" s="15">
        <v>100.23</v>
      </c>
      <c r="F14" s="15">
        <v>640.54999999999995</v>
      </c>
      <c r="G14" s="15">
        <v>0</v>
      </c>
      <c r="H14" s="50">
        <v>468</v>
      </c>
      <c r="I14" s="50">
        <v>0</v>
      </c>
      <c r="J14" s="15">
        <v>737.74218867010654</v>
      </c>
      <c r="K14" s="15">
        <v>660.11832623377813</v>
      </c>
      <c r="L14" s="15">
        <v>7686.5999999999995</v>
      </c>
      <c r="M14" s="15">
        <v>215.70743895654735</v>
      </c>
      <c r="N14" s="75">
        <v>7902.3074389565472</v>
      </c>
    </row>
    <row r="15" spans="1:14" x14ac:dyDescent="0.25">
      <c r="A15" s="19" t="s">
        <v>58</v>
      </c>
      <c r="B15" s="49">
        <v>24209</v>
      </c>
      <c r="C15" s="50">
        <v>1.17</v>
      </c>
      <c r="D15" s="50">
        <v>0</v>
      </c>
      <c r="E15" s="15">
        <v>3.03</v>
      </c>
      <c r="F15" s="15">
        <v>3.03</v>
      </c>
      <c r="G15" s="15">
        <v>40039.631999999998</v>
      </c>
      <c r="H15" s="50">
        <v>28324.53</v>
      </c>
      <c r="I15" s="50">
        <v>0</v>
      </c>
      <c r="J15" s="15">
        <v>74036.07964716127</v>
      </c>
      <c r="K15" s="15">
        <v>1101155.2711666641</v>
      </c>
      <c r="L15" s="15">
        <v>73353.26999999999</v>
      </c>
      <c r="M15" s="15">
        <v>61686.941014360054</v>
      </c>
      <c r="N15" s="75">
        <v>135040.21101436004</v>
      </c>
    </row>
    <row r="16" spans="1:14" x14ac:dyDescent="0.25">
      <c r="A16" s="19" t="s">
        <v>65</v>
      </c>
      <c r="B16" s="49">
        <v>1</v>
      </c>
      <c r="C16" s="50">
        <v>1</v>
      </c>
      <c r="D16" s="50">
        <v>0</v>
      </c>
      <c r="E16" s="15">
        <v>1</v>
      </c>
      <c r="F16" s="15">
        <v>1</v>
      </c>
      <c r="G16" s="15">
        <v>0.3</v>
      </c>
      <c r="H16" s="50">
        <v>1</v>
      </c>
      <c r="I16" s="50">
        <v>0</v>
      </c>
      <c r="J16" s="15">
        <v>0.13034168090927176</v>
      </c>
      <c r="K16" s="15">
        <v>250000.02473749567</v>
      </c>
      <c r="L16" s="15">
        <v>1</v>
      </c>
      <c r="M16" s="15">
        <v>0.33811042747726455</v>
      </c>
      <c r="N16" s="75">
        <v>1.3381104274772646</v>
      </c>
    </row>
    <row r="17" spans="1:14" x14ac:dyDescent="0.25">
      <c r="A17" s="19" t="s">
        <v>67</v>
      </c>
      <c r="B17" s="49">
        <v>30</v>
      </c>
      <c r="C17" s="50">
        <v>9</v>
      </c>
      <c r="D17" s="50">
        <v>0</v>
      </c>
      <c r="E17" s="15">
        <v>1.1000000000000001</v>
      </c>
      <c r="F17" s="15">
        <v>1.1000000000000001</v>
      </c>
      <c r="G17" s="15">
        <v>9.57</v>
      </c>
      <c r="H17" s="50">
        <v>270</v>
      </c>
      <c r="I17" s="50">
        <v>0</v>
      </c>
      <c r="J17" s="15">
        <v>263.79307313585707</v>
      </c>
      <c r="K17" s="15">
        <v>169.41160530283963</v>
      </c>
      <c r="L17" s="15">
        <v>33</v>
      </c>
      <c r="M17" s="15">
        <v>86.700099233158568</v>
      </c>
      <c r="N17" s="75">
        <v>119.70009923315857</v>
      </c>
    </row>
    <row r="18" spans="1:14" x14ac:dyDescent="0.25">
      <c r="A18" s="19" t="s">
        <v>31</v>
      </c>
      <c r="B18" s="49">
        <v>10729</v>
      </c>
      <c r="C18" s="50">
        <v>2.3068759999999999</v>
      </c>
      <c r="D18" s="50">
        <v>0</v>
      </c>
      <c r="E18" s="15">
        <v>2.17</v>
      </c>
      <c r="F18" s="15">
        <v>2.17</v>
      </c>
      <c r="G18" s="15">
        <v>8606.2199999999993</v>
      </c>
      <c r="H18" s="50">
        <v>24750.472603999999</v>
      </c>
      <c r="I18" s="50">
        <v>0</v>
      </c>
      <c r="J18" s="15">
        <v>64694.028851127514</v>
      </c>
      <c r="K18" s="15">
        <v>1068774.9737527317</v>
      </c>
      <c r="L18" s="15">
        <v>23281.93</v>
      </c>
      <c r="M18" s="15">
        <v>27522.019439928597</v>
      </c>
      <c r="N18" s="75">
        <v>50803.949439928598</v>
      </c>
    </row>
    <row r="19" spans="1:14" x14ac:dyDescent="0.25">
      <c r="A19" s="19" t="s">
        <v>36</v>
      </c>
      <c r="B19" s="49">
        <v>65843</v>
      </c>
      <c r="C19" s="50">
        <v>6.04</v>
      </c>
      <c r="D19" s="50">
        <v>0</v>
      </c>
      <c r="E19" s="15">
        <v>9.9</v>
      </c>
      <c r="F19" s="15">
        <v>20.45</v>
      </c>
      <c r="G19" s="15">
        <v>674353.06499999994</v>
      </c>
      <c r="H19" s="50">
        <v>397691.72000000003</v>
      </c>
      <c r="I19" s="50">
        <v>0</v>
      </c>
      <c r="J19" s="15">
        <v>1039506.5992952597</v>
      </c>
      <c r="K19" s="15">
        <v>983341.81159541651</v>
      </c>
      <c r="L19" s="15">
        <v>1346489.3499999999</v>
      </c>
      <c r="M19" s="15">
        <v>978292.99110971321</v>
      </c>
      <c r="N19" s="75">
        <v>2324782.3411097131</v>
      </c>
    </row>
    <row r="20" spans="1:14" x14ac:dyDescent="0.25">
      <c r="A20" s="18" t="s">
        <v>79</v>
      </c>
      <c r="B20" s="49">
        <v>1</v>
      </c>
      <c r="C20" s="50">
        <v>0</v>
      </c>
      <c r="D20" s="50">
        <v>0</v>
      </c>
      <c r="E20" s="15">
        <v>2000000</v>
      </c>
      <c r="F20" s="15">
        <v>2000000</v>
      </c>
      <c r="G20" s="15">
        <v>0</v>
      </c>
      <c r="H20" s="50">
        <v>0</v>
      </c>
      <c r="I20" s="50">
        <v>0</v>
      </c>
      <c r="J20" s="15">
        <v>0</v>
      </c>
      <c r="K20" s="15">
        <v>0</v>
      </c>
      <c r="L20" s="15">
        <v>2000000</v>
      </c>
      <c r="M20" s="15">
        <v>0</v>
      </c>
      <c r="N20" s="75">
        <v>2000000</v>
      </c>
    </row>
    <row r="21" spans="1:14" x14ac:dyDescent="0.25">
      <c r="A21" s="19" t="s">
        <v>74</v>
      </c>
      <c r="B21" s="49">
        <v>1</v>
      </c>
      <c r="C21" s="50">
        <v>0</v>
      </c>
      <c r="D21" s="50">
        <v>0</v>
      </c>
      <c r="E21" s="15">
        <v>2000000</v>
      </c>
      <c r="F21" s="15">
        <v>2000000</v>
      </c>
      <c r="G21" s="15">
        <v>0</v>
      </c>
      <c r="H21" s="50">
        <v>0</v>
      </c>
      <c r="I21" s="50">
        <v>0</v>
      </c>
      <c r="J21" s="15">
        <v>0</v>
      </c>
      <c r="K21" s="15">
        <v>0</v>
      </c>
      <c r="L21" s="15">
        <v>2000000</v>
      </c>
      <c r="M21" s="15">
        <v>0</v>
      </c>
      <c r="N21" s="75">
        <v>2000000</v>
      </c>
    </row>
    <row r="22" spans="1:14" x14ac:dyDescent="0.25">
      <c r="A22" s="18" t="s">
        <v>189</v>
      </c>
      <c r="B22" s="49">
        <v>145042</v>
      </c>
      <c r="C22" s="50">
        <v>15735.849820095307</v>
      </c>
      <c r="D22" s="50">
        <v>0</v>
      </c>
      <c r="E22" s="15">
        <v>2030618.4784864502</v>
      </c>
      <c r="F22" s="15">
        <v>2023836.3938413241</v>
      </c>
      <c r="G22" s="15">
        <v>777719.45699999994</v>
      </c>
      <c r="H22" s="50">
        <v>723224.62625609548</v>
      </c>
      <c r="I22" s="50">
        <v>0</v>
      </c>
      <c r="J22" s="15">
        <v>1607862.3567762352</v>
      </c>
      <c r="K22" s="15">
        <v>5169077.8421086492</v>
      </c>
      <c r="L22" s="15">
        <v>3816173.5374942916</v>
      </c>
      <c r="M22" s="15">
        <v>1247840.1529575547</v>
      </c>
      <c r="N22" s="75">
        <v>5064013.6904518465</v>
      </c>
    </row>
    <row r="23" spans="1:14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1:14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1:14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1:14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1:14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1:14" x14ac:dyDescent="0.25">
      <c r="B28"/>
      <c r="C28"/>
      <c r="D28"/>
      <c r="E28"/>
      <c r="F28"/>
      <c r="G28"/>
      <c r="H28"/>
      <c r="I28"/>
      <c r="J28"/>
      <c r="K28"/>
      <c r="L28"/>
      <c r="M28"/>
    </row>
    <row r="29" spans="1:14" x14ac:dyDescent="0.25">
      <c r="B29"/>
      <c r="C29"/>
      <c r="D29"/>
      <c r="E29"/>
      <c r="F29"/>
      <c r="G29"/>
      <c r="H29"/>
      <c r="I29"/>
      <c r="J29"/>
      <c r="K29"/>
      <c r="L29"/>
      <c r="M29"/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/>
      <c r="C32"/>
      <c r="D32"/>
      <c r="E32"/>
      <c r="F32"/>
      <c r="G32"/>
      <c r="H32"/>
      <c r="I32"/>
      <c r="J32"/>
      <c r="K32"/>
      <c r="L32"/>
      <c r="M32"/>
    </row>
    <row r="33" customFormat="1" x14ac:dyDescent="0.25"/>
    <row r="34" customFormat="1" x14ac:dyDescent="0.25"/>
  </sheetData>
  <sheetProtection pivotTables="0"/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C2AF-B4F5-47E4-94F5-EA28DBEF3B35}">
  <sheetPr codeName="Sheet9"/>
  <dimension ref="A1:N129"/>
  <sheetViews>
    <sheetView workbookViewId="0">
      <selection activeCell="A15" sqref="A15"/>
    </sheetView>
  </sheetViews>
  <sheetFormatPr defaultRowHeight="15" x14ac:dyDescent="0.25"/>
  <cols>
    <col min="1" max="1" width="67.5703125" bestFit="1" customWidth="1"/>
    <col min="2" max="2" width="17.85546875" style="45" bestFit="1" customWidth="1"/>
    <col min="3" max="3" width="18.42578125" style="44" bestFit="1" customWidth="1"/>
    <col min="4" max="4" width="19.85546875" style="44" bestFit="1" customWidth="1"/>
    <col min="5" max="5" width="30.42578125" style="3" bestFit="1" customWidth="1"/>
    <col min="6" max="6" width="14.28515625" style="3" bestFit="1" customWidth="1"/>
    <col min="7" max="7" width="22.7109375" style="44" bestFit="1" customWidth="1"/>
    <col min="8" max="8" width="18.140625" style="44" bestFit="1" customWidth="1"/>
    <col min="9" max="9" width="20.5703125" style="3" bestFit="1" customWidth="1"/>
    <col min="10" max="10" width="16.28515625" style="3" bestFit="1" customWidth="1"/>
    <col min="11" max="11" width="16.85546875" style="3" bestFit="1" customWidth="1"/>
    <col min="12" max="12" width="22.42578125" style="3" bestFit="1" customWidth="1"/>
    <col min="13" max="13" width="14.28515625" style="16" bestFit="1" customWidth="1"/>
    <col min="14" max="14" width="20.28515625" bestFit="1" customWidth="1"/>
  </cols>
  <sheetData>
    <row r="1" spans="1:14" x14ac:dyDescent="0.25">
      <c r="A1" s="17" t="s">
        <v>71</v>
      </c>
      <c r="B1" t="s">
        <v>78</v>
      </c>
    </row>
    <row r="3" spans="1:14" x14ac:dyDescent="0.25">
      <c r="A3" s="17" t="s">
        <v>188</v>
      </c>
      <c r="B3" s="49" t="s">
        <v>271</v>
      </c>
      <c r="C3" t="s">
        <v>272</v>
      </c>
      <c r="D3" t="s">
        <v>273</v>
      </c>
      <c r="E3" t="s">
        <v>274</v>
      </c>
      <c r="F3" t="s">
        <v>275</v>
      </c>
      <c r="G3" t="s">
        <v>470</v>
      </c>
      <c r="H3" t="s">
        <v>266</v>
      </c>
      <c r="I3" t="s">
        <v>267</v>
      </c>
      <c r="J3" t="s">
        <v>268</v>
      </c>
      <c r="K3" t="s">
        <v>269</v>
      </c>
      <c r="L3" t="s">
        <v>270</v>
      </c>
      <c r="M3" t="s">
        <v>276</v>
      </c>
      <c r="N3" s="1" t="s">
        <v>277</v>
      </c>
    </row>
    <row r="4" spans="1:14" x14ac:dyDescent="0.25">
      <c r="A4" s="18" t="s">
        <v>86</v>
      </c>
      <c r="B4" s="49">
        <v>1</v>
      </c>
      <c r="C4" s="50">
        <v>8992267</v>
      </c>
      <c r="D4" s="50">
        <v>0</v>
      </c>
      <c r="E4" s="15">
        <v>4316288.16</v>
      </c>
      <c r="F4" s="15">
        <v>4496133.5</v>
      </c>
      <c r="G4" s="179">
        <v>0</v>
      </c>
      <c r="H4" s="50">
        <v>8992267</v>
      </c>
      <c r="I4" s="50">
        <v>0</v>
      </c>
      <c r="J4" s="15">
        <v>6685758.5242639072</v>
      </c>
      <c r="K4" s="15">
        <v>2097951.9206187613</v>
      </c>
      <c r="L4" s="15">
        <v>4496133.5</v>
      </c>
      <c r="M4" s="15">
        <v>1954839.8761776139</v>
      </c>
      <c r="N4" s="75">
        <v>6450973.3761776136</v>
      </c>
    </row>
    <row r="5" spans="1:14" x14ac:dyDescent="0.25">
      <c r="A5" s="19" t="s">
        <v>86</v>
      </c>
      <c r="B5" s="49">
        <v>1</v>
      </c>
      <c r="C5" s="50">
        <v>8992267</v>
      </c>
      <c r="D5" s="50">
        <v>0</v>
      </c>
      <c r="E5" s="15">
        <v>4316288.16</v>
      </c>
      <c r="F5" s="15">
        <v>4496133.5</v>
      </c>
      <c r="G5" s="179">
        <v>0</v>
      </c>
      <c r="H5" s="50">
        <v>8992267</v>
      </c>
      <c r="I5" s="50">
        <v>0</v>
      </c>
      <c r="J5" s="15">
        <v>6685758.5242639072</v>
      </c>
      <c r="K5" s="15">
        <v>2097951.9206187613</v>
      </c>
      <c r="L5" s="15">
        <v>4496133.5</v>
      </c>
      <c r="M5" s="15">
        <v>1954839.8761776139</v>
      </c>
      <c r="N5" s="75">
        <v>6450973.3761776136</v>
      </c>
    </row>
    <row r="6" spans="1:14" x14ac:dyDescent="0.25">
      <c r="A6" s="18" t="s">
        <v>84</v>
      </c>
      <c r="B6" s="49">
        <v>4065</v>
      </c>
      <c r="C6" s="50">
        <v>22746.542048147265</v>
      </c>
      <c r="D6" s="50">
        <v>0</v>
      </c>
      <c r="E6" s="15">
        <v>8057.4995174089236</v>
      </c>
      <c r="F6" s="15">
        <v>5378</v>
      </c>
      <c r="G6" s="179">
        <v>0</v>
      </c>
      <c r="H6" s="50">
        <v>1409918.788054036</v>
      </c>
      <c r="I6" s="50">
        <v>0</v>
      </c>
      <c r="J6" s="15">
        <v>1243116.2086794393</v>
      </c>
      <c r="K6" s="15">
        <v>343731.94670928566</v>
      </c>
      <c r="L6" s="15">
        <v>357025</v>
      </c>
      <c r="M6" s="15">
        <v>363473.06392087339</v>
      </c>
      <c r="N6" s="75">
        <v>720498.06392087357</v>
      </c>
    </row>
    <row r="7" spans="1:14" x14ac:dyDescent="0.25">
      <c r="A7" s="19" t="s">
        <v>353</v>
      </c>
      <c r="B7" s="49">
        <v>40</v>
      </c>
      <c r="C7" s="50">
        <v>3627.3439149999999</v>
      </c>
      <c r="D7" s="50">
        <v>0</v>
      </c>
      <c r="E7" s="15">
        <v>1065.6756547619048</v>
      </c>
      <c r="F7" s="15">
        <v>930</v>
      </c>
      <c r="G7" s="179">
        <v>0</v>
      </c>
      <c r="H7" s="50">
        <v>145093.75659999999</v>
      </c>
      <c r="I7" s="50">
        <v>0</v>
      </c>
      <c r="J7" s="15">
        <v>122018.14304341791</v>
      </c>
      <c r="K7" s="15">
        <v>33851.27747305113</v>
      </c>
      <c r="L7" s="15">
        <v>37200</v>
      </c>
      <c r="M7" s="15">
        <v>35676.719518475096</v>
      </c>
      <c r="N7" s="75">
        <v>72876.719518475089</v>
      </c>
    </row>
    <row r="8" spans="1:14" x14ac:dyDescent="0.25">
      <c r="A8" s="19" t="s">
        <v>345</v>
      </c>
      <c r="B8" s="49">
        <v>100</v>
      </c>
      <c r="C8" s="50">
        <v>729.50567624999985</v>
      </c>
      <c r="D8" s="50">
        <v>0</v>
      </c>
      <c r="E8" s="15">
        <v>287.99345238095242</v>
      </c>
      <c r="F8" s="15">
        <v>180</v>
      </c>
      <c r="G8" s="179">
        <v>0</v>
      </c>
      <c r="H8" s="50">
        <v>72950.567624999981</v>
      </c>
      <c r="I8" s="50">
        <v>0</v>
      </c>
      <c r="J8" s="15">
        <v>61348.558367712561</v>
      </c>
      <c r="K8" s="15">
        <v>17019.821971378024</v>
      </c>
      <c r="L8" s="15">
        <v>18000</v>
      </c>
      <c r="M8" s="15">
        <v>17937.621858159779</v>
      </c>
      <c r="N8" s="75">
        <v>35937.621858159779</v>
      </c>
    </row>
    <row r="9" spans="1:14" x14ac:dyDescent="0.25">
      <c r="A9" s="19" t="s">
        <v>354</v>
      </c>
      <c r="B9" s="49">
        <v>25</v>
      </c>
      <c r="C9" s="50">
        <v>5192.6783999999998</v>
      </c>
      <c r="D9" s="50">
        <v>0</v>
      </c>
      <c r="E9" s="15">
        <v>1050</v>
      </c>
      <c r="F9" s="15">
        <v>1050</v>
      </c>
      <c r="G9" s="179">
        <v>0</v>
      </c>
      <c r="H9" s="50">
        <v>129816.95999999999</v>
      </c>
      <c r="I9" s="50">
        <v>0</v>
      </c>
      <c r="J9" s="15">
        <v>109170.95790971933</v>
      </c>
      <c r="K9" s="15">
        <v>30287.105638754827</v>
      </c>
      <c r="L9" s="15">
        <v>26250</v>
      </c>
      <c r="M9" s="15">
        <v>31920.348464263978</v>
      </c>
      <c r="N9" s="75">
        <v>58170.348464263981</v>
      </c>
    </row>
    <row r="10" spans="1:14" x14ac:dyDescent="0.25">
      <c r="A10" s="19" t="s">
        <v>355</v>
      </c>
      <c r="B10" s="49">
        <v>25</v>
      </c>
      <c r="C10" s="50">
        <v>624.50985999999989</v>
      </c>
      <c r="D10" s="50">
        <v>0</v>
      </c>
      <c r="E10" s="15">
        <v>246.42674603174601</v>
      </c>
      <c r="F10" s="15">
        <v>170</v>
      </c>
      <c r="G10" s="179">
        <v>0</v>
      </c>
      <c r="H10" s="50">
        <v>15612.746499999997</v>
      </c>
      <c r="I10" s="50">
        <v>0</v>
      </c>
      <c r="J10" s="15">
        <v>13129.705787337938</v>
      </c>
      <c r="K10" s="15">
        <v>3893.6661946583249</v>
      </c>
      <c r="L10" s="15">
        <v>4250</v>
      </c>
      <c r="M10" s="15">
        <v>3838.9768853331475</v>
      </c>
      <c r="N10" s="75">
        <v>8088.9768853331479</v>
      </c>
    </row>
    <row r="11" spans="1:14" x14ac:dyDescent="0.25">
      <c r="A11" s="19" t="s">
        <v>346</v>
      </c>
      <c r="B11" s="49">
        <v>100</v>
      </c>
      <c r="C11" s="50">
        <v>639.93971646543196</v>
      </c>
      <c r="D11" s="50">
        <v>0</v>
      </c>
      <c r="E11" s="15">
        <v>309.50288154413806</v>
      </c>
      <c r="F11" s="15">
        <v>180</v>
      </c>
      <c r="G11" s="179">
        <v>0</v>
      </c>
      <c r="H11" s="50">
        <v>63993.971646543199</v>
      </c>
      <c r="I11" s="50">
        <v>0</v>
      </c>
      <c r="J11" s="15">
        <v>53816.413395449563</v>
      </c>
      <c r="K11" s="15">
        <v>14930.192322346287</v>
      </c>
      <c r="L11" s="15">
        <v>18000</v>
      </c>
      <c r="M11" s="15">
        <v>15735.308195245736</v>
      </c>
      <c r="N11" s="75">
        <v>33735.308195245736</v>
      </c>
    </row>
    <row r="12" spans="1:14" x14ac:dyDescent="0.25">
      <c r="A12" s="19" t="s">
        <v>347</v>
      </c>
      <c r="B12" s="49">
        <v>25</v>
      </c>
      <c r="C12" s="50">
        <v>534.73972500000002</v>
      </c>
      <c r="D12" s="50">
        <v>0</v>
      </c>
      <c r="E12" s="15">
        <v>156.44900568181816</v>
      </c>
      <c r="F12" s="15">
        <v>120</v>
      </c>
      <c r="G12" s="179">
        <v>0</v>
      </c>
      <c r="H12" s="50">
        <v>13368.493125000001</v>
      </c>
      <c r="I12" s="50">
        <v>0</v>
      </c>
      <c r="J12" s="15">
        <v>11242.37696111315</v>
      </c>
      <c r="K12" s="15">
        <v>3118.9527432150821</v>
      </c>
      <c r="L12" s="15">
        <v>3000</v>
      </c>
      <c r="M12" s="15">
        <v>3287.1433670309129</v>
      </c>
      <c r="N12" s="75">
        <v>6287.1433670309125</v>
      </c>
    </row>
    <row r="13" spans="1:14" x14ac:dyDescent="0.25">
      <c r="A13" s="19" t="s">
        <v>356</v>
      </c>
      <c r="B13" s="49">
        <v>5</v>
      </c>
      <c r="C13" s="50">
        <v>987.16800000000001</v>
      </c>
      <c r="D13" s="50">
        <v>0</v>
      </c>
      <c r="E13" s="15">
        <v>755.26749999999993</v>
      </c>
      <c r="F13" s="15">
        <v>225</v>
      </c>
      <c r="G13" s="179">
        <v>0</v>
      </c>
      <c r="H13" s="50">
        <v>4935.84</v>
      </c>
      <c r="I13" s="50">
        <v>0</v>
      </c>
      <c r="J13" s="15">
        <v>4150.8473229469328</v>
      </c>
      <c r="K13" s="15">
        <v>1230.9501951013135</v>
      </c>
      <c r="L13" s="15">
        <v>1125</v>
      </c>
      <c r="M13" s="15">
        <v>1213.6606246506828</v>
      </c>
      <c r="N13" s="75">
        <v>2338.6606246506826</v>
      </c>
    </row>
    <row r="14" spans="1:14" x14ac:dyDescent="0.25">
      <c r="A14" s="19" t="s">
        <v>348</v>
      </c>
      <c r="B14" s="49">
        <v>100</v>
      </c>
      <c r="C14" s="50">
        <v>849.24147850308634</v>
      </c>
      <c r="D14" s="50">
        <v>0</v>
      </c>
      <c r="E14" s="15">
        <v>446.04367973461734</v>
      </c>
      <c r="F14" s="15">
        <v>230</v>
      </c>
      <c r="G14" s="179">
        <v>0</v>
      </c>
      <c r="H14" s="50">
        <v>84924.14785030864</v>
      </c>
      <c r="I14" s="50">
        <v>0</v>
      </c>
      <c r="J14" s="15">
        <v>71417.868439415208</v>
      </c>
      <c r="K14" s="15">
        <v>19813.33284359402</v>
      </c>
      <c r="L14" s="15">
        <v>23000</v>
      </c>
      <c r="M14" s="15">
        <v>20881.773786818969</v>
      </c>
      <c r="N14" s="75">
        <v>43881.773786818972</v>
      </c>
    </row>
    <row r="15" spans="1:14" x14ac:dyDescent="0.25">
      <c r="A15" s="19" t="s">
        <v>357</v>
      </c>
      <c r="B15" s="49">
        <v>25</v>
      </c>
      <c r="C15" s="50">
        <v>931.71600860000035</v>
      </c>
      <c r="D15" s="50">
        <v>0</v>
      </c>
      <c r="E15" s="15">
        <v>780.04297916666667</v>
      </c>
      <c r="F15" s="15">
        <v>250</v>
      </c>
      <c r="G15" s="179">
        <v>0</v>
      </c>
      <c r="H15" s="50">
        <v>23292.900215000009</v>
      </c>
      <c r="I15" s="50">
        <v>0</v>
      </c>
      <c r="J15" s="15">
        <v>16895.614085345533</v>
      </c>
      <c r="K15" s="15">
        <v>5031.4592850431281</v>
      </c>
      <c r="L15" s="15">
        <v>6250</v>
      </c>
      <c r="M15" s="15">
        <v>4940.0857100470839</v>
      </c>
      <c r="N15" s="75">
        <v>11190.085710047084</v>
      </c>
    </row>
    <row r="16" spans="1:14" x14ac:dyDescent="0.25">
      <c r="A16" s="19" t="s">
        <v>349</v>
      </c>
      <c r="B16" s="49">
        <v>150</v>
      </c>
      <c r="C16" s="50">
        <v>1026.5852628571429</v>
      </c>
      <c r="D16" s="50">
        <v>0</v>
      </c>
      <c r="E16" s="15">
        <v>444.87567278672032</v>
      </c>
      <c r="F16" s="15">
        <v>280</v>
      </c>
      <c r="G16" s="179">
        <v>0</v>
      </c>
      <c r="H16" s="50">
        <v>153987.78942857144</v>
      </c>
      <c r="I16" s="50">
        <v>0</v>
      </c>
      <c r="J16" s="15">
        <v>129497.67486711519</v>
      </c>
      <c r="K16" s="15">
        <v>35926.310749392658</v>
      </c>
      <c r="L16" s="15">
        <v>42000</v>
      </c>
      <c r="M16" s="15">
        <v>37863.649694167121</v>
      </c>
      <c r="N16" s="75">
        <v>79863.649694167121</v>
      </c>
    </row>
    <row r="17" spans="1:14" x14ac:dyDescent="0.25">
      <c r="A17" s="19" t="s">
        <v>350</v>
      </c>
      <c r="B17" s="49">
        <v>200</v>
      </c>
      <c r="C17" s="50">
        <v>1444.6779411458333</v>
      </c>
      <c r="D17" s="50">
        <v>0</v>
      </c>
      <c r="E17" s="15">
        <v>619.61269392662177</v>
      </c>
      <c r="F17" s="15">
        <v>375</v>
      </c>
      <c r="G17" s="179">
        <v>0</v>
      </c>
      <c r="H17" s="50">
        <v>288935.58822916663</v>
      </c>
      <c r="I17" s="50">
        <v>0</v>
      </c>
      <c r="J17" s="15">
        <v>242983.46642215585</v>
      </c>
      <c r="K17" s="15">
        <v>67410.473049842913</v>
      </c>
      <c r="L17" s="15">
        <v>75000</v>
      </c>
      <c r="M17" s="15">
        <v>71045.606521690919</v>
      </c>
      <c r="N17" s="75">
        <v>146045.6065216909</v>
      </c>
    </row>
    <row r="18" spans="1:14" x14ac:dyDescent="0.25">
      <c r="A18" s="19" t="s">
        <v>351</v>
      </c>
      <c r="B18" s="49">
        <v>100</v>
      </c>
      <c r="C18" s="50">
        <v>1677.3120000000001</v>
      </c>
      <c r="D18" s="50">
        <v>0</v>
      </c>
      <c r="E18" s="15">
        <v>731.2</v>
      </c>
      <c r="F18" s="15">
        <v>400</v>
      </c>
      <c r="G18" s="179">
        <v>0</v>
      </c>
      <c r="H18" s="50">
        <v>167731.20000000001</v>
      </c>
      <c r="I18" s="50">
        <v>0</v>
      </c>
      <c r="J18" s="15">
        <v>141055.34265589577</v>
      </c>
      <c r="K18" s="15">
        <v>39132.734068916056</v>
      </c>
      <c r="L18" s="15">
        <v>40000</v>
      </c>
      <c r="M18" s="15">
        <v>41242.98051910285</v>
      </c>
      <c r="N18" s="75">
        <v>81242.980519102857</v>
      </c>
    </row>
    <row r="19" spans="1:14" x14ac:dyDescent="0.25">
      <c r="A19" s="19" t="s">
        <v>343</v>
      </c>
      <c r="B19" s="49">
        <v>50</v>
      </c>
      <c r="C19" s="50">
        <v>322.91454000000004</v>
      </c>
      <c r="D19" s="50">
        <v>0</v>
      </c>
      <c r="E19" s="15">
        <v>155.13800189393942</v>
      </c>
      <c r="F19" s="15">
        <v>85</v>
      </c>
      <c r="G19" s="179">
        <v>0</v>
      </c>
      <c r="H19" s="50">
        <v>16145.727000000003</v>
      </c>
      <c r="I19" s="50">
        <v>0</v>
      </c>
      <c r="J19" s="15">
        <v>13577.921426744389</v>
      </c>
      <c r="K19" s="15">
        <v>3766.8987107963098</v>
      </c>
      <c r="L19" s="15">
        <v>4250</v>
      </c>
      <c r="M19" s="15">
        <v>3970.0300488385769</v>
      </c>
      <c r="N19" s="75">
        <v>8220.0300488385765</v>
      </c>
    </row>
    <row r="20" spans="1:14" x14ac:dyDescent="0.25">
      <c r="A20" s="19" t="s">
        <v>352</v>
      </c>
      <c r="B20" s="49">
        <v>10</v>
      </c>
      <c r="C20" s="50">
        <v>3563.8511999999996</v>
      </c>
      <c r="D20" s="50">
        <v>0</v>
      </c>
      <c r="E20" s="15">
        <v>750</v>
      </c>
      <c r="F20" s="15">
        <v>750</v>
      </c>
      <c r="G20" s="179">
        <v>0</v>
      </c>
      <c r="H20" s="50">
        <v>35638.511999999995</v>
      </c>
      <c r="I20" s="50">
        <v>0</v>
      </c>
      <c r="J20" s="15">
        <v>29970.586998162849</v>
      </c>
      <c r="K20" s="15">
        <v>8314.6869080282831</v>
      </c>
      <c r="L20" s="15">
        <v>7500</v>
      </c>
      <c r="M20" s="15">
        <v>8763.0593243583353</v>
      </c>
      <c r="N20" s="75">
        <v>16263.059324358335</v>
      </c>
    </row>
    <row r="21" spans="1:14" x14ac:dyDescent="0.25">
      <c r="A21" s="19" t="s">
        <v>344</v>
      </c>
      <c r="B21" s="49">
        <v>100</v>
      </c>
      <c r="C21" s="50">
        <v>467.06849142857141</v>
      </c>
      <c r="D21" s="50">
        <v>0</v>
      </c>
      <c r="E21" s="15">
        <v>193.66124949979991</v>
      </c>
      <c r="F21" s="15">
        <v>120</v>
      </c>
      <c r="G21" s="179">
        <v>0</v>
      </c>
      <c r="H21" s="50">
        <v>46706.849142857143</v>
      </c>
      <c r="I21" s="50">
        <v>0</v>
      </c>
      <c r="J21" s="15">
        <v>39278.62323898563</v>
      </c>
      <c r="K21" s="15">
        <v>10896.998928669254</v>
      </c>
      <c r="L21" s="15">
        <v>12000</v>
      </c>
      <c r="M21" s="15">
        <v>11484.623429078985</v>
      </c>
      <c r="N21" s="75">
        <v>23484.623429078987</v>
      </c>
    </row>
    <row r="22" spans="1:14" x14ac:dyDescent="0.25">
      <c r="A22" s="19" t="s">
        <v>83</v>
      </c>
      <c r="B22" s="49">
        <v>3000</v>
      </c>
      <c r="C22" s="50">
        <v>48.66583289719626</v>
      </c>
      <c r="D22" s="50">
        <v>0</v>
      </c>
      <c r="E22" s="15">
        <v>35.61</v>
      </c>
      <c r="F22" s="15">
        <v>13</v>
      </c>
      <c r="G22" s="179">
        <v>0</v>
      </c>
      <c r="H22" s="50">
        <v>145997.49869158879</v>
      </c>
      <c r="I22" s="50">
        <v>0</v>
      </c>
      <c r="J22" s="15">
        <v>182900.91083922188</v>
      </c>
      <c r="K22" s="15">
        <v>48923.650935550038</v>
      </c>
      <c r="L22" s="15">
        <v>39000</v>
      </c>
      <c r="M22" s="15">
        <v>53478.14950242795</v>
      </c>
      <c r="N22" s="75">
        <v>92478.149502427957</v>
      </c>
    </row>
    <row r="23" spans="1:14" x14ac:dyDescent="0.25">
      <c r="A23" s="19" t="s">
        <v>358</v>
      </c>
      <c r="B23" s="49">
        <v>10</v>
      </c>
      <c r="C23" s="50">
        <v>78.623999999999995</v>
      </c>
      <c r="D23" s="50">
        <v>0</v>
      </c>
      <c r="E23" s="15">
        <v>30</v>
      </c>
      <c r="F23" s="15">
        <v>20</v>
      </c>
      <c r="G23" s="179">
        <v>0</v>
      </c>
      <c r="H23" s="50">
        <v>786.24</v>
      </c>
      <c r="I23" s="50">
        <v>0</v>
      </c>
      <c r="J23" s="15">
        <v>661.19691869951146</v>
      </c>
      <c r="K23" s="15">
        <v>183.43469094804402</v>
      </c>
      <c r="L23" s="15">
        <v>200</v>
      </c>
      <c r="M23" s="15">
        <v>193.32647118329464</v>
      </c>
      <c r="N23" s="75">
        <v>393.32647118329464</v>
      </c>
    </row>
    <row r="24" spans="1:14" x14ac:dyDescent="0.25">
      <c r="A24" s="18" t="s">
        <v>129</v>
      </c>
      <c r="B24" s="49">
        <v>4</v>
      </c>
      <c r="C24" s="50">
        <v>10572.95005268883</v>
      </c>
      <c r="D24" s="50">
        <v>0</v>
      </c>
      <c r="E24" s="15">
        <v>1875.7051841087355</v>
      </c>
      <c r="F24" s="15">
        <v>1950</v>
      </c>
      <c r="G24" s="179">
        <v>0</v>
      </c>
      <c r="H24" s="50">
        <v>14401.598788212286</v>
      </c>
      <c r="I24" s="50">
        <v>0</v>
      </c>
      <c r="J24" s="15">
        <v>7333.9147107198869</v>
      </c>
      <c r="K24" s="15">
        <v>942.0132178014112</v>
      </c>
      <c r="L24" s="15">
        <v>2650</v>
      </c>
      <c r="M24" s="15">
        <v>2144.3533853294957</v>
      </c>
      <c r="N24" s="75">
        <v>4794.3533853294957</v>
      </c>
    </row>
    <row r="25" spans="1:14" x14ac:dyDescent="0.25">
      <c r="A25" s="19" t="s">
        <v>104</v>
      </c>
      <c r="B25" s="49">
        <v>1</v>
      </c>
      <c r="C25" s="50">
        <v>1319.4664798090234</v>
      </c>
      <c r="D25" s="50">
        <v>0</v>
      </c>
      <c r="E25" s="15">
        <v>358.352872179526</v>
      </c>
      <c r="F25" s="15">
        <v>250</v>
      </c>
      <c r="G25" s="179">
        <v>0</v>
      </c>
      <c r="H25" s="50">
        <v>1319.4664798090234</v>
      </c>
      <c r="I25" s="50">
        <v>0</v>
      </c>
      <c r="J25" s="15">
        <v>671.92919125713252</v>
      </c>
      <c r="K25" s="15">
        <v>86.306727656054264</v>
      </c>
      <c r="L25" s="15">
        <v>250</v>
      </c>
      <c r="M25" s="15">
        <v>196.46446581494402</v>
      </c>
      <c r="N25" s="75">
        <v>446.46446581494399</v>
      </c>
    </row>
    <row r="26" spans="1:14" x14ac:dyDescent="0.25">
      <c r="A26" s="19" t="s">
        <v>109</v>
      </c>
      <c r="B26" s="49">
        <v>2</v>
      </c>
      <c r="C26" s="50">
        <v>3828.6487355234567</v>
      </c>
      <c r="D26" s="50">
        <v>0</v>
      </c>
      <c r="E26" s="15">
        <v>654.32770142235677</v>
      </c>
      <c r="F26" s="15">
        <v>700</v>
      </c>
      <c r="G26" s="179">
        <v>0</v>
      </c>
      <c r="H26" s="50">
        <v>7657.2974710469134</v>
      </c>
      <c r="I26" s="50">
        <v>0</v>
      </c>
      <c r="J26" s="15">
        <v>3899.4258479992136</v>
      </c>
      <c r="K26" s="15">
        <v>500.86629522463716</v>
      </c>
      <c r="L26" s="15">
        <v>1400</v>
      </c>
      <c r="M26" s="15">
        <v>1140.1478402491098</v>
      </c>
      <c r="N26" s="75">
        <v>2540.1478402491098</v>
      </c>
    </row>
    <row r="27" spans="1:14" x14ac:dyDescent="0.25">
      <c r="A27" s="19" t="s">
        <v>112</v>
      </c>
      <c r="B27" s="49">
        <v>1</v>
      </c>
      <c r="C27" s="50">
        <v>5424.8348373563495</v>
      </c>
      <c r="D27" s="50">
        <v>0</v>
      </c>
      <c r="E27" s="15">
        <v>863.0246105068527</v>
      </c>
      <c r="F27" s="15">
        <v>1000</v>
      </c>
      <c r="G27" s="179">
        <v>0</v>
      </c>
      <c r="H27" s="50">
        <v>5424.8348373563495</v>
      </c>
      <c r="I27" s="50">
        <v>0</v>
      </c>
      <c r="J27" s="15">
        <v>2762.5596714635403</v>
      </c>
      <c r="K27" s="15">
        <v>354.8401949207198</v>
      </c>
      <c r="L27" s="15">
        <v>1000</v>
      </c>
      <c r="M27" s="15">
        <v>807.74107926544184</v>
      </c>
      <c r="N27" s="75">
        <v>1807.7410792654418</v>
      </c>
    </row>
    <row r="28" spans="1:14" x14ac:dyDescent="0.25">
      <c r="A28" s="18" t="s">
        <v>81</v>
      </c>
      <c r="B28" s="49">
        <v>25695</v>
      </c>
      <c r="C28" s="50">
        <v>10349.482444756979</v>
      </c>
      <c r="D28" s="50">
        <v>0</v>
      </c>
      <c r="E28" s="15">
        <v>4911.0068027283969</v>
      </c>
      <c r="F28" s="15">
        <v>2339</v>
      </c>
      <c r="G28" s="179">
        <v>0</v>
      </c>
      <c r="H28" s="50">
        <v>2660043.1162379161</v>
      </c>
      <c r="I28" s="50">
        <v>0</v>
      </c>
      <c r="J28" s="15">
        <v>2236592.3327976507</v>
      </c>
      <c r="K28" s="15">
        <v>712194.66147158516</v>
      </c>
      <c r="L28" s="15">
        <v>633485</v>
      </c>
      <c r="M28" s="15">
        <v>653954.20176162128</v>
      </c>
      <c r="N28" s="75">
        <v>1287439.2017616213</v>
      </c>
    </row>
    <row r="29" spans="1:14" x14ac:dyDescent="0.25">
      <c r="A29" s="19" t="s">
        <v>335</v>
      </c>
      <c r="B29" s="49">
        <v>25</v>
      </c>
      <c r="C29" s="50">
        <v>411.56700000000001</v>
      </c>
      <c r="D29" s="50">
        <v>0</v>
      </c>
      <c r="E29" s="15">
        <v>114.69615628815629</v>
      </c>
      <c r="F29" s="15">
        <v>75</v>
      </c>
      <c r="G29" s="179">
        <v>0</v>
      </c>
      <c r="H29" s="50">
        <v>10289.174999999999</v>
      </c>
      <c r="I29" s="50">
        <v>0</v>
      </c>
      <c r="J29" s="15">
        <v>7650.0107774705848</v>
      </c>
      <c r="K29" s="15">
        <v>2400.5286378654619</v>
      </c>
      <c r="L29" s="15">
        <v>1875</v>
      </c>
      <c r="M29" s="15">
        <v>2236.7762859988252</v>
      </c>
      <c r="N29" s="75">
        <v>4111.7762859988252</v>
      </c>
    </row>
    <row r="30" spans="1:14" x14ac:dyDescent="0.25">
      <c r="A30" s="19" t="s">
        <v>332</v>
      </c>
      <c r="B30" s="49">
        <v>250</v>
      </c>
      <c r="C30" s="50">
        <v>114.48115714285714</v>
      </c>
      <c r="D30" s="50">
        <v>0</v>
      </c>
      <c r="E30" s="15">
        <v>76.812904922353383</v>
      </c>
      <c r="F30" s="15">
        <v>20</v>
      </c>
      <c r="G30" s="179">
        <v>0</v>
      </c>
      <c r="H30" s="50">
        <v>28620.289285714287</v>
      </c>
      <c r="I30" s="50">
        <v>0</v>
      </c>
      <c r="J30" s="15">
        <v>21279.210577139587</v>
      </c>
      <c r="K30" s="15">
        <v>6677.2918192519019</v>
      </c>
      <c r="L30" s="15">
        <v>5000</v>
      </c>
      <c r="M30" s="15">
        <v>6221.7995488182451</v>
      </c>
      <c r="N30" s="75">
        <v>11221.799548818246</v>
      </c>
    </row>
    <row r="31" spans="1:14" x14ac:dyDescent="0.25">
      <c r="A31" s="19" t="s">
        <v>339</v>
      </c>
      <c r="B31" s="49">
        <v>25</v>
      </c>
      <c r="C31" s="50">
        <v>3175.27808</v>
      </c>
      <c r="D31" s="50">
        <v>0</v>
      </c>
      <c r="E31" s="15">
        <v>612.56837763409965</v>
      </c>
      <c r="F31" s="15">
        <v>600</v>
      </c>
      <c r="G31" s="179">
        <v>0</v>
      </c>
      <c r="H31" s="50">
        <v>79381.952000000005</v>
      </c>
      <c r="I31" s="50">
        <v>0</v>
      </c>
      <c r="J31" s="15">
        <v>87260.663590328084</v>
      </c>
      <c r="K31" s="15">
        <v>26600.831829554714</v>
      </c>
      <c r="L31" s="15">
        <v>15000</v>
      </c>
      <c r="M31" s="15">
        <v>25514.027195122791</v>
      </c>
      <c r="N31" s="75">
        <v>40514.027195122791</v>
      </c>
    </row>
    <row r="32" spans="1:14" x14ac:dyDescent="0.25">
      <c r="A32" s="19" t="s">
        <v>336</v>
      </c>
      <c r="B32" s="49">
        <v>25</v>
      </c>
      <c r="C32" s="50">
        <v>546</v>
      </c>
      <c r="D32" s="50">
        <v>0</v>
      </c>
      <c r="E32" s="15">
        <v>271.65483333333333</v>
      </c>
      <c r="F32" s="15">
        <v>140</v>
      </c>
      <c r="G32" s="179">
        <v>0</v>
      </c>
      <c r="H32" s="50">
        <v>13650</v>
      </c>
      <c r="I32" s="50">
        <v>0</v>
      </c>
      <c r="J32" s="15">
        <v>10148.787158588855</v>
      </c>
      <c r="K32" s="15">
        <v>3184.6300511813197</v>
      </c>
      <c r="L32" s="15">
        <v>3500</v>
      </c>
      <c r="M32" s="15">
        <v>2967.3901264079936</v>
      </c>
      <c r="N32" s="75">
        <v>6467.3901264079941</v>
      </c>
    </row>
    <row r="33" spans="1:14" x14ac:dyDescent="0.25">
      <c r="A33" s="19" t="s">
        <v>327</v>
      </c>
      <c r="B33" s="49">
        <v>1500</v>
      </c>
      <c r="C33" s="50">
        <v>241.3422072163556</v>
      </c>
      <c r="D33" s="50">
        <v>0</v>
      </c>
      <c r="E33" s="15">
        <v>178.3030596375973</v>
      </c>
      <c r="F33" s="15">
        <v>50</v>
      </c>
      <c r="G33" s="179">
        <v>0</v>
      </c>
      <c r="H33" s="50">
        <v>362013.3108245334</v>
      </c>
      <c r="I33" s="50">
        <v>0</v>
      </c>
      <c r="J33" s="15">
        <v>269157.21905745496</v>
      </c>
      <c r="K33" s="15">
        <v>84459.961068091798</v>
      </c>
      <c r="L33" s="15">
        <v>75000</v>
      </c>
      <c r="M33" s="15">
        <v>78698.514591134677</v>
      </c>
      <c r="N33" s="75">
        <v>153698.51459113468</v>
      </c>
    </row>
    <row r="34" spans="1:14" x14ac:dyDescent="0.25">
      <c r="A34" s="19" t="s">
        <v>324</v>
      </c>
      <c r="B34" s="49">
        <v>5</v>
      </c>
      <c r="C34" s="50">
        <v>80.73866666666666</v>
      </c>
      <c r="D34" s="50">
        <v>0</v>
      </c>
      <c r="E34" s="15">
        <v>28.343333333333334</v>
      </c>
      <c r="F34" s="15">
        <v>9</v>
      </c>
      <c r="G34" s="179">
        <v>0</v>
      </c>
      <c r="H34" s="50">
        <v>403.69333333333327</v>
      </c>
      <c r="I34" s="50">
        <v>0</v>
      </c>
      <c r="J34" s="15">
        <v>300.14635291877386</v>
      </c>
      <c r="K34" s="15">
        <v>94.184170021603705</v>
      </c>
      <c r="L34" s="15">
        <v>45</v>
      </c>
      <c r="M34" s="15">
        <v>87.759385452751943</v>
      </c>
      <c r="N34" s="75">
        <v>132.75938545275193</v>
      </c>
    </row>
    <row r="35" spans="1:14" x14ac:dyDescent="0.25">
      <c r="A35" s="19" t="s">
        <v>337</v>
      </c>
      <c r="B35" s="49">
        <v>50</v>
      </c>
      <c r="C35" s="50">
        <v>1007.1644142857142</v>
      </c>
      <c r="D35" s="50">
        <v>0</v>
      </c>
      <c r="E35" s="15">
        <v>516.1812083333333</v>
      </c>
      <c r="F35" s="15">
        <v>260</v>
      </c>
      <c r="G35" s="179">
        <v>0</v>
      </c>
      <c r="H35" s="50">
        <v>50358.220714285708</v>
      </c>
      <c r="I35" s="50">
        <v>0</v>
      </c>
      <c r="J35" s="15">
        <v>55356.307649839298</v>
      </c>
      <c r="K35" s="15">
        <v>16875.001517426939</v>
      </c>
      <c r="L35" s="15">
        <v>13000</v>
      </c>
      <c r="M35" s="15">
        <v>16185.555789838492</v>
      </c>
      <c r="N35" s="75">
        <v>29185.555789838494</v>
      </c>
    </row>
    <row r="36" spans="1:14" x14ac:dyDescent="0.25">
      <c r="A36" s="19" t="s">
        <v>325</v>
      </c>
      <c r="B36" s="49">
        <v>300</v>
      </c>
      <c r="C36" s="50">
        <v>122.38964050480111</v>
      </c>
      <c r="D36" s="50">
        <v>0</v>
      </c>
      <c r="E36" s="15">
        <v>153.76790967224497</v>
      </c>
      <c r="F36" s="15">
        <v>30</v>
      </c>
      <c r="G36" s="179">
        <v>0</v>
      </c>
      <c r="H36" s="50">
        <v>36716.892151440334</v>
      </c>
      <c r="I36" s="50">
        <v>0</v>
      </c>
      <c r="J36" s="15">
        <v>27299.042019767738</v>
      </c>
      <c r="K36" s="15">
        <v>9156.8336002239466</v>
      </c>
      <c r="L36" s="15">
        <v>9000</v>
      </c>
      <c r="M36" s="15">
        <v>7981.9299078806735</v>
      </c>
      <c r="N36" s="75">
        <v>16981.929907880673</v>
      </c>
    </row>
    <row r="37" spans="1:14" x14ac:dyDescent="0.25">
      <c r="A37" s="19" t="s">
        <v>326</v>
      </c>
      <c r="B37" s="49">
        <v>500</v>
      </c>
      <c r="C37" s="50">
        <v>111.20735033217994</v>
      </c>
      <c r="D37" s="50">
        <v>0</v>
      </c>
      <c r="E37" s="15">
        <v>115.39267271925192</v>
      </c>
      <c r="F37" s="15">
        <v>25</v>
      </c>
      <c r="G37" s="179">
        <v>0</v>
      </c>
      <c r="H37" s="50">
        <v>55603.675166089968</v>
      </c>
      <c r="I37" s="50">
        <v>0</v>
      </c>
      <c r="J37" s="15">
        <v>41341.382014356037</v>
      </c>
      <c r="K37" s="15">
        <v>12972.683874729273</v>
      </c>
      <c r="L37" s="15">
        <v>12500</v>
      </c>
      <c r="M37" s="15">
        <v>12087.75067251668</v>
      </c>
      <c r="N37" s="75">
        <v>24587.750672516682</v>
      </c>
    </row>
    <row r="38" spans="1:14" x14ac:dyDescent="0.25">
      <c r="A38" s="19" t="s">
        <v>338</v>
      </c>
      <c r="B38" s="49">
        <v>500</v>
      </c>
      <c r="C38" s="50">
        <v>1195.7442230721088</v>
      </c>
      <c r="D38" s="50">
        <v>0</v>
      </c>
      <c r="E38" s="15">
        <v>500.36170114044052</v>
      </c>
      <c r="F38" s="15">
        <v>310</v>
      </c>
      <c r="G38" s="179">
        <v>0</v>
      </c>
      <c r="H38" s="50">
        <v>597872.11153605441</v>
      </c>
      <c r="I38" s="50">
        <v>0</v>
      </c>
      <c r="J38" s="15">
        <v>657211.31668300054</v>
      </c>
      <c r="K38" s="15">
        <v>200346.49052912381</v>
      </c>
      <c r="L38" s="15">
        <v>155000</v>
      </c>
      <c r="M38" s="15">
        <v>192161.12640989703</v>
      </c>
      <c r="N38" s="75">
        <v>347161.126409897</v>
      </c>
    </row>
    <row r="39" spans="1:14" x14ac:dyDescent="0.25">
      <c r="A39" s="19" t="s">
        <v>333</v>
      </c>
      <c r="B39" s="49">
        <v>50</v>
      </c>
      <c r="C39" s="50">
        <v>170.97888888888892</v>
      </c>
      <c r="D39" s="50">
        <v>0</v>
      </c>
      <c r="E39" s="15">
        <v>163.81439021164022</v>
      </c>
      <c r="F39" s="15">
        <v>30</v>
      </c>
      <c r="G39" s="179">
        <v>0</v>
      </c>
      <c r="H39" s="50">
        <v>8548.9444444444453</v>
      </c>
      <c r="I39" s="50">
        <v>0</v>
      </c>
      <c r="J39" s="15">
        <v>6356.1478093236137</v>
      </c>
      <c r="K39" s="15">
        <v>1994.5220061287455</v>
      </c>
      <c r="L39" s="15">
        <v>1500</v>
      </c>
      <c r="M39" s="15">
        <v>1858.4654458355251</v>
      </c>
      <c r="N39" s="75">
        <v>3358.4654458355253</v>
      </c>
    </row>
    <row r="40" spans="1:14" x14ac:dyDescent="0.25">
      <c r="A40" s="19" t="s">
        <v>334</v>
      </c>
      <c r="B40" s="49">
        <v>250</v>
      </c>
      <c r="C40" s="50">
        <v>183.64744636678199</v>
      </c>
      <c r="D40" s="50">
        <v>0</v>
      </c>
      <c r="E40" s="15">
        <v>161.89051091292717</v>
      </c>
      <c r="F40" s="15">
        <v>40</v>
      </c>
      <c r="G40" s="179">
        <v>0</v>
      </c>
      <c r="H40" s="50">
        <v>45911.861591695495</v>
      </c>
      <c r="I40" s="50">
        <v>0</v>
      </c>
      <c r="J40" s="15">
        <v>34135.509988916347</v>
      </c>
      <c r="K40" s="15">
        <v>10711.523379530468</v>
      </c>
      <c r="L40" s="15">
        <v>10000</v>
      </c>
      <c r="M40" s="15">
        <v>9980.8355144474426</v>
      </c>
      <c r="N40" s="75">
        <v>19980.835514447441</v>
      </c>
    </row>
    <row r="41" spans="1:14" x14ac:dyDescent="0.25">
      <c r="A41" s="19" t="s">
        <v>341</v>
      </c>
      <c r="B41" s="49">
        <v>75</v>
      </c>
      <c r="C41" s="50">
        <v>190.73512345713189</v>
      </c>
      <c r="D41" s="50">
        <v>0</v>
      </c>
      <c r="E41" s="15">
        <v>145.58447480364694</v>
      </c>
      <c r="F41" s="15">
        <v>30</v>
      </c>
      <c r="G41" s="179">
        <v>0</v>
      </c>
      <c r="H41" s="50">
        <v>14305.134259284892</v>
      </c>
      <c r="I41" s="50">
        <v>0</v>
      </c>
      <c r="J41" s="15">
        <v>10635.88006392088</v>
      </c>
      <c r="K41" s="15">
        <v>3337.4769559195674</v>
      </c>
      <c r="L41" s="15">
        <v>2250</v>
      </c>
      <c r="M41" s="15">
        <v>3109.8105610214438</v>
      </c>
      <c r="N41" s="75">
        <v>5359.8105610214443</v>
      </c>
    </row>
    <row r="42" spans="1:14" x14ac:dyDescent="0.25">
      <c r="A42" s="19" t="s">
        <v>342</v>
      </c>
      <c r="B42" s="49">
        <v>500</v>
      </c>
      <c r="C42" s="50">
        <v>94.726615984950286</v>
      </c>
      <c r="D42" s="50">
        <v>0</v>
      </c>
      <c r="E42" s="15">
        <v>201.64374601079913</v>
      </c>
      <c r="F42" s="15">
        <v>50</v>
      </c>
      <c r="G42" s="179">
        <v>0</v>
      </c>
      <c r="H42" s="50">
        <v>47363.307992475144</v>
      </c>
      <c r="I42" s="50">
        <v>0</v>
      </c>
      <c r="J42" s="15">
        <v>35214.661680756093</v>
      </c>
      <c r="K42" s="15">
        <v>11050.154868585545</v>
      </c>
      <c r="L42" s="15">
        <v>25000</v>
      </c>
      <c r="M42" s="15">
        <v>10296.367215449929</v>
      </c>
      <c r="N42" s="75">
        <v>35296.367215449929</v>
      </c>
    </row>
    <row r="43" spans="1:14" x14ac:dyDescent="0.25">
      <c r="A43" s="19" t="s">
        <v>323</v>
      </c>
      <c r="B43" s="49">
        <v>25</v>
      </c>
      <c r="C43" s="50">
        <v>76.207733333333323</v>
      </c>
      <c r="D43" s="50">
        <v>0</v>
      </c>
      <c r="E43" s="15">
        <v>34.257603725380903</v>
      </c>
      <c r="F43" s="15">
        <v>17</v>
      </c>
      <c r="G43" s="179">
        <v>0</v>
      </c>
      <c r="H43" s="50">
        <v>1905.1933333333332</v>
      </c>
      <c r="I43" s="50">
        <v>0</v>
      </c>
      <c r="J43" s="15">
        <v>1416.5129403635478</v>
      </c>
      <c r="K43" s="15">
        <v>444.49347565154886</v>
      </c>
      <c r="L43" s="15">
        <v>425</v>
      </c>
      <c r="M43" s="15">
        <v>414.17229935763118</v>
      </c>
      <c r="N43" s="75">
        <v>839.17229935763112</v>
      </c>
    </row>
    <row r="44" spans="1:14" x14ac:dyDescent="0.25">
      <c r="A44" s="19" t="s">
        <v>314</v>
      </c>
      <c r="B44" s="49">
        <v>2000</v>
      </c>
      <c r="C44" s="50">
        <v>26.325000000000003</v>
      </c>
      <c r="D44" s="50">
        <v>0</v>
      </c>
      <c r="E44" s="15">
        <v>18.817234087169748</v>
      </c>
      <c r="F44" s="15">
        <v>6</v>
      </c>
      <c r="G44" s="179">
        <v>0</v>
      </c>
      <c r="H44" s="50">
        <v>52650.000000000007</v>
      </c>
      <c r="I44" s="50">
        <v>0</v>
      </c>
      <c r="J44" s="15">
        <v>39145.321897414164</v>
      </c>
      <c r="K44" s="15">
        <v>13130.394780236833</v>
      </c>
      <c r="L44" s="15">
        <v>12000</v>
      </c>
      <c r="M44" s="15">
        <v>11445.647630430833</v>
      </c>
      <c r="N44" s="75">
        <v>23445.647630430831</v>
      </c>
    </row>
    <row r="45" spans="1:14" x14ac:dyDescent="0.25">
      <c r="A45" s="19" t="s">
        <v>315</v>
      </c>
      <c r="B45" s="49">
        <v>200</v>
      </c>
      <c r="C45" s="50">
        <v>38.564897959183668</v>
      </c>
      <c r="D45" s="50">
        <v>0</v>
      </c>
      <c r="E45" s="15">
        <v>19.216742047807266</v>
      </c>
      <c r="F45" s="15">
        <v>10</v>
      </c>
      <c r="G45" s="179">
        <v>0</v>
      </c>
      <c r="H45" s="50">
        <v>7712.9795918367336</v>
      </c>
      <c r="I45" s="50">
        <v>0</v>
      </c>
      <c r="J45" s="15">
        <v>5734.6071967831904</v>
      </c>
      <c r="K45" s="15">
        <v>1923.5416329102798</v>
      </c>
      <c r="L45" s="15">
        <v>2000</v>
      </c>
      <c r="M45" s="15">
        <v>1676.7340282785842</v>
      </c>
      <c r="N45" s="75">
        <v>3676.7340282785844</v>
      </c>
    </row>
    <row r="46" spans="1:14" x14ac:dyDescent="0.25">
      <c r="A46" s="19" t="s">
        <v>316</v>
      </c>
      <c r="B46" s="49">
        <v>17500</v>
      </c>
      <c r="C46" s="50">
        <v>52.675244395953186</v>
      </c>
      <c r="D46" s="50">
        <v>0</v>
      </c>
      <c r="E46" s="15">
        <v>21.178934796493305</v>
      </c>
      <c r="F46" s="15">
        <v>12</v>
      </c>
      <c r="G46" s="179">
        <v>0</v>
      </c>
      <c r="H46" s="50">
        <v>921816.77692918072</v>
      </c>
      <c r="I46" s="50">
        <v>0</v>
      </c>
      <c r="J46" s="15">
        <v>685371.59474510164</v>
      </c>
      <c r="K46" s="15">
        <v>229892.08349716343</v>
      </c>
      <c r="L46" s="15">
        <v>210000</v>
      </c>
      <c r="M46" s="15">
        <v>200394.87195728137</v>
      </c>
      <c r="N46" s="75">
        <v>410394.87195728137</v>
      </c>
    </row>
    <row r="47" spans="1:14" x14ac:dyDescent="0.25">
      <c r="A47" s="19" t="s">
        <v>328</v>
      </c>
      <c r="B47" s="49">
        <v>150</v>
      </c>
      <c r="C47" s="50">
        <v>291.04988331250001</v>
      </c>
      <c r="D47" s="50">
        <v>0</v>
      </c>
      <c r="E47" s="15">
        <v>215.40337250782392</v>
      </c>
      <c r="F47" s="15">
        <v>70</v>
      </c>
      <c r="G47" s="179">
        <v>0</v>
      </c>
      <c r="H47" s="50">
        <v>43657.482496875004</v>
      </c>
      <c r="I47" s="50">
        <v>0</v>
      </c>
      <c r="J47" s="15">
        <v>32459.377123853683</v>
      </c>
      <c r="K47" s="15">
        <v>10185.562689997845</v>
      </c>
      <c r="L47" s="15">
        <v>10500</v>
      </c>
      <c r="M47" s="15">
        <v>9490.7532970737484</v>
      </c>
      <c r="N47" s="75">
        <v>19990.753297073748</v>
      </c>
    </row>
    <row r="48" spans="1:14" x14ac:dyDescent="0.25">
      <c r="A48" s="19" t="s">
        <v>317</v>
      </c>
      <c r="B48" s="49">
        <v>700</v>
      </c>
      <c r="C48" s="50">
        <v>109.48840336134452</v>
      </c>
      <c r="D48" s="50">
        <v>0</v>
      </c>
      <c r="E48" s="15">
        <v>43.319454639656684</v>
      </c>
      <c r="F48" s="15">
        <v>25</v>
      </c>
      <c r="G48" s="179">
        <v>0</v>
      </c>
      <c r="H48" s="50">
        <v>76641.88235294116</v>
      </c>
      <c r="I48" s="50">
        <v>0</v>
      </c>
      <c r="J48" s="15">
        <v>56983.307797333851</v>
      </c>
      <c r="K48" s="15">
        <v>17881.02869745639</v>
      </c>
      <c r="L48" s="15">
        <v>17500</v>
      </c>
      <c r="M48" s="15">
        <v>16661.272158493819</v>
      </c>
      <c r="N48" s="75">
        <v>34161.272158493819</v>
      </c>
    </row>
    <row r="49" spans="1:14" x14ac:dyDescent="0.25">
      <c r="A49" s="19" t="s">
        <v>318</v>
      </c>
      <c r="B49" s="49">
        <v>200</v>
      </c>
      <c r="C49" s="50">
        <v>64.61866666666667</v>
      </c>
      <c r="D49" s="50">
        <v>0</v>
      </c>
      <c r="E49" s="15">
        <v>32.129354575163404</v>
      </c>
      <c r="F49" s="15">
        <v>15</v>
      </c>
      <c r="G49" s="179">
        <v>0</v>
      </c>
      <c r="H49" s="50">
        <v>12923.733333333334</v>
      </c>
      <c r="I49" s="50">
        <v>0</v>
      </c>
      <c r="J49" s="15">
        <v>9608.8072450080654</v>
      </c>
      <c r="K49" s="15">
        <v>3223.0526249035656</v>
      </c>
      <c r="L49" s="15">
        <v>3000</v>
      </c>
      <c r="M49" s="15">
        <v>2809.506131110857</v>
      </c>
      <c r="N49" s="75">
        <v>5809.5061311108566</v>
      </c>
    </row>
    <row r="50" spans="1:14" x14ac:dyDescent="0.25">
      <c r="A50" s="19" t="s">
        <v>319</v>
      </c>
      <c r="B50" s="49">
        <v>50</v>
      </c>
      <c r="C50" s="50">
        <v>110.63</v>
      </c>
      <c r="D50" s="50">
        <v>0</v>
      </c>
      <c r="E50" s="15">
        <v>18.153024691358027</v>
      </c>
      <c r="F50" s="15">
        <v>17</v>
      </c>
      <c r="G50" s="179">
        <v>0</v>
      </c>
      <c r="H50" s="50">
        <v>5531.5</v>
      </c>
      <c r="I50" s="50">
        <v>0</v>
      </c>
      <c r="J50" s="15">
        <v>4112.6751771233885</v>
      </c>
      <c r="K50" s="15">
        <v>1290.5334159787155</v>
      </c>
      <c r="L50" s="15">
        <v>850</v>
      </c>
      <c r="M50" s="15">
        <v>1202.4995226539058</v>
      </c>
      <c r="N50" s="75">
        <v>2052.4995226539058</v>
      </c>
    </row>
    <row r="51" spans="1:14" x14ac:dyDescent="0.25">
      <c r="A51" s="19" t="s">
        <v>329</v>
      </c>
      <c r="B51" s="49">
        <v>100</v>
      </c>
      <c r="C51" s="50">
        <v>427.80785185185186</v>
      </c>
      <c r="D51" s="50">
        <v>0</v>
      </c>
      <c r="E51" s="15">
        <v>320.74232400240794</v>
      </c>
      <c r="F51" s="15">
        <v>110</v>
      </c>
      <c r="G51" s="179">
        <v>0</v>
      </c>
      <c r="H51" s="50">
        <v>42780.785185185188</v>
      </c>
      <c r="I51" s="50">
        <v>0</v>
      </c>
      <c r="J51" s="15">
        <v>31807.551891703723</v>
      </c>
      <c r="K51" s="15">
        <v>9981.0237446061074</v>
      </c>
      <c r="L51" s="15">
        <v>11000</v>
      </c>
      <c r="M51" s="15">
        <v>9300.1670006227014</v>
      </c>
      <c r="N51" s="75">
        <v>20300.1670006227</v>
      </c>
    </row>
    <row r="52" spans="1:14" x14ac:dyDescent="0.25">
      <c r="A52" s="19" t="s">
        <v>330</v>
      </c>
      <c r="B52" s="49">
        <v>150</v>
      </c>
      <c r="C52" s="50">
        <v>527.64353217993084</v>
      </c>
      <c r="D52" s="50">
        <v>0</v>
      </c>
      <c r="E52" s="15">
        <v>313.91146751777637</v>
      </c>
      <c r="F52" s="15">
        <v>140</v>
      </c>
      <c r="G52" s="179">
        <v>0</v>
      </c>
      <c r="H52" s="50">
        <v>79146.52982698963</v>
      </c>
      <c r="I52" s="50">
        <v>0</v>
      </c>
      <c r="J52" s="15">
        <v>58845.515425276353</v>
      </c>
      <c r="K52" s="15">
        <v>18465.378559249075</v>
      </c>
      <c r="L52" s="15">
        <v>21000</v>
      </c>
      <c r="M52" s="15">
        <v>17205.760523667748</v>
      </c>
      <c r="N52" s="75">
        <v>38205.760523667748</v>
      </c>
    </row>
    <row r="53" spans="1:14" x14ac:dyDescent="0.25">
      <c r="A53" s="19" t="s">
        <v>331</v>
      </c>
      <c r="B53" s="49">
        <v>5</v>
      </c>
      <c r="C53" s="50">
        <v>777</v>
      </c>
      <c r="D53" s="50">
        <v>0</v>
      </c>
      <c r="E53" s="15">
        <v>320</v>
      </c>
      <c r="F53" s="15">
        <v>200</v>
      </c>
      <c r="G53" s="179">
        <v>0</v>
      </c>
      <c r="H53" s="50">
        <v>3885</v>
      </c>
      <c r="I53" s="50">
        <v>0</v>
      </c>
      <c r="J53" s="15">
        <v>2888.5009605214436</v>
      </c>
      <c r="K53" s="15">
        <v>906.39470687468338</v>
      </c>
      <c r="L53" s="15">
        <v>1000</v>
      </c>
      <c r="M53" s="15">
        <v>844.56488213150578</v>
      </c>
      <c r="N53" s="75">
        <v>1844.5648821315058</v>
      </c>
    </row>
    <row r="54" spans="1:14" x14ac:dyDescent="0.25">
      <c r="A54" s="19" t="s">
        <v>320</v>
      </c>
      <c r="B54" s="49">
        <v>500</v>
      </c>
      <c r="C54" s="50">
        <v>115.44427555555558</v>
      </c>
      <c r="D54" s="50">
        <v>0</v>
      </c>
      <c r="E54" s="15">
        <v>38.7834285122455</v>
      </c>
      <c r="F54" s="15">
        <v>30</v>
      </c>
      <c r="G54" s="179">
        <v>0</v>
      </c>
      <c r="H54" s="50">
        <v>57722.137777777789</v>
      </c>
      <c r="I54" s="50">
        <v>0</v>
      </c>
      <c r="J54" s="15">
        <v>42916.460853143435</v>
      </c>
      <c r="K54" s="15">
        <v>14395.336307339878</v>
      </c>
      <c r="L54" s="15">
        <v>15000</v>
      </c>
      <c r="M54" s="15">
        <v>12548.285840068836</v>
      </c>
      <c r="N54" s="75">
        <v>27548.285840068835</v>
      </c>
    </row>
    <row r="55" spans="1:14" x14ac:dyDescent="0.25">
      <c r="A55" s="19" t="s">
        <v>322</v>
      </c>
      <c r="B55" s="49">
        <v>5</v>
      </c>
      <c r="C55" s="50">
        <v>15.288</v>
      </c>
      <c r="D55" s="50">
        <v>0</v>
      </c>
      <c r="E55" s="15">
        <v>20</v>
      </c>
      <c r="F55" s="15">
        <v>3</v>
      </c>
      <c r="G55" s="179">
        <v>0</v>
      </c>
      <c r="H55" s="50">
        <v>76.44</v>
      </c>
      <c r="I55" s="50">
        <v>0</v>
      </c>
      <c r="J55" s="15">
        <v>56.833208088097592</v>
      </c>
      <c r="K55" s="15">
        <v>17.833928286615389</v>
      </c>
      <c r="L55" s="15">
        <v>15</v>
      </c>
      <c r="M55" s="15">
        <v>16.617384707884764</v>
      </c>
      <c r="N55" s="75">
        <v>31.617384707884764</v>
      </c>
    </row>
    <row r="56" spans="1:14" x14ac:dyDescent="0.25">
      <c r="A56" s="19" t="s">
        <v>321</v>
      </c>
      <c r="B56" s="49">
        <v>5</v>
      </c>
      <c r="C56" s="50">
        <v>21.84</v>
      </c>
      <c r="D56" s="50">
        <v>0</v>
      </c>
      <c r="E56" s="15">
        <v>52.187423483923489</v>
      </c>
      <c r="F56" s="15">
        <v>5</v>
      </c>
      <c r="G56" s="179">
        <v>0</v>
      </c>
      <c r="H56" s="50">
        <v>109.2</v>
      </c>
      <c r="I56" s="50">
        <v>0</v>
      </c>
      <c r="J56" s="15">
        <v>81.19029726871085</v>
      </c>
      <c r="K56" s="15">
        <v>25.477040409450552</v>
      </c>
      <c r="L56" s="15">
        <v>25</v>
      </c>
      <c r="M56" s="15">
        <v>23.739121011263951</v>
      </c>
      <c r="N56" s="75">
        <v>48.739121011263947</v>
      </c>
    </row>
    <row r="57" spans="1:14" x14ac:dyDescent="0.25">
      <c r="A57" s="19" t="s">
        <v>340</v>
      </c>
      <c r="B57" s="49">
        <v>50</v>
      </c>
      <c r="C57" s="50">
        <v>48.898142222222241</v>
      </c>
      <c r="D57" s="50">
        <v>0</v>
      </c>
      <c r="E57" s="15">
        <v>201.89115918803418</v>
      </c>
      <c r="F57" s="15">
        <v>10</v>
      </c>
      <c r="G57" s="179">
        <v>0</v>
      </c>
      <c r="H57" s="50">
        <v>2444.907111111112</v>
      </c>
      <c r="I57" s="50">
        <v>0</v>
      </c>
      <c r="J57" s="15">
        <v>1817.7906148854968</v>
      </c>
      <c r="K57" s="15">
        <v>570.41206288581338</v>
      </c>
      <c r="L57" s="15">
        <v>500</v>
      </c>
      <c r="M57" s="15">
        <v>531.50133490811754</v>
      </c>
      <c r="N57" s="75">
        <v>1031.5013349081175</v>
      </c>
    </row>
    <row r="58" spans="1:14" x14ac:dyDescent="0.25">
      <c r="A58" s="18" t="s">
        <v>151</v>
      </c>
      <c r="B58" s="49">
        <v>323</v>
      </c>
      <c r="C58" s="50">
        <v>8078.6595238095233</v>
      </c>
      <c r="D58" s="50">
        <v>0</v>
      </c>
      <c r="E58" s="15">
        <v>9388.73</v>
      </c>
      <c r="F58" s="15">
        <v>5256.3484880952383</v>
      </c>
      <c r="G58" s="179">
        <v>0</v>
      </c>
      <c r="H58" s="50">
        <v>376653.55</v>
      </c>
      <c r="I58" s="50">
        <v>0</v>
      </c>
      <c r="J58" s="15">
        <v>427335.38970646576</v>
      </c>
      <c r="K58" s="15">
        <v>0</v>
      </c>
      <c r="L58" s="15">
        <v>194298.26474999997</v>
      </c>
      <c r="M58" s="15">
        <v>124948.01558691848</v>
      </c>
      <c r="N58" s="75">
        <v>319246.28033691848</v>
      </c>
    </row>
    <row r="59" spans="1:14" x14ac:dyDescent="0.25">
      <c r="A59" s="19" t="s">
        <v>284</v>
      </c>
      <c r="B59" s="49">
        <v>5</v>
      </c>
      <c r="C59" s="50">
        <v>1495.5</v>
      </c>
      <c r="D59" s="50">
        <v>0</v>
      </c>
      <c r="E59" s="15">
        <v>161.04</v>
      </c>
      <c r="F59" s="15">
        <v>959.70500000000004</v>
      </c>
      <c r="G59" s="179">
        <v>0</v>
      </c>
      <c r="H59" s="50">
        <v>7477.5</v>
      </c>
      <c r="I59" s="50">
        <v>0</v>
      </c>
      <c r="J59" s="15">
        <v>3617.5581357002343</v>
      </c>
      <c r="K59" s="15">
        <v>0</v>
      </c>
      <c r="L59" s="15">
        <v>4798.5250000000005</v>
      </c>
      <c r="M59" s="15">
        <v>1057.7329217609088</v>
      </c>
      <c r="N59" s="75">
        <v>5856.2579217609091</v>
      </c>
    </row>
    <row r="60" spans="1:14" x14ac:dyDescent="0.25">
      <c r="A60" s="19" t="s">
        <v>285</v>
      </c>
      <c r="B60" s="49">
        <v>13</v>
      </c>
      <c r="C60" s="50">
        <v>1900.5</v>
      </c>
      <c r="D60" s="50">
        <v>0</v>
      </c>
      <c r="E60" s="15">
        <v>2297</v>
      </c>
      <c r="F60" s="15">
        <v>2467.8150000000001</v>
      </c>
      <c r="G60" s="179">
        <v>0</v>
      </c>
      <c r="H60" s="50">
        <v>24706.5</v>
      </c>
      <c r="I60" s="50">
        <v>0</v>
      </c>
      <c r="J60" s="15">
        <v>18006.913989466</v>
      </c>
      <c r="K60" s="15">
        <v>0</v>
      </c>
      <c r="L60" s="15">
        <v>32081.595000000001</v>
      </c>
      <c r="M60" s="15">
        <v>5265.0171832797678</v>
      </c>
      <c r="N60" s="75">
        <v>37346.612183279765</v>
      </c>
    </row>
    <row r="61" spans="1:14" x14ac:dyDescent="0.25">
      <c r="A61" s="19" t="s">
        <v>286</v>
      </c>
      <c r="B61" s="49">
        <v>13</v>
      </c>
      <c r="C61" s="50">
        <v>258.60000000000002</v>
      </c>
      <c r="D61" s="50">
        <v>0</v>
      </c>
      <c r="E61" s="15">
        <v>300.16000000000003</v>
      </c>
      <c r="F61" s="15">
        <v>265.06200000000001</v>
      </c>
      <c r="G61" s="179">
        <v>0</v>
      </c>
      <c r="H61" s="50">
        <v>3361.8</v>
      </c>
      <c r="I61" s="50">
        <v>0</v>
      </c>
      <c r="J61" s="15">
        <v>1767.7546385663143</v>
      </c>
      <c r="K61" s="15">
        <v>0</v>
      </c>
      <c r="L61" s="15">
        <v>3445.806</v>
      </c>
      <c r="M61" s="15">
        <v>516.87138358737559</v>
      </c>
      <c r="N61" s="75">
        <v>3962.6773835873755</v>
      </c>
    </row>
    <row r="62" spans="1:14" x14ac:dyDescent="0.25">
      <c r="A62" s="19" t="s">
        <v>287</v>
      </c>
      <c r="B62" s="49">
        <v>252</v>
      </c>
      <c r="C62" s="50">
        <v>947.47619047619048</v>
      </c>
      <c r="D62" s="50">
        <v>0</v>
      </c>
      <c r="E62" s="15">
        <v>2601.0300000000002</v>
      </c>
      <c r="F62" s="15">
        <v>493.99857142857138</v>
      </c>
      <c r="G62" s="179">
        <v>0</v>
      </c>
      <c r="H62" s="50">
        <v>238764</v>
      </c>
      <c r="I62" s="50">
        <v>0</v>
      </c>
      <c r="J62" s="15">
        <v>308362.84187013999</v>
      </c>
      <c r="K62" s="15">
        <v>0</v>
      </c>
      <c r="L62" s="15">
        <v>124487.63999999998</v>
      </c>
      <c r="M62" s="15">
        <v>90161.793524478053</v>
      </c>
      <c r="N62" s="75">
        <v>214649.43352447805</v>
      </c>
    </row>
    <row r="63" spans="1:14" x14ac:dyDescent="0.25">
      <c r="A63" s="19" t="s">
        <v>288</v>
      </c>
      <c r="B63" s="49">
        <v>31</v>
      </c>
      <c r="C63" s="50">
        <v>3229.75</v>
      </c>
      <c r="D63" s="50">
        <v>0</v>
      </c>
      <c r="E63" s="15">
        <v>829.5</v>
      </c>
      <c r="F63" s="15">
        <v>902.58124999999995</v>
      </c>
      <c r="G63" s="179">
        <v>0</v>
      </c>
      <c r="H63" s="50">
        <v>100122.25</v>
      </c>
      <c r="I63" s="50">
        <v>0</v>
      </c>
      <c r="J63" s="15">
        <v>93556.109114469611</v>
      </c>
      <c r="K63" s="15">
        <v>0</v>
      </c>
      <c r="L63" s="15">
        <v>27980.018749999999</v>
      </c>
      <c r="M63" s="15">
        <v>27354.743982041247</v>
      </c>
      <c r="N63" s="75">
        <v>55334.762732041243</v>
      </c>
    </row>
    <row r="64" spans="1:14" x14ac:dyDescent="0.25">
      <c r="A64" s="19" t="s">
        <v>289</v>
      </c>
      <c r="B64" s="49">
        <v>9</v>
      </c>
      <c r="C64" s="50">
        <v>246.83333333333334</v>
      </c>
      <c r="D64" s="50">
        <v>0</v>
      </c>
      <c r="E64" s="15">
        <v>3200</v>
      </c>
      <c r="F64" s="15">
        <v>167.18666666666667</v>
      </c>
      <c r="G64" s="179">
        <v>0</v>
      </c>
      <c r="H64" s="50">
        <v>2221.5</v>
      </c>
      <c r="I64" s="50">
        <v>0</v>
      </c>
      <c r="J64" s="15">
        <v>2024.2119581235931</v>
      </c>
      <c r="K64" s="15">
        <v>0</v>
      </c>
      <c r="L64" s="15">
        <v>1504.68</v>
      </c>
      <c r="M64" s="15">
        <v>591.85659177112314</v>
      </c>
      <c r="N64" s="75">
        <v>2096.5365917711233</v>
      </c>
    </row>
    <row r="65" spans="1:14" x14ac:dyDescent="0.25">
      <c r="A65" s="18" t="s">
        <v>93</v>
      </c>
      <c r="B65" s="49">
        <v>4058</v>
      </c>
      <c r="C65" s="50">
        <v>8.2899999999999991</v>
      </c>
      <c r="D65" s="50">
        <v>0</v>
      </c>
      <c r="E65" s="15">
        <v>1.88</v>
      </c>
      <c r="F65" s="15">
        <v>3.25</v>
      </c>
      <c r="G65" s="179">
        <v>0</v>
      </c>
      <c r="H65" s="50">
        <v>10599.21</v>
      </c>
      <c r="I65" s="50">
        <v>0</v>
      </c>
      <c r="J65" s="15">
        <v>18307.561642817316</v>
      </c>
      <c r="K65" s="15">
        <v>0</v>
      </c>
      <c r="L65" s="15">
        <v>4234.75</v>
      </c>
      <c r="M65" s="15">
        <v>5352.9231432867637</v>
      </c>
      <c r="N65" s="75">
        <v>9587.6731432867637</v>
      </c>
    </row>
    <row r="66" spans="1:14" x14ac:dyDescent="0.25">
      <c r="A66" s="19" t="s">
        <v>90</v>
      </c>
      <c r="B66" s="49">
        <v>1203</v>
      </c>
      <c r="C66" s="50">
        <v>1.36</v>
      </c>
      <c r="D66" s="50">
        <v>0</v>
      </c>
      <c r="E66" s="15">
        <v>0.62</v>
      </c>
      <c r="F66" s="15">
        <v>1</v>
      </c>
      <c r="G66" s="179">
        <v>0</v>
      </c>
      <c r="H66" s="50">
        <v>1636.0800000000002</v>
      </c>
      <c r="I66" s="50">
        <v>0</v>
      </c>
      <c r="J66" s="15">
        <v>2825.9309375491716</v>
      </c>
      <c r="K66" s="15">
        <v>0</v>
      </c>
      <c r="L66" s="15">
        <v>1203</v>
      </c>
      <c r="M66" s="15">
        <v>826.27011789261746</v>
      </c>
      <c r="N66" s="75">
        <v>2029.2701178926175</v>
      </c>
    </row>
    <row r="67" spans="1:14" x14ac:dyDescent="0.25">
      <c r="A67" s="19" t="s">
        <v>91</v>
      </c>
      <c r="B67" s="49">
        <v>2148</v>
      </c>
      <c r="C67" s="50">
        <v>2.82</v>
      </c>
      <c r="D67" s="50">
        <v>0</v>
      </c>
      <c r="E67" s="15">
        <v>0.61</v>
      </c>
      <c r="F67" s="15">
        <v>1</v>
      </c>
      <c r="G67" s="179">
        <v>0</v>
      </c>
      <c r="H67" s="50">
        <v>6057.36</v>
      </c>
      <c r="I67" s="50">
        <v>0</v>
      </c>
      <c r="J67" s="15">
        <v>10462.618590700238</v>
      </c>
      <c r="K67" s="15">
        <v>0</v>
      </c>
      <c r="L67" s="15">
        <v>2148</v>
      </c>
      <c r="M67" s="15">
        <v>3059.1508736235537</v>
      </c>
      <c r="N67" s="75">
        <v>5207.1508736235537</v>
      </c>
    </row>
    <row r="68" spans="1:14" x14ac:dyDescent="0.25">
      <c r="A68" s="19" t="s">
        <v>92</v>
      </c>
      <c r="B68" s="49">
        <v>707</v>
      </c>
      <c r="C68" s="50">
        <v>4.1100000000000003</v>
      </c>
      <c r="D68" s="50">
        <v>0</v>
      </c>
      <c r="E68" s="15">
        <v>0.65</v>
      </c>
      <c r="F68" s="15">
        <v>1.25</v>
      </c>
      <c r="G68" s="179">
        <v>0</v>
      </c>
      <c r="H68" s="50">
        <v>2905.7700000000004</v>
      </c>
      <c r="I68" s="50">
        <v>0</v>
      </c>
      <c r="J68" s="15">
        <v>5019.0121145679041</v>
      </c>
      <c r="K68" s="15">
        <v>0</v>
      </c>
      <c r="L68" s="15">
        <v>883.75</v>
      </c>
      <c r="M68" s="15">
        <v>1467.5021517705925</v>
      </c>
      <c r="N68" s="75">
        <v>2351.2521517705927</v>
      </c>
    </row>
    <row r="69" spans="1:14" x14ac:dyDescent="0.25">
      <c r="A69" s="18" t="s">
        <v>87</v>
      </c>
      <c r="B69" s="49">
        <v>2</v>
      </c>
      <c r="C69" s="50">
        <v>17037979</v>
      </c>
      <c r="D69" s="50">
        <v>0</v>
      </c>
      <c r="E69" s="15">
        <v>7486487.9726</v>
      </c>
      <c r="F69" s="15">
        <v>4577818.0583186401</v>
      </c>
      <c r="G69" s="179">
        <v>0</v>
      </c>
      <c r="H69" s="50">
        <v>17037979</v>
      </c>
      <c r="I69" s="50">
        <v>0</v>
      </c>
      <c r="J69" s="15">
        <v>16596261.415374</v>
      </c>
      <c r="K69" s="15">
        <v>5190603.4697525166</v>
      </c>
      <c r="L69" s="15">
        <v>4577818.0583186401</v>
      </c>
      <c r="M69" s="15">
        <v>4852558.3884758912</v>
      </c>
      <c r="N69" s="75">
        <v>9430376.4467945304</v>
      </c>
    </row>
    <row r="70" spans="1:14" x14ac:dyDescent="0.25">
      <c r="A70" s="19" t="s">
        <v>387</v>
      </c>
      <c r="B70" s="49">
        <v>1</v>
      </c>
      <c r="C70" s="50">
        <v>5679326</v>
      </c>
      <c r="D70" s="50">
        <v>0</v>
      </c>
      <c r="E70" s="15">
        <v>2495495.8444000003</v>
      </c>
      <c r="F70" s="15">
        <v>1525939.2632118263</v>
      </c>
      <c r="G70" s="179">
        <v>0</v>
      </c>
      <c r="H70" s="50">
        <v>5679326</v>
      </c>
      <c r="I70" s="50">
        <v>0</v>
      </c>
      <c r="J70" s="15">
        <v>5281571.4644004898</v>
      </c>
      <c r="K70" s="15">
        <v>1638196.8340681919</v>
      </c>
      <c r="L70" s="15">
        <v>1525939.2632118263</v>
      </c>
      <c r="M70" s="15">
        <v>1544271.5243187156</v>
      </c>
      <c r="N70" s="75">
        <v>3070210.7875305419</v>
      </c>
    </row>
    <row r="71" spans="1:14" x14ac:dyDescent="0.25">
      <c r="A71" s="19" t="s">
        <v>388</v>
      </c>
      <c r="B71" s="49">
        <v>1</v>
      </c>
      <c r="C71" s="50">
        <v>11358653</v>
      </c>
      <c r="D71" s="50">
        <v>0</v>
      </c>
      <c r="E71" s="15">
        <v>4990992.1282000002</v>
      </c>
      <c r="F71" s="15">
        <v>3051878.7951068138</v>
      </c>
      <c r="G71" s="179">
        <v>0</v>
      </c>
      <c r="H71" s="50">
        <v>11358653</v>
      </c>
      <c r="I71" s="50">
        <v>0</v>
      </c>
      <c r="J71" s="15">
        <v>11314689.950973511</v>
      </c>
      <c r="K71" s="15">
        <v>3552406.6356843244</v>
      </c>
      <c r="L71" s="15">
        <v>3051878.7951068138</v>
      </c>
      <c r="M71" s="15">
        <v>3308286.8641571756</v>
      </c>
      <c r="N71" s="75">
        <v>6360165.659263989</v>
      </c>
    </row>
    <row r="72" spans="1:14" x14ac:dyDescent="0.25">
      <c r="A72" s="18" t="s">
        <v>312</v>
      </c>
      <c r="B72" s="49">
        <v>2</v>
      </c>
      <c r="C72" s="50">
        <v>94466</v>
      </c>
      <c r="D72" s="50">
        <v>0</v>
      </c>
      <c r="E72" s="15">
        <v>2095</v>
      </c>
      <c r="F72" s="15">
        <v>200</v>
      </c>
      <c r="G72" s="179">
        <v>0</v>
      </c>
      <c r="H72" s="50">
        <v>188932</v>
      </c>
      <c r="I72" s="50">
        <v>0</v>
      </c>
      <c r="J72" s="15">
        <v>67499.323796546596</v>
      </c>
      <c r="K72" s="15">
        <v>0</v>
      </c>
      <c r="L72" s="15">
        <v>400</v>
      </c>
      <c r="M72" s="15">
        <v>19736.035828042615</v>
      </c>
      <c r="N72" s="75">
        <v>20136.035828042615</v>
      </c>
    </row>
    <row r="73" spans="1:14" x14ac:dyDescent="0.25">
      <c r="A73" s="19" t="s">
        <v>312</v>
      </c>
      <c r="B73" s="49">
        <v>2</v>
      </c>
      <c r="C73" s="50">
        <v>94466</v>
      </c>
      <c r="D73" s="50">
        <v>0</v>
      </c>
      <c r="E73" s="15">
        <v>2095</v>
      </c>
      <c r="F73" s="15">
        <v>200</v>
      </c>
      <c r="G73" s="179">
        <v>0</v>
      </c>
      <c r="H73" s="50">
        <v>188932</v>
      </c>
      <c r="I73" s="50">
        <v>0</v>
      </c>
      <c r="J73" s="15">
        <v>67499.323796546596</v>
      </c>
      <c r="K73" s="15">
        <v>0</v>
      </c>
      <c r="L73" s="15">
        <v>400</v>
      </c>
      <c r="M73" s="15">
        <v>19736.035828042615</v>
      </c>
      <c r="N73" s="75">
        <v>20136.035828042615</v>
      </c>
    </row>
    <row r="74" spans="1:14" x14ac:dyDescent="0.25">
      <c r="A74" s="18" t="s">
        <v>389</v>
      </c>
      <c r="B74" s="49">
        <v>948</v>
      </c>
      <c r="C74" s="50">
        <v>173.39955653680522</v>
      </c>
      <c r="D74" s="50">
        <v>0</v>
      </c>
      <c r="E74" s="15">
        <v>87.863953897983265</v>
      </c>
      <c r="F74" s="15">
        <v>80</v>
      </c>
      <c r="G74" s="179">
        <v>0</v>
      </c>
      <c r="H74" s="50">
        <v>40007.693620698206</v>
      </c>
      <c r="I74" s="50">
        <v>0</v>
      </c>
      <c r="J74" s="15">
        <v>18857.84387713093</v>
      </c>
      <c r="K74" s="15">
        <v>0</v>
      </c>
      <c r="L74" s="15">
        <v>18960</v>
      </c>
      <c r="M74" s="15">
        <v>5513.8194201840524</v>
      </c>
      <c r="N74" s="75">
        <v>24473.819420184052</v>
      </c>
    </row>
    <row r="75" spans="1:14" x14ac:dyDescent="0.25">
      <c r="A75" s="19" t="s">
        <v>393</v>
      </c>
      <c r="B75" s="49">
        <v>86</v>
      </c>
      <c r="C75" s="50">
        <v>48.753868994422973</v>
      </c>
      <c r="D75" s="50">
        <v>0</v>
      </c>
      <c r="E75" s="15">
        <v>15.015247675140364</v>
      </c>
      <c r="F75" s="15">
        <v>20</v>
      </c>
      <c r="G75" s="179">
        <v>0</v>
      </c>
      <c r="H75" s="50">
        <v>4192.8327335203758</v>
      </c>
      <c r="I75" s="50">
        <v>0</v>
      </c>
      <c r="J75" s="15">
        <v>1976.3145019373273</v>
      </c>
      <c r="K75" s="15">
        <v>0</v>
      </c>
      <c r="L75" s="15">
        <v>1720</v>
      </c>
      <c r="M75" s="15">
        <v>577.85191945450049</v>
      </c>
      <c r="N75" s="75">
        <v>2297.8519194545006</v>
      </c>
    </row>
    <row r="76" spans="1:14" x14ac:dyDescent="0.25">
      <c r="A76" s="19" t="s">
        <v>392</v>
      </c>
      <c r="B76" s="49">
        <v>431</v>
      </c>
      <c r="C76" s="50">
        <v>41.548562514127411</v>
      </c>
      <c r="D76" s="50">
        <v>0</v>
      </c>
      <c r="E76" s="15">
        <v>24.282902074280965</v>
      </c>
      <c r="F76" s="15">
        <v>20</v>
      </c>
      <c r="G76" s="179">
        <v>0</v>
      </c>
      <c r="H76" s="50">
        <v>17907.430443588913</v>
      </c>
      <c r="I76" s="50">
        <v>0</v>
      </c>
      <c r="J76" s="15">
        <v>8440.7646875968003</v>
      </c>
      <c r="K76" s="15">
        <v>0</v>
      </c>
      <c r="L76" s="15">
        <v>8620</v>
      </c>
      <c r="M76" s="15">
        <v>2467.9837503647755</v>
      </c>
      <c r="N76" s="75">
        <v>11087.983750364776</v>
      </c>
    </row>
    <row r="77" spans="1:14" x14ac:dyDescent="0.25">
      <c r="A77" s="19" t="s">
        <v>391</v>
      </c>
      <c r="B77" s="49">
        <v>173</v>
      </c>
      <c r="C77" s="50">
        <v>41.548562514127411</v>
      </c>
      <c r="D77" s="50">
        <v>0</v>
      </c>
      <c r="E77" s="15">
        <v>24.282902074280965</v>
      </c>
      <c r="F77" s="15">
        <v>20</v>
      </c>
      <c r="G77" s="179">
        <v>0</v>
      </c>
      <c r="H77" s="50">
        <v>7187.9013149440425</v>
      </c>
      <c r="I77" s="50">
        <v>0</v>
      </c>
      <c r="J77" s="15">
        <v>3388.056359522614</v>
      </c>
      <c r="K77" s="15">
        <v>0</v>
      </c>
      <c r="L77" s="15">
        <v>3460</v>
      </c>
      <c r="M77" s="15">
        <v>990.62920838307696</v>
      </c>
      <c r="N77" s="75">
        <v>4450.6292083830767</v>
      </c>
    </row>
    <row r="78" spans="1:14" x14ac:dyDescent="0.25">
      <c r="A78" s="19" t="s">
        <v>390</v>
      </c>
      <c r="B78" s="49">
        <v>258</v>
      </c>
      <c r="C78" s="50">
        <v>41.548562514127411</v>
      </c>
      <c r="D78" s="50">
        <v>0</v>
      </c>
      <c r="E78" s="15">
        <v>24.282902074280965</v>
      </c>
      <c r="F78" s="15">
        <v>20</v>
      </c>
      <c r="G78" s="179">
        <v>0</v>
      </c>
      <c r="H78" s="50">
        <v>10719.529128644872</v>
      </c>
      <c r="I78" s="50">
        <v>0</v>
      </c>
      <c r="J78" s="15">
        <v>5052.7083280741872</v>
      </c>
      <c r="K78" s="15">
        <v>0</v>
      </c>
      <c r="L78" s="15">
        <v>5160</v>
      </c>
      <c r="M78" s="15">
        <v>1477.3545419816987</v>
      </c>
      <c r="N78" s="75">
        <v>6637.3545419816983</v>
      </c>
    </row>
    <row r="79" spans="1:14" x14ac:dyDescent="0.25">
      <c r="A79" s="18" t="s">
        <v>189</v>
      </c>
      <c r="B79" s="49">
        <v>35098</v>
      </c>
      <c r="C79" s="50">
        <v>26176641.323625945</v>
      </c>
      <c r="D79" s="50">
        <v>0</v>
      </c>
      <c r="E79" s="15">
        <v>11829193.818058148</v>
      </c>
      <c r="F79" s="15">
        <v>9089158.1568067353</v>
      </c>
      <c r="G79" s="179">
        <v>0</v>
      </c>
      <c r="H79" s="50">
        <v>30730801.956700854</v>
      </c>
      <c r="I79" s="50">
        <v>0</v>
      </c>
      <c r="J79" s="15">
        <v>27301062.514848676</v>
      </c>
      <c r="K79" s="15">
        <v>8345424.0117699495</v>
      </c>
      <c r="L79" s="15">
        <v>10285004.573068639</v>
      </c>
      <c r="M79" s="15">
        <v>7982520.6776997596</v>
      </c>
      <c r="N79" s="75">
        <v>18267525.250768401</v>
      </c>
    </row>
    <row r="80" spans="1:14" x14ac:dyDescent="0.25">
      <c r="B80"/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</sheetData>
  <sheetProtection pivotTables="0"/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1556-B9AB-4A3A-A31E-A9AB70BF22D9}">
  <sheetPr codeName="Sheet11"/>
  <dimension ref="A2:N303"/>
  <sheetViews>
    <sheetView zoomScaleNormal="100" workbookViewId="0">
      <selection activeCell="L15" sqref="L15"/>
    </sheetView>
  </sheetViews>
  <sheetFormatPr defaultRowHeight="15" x14ac:dyDescent="0.25"/>
  <cols>
    <col min="1" max="1" width="32.5703125" bestFit="1" customWidth="1"/>
    <col min="2" max="2" width="17.28515625" bestFit="1" customWidth="1"/>
    <col min="3" max="3" width="19.7109375" bestFit="1" customWidth="1"/>
    <col min="4" max="4" width="22.42578125" bestFit="1" customWidth="1"/>
    <col min="5" max="5" width="16.7109375" bestFit="1" customWidth="1"/>
    <col min="6" max="6" width="15.28515625" bestFit="1" customWidth="1"/>
    <col min="7" max="7" width="16.85546875" bestFit="1" customWidth="1"/>
    <col min="8" max="8" width="16.28515625" bestFit="1" customWidth="1"/>
    <col min="9" max="9" width="19.140625" bestFit="1" customWidth="1"/>
    <col min="10" max="10" width="20.28515625" bestFit="1" customWidth="1"/>
    <col min="11" max="11" width="13.28515625" bestFit="1" customWidth="1"/>
    <col min="13" max="13" width="13.28515625" bestFit="1" customWidth="1"/>
    <col min="14" max="14" width="11.5703125" bestFit="1" customWidth="1"/>
  </cols>
  <sheetData>
    <row r="2" spans="1:14" x14ac:dyDescent="0.25">
      <c r="A2" s="70" t="s">
        <v>254</v>
      </c>
      <c r="B2" t="s">
        <v>263</v>
      </c>
      <c r="C2" t="s">
        <v>264</v>
      </c>
      <c r="D2" s="71" t="s">
        <v>255</v>
      </c>
      <c r="E2" s="71" t="s">
        <v>256</v>
      </c>
      <c r="F2" s="71" t="s">
        <v>257</v>
      </c>
      <c r="G2" s="71" t="s">
        <v>258</v>
      </c>
      <c r="H2" s="71" t="s">
        <v>259</v>
      </c>
      <c r="I2" s="71" t="s">
        <v>260</v>
      </c>
      <c r="J2" t="s">
        <v>261</v>
      </c>
      <c r="K2" s="72" t="s">
        <v>250</v>
      </c>
      <c r="L2" s="69" t="s">
        <v>251</v>
      </c>
      <c r="M2" s="69" t="s">
        <v>252</v>
      </c>
      <c r="N2" s="69" t="s">
        <v>253</v>
      </c>
    </row>
    <row r="3" spans="1:14" x14ac:dyDescent="0.25">
      <c r="A3" s="18" t="s">
        <v>70</v>
      </c>
      <c r="B3" s="50">
        <v>723224.62625609536</v>
      </c>
      <c r="C3" s="50">
        <v>0</v>
      </c>
      <c r="D3" s="15">
        <v>1816173.5374942916</v>
      </c>
      <c r="E3" s="15">
        <v>1415827.6484864501</v>
      </c>
      <c r="F3" s="15">
        <v>1247840.1529575549</v>
      </c>
      <c r="G3" s="15">
        <v>5169077.842108652</v>
      </c>
      <c r="H3" s="15">
        <v>1607862.3567762356</v>
      </c>
      <c r="I3" s="15">
        <v>1007997.1029303632</v>
      </c>
      <c r="J3" s="50">
        <v>3064013.6904518465</v>
      </c>
      <c r="K3" s="44" cm="1">
        <f t="array" ref="K3:K9">IFERROR(1.1*(Summary_AC+Summary_NEI)/(Summary_CIC+Summary_NIUC),"")</f>
        <v>2.7986351055984282</v>
      </c>
      <c r="L3" s="44" cm="1">
        <f t="array" ref="L3:L9">IFERROR(Summary_AC/(Summary_NIUC+Summary_Incentive),"")</f>
        <v>0.52475691012305037</v>
      </c>
      <c r="M3" s="44" cm="1">
        <f t="array" ref="M3:M9">IF(Summary_Energy_Savings=0,"",(Summary_NEI+Summary_Energy_Savings+Summary_Incentive)/(Summary_CIC))</f>
        <v>5.6456366642354103</v>
      </c>
      <c r="N3" s="44" cm="1">
        <f t="array" ref="N3:N9">IFERROR(Summary_AC/(Summary_NIUC+Summary_Incentive+Summary_Energy_Savings),"")</f>
        <v>0.39485709600507862</v>
      </c>
    </row>
    <row r="4" spans="1:14" x14ac:dyDescent="0.25">
      <c r="A4" s="18" t="s">
        <v>79</v>
      </c>
      <c r="B4" s="50">
        <v>0</v>
      </c>
      <c r="C4" s="50">
        <v>0</v>
      </c>
      <c r="D4" s="15">
        <v>2000000</v>
      </c>
      <c r="E4" s="15">
        <v>2000000</v>
      </c>
      <c r="F4" s="15">
        <v>0</v>
      </c>
      <c r="G4" s="15">
        <v>0</v>
      </c>
      <c r="H4" s="15">
        <v>0</v>
      </c>
      <c r="I4" s="15">
        <v>0</v>
      </c>
      <c r="J4" s="50">
        <v>2000000</v>
      </c>
      <c r="K4" s="44">
        <v>0</v>
      </c>
      <c r="L4" s="44">
        <v>0</v>
      </c>
      <c r="M4" s="44" t="str">
        <v/>
      </c>
      <c r="N4" s="44">
        <v>0</v>
      </c>
    </row>
    <row r="5" spans="1:14" x14ac:dyDescent="0.25">
      <c r="A5" s="18" t="s">
        <v>78</v>
      </c>
      <c r="B5" s="50">
        <v>30730801.956700854</v>
      </c>
      <c r="C5" s="50">
        <v>0</v>
      </c>
      <c r="D5" s="15">
        <v>10285004.573068641</v>
      </c>
      <c r="E5" s="15">
        <v>14636419.23283785</v>
      </c>
      <c r="F5" s="15">
        <v>7982520.6776997615</v>
      </c>
      <c r="G5" s="15">
        <v>8345424.0117699513</v>
      </c>
      <c r="H5" s="15">
        <v>27301062.514848687</v>
      </c>
      <c r="I5" s="15">
        <v>27025732.690816097</v>
      </c>
      <c r="J5" s="50">
        <v>18267525.250768412</v>
      </c>
      <c r="K5" s="44">
        <v>1.7335531786356173</v>
      </c>
      <c r="L5" s="44">
        <v>1.4945134680298473</v>
      </c>
      <c r="M5" s="44">
        <v>3.1193532071848447</v>
      </c>
      <c r="N5" s="44">
        <v>0.60276217158101852</v>
      </c>
    </row>
    <row r="6" spans="1:14" x14ac:dyDescent="0.25">
      <c r="A6" s="18" t="s">
        <v>41</v>
      </c>
      <c r="B6" s="50">
        <v>6195067.4804011658</v>
      </c>
      <c r="C6" s="50">
        <v>3218.315322221003</v>
      </c>
      <c r="D6" s="15">
        <v>1394740.2259385802</v>
      </c>
      <c r="E6" s="15">
        <v>2822223.1638124706</v>
      </c>
      <c r="F6" s="15">
        <v>1907559.7835426826</v>
      </c>
      <c r="G6" s="15">
        <v>4220197.2725470355</v>
      </c>
      <c r="H6" s="15">
        <v>6524055.6215279205</v>
      </c>
      <c r="I6" s="15">
        <v>5523821.011182081</v>
      </c>
      <c r="J6" s="50">
        <v>3302300.0094812629</v>
      </c>
      <c r="K6" s="143">
        <v>2.4987781289395827</v>
      </c>
      <c r="L6" s="143">
        <v>1.9756096062733992</v>
      </c>
      <c r="M6" s="143">
        <v>3.9468028795499746</v>
      </c>
      <c r="N6" s="143">
        <v>0.73917586290218273</v>
      </c>
    </row>
    <row r="7" spans="1:14" x14ac:dyDescent="0.25">
      <c r="A7" s="18" t="s">
        <v>262</v>
      </c>
      <c r="B7" s="50">
        <v>37649094.063358113</v>
      </c>
      <c r="C7" s="50">
        <v>3218.315322221003</v>
      </c>
      <c r="D7" s="15">
        <v>15495918.336501513</v>
      </c>
      <c r="E7" s="15">
        <v>20874470.045136768</v>
      </c>
      <c r="F7" s="15">
        <v>11137920.6142</v>
      </c>
      <c r="G7" s="15">
        <v>17734699.126425639</v>
      </c>
      <c r="H7" s="15">
        <v>35432980.493152842</v>
      </c>
      <c r="I7" s="15">
        <v>33557550.804928541</v>
      </c>
      <c r="J7" s="50">
        <v>26633838.95070152</v>
      </c>
      <c r="K7" s="88">
        <v>1.826931584207651</v>
      </c>
      <c r="L7" s="88">
        <v>1.330374511865837</v>
      </c>
      <c r="M7" s="88">
        <v>3.1995144366989892</v>
      </c>
      <c r="N7" s="88">
        <v>0.58867191199616031</v>
      </c>
    </row>
    <row r="8" spans="1:14" x14ac:dyDescent="0.25">
      <c r="K8" s="44" t="str">
        <v/>
      </c>
      <c r="L8" s="44" t="str">
        <v/>
      </c>
      <c r="M8" s="44" t="str">
        <v/>
      </c>
      <c r="N8" s="44" t="str">
        <v/>
      </c>
    </row>
    <row r="9" spans="1:14" x14ac:dyDescent="0.25">
      <c r="A9" s="109" t="s">
        <v>296</v>
      </c>
      <c r="B9" s="110">
        <f>B7-B3-B4</f>
        <v>36925869.43710202</v>
      </c>
      <c r="C9" s="110">
        <f t="shared" ref="C9:J9" si="0">C7-C3-C4</f>
        <v>3218.315322221003</v>
      </c>
      <c r="D9" s="87">
        <f t="shared" si="0"/>
        <v>11679744.799007222</v>
      </c>
      <c r="E9" s="87">
        <f t="shared" si="0"/>
        <v>17458642.396650318</v>
      </c>
      <c r="F9" s="87">
        <f t="shared" si="0"/>
        <v>9890080.4612424448</v>
      </c>
      <c r="G9" s="87">
        <f t="shared" si="0"/>
        <v>12565621.284316987</v>
      </c>
      <c r="H9" s="87">
        <f t="shared" si="0"/>
        <v>33825118.136376604</v>
      </c>
      <c r="I9" s="87">
        <f t="shared" si="0"/>
        <v>32549553.701998178</v>
      </c>
      <c r="J9" s="87">
        <f t="shared" si="0"/>
        <v>21569825.260249674</v>
      </c>
      <c r="K9" s="88">
        <v>1.8658938345282146</v>
      </c>
      <c r="L9" s="88">
        <v>1.5681683893244986</v>
      </c>
      <c r="M9" s="88">
        <v>3.2531120401560703</v>
      </c>
      <c r="N9" s="88">
        <v>0.62500935496639853</v>
      </c>
    </row>
    <row r="10" spans="1:14" x14ac:dyDescent="0.25">
      <c r="K10" s="44"/>
      <c r="L10" s="44"/>
      <c r="M10" s="44"/>
      <c r="N10" s="44"/>
    </row>
    <row r="11" spans="1:14" x14ac:dyDescent="0.25">
      <c r="K11" s="44"/>
      <c r="L11" s="44"/>
      <c r="M11" s="44"/>
      <c r="N11" s="44"/>
    </row>
    <row r="12" spans="1:14" x14ac:dyDescent="0.25">
      <c r="K12" s="44"/>
      <c r="L12" s="44"/>
      <c r="M12" s="44"/>
      <c r="N12" s="44"/>
    </row>
    <row r="13" spans="1:14" x14ac:dyDescent="0.25">
      <c r="K13" s="44"/>
      <c r="L13" s="44"/>
      <c r="M13" s="44"/>
      <c r="N13" s="44"/>
    </row>
    <row r="14" spans="1:14" x14ac:dyDescent="0.25">
      <c r="A14" s="70" t="s">
        <v>254</v>
      </c>
      <c r="B14" t="s">
        <v>263</v>
      </c>
      <c r="C14" t="s">
        <v>264</v>
      </c>
      <c r="D14" s="71" t="s">
        <v>255</v>
      </c>
      <c r="E14" s="71" t="s">
        <v>256</v>
      </c>
      <c r="F14" s="71" t="s">
        <v>257</v>
      </c>
      <c r="G14" s="71" t="s">
        <v>258</v>
      </c>
      <c r="H14" s="71" t="s">
        <v>259</v>
      </c>
      <c r="I14" s="71" t="s">
        <v>260</v>
      </c>
      <c r="J14" t="s">
        <v>261</v>
      </c>
      <c r="K14" s="44"/>
      <c r="L14" s="44"/>
      <c r="M14" s="44"/>
      <c r="N14" s="44"/>
    </row>
    <row r="15" spans="1:14" s="1" customFormat="1" x14ac:dyDescent="0.25">
      <c r="A15" s="73" t="s">
        <v>70</v>
      </c>
      <c r="B15" s="74">
        <v>723224.62625609536</v>
      </c>
      <c r="C15" s="74">
        <v>0</v>
      </c>
      <c r="D15" s="75">
        <v>1816173.5374942916</v>
      </c>
      <c r="E15" s="75">
        <v>1415827.6484864501</v>
      </c>
      <c r="F15" s="75">
        <v>1247840.1529575549</v>
      </c>
      <c r="G15" s="75">
        <v>5169077.842108652</v>
      </c>
      <c r="H15" s="75">
        <v>1607862.3567762356</v>
      </c>
      <c r="I15" s="75">
        <v>1007997.1029303632</v>
      </c>
      <c r="J15" s="74">
        <v>3064013.6904518465</v>
      </c>
      <c r="K15" s="88" cm="1">
        <f t="array" ref="K15:K303">IFERROR(1.1*(Program_AC+Program_NEI)/(Program_CIC+Program_NIUC),"")</f>
        <v>2.7986351055984282</v>
      </c>
      <c r="L15" s="88" cm="1">
        <f t="array" ref="L15:L303">IFERROR(Program_AC/(Program_Incentive+Program_NIUC),"")</f>
        <v>0.52475691012305037</v>
      </c>
      <c r="M15" s="88" cm="1">
        <f t="array" ref="M15:M303">IF(Program_AC=0,"",(Program_NEI+Energy_Savings+Program_Incentive)/(Program_CIC))</f>
        <v>5.6456366642354103</v>
      </c>
      <c r="N15" s="88" cm="1">
        <f t="array" ref="N15:N303">IFERROR(Program_AC/(Program_NIUC+Program_Incentive+Energy_Savings),"")</f>
        <v>0.39485709600507862</v>
      </c>
    </row>
    <row r="16" spans="1:14" x14ac:dyDescent="0.25">
      <c r="A16" s="19" t="s">
        <v>70</v>
      </c>
      <c r="B16" s="50">
        <v>723224.62625609536</v>
      </c>
      <c r="C16" s="50">
        <v>0</v>
      </c>
      <c r="D16" s="15">
        <v>1816173.5374942916</v>
      </c>
      <c r="E16" s="15">
        <v>1415827.6484864501</v>
      </c>
      <c r="F16" s="15">
        <v>1247840.1529575549</v>
      </c>
      <c r="G16" s="15">
        <v>5169077.842108652</v>
      </c>
      <c r="H16" s="15">
        <v>1607862.3567762356</v>
      </c>
      <c r="I16" s="15">
        <v>1007997.1029303632</v>
      </c>
      <c r="J16" s="50">
        <v>3064013.6904518465</v>
      </c>
      <c r="K16" s="44">
        <v>2.7986351055984282</v>
      </c>
      <c r="L16" s="44">
        <v>0.52475691012305037</v>
      </c>
      <c r="M16" s="44">
        <v>5.6456366642354103</v>
      </c>
      <c r="N16" s="44">
        <v>0.39485709600507862</v>
      </c>
    </row>
    <row r="17" spans="1:14" x14ac:dyDescent="0.25">
      <c r="A17" s="18" t="s">
        <v>79</v>
      </c>
      <c r="B17" s="50">
        <v>0</v>
      </c>
      <c r="C17" s="50">
        <v>0</v>
      </c>
      <c r="D17" s="15">
        <v>2000000</v>
      </c>
      <c r="E17" s="15">
        <v>2000000</v>
      </c>
      <c r="F17" s="15">
        <v>0</v>
      </c>
      <c r="G17" s="15">
        <v>0</v>
      </c>
      <c r="H17" s="15">
        <v>0</v>
      </c>
      <c r="I17" s="15">
        <v>0</v>
      </c>
      <c r="J17" s="50">
        <v>2000000</v>
      </c>
      <c r="K17" s="88">
        <v>0</v>
      </c>
      <c r="L17" s="88">
        <v>0</v>
      </c>
      <c r="M17" s="88" t="str">
        <v/>
      </c>
      <c r="N17" s="88">
        <v>0</v>
      </c>
    </row>
    <row r="18" spans="1:14" s="1" customFormat="1" x14ac:dyDescent="0.25">
      <c r="A18" s="19" t="s">
        <v>79</v>
      </c>
      <c r="B18" s="50">
        <v>0</v>
      </c>
      <c r="C18" s="50">
        <v>0</v>
      </c>
      <c r="D18" s="15">
        <v>2000000</v>
      </c>
      <c r="E18" s="15">
        <v>2000000</v>
      </c>
      <c r="F18" s="15">
        <v>0</v>
      </c>
      <c r="G18" s="15">
        <v>0</v>
      </c>
      <c r="H18" s="15">
        <v>0</v>
      </c>
      <c r="I18" s="15">
        <v>0</v>
      </c>
      <c r="J18" s="50">
        <v>2000000</v>
      </c>
      <c r="K18" s="44">
        <v>0</v>
      </c>
      <c r="L18" s="44">
        <v>0</v>
      </c>
      <c r="M18" s="44" t="str">
        <v/>
      </c>
      <c r="N18" s="44">
        <v>0</v>
      </c>
    </row>
    <row r="19" spans="1:14" x14ac:dyDescent="0.25">
      <c r="A19" s="73" t="s">
        <v>78</v>
      </c>
      <c r="B19" s="74">
        <v>30730801.956700865</v>
      </c>
      <c r="C19" s="74">
        <v>0</v>
      </c>
      <c r="D19" s="75">
        <v>10285004.573068641</v>
      </c>
      <c r="E19" s="75">
        <v>14636419.232837854</v>
      </c>
      <c r="F19" s="75">
        <v>7982520.6776997615</v>
      </c>
      <c r="G19" s="75">
        <v>8345424.0117699504</v>
      </c>
      <c r="H19" s="75">
        <v>27301062.514848679</v>
      </c>
      <c r="I19" s="75">
        <v>27025732.690816104</v>
      </c>
      <c r="J19" s="74">
        <v>18267525.250768401</v>
      </c>
      <c r="K19" s="88">
        <v>1.7335531786356169</v>
      </c>
      <c r="L19" s="88">
        <v>1.4945134680298469</v>
      </c>
      <c r="M19" s="88">
        <v>3.1193532071848442</v>
      </c>
      <c r="N19" s="88">
        <v>0.6027621715810183</v>
      </c>
    </row>
    <row r="20" spans="1:14" x14ac:dyDescent="0.25">
      <c r="A20" s="19" t="s">
        <v>312</v>
      </c>
      <c r="B20" s="50">
        <v>188932</v>
      </c>
      <c r="C20" s="50">
        <v>0</v>
      </c>
      <c r="D20" s="15">
        <v>400</v>
      </c>
      <c r="E20" s="15">
        <v>4190</v>
      </c>
      <c r="F20" s="15">
        <v>19736.035828042615</v>
      </c>
      <c r="G20" s="15">
        <v>0</v>
      </c>
      <c r="H20" s="15">
        <v>67499.323796546596</v>
      </c>
      <c r="I20" s="15">
        <v>67382.537343363787</v>
      </c>
      <c r="J20" s="50">
        <v>20136.035828042615</v>
      </c>
      <c r="K20" s="44">
        <v>3.1032828300447957</v>
      </c>
      <c r="L20" s="44">
        <v>3.352165459625529</v>
      </c>
      <c r="M20" s="44">
        <v>16.177216549728829</v>
      </c>
      <c r="N20" s="44">
        <v>0.77125713263569995</v>
      </c>
    </row>
    <row r="21" spans="1:14" x14ac:dyDescent="0.25">
      <c r="A21" s="19" t="s">
        <v>86</v>
      </c>
      <c r="B21" s="50">
        <v>8992267</v>
      </c>
      <c r="C21" s="50">
        <v>0</v>
      </c>
      <c r="D21" s="15">
        <v>4496133.5</v>
      </c>
      <c r="E21" s="15">
        <v>4316288.16</v>
      </c>
      <c r="F21" s="15">
        <v>1954839.8761776139</v>
      </c>
      <c r="G21" s="15">
        <v>2097951.9206187613</v>
      </c>
      <c r="H21" s="15">
        <v>6685758.5242639072</v>
      </c>
      <c r="I21" s="15">
        <v>6706873.7526117619</v>
      </c>
      <c r="J21" s="50">
        <v>6450973.3761776136</v>
      </c>
      <c r="K21" s="44">
        <v>1.5407246405481112</v>
      </c>
      <c r="L21" s="44">
        <v>1.0363953056996509</v>
      </c>
      <c r="M21" s="44">
        <v>3.0815734909669521</v>
      </c>
      <c r="N21" s="44">
        <v>0.50811948632808357</v>
      </c>
    </row>
    <row r="22" spans="1:14" x14ac:dyDescent="0.25">
      <c r="A22" s="19" t="s">
        <v>84</v>
      </c>
      <c r="B22" s="50">
        <v>1409918.7880540357</v>
      </c>
      <c r="C22" s="50">
        <v>0</v>
      </c>
      <c r="D22" s="15">
        <v>357025</v>
      </c>
      <c r="E22" s="15">
        <v>612107.24807646219</v>
      </c>
      <c r="F22" s="15">
        <v>363473.06392087339</v>
      </c>
      <c r="G22" s="15">
        <v>343731.94670928572</v>
      </c>
      <c r="H22" s="15">
        <v>1243116.2086794393</v>
      </c>
      <c r="I22" s="15">
        <v>1096771.455137433</v>
      </c>
      <c r="J22" s="50">
        <v>720498.06392087357</v>
      </c>
      <c r="K22" s="44">
        <v>1.7892252943829035</v>
      </c>
      <c r="L22" s="44">
        <v>1.7253567648947365</v>
      </c>
      <c r="M22" s="44">
        <v>2.9366232919074635</v>
      </c>
      <c r="N22" s="44">
        <v>0.6840571503799896</v>
      </c>
    </row>
    <row r="23" spans="1:14" x14ac:dyDescent="0.25">
      <c r="A23" s="19" t="s">
        <v>129</v>
      </c>
      <c r="B23" s="50">
        <v>14401.598788212286</v>
      </c>
      <c r="C23" s="50">
        <v>0</v>
      </c>
      <c r="D23" s="15">
        <v>2650</v>
      </c>
      <c r="E23" s="15">
        <v>2530.0328855310922</v>
      </c>
      <c r="F23" s="15">
        <v>2144.3533853294957</v>
      </c>
      <c r="G23" s="15">
        <v>942.0132178014112</v>
      </c>
      <c r="H23" s="15">
        <v>7333.9147107198869</v>
      </c>
      <c r="I23" s="15">
        <v>7740.4417355996866</v>
      </c>
      <c r="J23" s="50">
        <v>4794.3533853294957</v>
      </c>
      <c r="K23" s="44">
        <v>1.9475328297371119</v>
      </c>
      <c r="L23" s="44">
        <v>1.5296984016992434</v>
      </c>
      <c r="M23" s="44">
        <v>4.4791729855409548</v>
      </c>
      <c r="N23" s="44">
        <v>0.58508452989985815</v>
      </c>
    </row>
    <row r="24" spans="1:14" x14ac:dyDescent="0.25">
      <c r="A24" s="19" t="s">
        <v>389</v>
      </c>
      <c r="B24" s="50">
        <v>40007.693620698206</v>
      </c>
      <c r="C24" s="50">
        <v>0</v>
      </c>
      <c r="D24" s="15">
        <v>18960</v>
      </c>
      <c r="E24" s="15">
        <v>22223.172888092267</v>
      </c>
      <c r="F24" s="15">
        <v>5513.8194201840524</v>
      </c>
      <c r="G24" s="15">
        <v>0</v>
      </c>
      <c r="H24" s="15">
        <v>18857.84387713093</v>
      </c>
      <c r="I24" s="15">
        <v>19191.658460830309</v>
      </c>
      <c r="J24" s="50">
        <v>24473.819420184052</v>
      </c>
      <c r="K24" s="44">
        <v>0.74786869586629345</v>
      </c>
      <c r="L24" s="44">
        <v>0.77053129931891573</v>
      </c>
      <c r="M24" s="44">
        <v>1.7167511881830755</v>
      </c>
      <c r="N24" s="44">
        <v>0.43187077737972662</v>
      </c>
    </row>
    <row r="25" spans="1:14" x14ac:dyDescent="0.25">
      <c r="A25" s="19" t="s">
        <v>81</v>
      </c>
      <c r="B25" s="50">
        <v>2660043.1162379161</v>
      </c>
      <c r="C25" s="50">
        <v>0</v>
      </c>
      <c r="D25" s="15">
        <v>633485</v>
      </c>
      <c r="E25" s="15">
        <v>1445534.6163877677</v>
      </c>
      <c r="F25" s="15">
        <v>653954.20176162128</v>
      </c>
      <c r="G25" s="15">
        <v>712194.66147158528</v>
      </c>
      <c r="H25" s="15">
        <v>2236592.3327976498</v>
      </c>
      <c r="I25" s="15">
        <v>2220769.2882062974</v>
      </c>
      <c r="J25" s="50">
        <v>1287439.2017616217</v>
      </c>
      <c r="K25" s="44">
        <v>1.5449787899110194</v>
      </c>
      <c r="L25" s="44">
        <v>1.7372411293187973</v>
      </c>
      <c r="M25" s="44">
        <v>2.4672179477721863</v>
      </c>
      <c r="N25" s="44">
        <v>0.63753118983475876</v>
      </c>
    </row>
    <row r="26" spans="1:14" x14ac:dyDescent="0.25">
      <c r="A26" s="19" t="s">
        <v>151</v>
      </c>
      <c r="B26" s="50">
        <v>376653.55</v>
      </c>
      <c r="C26" s="50">
        <v>0</v>
      </c>
      <c r="D26" s="15">
        <v>194298.26474999997</v>
      </c>
      <c r="E26" s="15">
        <v>744542.34000000008</v>
      </c>
      <c r="F26" s="15">
        <v>124948.01558691848</v>
      </c>
      <c r="G26" s="15">
        <v>0</v>
      </c>
      <c r="H26" s="15">
        <v>427335.38970646576</v>
      </c>
      <c r="I26" s="15">
        <v>301282.24342207215</v>
      </c>
      <c r="J26" s="50">
        <v>319246.28033691848</v>
      </c>
      <c r="K26" s="44">
        <v>0.54062581103594765</v>
      </c>
      <c r="L26" s="44">
        <v>1.3385759397273944</v>
      </c>
      <c r="M26" s="44">
        <v>0.66561763051926914</v>
      </c>
      <c r="N26" s="44">
        <v>0.68866357201081729</v>
      </c>
    </row>
    <row r="27" spans="1:14" x14ac:dyDescent="0.25">
      <c r="A27" s="19" t="s">
        <v>93</v>
      </c>
      <c r="B27" s="50">
        <v>10599.21</v>
      </c>
      <c r="C27" s="50">
        <v>0</v>
      </c>
      <c r="D27" s="15">
        <v>4234.75</v>
      </c>
      <c r="E27" s="15">
        <v>2515.69</v>
      </c>
      <c r="F27" s="15">
        <v>5352.9231432867637</v>
      </c>
      <c r="G27" s="15">
        <v>0</v>
      </c>
      <c r="H27" s="15">
        <v>18307.561642817316</v>
      </c>
      <c r="I27" s="15">
        <v>12051.159040682991</v>
      </c>
      <c r="J27" s="50">
        <v>9587.6731432867637</v>
      </c>
      <c r="K27" s="88">
        <v>2.5593223914280734</v>
      </c>
      <c r="L27" s="88">
        <v>1.9094895465471902</v>
      </c>
      <c r="M27" s="88">
        <v>6.4737344588097061</v>
      </c>
      <c r="N27" s="88">
        <v>0.8460512788846215</v>
      </c>
    </row>
    <row r="28" spans="1:14" x14ac:dyDescent="0.25">
      <c r="A28" s="19" t="s">
        <v>87</v>
      </c>
      <c r="B28" s="50">
        <v>17037979</v>
      </c>
      <c r="C28" s="50">
        <v>0</v>
      </c>
      <c r="D28" s="15">
        <v>4577818.0583186401</v>
      </c>
      <c r="E28" s="15">
        <v>7486487.9726</v>
      </c>
      <c r="F28" s="15">
        <v>4852558.3884758912</v>
      </c>
      <c r="G28" s="15">
        <v>5190603.4697525166</v>
      </c>
      <c r="H28" s="15">
        <v>16596261.415374</v>
      </c>
      <c r="I28" s="15">
        <v>16593670.15485806</v>
      </c>
      <c r="J28" s="50">
        <v>9430376.4467945304</v>
      </c>
      <c r="K28" s="44">
        <v>1.9422531265657321</v>
      </c>
      <c r="L28" s="44">
        <v>1.7598726317033944</v>
      </c>
      <c r="M28" s="44">
        <v>3.5212895257980179</v>
      </c>
      <c r="N28" s="44">
        <v>0.63772793176292941</v>
      </c>
    </row>
    <row r="29" spans="1:14" x14ac:dyDescent="0.25">
      <c r="A29" s="73" t="s">
        <v>41</v>
      </c>
      <c r="B29" s="74">
        <v>6195067.4804011667</v>
      </c>
      <c r="C29" s="74">
        <v>3218.315322221003</v>
      </c>
      <c r="D29" s="75">
        <v>1394740.22593858</v>
      </c>
      <c r="E29" s="75">
        <v>2822223.1638124711</v>
      </c>
      <c r="F29" s="75">
        <v>1907559.7835426826</v>
      </c>
      <c r="G29" s="75">
        <v>4220197.2725470355</v>
      </c>
      <c r="H29" s="75">
        <v>6524055.6215279205</v>
      </c>
      <c r="I29" s="75">
        <v>5523821.01118208</v>
      </c>
      <c r="J29" s="74">
        <v>3302300.0094812629</v>
      </c>
      <c r="K29" s="44">
        <v>2.4987781289395818</v>
      </c>
      <c r="L29" s="44">
        <v>1.9756096062733997</v>
      </c>
      <c r="M29" s="44">
        <v>3.9468028795499723</v>
      </c>
      <c r="N29" s="44">
        <v>0.73917586290218273</v>
      </c>
    </row>
    <row r="30" spans="1:14" x14ac:dyDescent="0.25">
      <c r="A30" s="19" t="s">
        <v>383</v>
      </c>
      <c r="B30" s="50">
        <v>213849.15</v>
      </c>
      <c r="C30" s="50">
        <v>1710.8198730294409</v>
      </c>
      <c r="D30" s="15">
        <v>106050</v>
      </c>
      <c r="E30" s="15">
        <v>271606.39</v>
      </c>
      <c r="F30" s="15">
        <v>55326.927366221367</v>
      </c>
      <c r="G30" s="15">
        <v>235729.64810509601</v>
      </c>
      <c r="H30" s="15">
        <v>189223.92609635706</v>
      </c>
      <c r="I30" s="15">
        <v>180020.13784497502</v>
      </c>
      <c r="J30" s="50">
        <v>161376.92736622138</v>
      </c>
      <c r="K30" s="44">
        <v>1.4297990042353972</v>
      </c>
      <c r="L30" s="44">
        <v>1.1725587367699781</v>
      </c>
      <c r="M30" s="44">
        <v>1.9211616705706778</v>
      </c>
      <c r="N30" s="44">
        <v>0.55426348196431796</v>
      </c>
    </row>
    <row r="31" spans="1:14" x14ac:dyDescent="0.25">
      <c r="A31" s="19" t="s">
        <v>384</v>
      </c>
      <c r="B31" s="50">
        <v>105026.8</v>
      </c>
      <c r="C31" s="50">
        <v>1507.4954491915623</v>
      </c>
      <c r="D31" s="15">
        <v>38000</v>
      </c>
      <c r="E31" s="15">
        <v>150755.06</v>
      </c>
      <c r="F31" s="15">
        <v>87823.10349503356</v>
      </c>
      <c r="G31" s="15">
        <v>21629.963287591363</v>
      </c>
      <c r="H31" s="15">
        <v>300364.27534276625</v>
      </c>
      <c r="I31" s="15">
        <v>183366.38054099807</v>
      </c>
      <c r="J31" s="50">
        <v>125823.10349503355</v>
      </c>
      <c r="K31" s="44">
        <v>1.484602183639353</v>
      </c>
      <c r="L31" s="44">
        <v>2.3871949347889205</v>
      </c>
      <c r="M31" s="44">
        <v>1.6118619423360612</v>
      </c>
      <c r="N31" s="44">
        <v>0.97145695714464553</v>
      </c>
    </row>
    <row r="32" spans="1:14" s="1" customFormat="1" x14ac:dyDescent="0.25">
      <c r="A32" s="19" t="s">
        <v>382</v>
      </c>
      <c r="B32" s="50">
        <v>103651</v>
      </c>
      <c r="C32" s="50">
        <v>0</v>
      </c>
      <c r="D32" s="15">
        <v>26949.232427313964</v>
      </c>
      <c r="E32" s="15">
        <v>57040.824871519762</v>
      </c>
      <c r="F32" s="15">
        <v>47774.127682233091</v>
      </c>
      <c r="G32" s="15">
        <v>632759.1538264422</v>
      </c>
      <c r="H32" s="15">
        <v>163392.55469625044</v>
      </c>
      <c r="I32" s="15">
        <v>111037.97688708518</v>
      </c>
      <c r="J32" s="50">
        <v>74723.360109547051</v>
      </c>
      <c r="K32" s="44">
        <v>8.3553620741834287</v>
      </c>
      <c r="L32" s="44">
        <v>2.1866328609515318</v>
      </c>
      <c r="M32" s="44">
        <v>13.512188241963372</v>
      </c>
      <c r="N32" s="44">
        <v>0.87958321865013644</v>
      </c>
    </row>
    <row r="33" spans="1:14" x14ac:dyDescent="0.25">
      <c r="A33" s="19" t="s">
        <v>52</v>
      </c>
      <c r="B33" s="50">
        <v>38332.361475542886</v>
      </c>
      <c r="C33" s="50">
        <v>0</v>
      </c>
      <c r="D33" s="15">
        <v>28879.166519999999</v>
      </c>
      <c r="E33" s="15">
        <v>44547.786961630874</v>
      </c>
      <c r="F33" s="15">
        <v>28555.896836753338</v>
      </c>
      <c r="G33" s="15">
        <v>242306.50583912281</v>
      </c>
      <c r="H33" s="15">
        <v>97664.178545219023</v>
      </c>
      <c r="I33" s="15">
        <v>60115.454522180684</v>
      </c>
      <c r="J33" s="50">
        <v>57435.063356753322</v>
      </c>
      <c r="K33" s="44">
        <v>5.1155801375777141</v>
      </c>
      <c r="L33" s="44">
        <v>1.7004278020655383</v>
      </c>
      <c r="M33" s="44">
        <v>7.4369828329890781</v>
      </c>
      <c r="N33" s="44">
        <v>0.83082729287338364</v>
      </c>
    </row>
    <row r="34" spans="1:14" x14ac:dyDescent="0.25">
      <c r="A34" s="19" t="s">
        <v>73</v>
      </c>
      <c r="B34" s="50">
        <v>5677081.9850312946</v>
      </c>
      <c r="C34" s="50">
        <v>0</v>
      </c>
      <c r="D34" s="15">
        <v>1102619.8269912661</v>
      </c>
      <c r="E34" s="15">
        <v>2188256.42</v>
      </c>
      <c r="F34" s="15">
        <v>1644420.4633636365</v>
      </c>
      <c r="G34" s="15">
        <v>3075372.0911450326</v>
      </c>
      <c r="H34" s="15">
        <v>5624091.3971454725</v>
      </c>
      <c r="I34" s="15">
        <v>4897739.6920380602</v>
      </c>
      <c r="J34" s="50">
        <v>2747040.2903549029</v>
      </c>
      <c r="K34" s="44">
        <v>2.4967953543532859</v>
      </c>
      <c r="L34" s="44">
        <v>2.0473275972296969</v>
      </c>
      <c r="M34" s="44">
        <v>4.1474717163970931</v>
      </c>
      <c r="N34" s="44">
        <v>0.73567733932154633</v>
      </c>
    </row>
    <row r="35" spans="1:14" x14ac:dyDescent="0.25">
      <c r="A35" s="19" t="s">
        <v>386</v>
      </c>
      <c r="B35" s="50">
        <v>57126.183894328678</v>
      </c>
      <c r="C35" s="50">
        <v>0</v>
      </c>
      <c r="D35" s="15">
        <v>92242</v>
      </c>
      <c r="E35" s="15">
        <v>110016.68197932049</v>
      </c>
      <c r="F35" s="15">
        <v>43659.264798804841</v>
      </c>
      <c r="G35" s="15">
        <v>12399.910343750251</v>
      </c>
      <c r="H35" s="15">
        <v>149319.2897018556</v>
      </c>
      <c r="I35" s="15">
        <v>91541.369348781547</v>
      </c>
      <c r="J35" s="50">
        <v>135901.26479880483</v>
      </c>
      <c r="K35" s="44">
        <v>1.1575729564692554</v>
      </c>
      <c r="L35" s="44">
        <v>1.0987336278504509</v>
      </c>
      <c r="M35" s="44">
        <v>1.7832139286786324</v>
      </c>
      <c r="N35" s="44">
        <v>0.65651407116997718</v>
      </c>
    </row>
    <row r="36" spans="1:14" x14ac:dyDescent="0.25">
      <c r="A36" s="73" t="s">
        <v>262</v>
      </c>
      <c r="B36" s="74">
        <v>37649094.063358128</v>
      </c>
      <c r="C36" s="74">
        <v>3218.315322221003</v>
      </c>
      <c r="D36" s="75">
        <v>15495918.336501511</v>
      </c>
      <c r="E36" s="75">
        <v>20874470.045136772</v>
      </c>
      <c r="F36" s="75">
        <v>11137920.6142</v>
      </c>
      <c r="G36" s="75">
        <v>17734699.126425639</v>
      </c>
      <c r="H36" s="75">
        <v>35432980.493152834</v>
      </c>
      <c r="I36" s="75">
        <v>33557550.804928541</v>
      </c>
      <c r="J36" s="74">
        <v>26633838.950701512</v>
      </c>
      <c r="K36" s="88">
        <v>1.8269315842076506</v>
      </c>
      <c r="L36" s="88">
        <v>1.3303745118658368</v>
      </c>
      <c r="M36" s="88">
        <v>3.1995144366989887</v>
      </c>
      <c r="N36" s="88">
        <v>0.5886719119961602</v>
      </c>
    </row>
    <row r="37" spans="1:14" x14ac:dyDescent="0.25">
      <c r="K37" t="str">
        <v/>
      </c>
      <c r="L37" t="str">
        <v/>
      </c>
      <c r="M37" t="str">
        <v/>
      </c>
      <c r="N37" t="str">
        <v/>
      </c>
    </row>
    <row r="38" spans="1:14" x14ac:dyDescent="0.25">
      <c r="K38" t="str">
        <v/>
      </c>
      <c r="L38" t="str">
        <v/>
      </c>
      <c r="M38" t="str">
        <v/>
      </c>
      <c r="N38" t="str">
        <v/>
      </c>
    </row>
    <row r="39" spans="1:14" x14ac:dyDescent="0.25">
      <c r="K39" t="str">
        <v/>
      </c>
      <c r="L39" t="str">
        <v/>
      </c>
      <c r="M39" t="str">
        <v/>
      </c>
      <c r="N39" t="str">
        <v/>
      </c>
    </row>
    <row r="40" spans="1:14" s="1" customFormat="1" x14ac:dyDescent="0.25">
      <c r="A40"/>
      <c r="B40"/>
      <c r="C40"/>
      <c r="D40"/>
      <c r="E40"/>
      <c r="F40"/>
      <c r="G40"/>
      <c r="H40"/>
      <c r="I40"/>
      <c r="J40"/>
      <c r="K40" t="str">
        <v/>
      </c>
      <c r="L40" t="str">
        <v/>
      </c>
      <c r="M40" t="str">
        <v/>
      </c>
      <c r="N40" t="str">
        <v/>
      </c>
    </row>
    <row r="41" spans="1:14" x14ac:dyDescent="0.25">
      <c r="K41" t="str">
        <v/>
      </c>
      <c r="L41" t="str">
        <v/>
      </c>
      <c r="M41" t="str">
        <v/>
      </c>
      <c r="N41" t="str">
        <v/>
      </c>
    </row>
    <row r="42" spans="1:14" x14ac:dyDescent="0.25">
      <c r="K42" t="str">
        <v/>
      </c>
      <c r="L42" t="str">
        <v/>
      </c>
      <c r="M42" t="str">
        <v/>
      </c>
      <c r="N42" t="str">
        <v/>
      </c>
    </row>
    <row r="43" spans="1:14" x14ac:dyDescent="0.25">
      <c r="K43" t="str">
        <v/>
      </c>
      <c r="L43" t="str">
        <v/>
      </c>
      <c r="M43" t="str">
        <v/>
      </c>
      <c r="N43" t="str">
        <v/>
      </c>
    </row>
    <row r="44" spans="1:14" x14ac:dyDescent="0.25">
      <c r="K44" t="str">
        <v/>
      </c>
      <c r="L44" t="str">
        <v/>
      </c>
      <c r="M44" t="str">
        <v/>
      </c>
      <c r="N44" t="str">
        <v/>
      </c>
    </row>
    <row r="45" spans="1:14" x14ac:dyDescent="0.25">
      <c r="K45" t="str">
        <v/>
      </c>
      <c r="L45" t="str">
        <v/>
      </c>
      <c r="M45" t="str">
        <v/>
      </c>
      <c r="N45" t="str">
        <v/>
      </c>
    </row>
    <row r="46" spans="1:14" x14ac:dyDescent="0.25">
      <c r="K46" t="str">
        <v/>
      </c>
      <c r="L46" t="str">
        <v/>
      </c>
      <c r="M46" t="str">
        <v/>
      </c>
      <c r="N46" t="str">
        <v/>
      </c>
    </row>
    <row r="47" spans="1:14" x14ac:dyDescent="0.25">
      <c r="K47" t="str">
        <v/>
      </c>
      <c r="L47" t="str">
        <v/>
      </c>
      <c r="M47" t="str">
        <v/>
      </c>
      <c r="N47" t="str">
        <v/>
      </c>
    </row>
    <row r="48" spans="1:14" x14ac:dyDescent="0.25">
      <c r="K48" t="str">
        <v/>
      </c>
      <c r="L48" t="str">
        <v/>
      </c>
      <c r="M48" t="str">
        <v/>
      </c>
      <c r="N48" t="str">
        <v/>
      </c>
    </row>
    <row r="49" spans="11:14" x14ac:dyDescent="0.25">
      <c r="K49" t="str">
        <v/>
      </c>
      <c r="L49" t="str">
        <v/>
      </c>
      <c r="M49" t="str">
        <v/>
      </c>
      <c r="N49" t="str">
        <v/>
      </c>
    </row>
    <row r="50" spans="11:14" x14ac:dyDescent="0.25">
      <c r="K50" t="str">
        <v/>
      </c>
      <c r="L50" t="str">
        <v/>
      </c>
      <c r="M50" t="str">
        <v/>
      </c>
      <c r="N50" t="str">
        <v/>
      </c>
    </row>
    <row r="51" spans="11:14" x14ac:dyDescent="0.25">
      <c r="K51" t="str">
        <v/>
      </c>
      <c r="L51" t="str">
        <v/>
      </c>
      <c r="M51" t="str">
        <v/>
      </c>
      <c r="N51" t="str">
        <v/>
      </c>
    </row>
    <row r="52" spans="11:14" x14ac:dyDescent="0.25">
      <c r="K52" t="str">
        <v/>
      </c>
      <c r="L52" t="str">
        <v/>
      </c>
      <c r="M52" t="str">
        <v/>
      </c>
      <c r="N52" t="str">
        <v/>
      </c>
    </row>
    <row r="53" spans="11:14" x14ac:dyDescent="0.25">
      <c r="K53" t="str">
        <v/>
      </c>
      <c r="L53" t="str">
        <v/>
      </c>
      <c r="M53" t="str">
        <v/>
      </c>
      <c r="N53" t="str">
        <v/>
      </c>
    </row>
    <row r="54" spans="11:14" x14ac:dyDescent="0.25">
      <c r="K54" t="str">
        <v/>
      </c>
      <c r="L54" t="str">
        <v/>
      </c>
      <c r="M54" t="str">
        <v/>
      </c>
      <c r="N54" t="str">
        <v/>
      </c>
    </row>
    <row r="55" spans="11:14" x14ac:dyDescent="0.25">
      <c r="K55" t="str">
        <v/>
      </c>
      <c r="L55" t="str">
        <v/>
      </c>
      <c r="M55" t="str">
        <v/>
      </c>
      <c r="N55" t="str">
        <v/>
      </c>
    </row>
    <row r="56" spans="11:14" x14ac:dyDescent="0.25">
      <c r="K56" t="str">
        <v/>
      </c>
      <c r="L56" t="str">
        <v/>
      </c>
      <c r="M56" t="str">
        <v/>
      </c>
      <c r="N56" t="str">
        <v/>
      </c>
    </row>
    <row r="57" spans="11:14" x14ac:dyDescent="0.25">
      <c r="K57" t="str">
        <v/>
      </c>
      <c r="L57" t="str">
        <v/>
      </c>
      <c r="M57" t="str">
        <v/>
      </c>
      <c r="N57" t="str">
        <v/>
      </c>
    </row>
    <row r="58" spans="11:14" x14ac:dyDescent="0.25">
      <c r="K58" t="str">
        <v/>
      </c>
      <c r="L58" t="str">
        <v/>
      </c>
      <c r="M58" t="str">
        <v/>
      </c>
      <c r="N58" t="str">
        <v/>
      </c>
    </row>
    <row r="59" spans="11:14" x14ac:dyDescent="0.25">
      <c r="K59" t="str">
        <v/>
      </c>
      <c r="L59" t="str">
        <v/>
      </c>
      <c r="M59" t="str">
        <v/>
      </c>
      <c r="N59" t="str">
        <v/>
      </c>
    </row>
    <row r="60" spans="11:14" x14ac:dyDescent="0.25">
      <c r="K60" t="str">
        <v/>
      </c>
      <c r="L60" t="str">
        <v/>
      </c>
      <c r="M60" t="str">
        <v/>
      </c>
      <c r="N60" t="str">
        <v/>
      </c>
    </row>
    <row r="61" spans="11:14" x14ac:dyDescent="0.25">
      <c r="K61" t="str">
        <v/>
      </c>
      <c r="L61" t="str">
        <v/>
      </c>
      <c r="M61" t="str">
        <v/>
      </c>
      <c r="N61" t="str">
        <v/>
      </c>
    </row>
    <row r="62" spans="11:14" x14ac:dyDescent="0.25">
      <c r="K62" t="str">
        <v/>
      </c>
      <c r="L62" t="str">
        <v/>
      </c>
      <c r="M62" t="str">
        <v/>
      </c>
      <c r="N62" t="str">
        <v/>
      </c>
    </row>
    <row r="63" spans="11:14" x14ac:dyDescent="0.25">
      <c r="K63" t="str">
        <v/>
      </c>
      <c r="L63" t="str">
        <v/>
      </c>
      <c r="M63" t="str">
        <v/>
      </c>
      <c r="N63" t="str">
        <v/>
      </c>
    </row>
    <row r="64" spans="11:14" x14ac:dyDescent="0.25">
      <c r="K64" t="str">
        <v/>
      </c>
      <c r="L64" t="str">
        <v/>
      </c>
      <c r="M64" t="str">
        <v/>
      </c>
      <c r="N64" t="str">
        <v/>
      </c>
    </row>
    <row r="65" spans="2:14" x14ac:dyDescent="0.25">
      <c r="K65" t="str">
        <v/>
      </c>
      <c r="L65" t="str">
        <v/>
      </c>
      <c r="M65" t="str">
        <v/>
      </c>
      <c r="N65" t="str">
        <v/>
      </c>
    </row>
    <row r="66" spans="2:14" x14ac:dyDescent="0.25">
      <c r="B66">
        <f>GETPIVOTDATA("Total kWh Savings",$A$14,"Sector","Residential","Sub-Sector","Appliances")+GETPIVOTDATA("Total kWh Savings",$A$14,"Sector","Residential","Sub-Sector","ENERGY Star Homes")+GETPIVOTDATA("Total kWh Savings",$A$14,"Sector","Residential","Sub-Sector","Multi-Family Weatherization")+GETPIVOTDATA("Total kWh Savings",$A$14,"Sector","Residential","Sub-Sector","Shell")</f>
        <v>414334.49536987155</v>
      </c>
      <c r="C66" t="s">
        <v>420</v>
      </c>
      <c r="D66">
        <f>GETPIVOTDATA("Total Program Incentive",$A$14,"Sector","Residential","Sub-Sector","Appliances")+GETPIVOTDATA("Total Program Incentive",$A$14,"Sector","Residential","Sub-Sector","ENERGY Star Homes")+GETPIVOTDATA("Total Program Incentive",$A$14,"Sector","Residential","Sub-Sector","Multi-Family Weatherization")+GETPIVOTDATA("Total Program Incentive",$A$14,"Sector","Residential","Sub-Sector","Shell")</f>
        <v>265171.16651999997</v>
      </c>
      <c r="F66" s="15">
        <f>GETPIVOTDATA("Total NIUC",$A$14,"Sector","Residential","Sub-Sector","Appliances")+GETPIVOTDATA("Total NIUC",$A$14,"Sector","Residential","Sub-Sector","ENERGY Star Homes")+GETPIVOTDATA("Total NIUC",$A$14,"Sector","Residential","Sub-Sector","Multi-Family Weatherization")+GETPIVOTDATA("Total NIUC",$A$14,"Sector","Residential","Sub-Sector","Shell")</f>
        <v>215365.19249681308</v>
      </c>
      <c r="I66" s="2" t="s">
        <v>419</v>
      </c>
      <c r="J66" s="2">
        <f>GETPIVOTDATA("Total Program Budget",$A$14,"Sector","Residential","Sub-Sector","Appliances")+GETPIVOTDATA("Total Program Budget",$A$14,"Sector","Residential","Sub-Sector","ENERGY Star Homes")+GETPIVOTDATA("Total Program Budget",$A$14,"Sector","Residential","Sub-Sector","Multi-Family Weatherization")+GETPIVOTDATA("Total Program Budget",$A$14,"Sector","Residential","Sub-Sector","Shell")</f>
        <v>480536.35901681305</v>
      </c>
      <c r="K66">
        <v>0</v>
      </c>
      <c r="L66">
        <v>0</v>
      </c>
      <c r="M66" t="str">
        <v/>
      </c>
      <c r="N66" t="str">
        <v/>
      </c>
    </row>
    <row r="67" spans="2:14" x14ac:dyDescent="0.25">
      <c r="K67" t="str">
        <v/>
      </c>
      <c r="L67" t="str">
        <v/>
      </c>
      <c r="M67" t="str">
        <v/>
      </c>
      <c r="N67" t="str">
        <v/>
      </c>
    </row>
    <row r="68" spans="2:14" x14ac:dyDescent="0.25">
      <c r="B68">
        <f>GETPIVOTDATA("Total kWh Savings",$A$14,"Sector","Non-Residential","Sub-Sector","Green Motors")+GETPIVOTDATA("Total kWh Savings",$A$14,"Sector","Non-Residential","Sub-Sector","Grocer")+GETPIVOTDATA("Total kWh Savings",$A$14,"Sector","Non-Residential","Sub-Sector","Non-Residential Shell")</f>
        <v>65008.502408910492</v>
      </c>
      <c r="C68" t="s">
        <v>421</v>
      </c>
      <c r="D68">
        <f>GETPIVOTDATA("Total Program Incentive",$A$14,"Sector","Non-Residential","Sub-Sector","Green Motors")+GETPIVOTDATA("Total Program Incentive",$A$14,"Sector","Non-Residential","Sub-Sector","Grocer")+GETPIVOTDATA("Total Program Incentive",$A$14,"Sector","Non-Residential","Sub-Sector","Non-Residential Shell")</f>
        <v>25844.75</v>
      </c>
      <c r="I68" t="s">
        <v>413</v>
      </c>
      <c r="J68" s="141">
        <f>GETPIVOTDATA("Total Program Budget",$A$14)-NIUC!C5</f>
        <v>25094700.950701512</v>
      </c>
      <c r="K68" t="str">
        <v/>
      </c>
      <c r="L68">
        <v>0</v>
      </c>
      <c r="M68" t="str">
        <v/>
      </c>
      <c r="N68" t="str">
        <v/>
      </c>
    </row>
    <row r="69" spans="2:14" x14ac:dyDescent="0.25">
      <c r="K69" t="str">
        <v/>
      </c>
      <c r="L69" t="str">
        <v/>
      </c>
      <c r="M69" t="str">
        <v/>
      </c>
      <c r="N69" t="str">
        <v/>
      </c>
    </row>
    <row r="70" spans="2:14" x14ac:dyDescent="0.25">
      <c r="C70" t="s">
        <v>465</v>
      </c>
      <c r="D70">
        <f>GETPIVOTDATA("Total Program Incentive",$A$14,"Sector","Non-Residential","Sub-Sector","Building Operator Certification")+GETPIVOTDATA("Total Program Incentive",$A$14,"Sector","Non-Residential","Sub-Sector","Green Motors")+GETPIVOTDATA("Total Program Incentive",$A$14,"Sector","Non-Residential","Sub-Sector","Grocer")+GETPIVOTDATA("Total Program Incentive",$A$14,"Sector","Non-Residential","Sub-Sector","Non-Residential Shell")</f>
        <v>26244.75</v>
      </c>
      <c r="J70" s="145"/>
      <c r="K70" t="str">
        <v/>
      </c>
      <c r="L70">
        <v>0</v>
      </c>
      <c r="M70" t="str">
        <v/>
      </c>
      <c r="N70">
        <v>0</v>
      </c>
    </row>
    <row r="71" spans="2:14" x14ac:dyDescent="0.25">
      <c r="K71" t="str">
        <v/>
      </c>
      <c r="L71" t="str">
        <v/>
      </c>
      <c r="M71" t="str">
        <v/>
      </c>
      <c r="N71" t="str">
        <v/>
      </c>
    </row>
    <row r="72" spans="2:14" x14ac:dyDescent="0.25">
      <c r="C72" s="141"/>
      <c r="I72" t="s">
        <v>414</v>
      </c>
      <c r="J72" s="141">
        <f>GETPIVOTDATA("Total Program Budget",$A$14)-23508613</f>
        <v>3125225.9507015124</v>
      </c>
      <c r="K72" t="str">
        <v/>
      </c>
      <c r="L72" t="str">
        <v/>
      </c>
      <c r="M72" t="str">
        <v/>
      </c>
      <c r="N72" t="str">
        <v/>
      </c>
    </row>
    <row r="73" spans="2:14" x14ac:dyDescent="0.25">
      <c r="K73" t="str">
        <v/>
      </c>
      <c r="L73" t="str">
        <v/>
      </c>
      <c r="M73" t="str">
        <v/>
      </c>
      <c r="N73" t="str">
        <v/>
      </c>
    </row>
    <row r="74" spans="2:14" x14ac:dyDescent="0.25">
      <c r="I74" t="s">
        <v>415</v>
      </c>
      <c r="J74">
        <v>1468750</v>
      </c>
      <c r="K74" t="str">
        <v/>
      </c>
      <c r="L74" t="str">
        <v/>
      </c>
      <c r="M74" t="str">
        <v/>
      </c>
      <c r="N74" t="str">
        <v/>
      </c>
    </row>
    <row r="75" spans="2:14" x14ac:dyDescent="0.25">
      <c r="I75" t="s">
        <v>416</v>
      </c>
      <c r="J75">
        <v>1539138</v>
      </c>
      <c r="K75" t="str">
        <v/>
      </c>
      <c r="L75" t="str">
        <v/>
      </c>
      <c r="M75" t="str">
        <v/>
      </c>
      <c r="N75" t="str">
        <v/>
      </c>
    </row>
    <row r="76" spans="2:14" x14ac:dyDescent="0.25">
      <c r="J76">
        <f>J75-J74</f>
        <v>70388</v>
      </c>
      <c r="K76" t="str">
        <v/>
      </c>
      <c r="L76" t="str">
        <v/>
      </c>
      <c r="M76" t="str">
        <v/>
      </c>
      <c r="N76" t="str">
        <v/>
      </c>
    </row>
    <row r="77" spans="2:14" x14ac:dyDescent="0.25">
      <c r="I77" t="s">
        <v>417</v>
      </c>
      <c r="J77">
        <f>23508613-1468750</f>
        <v>22039863</v>
      </c>
      <c r="K77" t="str">
        <v/>
      </c>
      <c r="L77" t="str">
        <v/>
      </c>
      <c r="M77" t="str">
        <v/>
      </c>
      <c r="N77" t="str">
        <v/>
      </c>
    </row>
    <row r="78" spans="2:14" x14ac:dyDescent="0.25">
      <c r="K78" t="str">
        <v/>
      </c>
      <c r="L78" t="str">
        <v/>
      </c>
      <c r="M78" t="str">
        <v/>
      </c>
      <c r="N78" t="str">
        <v/>
      </c>
    </row>
    <row r="79" spans="2:14" x14ac:dyDescent="0.25">
      <c r="I79" t="s">
        <v>418</v>
      </c>
      <c r="J79" s="141">
        <f>J68-J77</f>
        <v>3054837.9507015124</v>
      </c>
      <c r="K79" t="str">
        <v/>
      </c>
      <c r="L79" t="str">
        <v/>
      </c>
      <c r="M79" t="str">
        <v/>
      </c>
      <c r="N79" t="str">
        <v/>
      </c>
    </row>
    <row r="80" spans="2:14" x14ac:dyDescent="0.25">
      <c r="K80" t="str">
        <v/>
      </c>
      <c r="L80" t="str">
        <v/>
      </c>
      <c r="M80" t="str">
        <v/>
      </c>
      <c r="N80" t="str">
        <v/>
      </c>
    </row>
    <row r="81" spans="11:14" x14ac:dyDescent="0.25">
      <c r="K81" t="str">
        <v/>
      </c>
      <c r="L81" t="str">
        <v/>
      </c>
      <c r="M81" t="str">
        <v/>
      </c>
      <c r="N81" t="str">
        <v/>
      </c>
    </row>
    <row r="82" spans="11:14" x14ac:dyDescent="0.25">
      <c r="K82" t="str">
        <v/>
      </c>
      <c r="L82" t="str">
        <v/>
      </c>
      <c r="M82" t="str">
        <v/>
      </c>
      <c r="N82" t="str">
        <v/>
      </c>
    </row>
    <row r="83" spans="11:14" x14ac:dyDescent="0.25">
      <c r="K83" t="str">
        <v/>
      </c>
      <c r="L83" t="str">
        <v/>
      </c>
      <c r="M83" t="str">
        <v/>
      </c>
      <c r="N83" t="str">
        <v/>
      </c>
    </row>
    <row r="84" spans="11:14" x14ac:dyDescent="0.25">
      <c r="K84" t="str">
        <v/>
      </c>
      <c r="L84" t="str">
        <v/>
      </c>
      <c r="M84" t="str">
        <v/>
      </c>
      <c r="N84" t="str">
        <v/>
      </c>
    </row>
    <row r="85" spans="11:14" x14ac:dyDescent="0.25">
      <c r="K85" t="str">
        <v/>
      </c>
      <c r="L85" t="str">
        <v/>
      </c>
      <c r="M85" t="str">
        <v/>
      </c>
      <c r="N85" t="str">
        <v/>
      </c>
    </row>
    <row r="86" spans="11:14" x14ac:dyDescent="0.25">
      <c r="K86" t="str">
        <v/>
      </c>
      <c r="L86" t="str">
        <v/>
      </c>
      <c r="M86" t="str">
        <v/>
      </c>
      <c r="N86" t="str">
        <v/>
      </c>
    </row>
    <row r="87" spans="11:14" x14ac:dyDescent="0.25">
      <c r="K87" t="str">
        <v/>
      </c>
      <c r="L87" t="str">
        <v/>
      </c>
      <c r="M87" t="str">
        <v/>
      </c>
      <c r="N87" t="str">
        <v/>
      </c>
    </row>
    <row r="88" spans="11:14" x14ac:dyDescent="0.25">
      <c r="K88" t="str">
        <v/>
      </c>
      <c r="L88" t="str">
        <v/>
      </c>
      <c r="M88" t="str">
        <v/>
      </c>
      <c r="N88" t="str">
        <v/>
      </c>
    </row>
    <row r="89" spans="11:14" x14ac:dyDescent="0.25">
      <c r="K89" t="str">
        <v/>
      </c>
      <c r="L89" t="str">
        <v/>
      </c>
      <c r="M89" t="str">
        <v/>
      </c>
      <c r="N89" t="str">
        <v/>
      </c>
    </row>
    <row r="90" spans="11:14" x14ac:dyDescent="0.25">
      <c r="K90" t="str">
        <v/>
      </c>
      <c r="L90" t="str">
        <v/>
      </c>
      <c r="M90" t="str">
        <v/>
      </c>
      <c r="N90" t="str">
        <v/>
      </c>
    </row>
    <row r="91" spans="11:14" x14ac:dyDescent="0.25">
      <c r="K91" t="str">
        <v/>
      </c>
      <c r="L91" t="str">
        <v/>
      </c>
      <c r="M91" t="str">
        <v/>
      </c>
      <c r="N91" t="str">
        <v/>
      </c>
    </row>
    <row r="92" spans="11:14" x14ac:dyDescent="0.25">
      <c r="K92" t="str">
        <v/>
      </c>
      <c r="L92" t="str">
        <v/>
      </c>
      <c r="M92" t="str">
        <v/>
      </c>
      <c r="N92" t="str">
        <v/>
      </c>
    </row>
    <row r="93" spans="11:14" x14ac:dyDescent="0.25">
      <c r="K93" t="str">
        <v/>
      </c>
      <c r="L93" t="str">
        <v/>
      </c>
      <c r="M93" t="str">
        <v/>
      </c>
      <c r="N93" t="str">
        <v/>
      </c>
    </row>
    <row r="94" spans="11:14" x14ac:dyDescent="0.25">
      <c r="K94" t="str">
        <v/>
      </c>
      <c r="L94" t="str">
        <v/>
      </c>
      <c r="M94" t="str">
        <v/>
      </c>
      <c r="N94" t="str">
        <v/>
      </c>
    </row>
    <row r="95" spans="11:14" x14ac:dyDescent="0.25">
      <c r="K95" t="str">
        <v/>
      </c>
      <c r="L95" t="str">
        <v/>
      </c>
      <c r="M95" t="str">
        <v/>
      </c>
      <c r="N95" t="str">
        <v/>
      </c>
    </row>
    <row r="96" spans="11:14" x14ac:dyDescent="0.25">
      <c r="K96" t="str">
        <v/>
      </c>
      <c r="L96" t="str">
        <v/>
      </c>
      <c r="M96" t="str">
        <v/>
      </c>
      <c r="N96" t="str">
        <v/>
      </c>
    </row>
    <row r="97" spans="11:14" x14ac:dyDescent="0.25">
      <c r="K97" t="str">
        <v/>
      </c>
      <c r="L97" t="str">
        <v/>
      </c>
      <c r="M97" t="str">
        <v/>
      </c>
      <c r="N97" t="str">
        <v/>
      </c>
    </row>
    <row r="98" spans="11:14" x14ac:dyDescent="0.25">
      <c r="K98" t="str">
        <v/>
      </c>
      <c r="L98" t="str">
        <v/>
      </c>
      <c r="M98" t="str">
        <v/>
      </c>
      <c r="N98" t="str">
        <v/>
      </c>
    </row>
    <row r="99" spans="11:14" x14ac:dyDescent="0.25">
      <c r="K99" t="str">
        <v/>
      </c>
      <c r="L99" t="str">
        <v/>
      </c>
      <c r="M99" t="str">
        <v/>
      </c>
      <c r="N99" t="str">
        <v/>
      </c>
    </row>
    <row r="100" spans="11:14" x14ac:dyDescent="0.25">
      <c r="K100" t="str">
        <v/>
      </c>
      <c r="L100" t="str">
        <v/>
      </c>
      <c r="M100" t="str">
        <v/>
      </c>
      <c r="N100" t="str">
        <v/>
      </c>
    </row>
    <row r="101" spans="11:14" x14ac:dyDescent="0.25">
      <c r="K101" t="str">
        <v/>
      </c>
      <c r="L101" t="str">
        <v/>
      </c>
      <c r="M101" t="str">
        <v/>
      </c>
      <c r="N101" t="str">
        <v/>
      </c>
    </row>
    <row r="102" spans="11:14" x14ac:dyDescent="0.25">
      <c r="K102" t="str">
        <v/>
      </c>
      <c r="L102" t="str">
        <v/>
      </c>
      <c r="M102" t="str">
        <v/>
      </c>
      <c r="N102" t="str">
        <v/>
      </c>
    </row>
    <row r="103" spans="11:14" x14ac:dyDescent="0.25">
      <c r="K103" t="str">
        <v/>
      </c>
      <c r="L103" t="str">
        <v/>
      </c>
      <c r="M103" t="str">
        <v/>
      </c>
      <c r="N103" t="str">
        <v/>
      </c>
    </row>
    <row r="104" spans="11:14" x14ac:dyDescent="0.25">
      <c r="K104" t="str">
        <v/>
      </c>
      <c r="L104" t="str">
        <v/>
      </c>
      <c r="M104" t="str">
        <v/>
      </c>
      <c r="N104" t="str">
        <v/>
      </c>
    </row>
    <row r="105" spans="11:14" x14ac:dyDescent="0.25">
      <c r="K105" t="str">
        <v/>
      </c>
      <c r="L105" t="str">
        <v/>
      </c>
      <c r="M105" t="str">
        <v/>
      </c>
      <c r="N105" t="str">
        <v/>
      </c>
    </row>
    <row r="106" spans="11:14" x14ac:dyDescent="0.25">
      <c r="K106" t="str">
        <v/>
      </c>
      <c r="L106" t="str">
        <v/>
      </c>
      <c r="M106" t="str">
        <v/>
      </c>
      <c r="N106" t="str">
        <v/>
      </c>
    </row>
    <row r="107" spans="11:14" x14ac:dyDescent="0.25">
      <c r="K107" t="str">
        <v/>
      </c>
      <c r="L107" t="str">
        <v/>
      </c>
      <c r="M107" t="str">
        <v/>
      </c>
      <c r="N107" t="str">
        <v/>
      </c>
    </row>
    <row r="108" spans="11:14" x14ac:dyDescent="0.25">
      <c r="K108" t="str">
        <v/>
      </c>
      <c r="L108" t="str">
        <v/>
      </c>
      <c r="M108" t="str">
        <v/>
      </c>
      <c r="N108" t="str">
        <v/>
      </c>
    </row>
    <row r="109" spans="11:14" x14ac:dyDescent="0.25">
      <c r="K109" t="str">
        <v/>
      </c>
      <c r="L109" t="str">
        <v/>
      </c>
      <c r="M109" t="str">
        <v/>
      </c>
      <c r="N109" t="str">
        <v/>
      </c>
    </row>
    <row r="110" spans="11:14" x14ac:dyDescent="0.25">
      <c r="K110" t="str">
        <v/>
      </c>
      <c r="L110" t="str">
        <v/>
      </c>
      <c r="M110" t="str">
        <v/>
      </c>
      <c r="N110" t="str">
        <v/>
      </c>
    </row>
    <row r="111" spans="11:14" x14ac:dyDescent="0.25">
      <c r="K111" t="str">
        <v/>
      </c>
      <c r="L111" t="str">
        <v/>
      </c>
      <c r="M111" t="str">
        <v/>
      </c>
      <c r="N111" t="str">
        <v/>
      </c>
    </row>
    <row r="112" spans="11:14" x14ac:dyDescent="0.25">
      <c r="K112" t="str">
        <v/>
      </c>
      <c r="L112" t="str">
        <v/>
      </c>
      <c r="M112" t="str">
        <v/>
      </c>
      <c r="N112" t="str">
        <v/>
      </c>
    </row>
    <row r="113" spans="11:14" x14ac:dyDescent="0.25">
      <c r="K113" t="str">
        <v/>
      </c>
      <c r="L113" t="str">
        <v/>
      </c>
      <c r="M113" t="str">
        <v/>
      </c>
      <c r="N113" t="str">
        <v/>
      </c>
    </row>
    <row r="114" spans="11:14" x14ac:dyDescent="0.25">
      <c r="K114" t="str">
        <v/>
      </c>
      <c r="L114" t="str">
        <v/>
      </c>
      <c r="M114" t="str">
        <v/>
      </c>
      <c r="N114" t="str">
        <v/>
      </c>
    </row>
    <row r="115" spans="11:14" x14ac:dyDescent="0.25">
      <c r="K115" t="str">
        <v/>
      </c>
      <c r="L115" t="str">
        <v/>
      </c>
      <c r="M115" t="str">
        <v/>
      </c>
      <c r="N115" t="str">
        <v/>
      </c>
    </row>
    <row r="116" spans="11:14" x14ac:dyDescent="0.25">
      <c r="K116" t="str">
        <v/>
      </c>
      <c r="L116" t="str">
        <v/>
      </c>
      <c r="M116" t="str">
        <v/>
      </c>
      <c r="N116" t="str">
        <v/>
      </c>
    </row>
    <row r="117" spans="11:14" x14ac:dyDescent="0.25">
      <c r="K117" t="str">
        <v/>
      </c>
      <c r="L117" t="str">
        <v/>
      </c>
      <c r="M117" t="str">
        <v/>
      </c>
      <c r="N117" t="str">
        <v/>
      </c>
    </row>
    <row r="118" spans="11:14" x14ac:dyDescent="0.25">
      <c r="K118" t="str">
        <v/>
      </c>
      <c r="L118" t="str">
        <v/>
      </c>
      <c r="M118" t="str">
        <v/>
      </c>
      <c r="N118" t="str">
        <v/>
      </c>
    </row>
    <row r="119" spans="11:14" x14ac:dyDescent="0.25">
      <c r="K119" t="str">
        <v/>
      </c>
      <c r="L119" t="str">
        <v/>
      </c>
      <c r="M119" t="str">
        <v/>
      </c>
      <c r="N119" t="str">
        <v/>
      </c>
    </row>
    <row r="120" spans="11:14" x14ac:dyDescent="0.25">
      <c r="K120" t="str">
        <v/>
      </c>
      <c r="L120" t="str">
        <v/>
      </c>
      <c r="M120" t="str">
        <v/>
      </c>
      <c r="N120" t="str">
        <v/>
      </c>
    </row>
    <row r="121" spans="11:14" x14ac:dyDescent="0.25">
      <c r="K121" t="str">
        <v/>
      </c>
      <c r="L121" t="str">
        <v/>
      </c>
      <c r="M121" t="str">
        <v/>
      </c>
      <c r="N121" t="str">
        <v/>
      </c>
    </row>
    <row r="122" spans="11:14" x14ac:dyDescent="0.25">
      <c r="K122" t="str">
        <v/>
      </c>
      <c r="L122" t="str">
        <v/>
      </c>
      <c r="M122" t="str">
        <v/>
      </c>
      <c r="N122" t="str">
        <v/>
      </c>
    </row>
    <row r="123" spans="11:14" x14ac:dyDescent="0.25">
      <c r="K123" t="str">
        <v/>
      </c>
      <c r="L123" t="str">
        <v/>
      </c>
      <c r="M123" t="str">
        <v/>
      </c>
      <c r="N123" t="str">
        <v/>
      </c>
    </row>
    <row r="124" spans="11:14" x14ac:dyDescent="0.25">
      <c r="K124" t="str">
        <v/>
      </c>
      <c r="L124" t="str">
        <v/>
      </c>
      <c r="M124" t="str">
        <v/>
      </c>
      <c r="N124" t="str">
        <v/>
      </c>
    </row>
    <row r="125" spans="11:14" x14ac:dyDescent="0.25">
      <c r="K125" t="str">
        <v/>
      </c>
      <c r="L125" t="str">
        <v/>
      </c>
      <c r="M125" t="str">
        <v/>
      </c>
      <c r="N125" t="str">
        <v/>
      </c>
    </row>
    <row r="126" spans="11:14" x14ac:dyDescent="0.25">
      <c r="K126" t="str">
        <v/>
      </c>
      <c r="L126" t="str">
        <v/>
      </c>
      <c r="M126" t="str">
        <v/>
      </c>
      <c r="N126" t="str">
        <v/>
      </c>
    </row>
    <row r="127" spans="11:14" x14ac:dyDescent="0.25">
      <c r="K127" t="str">
        <v/>
      </c>
      <c r="L127" t="str">
        <v/>
      </c>
      <c r="M127" t="str">
        <v/>
      </c>
      <c r="N127" t="str">
        <v/>
      </c>
    </row>
    <row r="128" spans="11:14" x14ac:dyDescent="0.25">
      <c r="K128" t="str">
        <v/>
      </c>
      <c r="L128" t="str">
        <v/>
      </c>
      <c r="M128" t="str">
        <v/>
      </c>
      <c r="N128" t="str">
        <v/>
      </c>
    </row>
    <row r="129" spans="11:14" x14ac:dyDescent="0.25">
      <c r="K129" t="str">
        <v/>
      </c>
      <c r="L129" t="str">
        <v/>
      </c>
      <c r="M129" t="str">
        <v/>
      </c>
      <c r="N129" t="str">
        <v/>
      </c>
    </row>
    <row r="130" spans="11:14" x14ac:dyDescent="0.25">
      <c r="K130" t="str">
        <v/>
      </c>
      <c r="L130" t="str">
        <v/>
      </c>
      <c r="M130" t="str">
        <v/>
      </c>
      <c r="N130" t="str">
        <v/>
      </c>
    </row>
    <row r="131" spans="11:14" x14ac:dyDescent="0.25">
      <c r="K131" t="str">
        <v/>
      </c>
      <c r="L131" t="str">
        <v/>
      </c>
      <c r="M131" t="str">
        <v/>
      </c>
      <c r="N131" t="str">
        <v/>
      </c>
    </row>
    <row r="132" spans="11:14" x14ac:dyDescent="0.25">
      <c r="K132" t="str">
        <v/>
      </c>
      <c r="L132" t="str">
        <v/>
      </c>
      <c r="M132" t="str">
        <v/>
      </c>
      <c r="N132" t="str">
        <v/>
      </c>
    </row>
    <row r="133" spans="11:14" x14ac:dyDescent="0.25">
      <c r="K133" t="str">
        <v/>
      </c>
      <c r="L133" t="str">
        <v/>
      </c>
      <c r="M133" t="str">
        <v/>
      </c>
      <c r="N133" t="str">
        <v/>
      </c>
    </row>
    <row r="134" spans="11:14" x14ac:dyDescent="0.25">
      <c r="K134" t="str">
        <v/>
      </c>
      <c r="L134" t="str">
        <v/>
      </c>
      <c r="M134" t="str">
        <v/>
      </c>
      <c r="N134" t="str">
        <v/>
      </c>
    </row>
    <row r="135" spans="11:14" x14ac:dyDescent="0.25">
      <c r="K135" t="str">
        <v/>
      </c>
      <c r="L135" t="str">
        <v/>
      </c>
      <c r="M135" t="str">
        <v/>
      </c>
      <c r="N135" t="str">
        <v/>
      </c>
    </row>
    <row r="136" spans="11:14" x14ac:dyDescent="0.25">
      <c r="K136" t="str">
        <v/>
      </c>
      <c r="L136" t="str">
        <v/>
      </c>
      <c r="M136" t="str">
        <v/>
      </c>
      <c r="N136" t="str">
        <v/>
      </c>
    </row>
    <row r="137" spans="11:14" x14ac:dyDescent="0.25">
      <c r="K137" t="str">
        <v/>
      </c>
      <c r="L137" t="str">
        <v/>
      </c>
      <c r="M137" t="str">
        <v/>
      </c>
      <c r="N137" t="str">
        <v/>
      </c>
    </row>
    <row r="138" spans="11:14" x14ac:dyDescent="0.25">
      <c r="K138" t="str">
        <v/>
      </c>
      <c r="L138" t="str">
        <v/>
      </c>
      <c r="M138" t="str">
        <v/>
      </c>
      <c r="N138" t="str">
        <v/>
      </c>
    </row>
    <row r="139" spans="11:14" x14ac:dyDescent="0.25">
      <c r="K139" t="str">
        <v/>
      </c>
      <c r="L139" t="str">
        <v/>
      </c>
      <c r="M139" t="str">
        <v/>
      </c>
      <c r="N139" t="str">
        <v/>
      </c>
    </row>
    <row r="140" spans="11:14" x14ac:dyDescent="0.25">
      <c r="K140" t="str">
        <v/>
      </c>
      <c r="L140" t="str">
        <v/>
      </c>
      <c r="M140" t="str">
        <v/>
      </c>
      <c r="N140" t="str">
        <v/>
      </c>
    </row>
    <row r="141" spans="11:14" x14ac:dyDescent="0.25">
      <c r="K141" t="str">
        <v/>
      </c>
      <c r="L141" t="str">
        <v/>
      </c>
      <c r="M141" t="str">
        <v/>
      </c>
      <c r="N141" t="str">
        <v/>
      </c>
    </row>
    <row r="142" spans="11:14" x14ac:dyDescent="0.25">
      <c r="K142" t="str">
        <v/>
      </c>
      <c r="L142" t="str">
        <v/>
      </c>
      <c r="M142" t="str">
        <v/>
      </c>
      <c r="N142" t="str">
        <v/>
      </c>
    </row>
    <row r="143" spans="11:14" x14ac:dyDescent="0.25">
      <c r="K143" t="str">
        <v/>
      </c>
      <c r="L143" t="str">
        <v/>
      </c>
      <c r="M143" t="str">
        <v/>
      </c>
      <c r="N143" t="str">
        <v/>
      </c>
    </row>
    <row r="144" spans="11:14" x14ac:dyDescent="0.25">
      <c r="K144" t="str">
        <v/>
      </c>
      <c r="L144" t="str">
        <v/>
      </c>
      <c r="M144" t="str">
        <v/>
      </c>
      <c r="N144" t="str">
        <v/>
      </c>
    </row>
    <row r="145" spans="11:14" x14ac:dyDescent="0.25">
      <c r="K145" t="str">
        <v/>
      </c>
      <c r="L145" t="str">
        <v/>
      </c>
      <c r="M145" t="str">
        <v/>
      </c>
      <c r="N145" t="str">
        <v/>
      </c>
    </row>
    <row r="146" spans="11:14" x14ac:dyDescent="0.25">
      <c r="K146" t="str">
        <v/>
      </c>
      <c r="L146" t="str">
        <v/>
      </c>
      <c r="M146" t="str">
        <v/>
      </c>
      <c r="N146" t="str">
        <v/>
      </c>
    </row>
    <row r="147" spans="11:14" x14ac:dyDescent="0.25">
      <c r="K147" t="str">
        <v/>
      </c>
      <c r="L147" t="str">
        <v/>
      </c>
      <c r="M147" t="str">
        <v/>
      </c>
      <c r="N147" t="str">
        <v/>
      </c>
    </row>
    <row r="148" spans="11:14" x14ac:dyDescent="0.25">
      <c r="K148" t="str">
        <v/>
      </c>
      <c r="L148" t="str">
        <v/>
      </c>
      <c r="M148" t="str">
        <v/>
      </c>
      <c r="N148" t="str">
        <v/>
      </c>
    </row>
    <row r="149" spans="11:14" x14ac:dyDescent="0.25">
      <c r="K149" t="str">
        <v/>
      </c>
      <c r="L149" t="str">
        <v/>
      </c>
      <c r="M149" t="str">
        <v/>
      </c>
      <c r="N149" t="str">
        <v/>
      </c>
    </row>
    <row r="150" spans="11:14" x14ac:dyDescent="0.25">
      <c r="K150" t="str">
        <v/>
      </c>
      <c r="L150" t="str">
        <v/>
      </c>
      <c r="M150" t="str">
        <v/>
      </c>
      <c r="N150" t="str">
        <v/>
      </c>
    </row>
    <row r="151" spans="11:14" x14ac:dyDescent="0.25">
      <c r="K151" t="str">
        <v/>
      </c>
      <c r="L151" t="str">
        <v/>
      </c>
      <c r="M151" t="str">
        <v/>
      </c>
      <c r="N151" t="str">
        <v/>
      </c>
    </row>
    <row r="152" spans="11:14" x14ac:dyDescent="0.25">
      <c r="K152" t="str">
        <v/>
      </c>
      <c r="L152" t="str">
        <v/>
      </c>
      <c r="M152" t="str">
        <v/>
      </c>
      <c r="N152" t="str">
        <v/>
      </c>
    </row>
    <row r="153" spans="11:14" x14ac:dyDescent="0.25">
      <c r="K153" t="str">
        <v/>
      </c>
      <c r="L153" t="str">
        <v/>
      </c>
      <c r="M153" t="str">
        <v/>
      </c>
      <c r="N153" t="str">
        <v/>
      </c>
    </row>
    <row r="154" spans="11:14" x14ac:dyDescent="0.25">
      <c r="K154" t="str">
        <v/>
      </c>
      <c r="L154" t="str">
        <v/>
      </c>
      <c r="M154" t="str">
        <v/>
      </c>
      <c r="N154" t="str">
        <v/>
      </c>
    </row>
    <row r="155" spans="11:14" x14ac:dyDescent="0.25">
      <c r="K155" t="str">
        <v/>
      </c>
      <c r="L155" t="str">
        <v/>
      </c>
      <c r="M155" t="str">
        <v/>
      </c>
      <c r="N155" t="str">
        <v/>
      </c>
    </row>
    <row r="156" spans="11:14" x14ac:dyDescent="0.25">
      <c r="K156" t="str">
        <v/>
      </c>
      <c r="L156" t="str">
        <v/>
      </c>
      <c r="M156" t="str">
        <v/>
      </c>
      <c r="N156" t="str">
        <v/>
      </c>
    </row>
    <row r="157" spans="11:14" x14ac:dyDescent="0.25">
      <c r="K157" t="str">
        <v/>
      </c>
      <c r="L157" t="str">
        <v/>
      </c>
      <c r="M157" t="str">
        <v/>
      </c>
      <c r="N157" t="str">
        <v/>
      </c>
    </row>
    <row r="158" spans="11:14" x14ac:dyDescent="0.25">
      <c r="K158" t="str">
        <v/>
      </c>
      <c r="L158" t="str">
        <v/>
      </c>
      <c r="M158" t="str">
        <v/>
      </c>
      <c r="N158" t="str">
        <v/>
      </c>
    </row>
    <row r="159" spans="11:14" x14ac:dyDescent="0.25">
      <c r="K159" t="str">
        <v/>
      </c>
      <c r="L159" t="str">
        <v/>
      </c>
      <c r="M159" t="str">
        <v/>
      </c>
      <c r="N159" t="str">
        <v/>
      </c>
    </row>
    <row r="160" spans="11:14" x14ac:dyDescent="0.25">
      <c r="K160" t="str">
        <v/>
      </c>
      <c r="L160" t="str">
        <v/>
      </c>
      <c r="M160" t="str">
        <v/>
      </c>
      <c r="N160" t="str">
        <v/>
      </c>
    </row>
    <row r="161" spans="11:14" x14ac:dyDescent="0.25">
      <c r="K161" t="str">
        <v/>
      </c>
      <c r="L161" t="str">
        <v/>
      </c>
      <c r="M161" t="str">
        <v/>
      </c>
      <c r="N161" t="str">
        <v/>
      </c>
    </row>
    <row r="162" spans="11:14" x14ac:dyDescent="0.25">
      <c r="K162" t="str">
        <v/>
      </c>
      <c r="L162" t="str">
        <v/>
      </c>
      <c r="M162" t="str">
        <v/>
      </c>
      <c r="N162" t="str">
        <v/>
      </c>
    </row>
    <row r="163" spans="11:14" x14ac:dyDescent="0.25">
      <c r="K163" t="str">
        <v/>
      </c>
      <c r="L163" t="str">
        <v/>
      </c>
      <c r="M163" t="str">
        <v/>
      </c>
      <c r="N163" t="str">
        <v/>
      </c>
    </row>
    <row r="164" spans="11:14" x14ac:dyDescent="0.25">
      <c r="K164" t="str">
        <v/>
      </c>
      <c r="L164" t="str">
        <v/>
      </c>
      <c r="M164" t="str">
        <v/>
      </c>
      <c r="N164" t="str">
        <v/>
      </c>
    </row>
    <row r="165" spans="11:14" x14ac:dyDescent="0.25">
      <c r="K165" t="str">
        <v/>
      </c>
      <c r="L165" t="str">
        <v/>
      </c>
      <c r="M165" t="str">
        <v/>
      </c>
      <c r="N165" t="str">
        <v/>
      </c>
    </row>
    <row r="166" spans="11:14" x14ac:dyDescent="0.25">
      <c r="K166" t="str">
        <v/>
      </c>
      <c r="L166" t="str">
        <v/>
      </c>
      <c r="M166" t="str">
        <v/>
      </c>
      <c r="N166" t="str">
        <v/>
      </c>
    </row>
    <row r="167" spans="11:14" x14ac:dyDescent="0.25">
      <c r="K167" t="str">
        <v/>
      </c>
      <c r="L167" t="str">
        <v/>
      </c>
      <c r="M167" t="str">
        <v/>
      </c>
      <c r="N167" t="str">
        <v/>
      </c>
    </row>
    <row r="168" spans="11:14" x14ac:dyDescent="0.25">
      <c r="K168" t="str">
        <v/>
      </c>
      <c r="L168" t="str">
        <v/>
      </c>
      <c r="M168" t="str">
        <v/>
      </c>
      <c r="N168" t="str">
        <v/>
      </c>
    </row>
    <row r="169" spans="11:14" x14ac:dyDescent="0.25">
      <c r="K169" t="str">
        <v/>
      </c>
      <c r="L169" t="str">
        <v/>
      </c>
      <c r="M169" t="str">
        <v/>
      </c>
      <c r="N169" t="str">
        <v/>
      </c>
    </row>
    <row r="170" spans="11:14" x14ac:dyDescent="0.25">
      <c r="K170" t="str">
        <v/>
      </c>
      <c r="L170" t="str">
        <v/>
      </c>
      <c r="M170" t="str">
        <v/>
      </c>
      <c r="N170" t="str">
        <v/>
      </c>
    </row>
    <row r="171" spans="11:14" x14ac:dyDescent="0.25">
      <c r="K171" t="str">
        <v/>
      </c>
      <c r="L171" t="str">
        <v/>
      </c>
      <c r="M171" t="str">
        <v/>
      </c>
      <c r="N171" t="str">
        <v/>
      </c>
    </row>
    <row r="172" spans="11:14" x14ac:dyDescent="0.25">
      <c r="K172" t="str">
        <v/>
      </c>
      <c r="L172" t="str">
        <v/>
      </c>
      <c r="M172" t="str">
        <v/>
      </c>
      <c r="N172" t="str">
        <v/>
      </c>
    </row>
    <row r="173" spans="11:14" x14ac:dyDescent="0.25">
      <c r="K173" t="str">
        <v/>
      </c>
      <c r="L173" t="str">
        <v/>
      </c>
      <c r="M173" t="str">
        <v/>
      </c>
      <c r="N173" t="str">
        <v/>
      </c>
    </row>
    <row r="174" spans="11:14" x14ac:dyDescent="0.25">
      <c r="K174" t="str">
        <v/>
      </c>
      <c r="L174" t="str">
        <v/>
      </c>
      <c r="M174" t="str">
        <v/>
      </c>
      <c r="N174" t="str">
        <v/>
      </c>
    </row>
    <row r="175" spans="11:14" x14ac:dyDescent="0.25">
      <c r="K175" t="str">
        <v/>
      </c>
      <c r="L175" t="str">
        <v/>
      </c>
      <c r="M175" t="str">
        <v/>
      </c>
      <c r="N175" t="str">
        <v/>
      </c>
    </row>
    <row r="176" spans="11:14" x14ac:dyDescent="0.25">
      <c r="K176" t="str">
        <v/>
      </c>
      <c r="L176" t="str">
        <v/>
      </c>
      <c r="M176" t="str">
        <v/>
      </c>
      <c r="N176" t="str">
        <v/>
      </c>
    </row>
    <row r="177" spans="11:14" x14ac:dyDescent="0.25">
      <c r="K177" t="str">
        <v/>
      </c>
      <c r="L177" t="str">
        <v/>
      </c>
      <c r="M177" t="str">
        <v/>
      </c>
      <c r="N177" t="str">
        <v/>
      </c>
    </row>
    <row r="178" spans="11:14" x14ac:dyDescent="0.25">
      <c r="K178" t="str">
        <v/>
      </c>
      <c r="L178" t="str">
        <v/>
      </c>
      <c r="M178" t="str">
        <v/>
      </c>
      <c r="N178" t="str">
        <v/>
      </c>
    </row>
    <row r="179" spans="11:14" x14ac:dyDescent="0.25">
      <c r="K179" t="str">
        <v/>
      </c>
      <c r="L179" t="str">
        <v/>
      </c>
      <c r="M179" t="str">
        <v/>
      </c>
      <c r="N179" t="str">
        <v/>
      </c>
    </row>
    <row r="180" spans="11:14" x14ac:dyDescent="0.25">
      <c r="K180" t="str">
        <v/>
      </c>
      <c r="L180" t="str">
        <v/>
      </c>
      <c r="M180" t="str">
        <v/>
      </c>
      <c r="N180" t="str">
        <v/>
      </c>
    </row>
    <row r="181" spans="11:14" x14ac:dyDescent="0.25">
      <c r="K181" t="str">
        <v/>
      </c>
      <c r="L181" t="str">
        <v/>
      </c>
      <c r="M181" t="str">
        <v/>
      </c>
      <c r="N181" t="str">
        <v/>
      </c>
    </row>
    <row r="182" spans="11:14" x14ac:dyDescent="0.25">
      <c r="K182" t="str">
        <v/>
      </c>
      <c r="L182" t="str">
        <v/>
      </c>
      <c r="M182" t="str">
        <v/>
      </c>
      <c r="N182" t="str">
        <v/>
      </c>
    </row>
    <row r="183" spans="11:14" x14ac:dyDescent="0.25">
      <c r="K183" t="str">
        <v/>
      </c>
      <c r="L183" t="str">
        <v/>
      </c>
      <c r="M183" t="str">
        <v/>
      </c>
      <c r="N183" t="str">
        <v/>
      </c>
    </row>
    <row r="184" spans="11:14" x14ac:dyDescent="0.25">
      <c r="K184" t="str">
        <v/>
      </c>
      <c r="L184" t="str">
        <v/>
      </c>
      <c r="M184" t="str">
        <v/>
      </c>
      <c r="N184" t="str">
        <v/>
      </c>
    </row>
    <row r="185" spans="11:14" x14ac:dyDescent="0.25">
      <c r="K185" t="str">
        <v/>
      </c>
      <c r="L185" t="str">
        <v/>
      </c>
      <c r="M185" t="str">
        <v/>
      </c>
      <c r="N185" t="str">
        <v/>
      </c>
    </row>
    <row r="186" spans="11:14" x14ac:dyDescent="0.25">
      <c r="K186" t="str">
        <v/>
      </c>
      <c r="L186" t="str">
        <v/>
      </c>
      <c r="M186" t="str">
        <v/>
      </c>
      <c r="N186" t="str">
        <v/>
      </c>
    </row>
    <row r="187" spans="11:14" x14ac:dyDescent="0.25">
      <c r="K187" t="str">
        <v/>
      </c>
      <c r="L187" t="str">
        <v/>
      </c>
      <c r="M187" t="str">
        <v/>
      </c>
      <c r="N187" t="str">
        <v/>
      </c>
    </row>
    <row r="188" spans="11:14" x14ac:dyDescent="0.25">
      <c r="K188" t="str">
        <v/>
      </c>
      <c r="L188" t="str">
        <v/>
      </c>
      <c r="M188" t="str">
        <v/>
      </c>
      <c r="N188" t="str">
        <v/>
      </c>
    </row>
    <row r="189" spans="11:14" x14ac:dyDescent="0.25">
      <c r="K189" t="str">
        <v/>
      </c>
      <c r="L189" t="str">
        <v/>
      </c>
      <c r="M189" t="str">
        <v/>
      </c>
      <c r="N189" t="str">
        <v/>
      </c>
    </row>
    <row r="190" spans="11:14" x14ac:dyDescent="0.25">
      <c r="K190" t="str">
        <v/>
      </c>
      <c r="L190" t="str">
        <v/>
      </c>
      <c r="M190" t="str">
        <v/>
      </c>
      <c r="N190" t="str">
        <v/>
      </c>
    </row>
    <row r="191" spans="11:14" x14ac:dyDescent="0.25">
      <c r="K191" t="str">
        <v/>
      </c>
      <c r="L191" t="str">
        <v/>
      </c>
      <c r="M191" t="str">
        <v/>
      </c>
      <c r="N191" t="str">
        <v/>
      </c>
    </row>
    <row r="192" spans="11:14" x14ac:dyDescent="0.25">
      <c r="K192" t="str">
        <v/>
      </c>
      <c r="L192" t="str">
        <v/>
      </c>
      <c r="M192" t="str">
        <v/>
      </c>
      <c r="N192" t="str">
        <v/>
      </c>
    </row>
    <row r="193" spans="11:14" x14ac:dyDescent="0.25">
      <c r="K193" t="str">
        <v/>
      </c>
      <c r="L193" t="str">
        <v/>
      </c>
      <c r="M193" t="str">
        <v/>
      </c>
      <c r="N193" t="str">
        <v/>
      </c>
    </row>
    <row r="194" spans="11:14" x14ac:dyDescent="0.25">
      <c r="K194" t="str">
        <v/>
      </c>
      <c r="L194" t="str">
        <v/>
      </c>
      <c r="M194" t="str">
        <v/>
      </c>
      <c r="N194" t="str">
        <v/>
      </c>
    </row>
    <row r="195" spans="11:14" x14ac:dyDescent="0.25">
      <c r="K195" t="str">
        <v/>
      </c>
      <c r="L195" t="str">
        <v/>
      </c>
      <c r="M195" t="str">
        <v/>
      </c>
      <c r="N195" t="str">
        <v/>
      </c>
    </row>
    <row r="196" spans="11:14" x14ac:dyDescent="0.25">
      <c r="K196" t="str">
        <v/>
      </c>
      <c r="L196" t="str">
        <v/>
      </c>
      <c r="M196" t="str">
        <v/>
      </c>
      <c r="N196" t="str">
        <v/>
      </c>
    </row>
    <row r="197" spans="11:14" x14ac:dyDescent="0.25">
      <c r="K197" t="str">
        <v/>
      </c>
      <c r="L197" t="str">
        <v/>
      </c>
      <c r="M197" t="str">
        <v/>
      </c>
      <c r="N197" t="str">
        <v/>
      </c>
    </row>
    <row r="198" spans="11:14" x14ac:dyDescent="0.25">
      <c r="K198" t="str">
        <v/>
      </c>
      <c r="L198" t="str">
        <v/>
      </c>
      <c r="M198" t="str">
        <v/>
      </c>
      <c r="N198" t="str">
        <v/>
      </c>
    </row>
    <row r="199" spans="11:14" x14ac:dyDescent="0.25">
      <c r="K199" t="str">
        <v/>
      </c>
      <c r="L199" t="str">
        <v/>
      </c>
      <c r="M199" t="str">
        <v/>
      </c>
      <c r="N199" t="str">
        <v/>
      </c>
    </row>
    <row r="200" spans="11:14" x14ac:dyDescent="0.25">
      <c r="K200" t="str">
        <v/>
      </c>
      <c r="L200" t="str">
        <v/>
      </c>
      <c r="M200" t="str">
        <v/>
      </c>
      <c r="N200" t="str">
        <v/>
      </c>
    </row>
    <row r="201" spans="11:14" x14ac:dyDescent="0.25">
      <c r="K201" t="str">
        <v/>
      </c>
      <c r="L201" t="str">
        <v/>
      </c>
      <c r="M201" t="str">
        <v/>
      </c>
      <c r="N201" t="str">
        <v/>
      </c>
    </row>
    <row r="202" spans="11:14" x14ac:dyDescent="0.25">
      <c r="K202" t="str">
        <v/>
      </c>
      <c r="L202" t="str">
        <v/>
      </c>
      <c r="M202" t="str">
        <v/>
      </c>
      <c r="N202" t="str">
        <v/>
      </c>
    </row>
    <row r="203" spans="11:14" x14ac:dyDescent="0.25">
      <c r="K203" t="str">
        <v/>
      </c>
      <c r="L203" t="str">
        <v/>
      </c>
      <c r="M203" t="str">
        <v/>
      </c>
      <c r="N203" t="str">
        <v/>
      </c>
    </row>
    <row r="204" spans="11:14" x14ac:dyDescent="0.25">
      <c r="K204" t="str">
        <v/>
      </c>
      <c r="L204" t="str">
        <v/>
      </c>
      <c r="M204" t="str">
        <v/>
      </c>
      <c r="N204" t="str">
        <v/>
      </c>
    </row>
    <row r="205" spans="11:14" x14ac:dyDescent="0.25">
      <c r="K205" t="str">
        <v/>
      </c>
      <c r="L205" t="str">
        <v/>
      </c>
      <c r="M205" t="str">
        <v/>
      </c>
      <c r="N205" t="str">
        <v/>
      </c>
    </row>
    <row r="206" spans="11:14" x14ac:dyDescent="0.25">
      <c r="K206" t="str">
        <v/>
      </c>
      <c r="L206" t="str">
        <v/>
      </c>
      <c r="M206" t="str">
        <v/>
      </c>
      <c r="N206" t="str">
        <v/>
      </c>
    </row>
    <row r="207" spans="11:14" x14ac:dyDescent="0.25">
      <c r="K207" t="str">
        <v/>
      </c>
      <c r="L207" t="str">
        <v/>
      </c>
      <c r="M207" t="str">
        <v/>
      </c>
      <c r="N207" t="str">
        <v/>
      </c>
    </row>
    <row r="208" spans="11:14" x14ac:dyDescent="0.25">
      <c r="K208" t="str">
        <v/>
      </c>
      <c r="L208" t="str">
        <v/>
      </c>
      <c r="M208" t="str">
        <v/>
      </c>
      <c r="N208" t="str">
        <v/>
      </c>
    </row>
    <row r="209" spans="11:14" x14ac:dyDescent="0.25">
      <c r="K209" t="str">
        <v/>
      </c>
      <c r="L209" t="str">
        <v/>
      </c>
      <c r="M209" t="str">
        <v/>
      </c>
      <c r="N209" t="str">
        <v/>
      </c>
    </row>
    <row r="210" spans="11:14" x14ac:dyDescent="0.25">
      <c r="K210" t="str">
        <v/>
      </c>
      <c r="L210" t="str">
        <v/>
      </c>
      <c r="M210" t="str">
        <v/>
      </c>
      <c r="N210" t="str">
        <v/>
      </c>
    </row>
    <row r="211" spans="11:14" x14ac:dyDescent="0.25">
      <c r="K211" t="str">
        <v/>
      </c>
      <c r="L211" t="str">
        <v/>
      </c>
      <c r="M211" t="str">
        <v/>
      </c>
      <c r="N211" t="str">
        <v/>
      </c>
    </row>
    <row r="212" spans="11:14" x14ac:dyDescent="0.25">
      <c r="K212" t="str">
        <v/>
      </c>
      <c r="L212" t="str">
        <v/>
      </c>
      <c r="M212" t="str">
        <v/>
      </c>
      <c r="N212" t="str">
        <v/>
      </c>
    </row>
    <row r="213" spans="11:14" x14ac:dyDescent="0.25">
      <c r="K213" t="str">
        <v/>
      </c>
      <c r="L213" t="str">
        <v/>
      </c>
      <c r="M213" t="str">
        <v/>
      </c>
      <c r="N213" t="str">
        <v/>
      </c>
    </row>
    <row r="214" spans="11:14" x14ac:dyDescent="0.25">
      <c r="K214" t="str">
        <v/>
      </c>
      <c r="L214" t="str">
        <v/>
      </c>
      <c r="M214" t="str">
        <v/>
      </c>
      <c r="N214" t="str">
        <v/>
      </c>
    </row>
    <row r="215" spans="11:14" x14ac:dyDescent="0.25">
      <c r="K215" t="str">
        <v/>
      </c>
      <c r="L215" t="str">
        <v/>
      </c>
      <c r="M215" t="str">
        <v/>
      </c>
      <c r="N215" t="str">
        <v/>
      </c>
    </row>
    <row r="216" spans="11:14" x14ac:dyDescent="0.25">
      <c r="K216" t="str">
        <v/>
      </c>
      <c r="L216" t="str">
        <v/>
      </c>
      <c r="M216" t="str">
        <v/>
      </c>
      <c r="N216" t="str">
        <v/>
      </c>
    </row>
    <row r="217" spans="11:14" x14ac:dyDescent="0.25">
      <c r="K217" t="str">
        <v/>
      </c>
      <c r="L217" t="str">
        <v/>
      </c>
      <c r="M217" t="str">
        <v/>
      </c>
      <c r="N217" t="str">
        <v/>
      </c>
    </row>
    <row r="218" spans="11:14" x14ac:dyDescent="0.25">
      <c r="K218" t="str">
        <v/>
      </c>
      <c r="L218" t="str">
        <v/>
      </c>
      <c r="M218" t="str">
        <v/>
      </c>
      <c r="N218" t="str">
        <v/>
      </c>
    </row>
    <row r="219" spans="11:14" x14ac:dyDescent="0.25">
      <c r="K219" t="str">
        <v/>
      </c>
      <c r="L219" t="str">
        <v/>
      </c>
      <c r="M219" t="str">
        <v/>
      </c>
      <c r="N219" t="str">
        <v/>
      </c>
    </row>
    <row r="220" spans="11:14" x14ac:dyDescent="0.25">
      <c r="K220" t="str">
        <v/>
      </c>
      <c r="L220" t="str">
        <v/>
      </c>
      <c r="M220" t="str">
        <v/>
      </c>
      <c r="N220" t="str">
        <v/>
      </c>
    </row>
    <row r="221" spans="11:14" x14ac:dyDescent="0.25">
      <c r="K221" t="str">
        <v/>
      </c>
      <c r="L221" t="str">
        <v/>
      </c>
      <c r="M221" t="str">
        <v/>
      </c>
      <c r="N221" t="str">
        <v/>
      </c>
    </row>
    <row r="222" spans="11:14" x14ac:dyDescent="0.25">
      <c r="K222" t="str">
        <v/>
      </c>
      <c r="L222" t="str">
        <v/>
      </c>
      <c r="M222" t="str">
        <v/>
      </c>
      <c r="N222" t="str">
        <v/>
      </c>
    </row>
    <row r="223" spans="11:14" x14ac:dyDescent="0.25">
      <c r="K223" t="str">
        <v/>
      </c>
      <c r="L223" t="str">
        <v/>
      </c>
      <c r="M223" t="str">
        <v/>
      </c>
      <c r="N223" t="str">
        <v/>
      </c>
    </row>
    <row r="224" spans="11:14" x14ac:dyDescent="0.25">
      <c r="K224" t="str">
        <v/>
      </c>
      <c r="L224" t="str">
        <v/>
      </c>
      <c r="M224" t="str">
        <v/>
      </c>
      <c r="N224" t="str">
        <v/>
      </c>
    </row>
    <row r="225" spans="11:14" x14ac:dyDescent="0.25">
      <c r="K225" t="str">
        <v/>
      </c>
      <c r="L225" t="str">
        <v/>
      </c>
      <c r="M225" t="str">
        <v/>
      </c>
      <c r="N225" t="str">
        <v/>
      </c>
    </row>
    <row r="226" spans="11:14" x14ac:dyDescent="0.25">
      <c r="K226" t="str">
        <v/>
      </c>
      <c r="L226" t="str">
        <v/>
      </c>
      <c r="M226" t="str">
        <v/>
      </c>
      <c r="N226" t="str">
        <v/>
      </c>
    </row>
    <row r="227" spans="11:14" x14ac:dyDescent="0.25">
      <c r="K227" t="str">
        <v/>
      </c>
      <c r="L227" t="str">
        <v/>
      </c>
      <c r="M227" t="str">
        <v/>
      </c>
      <c r="N227" t="str">
        <v/>
      </c>
    </row>
    <row r="228" spans="11:14" x14ac:dyDescent="0.25">
      <c r="K228" t="str">
        <v/>
      </c>
      <c r="L228" t="str">
        <v/>
      </c>
      <c r="M228" t="str">
        <v/>
      </c>
      <c r="N228" t="str">
        <v/>
      </c>
    </row>
    <row r="229" spans="11:14" x14ac:dyDescent="0.25">
      <c r="K229" t="str">
        <v/>
      </c>
      <c r="L229" t="str">
        <v/>
      </c>
      <c r="M229" t="str">
        <v/>
      </c>
      <c r="N229" t="str">
        <v/>
      </c>
    </row>
    <row r="230" spans="11:14" x14ac:dyDescent="0.25">
      <c r="K230" t="str">
        <v/>
      </c>
      <c r="L230" t="str">
        <v/>
      </c>
      <c r="M230" t="str">
        <v/>
      </c>
      <c r="N230" t="str">
        <v/>
      </c>
    </row>
    <row r="231" spans="11:14" x14ac:dyDescent="0.25">
      <c r="K231" t="str">
        <v/>
      </c>
      <c r="L231" t="str">
        <v/>
      </c>
      <c r="M231" t="str">
        <v/>
      </c>
      <c r="N231" t="str">
        <v/>
      </c>
    </row>
    <row r="232" spans="11:14" x14ac:dyDescent="0.25">
      <c r="K232" t="str">
        <v/>
      </c>
      <c r="L232" t="str">
        <v/>
      </c>
      <c r="M232" t="str">
        <v/>
      </c>
      <c r="N232" t="str">
        <v/>
      </c>
    </row>
    <row r="233" spans="11:14" x14ac:dyDescent="0.25">
      <c r="K233" t="str">
        <v/>
      </c>
      <c r="L233" t="str">
        <v/>
      </c>
      <c r="M233" t="str">
        <v/>
      </c>
      <c r="N233" t="str">
        <v/>
      </c>
    </row>
    <row r="234" spans="11:14" x14ac:dyDescent="0.25">
      <c r="K234" t="str">
        <v/>
      </c>
      <c r="L234" t="str">
        <v/>
      </c>
      <c r="M234" t="str">
        <v/>
      </c>
      <c r="N234" t="str">
        <v/>
      </c>
    </row>
    <row r="235" spans="11:14" x14ac:dyDescent="0.25">
      <c r="K235" t="str">
        <v/>
      </c>
      <c r="L235" t="str">
        <v/>
      </c>
      <c r="M235" t="str">
        <v/>
      </c>
      <c r="N235" t="str">
        <v/>
      </c>
    </row>
    <row r="236" spans="11:14" x14ac:dyDescent="0.25">
      <c r="K236" t="str">
        <v/>
      </c>
      <c r="L236" t="str">
        <v/>
      </c>
      <c r="M236" t="str">
        <v/>
      </c>
      <c r="N236" t="str">
        <v/>
      </c>
    </row>
    <row r="237" spans="11:14" x14ac:dyDescent="0.25">
      <c r="K237" t="str">
        <v/>
      </c>
      <c r="L237" t="str">
        <v/>
      </c>
      <c r="M237" t="str">
        <v/>
      </c>
      <c r="N237" t="str">
        <v/>
      </c>
    </row>
    <row r="238" spans="11:14" x14ac:dyDescent="0.25">
      <c r="K238" t="str">
        <v/>
      </c>
      <c r="L238" t="str">
        <v/>
      </c>
      <c r="M238" t="str">
        <v/>
      </c>
      <c r="N238" t="str">
        <v/>
      </c>
    </row>
    <row r="239" spans="11:14" x14ac:dyDescent="0.25">
      <c r="K239" t="str">
        <v/>
      </c>
      <c r="L239" t="str">
        <v/>
      </c>
      <c r="M239" t="str">
        <v/>
      </c>
      <c r="N239" t="str">
        <v/>
      </c>
    </row>
    <row r="240" spans="11:14" x14ac:dyDescent="0.25">
      <c r="K240" t="str">
        <v/>
      </c>
      <c r="L240" t="str">
        <v/>
      </c>
      <c r="M240" t="str">
        <v/>
      </c>
      <c r="N240" t="str">
        <v/>
      </c>
    </row>
    <row r="241" spans="11:14" x14ac:dyDescent="0.25">
      <c r="K241" t="str">
        <v/>
      </c>
      <c r="L241" t="str">
        <v/>
      </c>
      <c r="M241" t="str">
        <v/>
      </c>
      <c r="N241" t="str">
        <v/>
      </c>
    </row>
    <row r="242" spans="11:14" x14ac:dyDescent="0.25">
      <c r="K242" t="str">
        <v/>
      </c>
      <c r="L242" t="str">
        <v/>
      </c>
      <c r="M242" t="str">
        <v/>
      </c>
      <c r="N242" t="str">
        <v/>
      </c>
    </row>
    <row r="243" spans="11:14" x14ac:dyDescent="0.25">
      <c r="K243" t="str">
        <v/>
      </c>
      <c r="L243" t="str">
        <v/>
      </c>
      <c r="M243" t="str">
        <v/>
      </c>
      <c r="N243" t="str">
        <v/>
      </c>
    </row>
    <row r="244" spans="11:14" x14ac:dyDescent="0.25">
      <c r="K244" t="str">
        <v/>
      </c>
      <c r="L244" t="str">
        <v/>
      </c>
      <c r="M244" t="str">
        <v/>
      </c>
      <c r="N244" t="str">
        <v/>
      </c>
    </row>
    <row r="245" spans="11:14" x14ac:dyDescent="0.25">
      <c r="K245" t="str">
        <v/>
      </c>
      <c r="L245" t="str">
        <v/>
      </c>
      <c r="M245" t="str">
        <v/>
      </c>
      <c r="N245" t="str">
        <v/>
      </c>
    </row>
    <row r="246" spans="11:14" x14ac:dyDescent="0.25">
      <c r="K246" t="str">
        <v/>
      </c>
      <c r="L246" t="str">
        <v/>
      </c>
      <c r="M246" t="str">
        <v/>
      </c>
      <c r="N246" t="str">
        <v/>
      </c>
    </row>
    <row r="247" spans="11:14" x14ac:dyDescent="0.25">
      <c r="K247" t="str">
        <v/>
      </c>
      <c r="L247" t="str">
        <v/>
      </c>
      <c r="M247" t="str">
        <v/>
      </c>
      <c r="N247" t="str">
        <v/>
      </c>
    </row>
    <row r="248" spans="11:14" x14ac:dyDescent="0.25">
      <c r="K248" t="str">
        <v/>
      </c>
      <c r="L248" t="str">
        <v/>
      </c>
      <c r="M248" t="str">
        <v/>
      </c>
      <c r="N248" t="str">
        <v/>
      </c>
    </row>
    <row r="249" spans="11:14" x14ac:dyDescent="0.25">
      <c r="K249" t="str">
        <v/>
      </c>
      <c r="L249" t="str">
        <v/>
      </c>
      <c r="M249" t="str">
        <v/>
      </c>
      <c r="N249" t="str">
        <v/>
      </c>
    </row>
    <row r="250" spans="11:14" x14ac:dyDescent="0.25">
      <c r="K250" t="str">
        <v/>
      </c>
      <c r="L250" t="str">
        <v/>
      </c>
      <c r="M250" t="str">
        <v/>
      </c>
      <c r="N250" t="str">
        <v/>
      </c>
    </row>
    <row r="251" spans="11:14" x14ac:dyDescent="0.25">
      <c r="K251" t="str">
        <v/>
      </c>
      <c r="L251" t="str">
        <v/>
      </c>
      <c r="M251" t="str">
        <v/>
      </c>
      <c r="N251" t="str">
        <v/>
      </c>
    </row>
    <row r="252" spans="11:14" x14ac:dyDescent="0.25">
      <c r="K252" t="str">
        <v/>
      </c>
      <c r="L252" t="str">
        <v/>
      </c>
      <c r="M252" t="str">
        <v/>
      </c>
      <c r="N252" t="str">
        <v/>
      </c>
    </row>
    <row r="253" spans="11:14" x14ac:dyDescent="0.25">
      <c r="K253" t="str">
        <v/>
      </c>
      <c r="L253" t="str">
        <v/>
      </c>
      <c r="M253" t="str">
        <v/>
      </c>
      <c r="N253" t="str">
        <v/>
      </c>
    </row>
    <row r="254" spans="11:14" x14ac:dyDescent="0.25">
      <c r="K254" t="str">
        <v/>
      </c>
      <c r="L254" t="str">
        <v/>
      </c>
      <c r="M254" t="str">
        <v/>
      </c>
      <c r="N254" t="str">
        <v/>
      </c>
    </row>
    <row r="255" spans="11:14" x14ac:dyDescent="0.25">
      <c r="K255" t="str">
        <v/>
      </c>
      <c r="L255" t="str">
        <v/>
      </c>
      <c r="M255" t="str">
        <v/>
      </c>
      <c r="N255" t="str">
        <v/>
      </c>
    </row>
    <row r="256" spans="11:14" x14ac:dyDescent="0.25">
      <c r="K256" t="str">
        <v/>
      </c>
      <c r="L256" t="str">
        <v/>
      </c>
      <c r="M256" t="str">
        <v/>
      </c>
      <c r="N256" t="str">
        <v/>
      </c>
    </row>
    <row r="257" spans="11:14" x14ac:dyDescent="0.25">
      <c r="K257" t="str">
        <v/>
      </c>
      <c r="L257" t="str">
        <v/>
      </c>
      <c r="M257" t="str">
        <v/>
      </c>
      <c r="N257" t="str">
        <v/>
      </c>
    </row>
    <row r="258" spans="11:14" x14ac:dyDescent="0.25">
      <c r="K258" t="str">
        <v/>
      </c>
      <c r="L258" t="str">
        <v/>
      </c>
      <c r="M258" t="str">
        <v/>
      </c>
      <c r="N258" t="str">
        <v/>
      </c>
    </row>
    <row r="259" spans="11:14" x14ac:dyDescent="0.25">
      <c r="K259" t="str">
        <v/>
      </c>
      <c r="L259" t="str">
        <v/>
      </c>
      <c r="M259" t="str">
        <v/>
      </c>
      <c r="N259" t="str">
        <v/>
      </c>
    </row>
    <row r="260" spans="11:14" x14ac:dyDescent="0.25">
      <c r="K260" t="str">
        <v/>
      </c>
      <c r="L260" t="str">
        <v/>
      </c>
      <c r="M260" t="str">
        <v/>
      </c>
      <c r="N260" t="str">
        <v/>
      </c>
    </row>
    <row r="261" spans="11:14" x14ac:dyDescent="0.25">
      <c r="K261" t="str">
        <v/>
      </c>
      <c r="L261" t="str">
        <v/>
      </c>
      <c r="M261" t="str">
        <v/>
      </c>
      <c r="N261" t="str">
        <v/>
      </c>
    </row>
    <row r="262" spans="11:14" x14ac:dyDescent="0.25">
      <c r="K262" t="str">
        <v/>
      </c>
      <c r="L262" t="str">
        <v/>
      </c>
      <c r="M262" t="str">
        <v/>
      </c>
      <c r="N262" t="str">
        <v/>
      </c>
    </row>
    <row r="263" spans="11:14" x14ac:dyDescent="0.25">
      <c r="K263" t="str">
        <v/>
      </c>
      <c r="L263" t="str">
        <v/>
      </c>
      <c r="M263" t="str">
        <v/>
      </c>
      <c r="N263" t="str">
        <v/>
      </c>
    </row>
    <row r="264" spans="11:14" x14ac:dyDescent="0.25">
      <c r="K264" t="str">
        <v/>
      </c>
      <c r="L264" t="str">
        <v/>
      </c>
      <c r="M264" t="str">
        <v/>
      </c>
      <c r="N264" t="str">
        <v/>
      </c>
    </row>
    <row r="265" spans="11:14" x14ac:dyDescent="0.25">
      <c r="K265" t="str">
        <v/>
      </c>
      <c r="L265" t="str">
        <v/>
      </c>
      <c r="M265" t="str">
        <v/>
      </c>
      <c r="N265" t="str">
        <v/>
      </c>
    </row>
    <row r="266" spans="11:14" x14ac:dyDescent="0.25">
      <c r="K266" t="str">
        <v/>
      </c>
      <c r="L266" t="str">
        <v/>
      </c>
      <c r="M266" t="str">
        <v/>
      </c>
      <c r="N266" t="str">
        <v/>
      </c>
    </row>
    <row r="267" spans="11:14" x14ac:dyDescent="0.25">
      <c r="K267" t="str">
        <v/>
      </c>
      <c r="L267" t="str">
        <v/>
      </c>
      <c r="M267" t="str">
        <v/>
      </c>
      <c r="N267" t="str">
        <v/>
      </c>
    </row>
    <row r="268" spans="11:14" x14ac:dyDescent="0.25">
      <c r="K268" t="str">
        <v/>
      </c>
      <c r="L268" t="str">
        <v/>
      </c>
      <c r="M268" t="str">
        <v/>
      </c>
      <c r="N268" t="str">
        <v/>
      </c>
    </row>
    <row r="269" spans="11:14" x14ac:dyDescent="0.25">
      <c r="K269" t="str">
        <v/>
      </c>
      <c r="L269" t="str">
        <v/>
      </c>
      <c r="M269" t="str">
        <v/>
      </c>
      <c r="N269" t="str">
        <v/>
      </c>
    </row>
    <row r="270" spans="11:14" x14ac:dyDescent="0.25">
      <c r="K270" t="str">
        <v/>
      </c>
      <c r="L270" t="str">
        <v/>
      </c>
      <c r="M270" t="str">
        <v/>
      </c>
      <c r="N270" t="str">
        <v/>
      </c>
    </row>
    <row r="271" spans="11:14" x14ac:dyDescent="0.25">
      <c r="K271" t="str">
        <v/>
      </c>
      <c r="L271" t="str">
        <v/>
      </c>
      <c r="M271" t="str">
        <v/>
      </c>
      <c r="N271" t="str">
        <v/>
      </c>
    </row>
    <row r="272" spans="11:14" x14ac:dyDescent="0.25">
      <c r="K272" t="str">
        <v/>
      </c>
      <c r="L272" t="str">
        <v/>
      </c>
      <c r="M272" t="str">
        <v/>
      </c>
      <c r="N272" t="str">
        <v/>
      </c>
    </row>
    <row r="273" spans="11:14" x14ac:dyDescent="0.25">
      <c r="K273" t="str">
        <v/>
      </c>
      <c r="L273" t="str">
        <v/>
      </c>
      <c r="M273" t="str">
        <v/>
      </c>
      <c r="N273" t="str">
        <v/>
      </c>
    </row>
    <row r="274" spans="11:14" x14ac:dyDescent="0.25">
      <c r="K274" t="str">
        <v/>
      </c>
      <c r="L274" t="str">
        <v/>
      </c>
      <c r="M274" t="str">
        <v/>
      </c>
      <c r="N274" t="str">
        <v/>
      </c>
    </row>
    <row r="275" spans="11:14" x14ac:dyDescent="0.25">
      <c r="K275" t="str">
        <v/>
      </c>
      <c r="L275" t="str">
        <v/>
      </c>
      <c r="M275" t="str">
        <v/>
      </c>
      <c r="N275" t="str">
        <v/>
      </c>
    </row>
    <row r="276" spans="11:14" x14ac:dyDescent="0.25">
      <c r="K276" t="str">
        <v/>
      </c>
      <c r="L276" t="str">
        <v/>
      </c>
      <c r="M276" t="str">
        <v/>
      </c>
      <c r="N276" t="str">
        <v/>
      </c>
    </row>
    <row r="277" spans="11:14" x14ac:dyDescent="0.25">
      <c r="K277" t="str">
        <v/>
      </c>
      <c r="L277" t="str">
        <v/>
      </c>
      <c r="M277" t="str">
        <v/>
      </c>
      <c r="N277" t="str">
        <v/>
      </c>
    </row>
    <row r="278" spans="11:14" x14ac:dyDescent="0.25">
      <c r="K278" t="str">
        <v/>
      </c>
      <c r="L278" t="str">
        <v/>
      </c>
      <c r="M278" t="str">
        <v/>
      </c>
      <c r="N278" t="str">
        <v/>
      </c>
    </row>
    <row r="279" spans="11:14" x14ac:dyDescent="0.25">
      <c r="K279" t="str">
        <v/>
      </c>
      <c r="L279" t="str">
        <v/>
      </c>
      <c r="M279" t="str">
        <v/>
      </c>
      <c r="N279" t="str">
        <v/>
      </c>
    </row>
    <row r="280" spans="11:14" x14ac:dyDescent="0.25">
      <c r="K280" t="str">
        <v/>
      </c>
      <c r="L280" t="str">
        <v/>
      </c>
      <c r="M280" t="str">
        <v/>
      </c>
      <c r="N280" t="str">
        <v/>
      </c>
    </row>
    <row r="281" spans="11:14" x14ac:dyDescent="0.25">
      <c r="K281" t="str">
        <v/>
      </c>
      <c r="L281" t="str">
        <v/>
      </c>
      <c r="M281" t="str">
        <v/>
      </c>
      <c r="N281" t="str">
        <v/>
      </c>
    </row>
    <row r="282" spans="11:14" x14ac:dyDescent="0.25">
      <c r="K282" t="str">
        <v/>
      </c>
      <c r="L282" t="str">
        <v/>
      </c>
      <c r="M282" t="str">
        <v/>
      </c>
      <c r="N282" t="str">
        <v/>
      </c>
    </row>
    <row r="283" spans="11:14" x14ac:dyDescent="0.25">
      <c r="K283" t="str">
        <v/>
      </c>
      <c r="L283" t="str">
        <v/>
      </c>
      <c r="M283" t="str">
        <v/>
      </c>
      <c r="N283" t="str">
        <v/>
      </c>
    </row>
    <row r="284" spans="11:14" x14ac:dyDescent="0.25">
      <c r="K284" t="str">
        <v/>
      </c>
      <c r="L284" t="str">
        <v/>
      </c>
      <c r="M284" t="str">
        <v/>
      </c>
      <c r="N284" t="str">
        <v/>
      </c>
    </row>
    <row r="285" spans="11:14" x14ac:dyDescent="0.25">
      <c r="K285" t="str">
        <v/>
      </c>
      <c r="L285" t="str">
        <v/>
      </c>
      <c r="M285" t="str">
        <v/>
      </c>
      <c r="N285" t="str">
        <v/>
      </c>
    </row>
    <row r="286" spans="11:14" x14ac:dyDescent="0.25">
      <c r="K286" t="str">
        <v/>
      </c>
      <c r="L286" t="str">
        <v/>
      </c>
      <c r="M286" t="str">
        <v/>
      </c>
      <c r="N286" t="str">
        <v/>
      </c>
    </row>
    <row r="287" spans="11:14" x14ac:dyDescent="0.25">
      <c r="K287" t="str">
        <v/>
      </c>
      <c r="L287" t="str">
        <v/>
      </c>
      <c r="M287" t="str">
        <v/>
      </c>
      <c r="N287" t="str">
        <v/>
      </c>
    </row>
    <row r="288" spans="11:14" x14ac:dyDescent="0.25">
      <c r="K288" t="str">
        <v/>
      </c>
      <c r="L288" t="str">
        <v/>
      </c>
      <c r="M288" t="str">
        <v/>
      </c>
      <c r="N288" t="str">
        <v/>
      </c>
    </row>
    <row r="289" spans="11:14" x14ac:dyDescent="0.25">
      <c r="K289" t="str">
        <v/>
      </c>
      <c r="L289" t="str">
        <v/>
      </c>
      <c r="M289" t="str">
        <v/>
      </c>
      <c r="N289" t="str">
        <v/>
      </c>
    </row>
    <row r="290" spans="11:14" x14ac:dyDescent="0.25">
      <c r="K290" t="str">
        <v/>
      </c>
      <c r="L290" t="str">
        <v/>
      </c>
      <c r="M290" t="str">
        <v/>
      </c>
      <c r="N290" t="str">
        <v/>
      </c>
    </row>
    <row r="291" spans="11:14" x14ac:dyDescent="0.25">
      <c r="K291" t="str">
        <v/>
      </c>
      <c r="L291" t="str">
        <v/>
      </c>
      <c r="M291" t="str">
        <v/>
      </c>
      <c r="N291" t="str">
        <v/>
      </c>
    </row>
    <row r="292" spans="11:14" x14ac:dyDescent="0.25">
      <c r="K292" t="str">
        <v/>
      </c>
      <c r="L292" t="str">
        <v/>
      </c>
      <c r="M292" t="str">
        <v/>
      </c>
      <c r="N292" t="str">
        <v/>
      </c>
    </row>
    <row r="293" spans="11:14" x14ac:dyDescent="0.25">
      <c r="K293" t="str">
        <v/>
      </c>
      <c r="L293" t="str">
        <v/>
      </c>
      <c r="M293" t="str">
        <v/>
      </c>
      <c r="N293" t="str">
        <v/>
      </c>
    </row>
    <row r="294" spans="11:14" x14ac:dyDescent="0.25">
      <c r="K294" t="str">
        <v/>
      </c>
      <c r="L294" t="str">
        <v/>
      </c>
      <c r="M294" t="str">
        <v/>
      </c>
      <c r="N294" t="str">
        <v/>
      </c>
    </row>
    <row r="295" spans="11:14" x14ac:dyDescent="0.25">
      <c r="K295" t="str">
        <v/>
      </c>
      <c r="L295" t="str">
        <v/>
      </c>
      <c r="M295" t="str">
        <v/>
      </c>
      <c r="N295" t="str">
        <v/>
      </c>
    </row>
    <row r="296" spans="11:14" x14ac:dyDescent="0.25">
      <c r="K296" t="str">
        <v/>
      </c>
      <c r="L296" t="str">
        <v/>
      </c>
      <c r="M296" t="str">
        <v/>
      </c>
      <c r="N296" t="str">
        <v/>
      </c>
    </row>
    <row r="297" spans="11:14" x14ac:dyDescent="0.25">
      <c r="K297" t="str">
        <v/>
      </c>
      <c r="L297" t="str">
        <v/>
      </c>
      <c r="M297" t="str">
        <v/>
      </c>
      <c r="N297" t="str">
        <v/>
      </c>
    </row>
    <row r="298" spans="11:14" x14ac:dyDescent="0.25">
      <c r="K298" t="str">
        <v/>
      </c>
      <c r="L298" t="str">
        <v/>
      </c>
      <c r="M298" t="str">
        <v/>
      </c>
      <c r="N298" t="str">
        <v/>
      </c>
    </row>
    <row r="299" spans="11:14" x14ac:dyDescent="0.25">
      <c r="K299" t="str">
        <v/>
      </c>
      <c r="L299" t="str">
        <v/>
      </c>
      <c r="M299" t="str">
        <v/>
      </c>
      <c r="N299" t="str">
        <v/>
      </c>
    </row>
    <row r="300" spans="11:14" x14ac:dyDescent="0.25">
      <c r="K300" t="str">
        <v/>
      </c>
      <c r="L300" t="str">
        <v/>
      </c>
      <c r="M300" t="str">
        <v/>
      </c>
      <c r="N300" t="str">
        <v/>
      </c>
    </row>
    <row r="301" spans="11:14" x14ac:dyDescent="0.25">
      <c r="K301" t="str">
        <v/>
      </c>
      <c r="L301" t="str">
        <v/>
      </c>
      <c r="M301" t="str">
        <v/>
      </c>
      <c r="N301" t="str">
        <v/>
      </c>
    </row>
    <row r="302" spans="11:14" x14ac:dyDescent="0.25">
      <c r="K302" t="str">
        <v/>
      </c>
      <c r="L302" t="str">
        <v/>
      </c>
      <c r="M302" t="str">
        <v/>
      </c>
      <c r="N302" t="str">
        <v/>
      </c>
    </row>
    <row r="303" spans="11:14" x14ac:dyDescent="0.25">
      <c r="K303" t="str">
        <v/>
      </c>
      <c r="L303" t="str">
        <v/>
      </c>
      <c r="M303" t="str">
        <v/>
      </c>
      <c r="N303" t="str">
        <v/>
      </c>
    </row>
  </sheetData>
  <sheetProtection pivotTables="0"/>
  <conditionalFormatting sqref="K4:N7 K10:N35">
    <cfRule type="cellIs" dxfId="32" priority="7" operator="greaterThan">
      <formula>1</formula>
    </cfRule>
    <cfRule type="cellIs" dxfId="31" priority="8" operator="greaterThan">
      <formula>0</formula>
    </cfRule>
  </conditionalFormatting>
  <conditionalFormatting sqref="K9:N9">
    <cfRule type="cellIs" dxfId="30" priority="5" operator="greaterThan">
      <formula>1</formula>
    </cfRule>
    <cfRule type="cellIs" dxfId="29" priority="6" operator="greaterThan">
      <formula>0</formula>
    </cfRule>
  </conditionalFormatting>
  <conditionalFormatting sqref="K3:N3">
    <cfRule type="cellIs" dxfId="28" priority="3" operator="greaterThan">
      <formula>1</formula>
    </cfRule>
    <cfRule type="cellIs" dxfId="27" priority="4" operator="greaterThan">
      <formula>0</formula>
    </cfRule>
  </conditionalFormatting>
  <conditionalFormatting sqref="K36:N36">
    <cfRule type="cellIs" dxfId="26" priority="1" operator="greaterThan">
      <formula>1</formula>
    </cfRule>
    <cfRule type="cellIs" dxfId="25" priority="2" operator="greaterThan">
      <formula>0</formula>
    </cfRule>
  </conditionalFormatting>
  <pageMargins left="0.7" right="0.7" top="0.75" bottom="0.75" header="0.3" footer="0.3"/>
  <pageSetup orientation="portrait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2346-C171-4ECF-9283-E7AACAB0218B}">
  <dimension ref="A1:E77"/>
  <sheetViews>
    <sheetView workbookViewId="0">
      <selection sqref="A1:A2"/>
    </sheetView>
  </sheetViews>
  <sheetFormatPr defaultRowHeight="15" x14ac:dyDescent="0.25"/>
  <cols>
    <col min="1" max="1" width="45.5703125" bestFit="1" customWidth="1"/>
    <col min="2" max="2" width="15.28515625" bestFit="1" customWidth="1"/>
    <col min="3" max="3" width="12.7109375" bestFit="1" customWidth="1"/>
  </cols>
  <sheetData>
    <row r="1" spans="1:5" x14ac:dyDescent="0.25">
      <c r="A1" s="186"/>
      <c r="B1" s="136" t="s">
        <v>399</v>
      </c>
      <c r="C1" s="188" t="s">
        <v>41</v>
      </c>
      <c r="D1" s="188" t="s">
        <v>401</v>
      </c>
      <c r="E1" s="190" t="s">
        <v>262</v>
      </c>
    </row>
    <row r="2" spans="1:5" ht="23.25" thickBot="1" x14ac:dyDescent="0.3">
      <c r="A2" s="187"/>
      <c r="B2" s="137" t="s">
        <v>400</v>
      </c>
      <c r="C2" s="189"/>
      <c r="D2" s="189"/>
      <c r="E2" s="191"/>
    </row>
    <row r="3" spans="1:5" ht="15.75" thickBot="1" x14ac:dyDescent="0.3">
      <c r="A3" s="138" t="s">
        <v>402</v>
      </c>
      <c r="B3" s="144">
        <f>'Annual Program Summary'!K3</f>
        <v>2.7986351055984282</v>
      </c>
      <c r="C3" s="144">
        <f>'Annual Program Summary'!K6</f>
        <v>2.4987781289395827</v>
      </c>
      <c r="D3" s="144">
        <f>'Annual Program Summary'!K5</f>
        <v>1.7335531786356173</v>
      </c>
      <c r="E3" s="144">
        <f>'Annual Program Summary'!K7</f>
        <v>1.826931584207651</v>
      </c>
    </row>
    <row r="4" spans="1:5" ht="23.25" thickBot="1" x14ac:dyDescent="0.3">
      <c r="A4" s="138" t="s">
        <v>403</v>
      </c>
      <c r="B4" s="144">
        <f>'Annual Program Summary'!L3</f>
        <v>0.52475691012305037</v>
      </c>
      <c r="C4" s="144">
        <f>'Annual Program Summary'!L6</f>
        <v>1.9756096062733992</v>
      </c>
      <c r="D4" s="144">
        <f>'Annual Program Summary'!L5</f>
        <v>1.4945134680298473</v>
      </c>
      <c r="E4" s="144">
        <f>'Annual Program Summary'!L7</f>
        <v>1.330374511865837</v>
      </c>
    </row>
    <row r="5" spans="1:5" x14ac:dyDescent="0.25">
      <c r="A5" s="139"/>
    </row>
    <row r="6" spans="1:5" x14ac:dyDescent="0.25">
      <c r="A6" s="140"/>
    </row>
    <row r="7" spans="1:5" x14ac:dyDescent="0.25">
      <c r="A7" s="140"/>
    </row>
    <row r="8" spans="1:5" x14ac:dyDescent="0.25">
      <c r="A8" s="140" t="s">
        <v>483</v>
      </c>
    </row>
    <row r="9" spans="1:5" ht="15.75" thickBot="1" x14ac:dyDescent="0.3">
      <c r="A9" s="180"/>
      <c r="B9" s="154" t="s">
        <v>473</v>
      </c>
      <c r="C9" s="155" t="s">
        <v>474</v>
      </c>
    </row>
    <row r="10" spans="1:5" ht="15.75" thickBot="1" x14ac:dyDescent="0.3">
      <c r="A10" s="162" t="s">
        <v>448</v>
      </c>
      <c r="B10" s="178">
        <f>'Appendix C'!B6/1000</f>
        <v>723.22462625609535</v>
      </c>
      <c r="C10" s="182">
        <f>'Appendix C'!C4</f>
        <v>2593892.994494292</v>
      </c>
    </row>
    <row r="11" spans="1:5" ht="15.75" thickBot="1" x14ac:dyDescent="0.3">
      <c r="A11" s="161" t="s">
        <v>480</v>
      </c>
      <c r="B11" s="173" t="s">
        <v>482</v>
      </c>
      <c r="C11" s="183">
        <f>'Appendix C'!C5</f>
        <v>2000000</v>
      </c>
    </row>
    <row r="12" spans="1:5" ht="15.75" thickBot="1" x14ac:dyDescent="0.3">
      <c r="A12" s="161" t="s">
        <v>475</v>
      </c>
      <c r="B12" s="173">
        <f>'Appendix C'!B14/1000</f>
        <v>6195.0674804011669</v>
      </c>
      <c r="C12" s="183">
        <f>'Appendix C'!C14</f>
        <v>1394740.22593858</v>
      </c>
    </row>
    <row r="13" spans="1:5" ht="15.75" thickBot="1" x14ac:dyDescent="0.3">
      <c r="A13" s="161" t="s">
        <v>476</v>
      </c>
      <c r="B13" s="173">
        <f>'Appendix C'!B25/1000</f>
        <v>30730.801956700867</v>
      </c>
      <c r="C13" s="183">
        <f>'Appendix C'!C25</f>
        <v>10285004.573068641</v>
      </c>
    </row>
    <row r="14" spans="1:5" ht="15.75" thickBot="1" x14ac:dyDescent="0.3">
      <c r="A14" s="161" t="s">
        <v>477</v>
      </c>
      <c r="B14" s="173" t="s">
        <v>482</v>
      </c>
      <c r="C14" s="183">
        <f>'Appendix C'!C31</f>
        <v>1122266.5</v>
      </c>
    </row>
    <row r="15" spans="1:5" ht="15.75" thickBot="1" x14ac:dyDescent="0.3">
      <c r="A15" s="170" t="s">
        <v>478</v>
      </c>
      <c r="B15" s="173">
        <f>'Appendix C'!B27/1000</f>
        <v>8234.4</v>
      </c>
      <c r="C15" s="184">
        <f>'Appendix C'!C27</f>
        <v>1539138</v>
      </c>
    </row>
    <row r="16" spans="1:5" ht="15.75" thickBot="1" x14ac:dyDescent="0.3">
      <c r="A16" s="170" t="s">
        <v>459</v>
      </c>
      <c r="B16" s="174"/>
      <c r="C16" s="184">
        <f>'Appendix C'!C29</f>
        <v>2867915.9969999995</v>
      </c>
    </row>
    <row r="17" spans="1:3" ht="15.75" thickBot="1" x14ac:dyDescent="0.3">
      <c r="A17" s="170" t="s">
        <v>481</v>
      </c>
      <c r="B17" s="174"/>
      <c r="C17" s="184">
        <f>'Appendix C'!C30</f>
        <v>4125981.5982000004</v>
      </c>
    </row>
    <row r="18" spans="1:3" ht="15.75" thickBot="1" x14ac:dyDescent="0.3">
      <c r="A18" s="170" t="s">
        <v>458</v>
      </c>
      <c r="B18" s="174"/>
      <c r="C18" s="184">
        <f>'Appendix C'!C28</f>
        <v>704899.06199999992</v>
      </c>
    </row>
    <row r="19" spans="1:3" x14ac:dyDescent="0.25">
      <c r="A19" s="160" t="s">
        <v>479</v>
      </c>
      <c r="B19" s="181">
        <f>SUM(B10:B18)</f>
        <v>45883.494063358128</v>
      </c>
      <c r="C19" s="185">
        <f>SUM(C10:C18)</f>
        <v>26633838.950701512</v>
      </c>
    </row>
    <row r="20" spans="1:3" x14ac:dyDescent="0.25">
      <c r="A20" s="140"/>
    </row>
    <row r="21" spans="1:3" x14ac:dyDescent="0.25">
      <c r="A21" s="140"/>
    </row>
    <row r="22" spans="1:3" x14ac:dyDescent="0.25">
      <c r="A22" s="140"/>
    </row>
    <row r="23" spans="1:3" x14ac:dyDescent="0.25">
      <c r="A23" s="140"/>
      <c r="B23" s="39"/>
    </row>
    <row r="24" spans="1:3" x14ac:dyDescent="0.25">
      <c r="A24" s="140"/>
      <c r="B24" s="39"/>
    </row>
    <row r="25" spans="1:3" x14ac:dyDescent="0.25">
      <c r="A25" s="140"/>
      <c r="B25" s="39"/>
    </row>
    <row r="26" spans="1:3" x14ac:dyDescent="0.25">
      <c r="B26" s="39"/>
    </row>
    <row r="27" spans="1:3" x14ac:dyDescent="0.25">
      <c r="B27" s="39"/>
    </row>
    <row r="28" spans="1:3" x14ac:dyDescent="0.25">
      <c r="B28" s="39"/>
    </row>
    <row r="29" spans="1:3" x14ac:dyDescent="0.25">
      <c r="B29" s="39"/>
    </row>
    <row r="31" spans="1:3" x14ac:dyDescent="0.25">
      <c r="B31" s="135"/>
    </row>
    <row r="35" spans="1:3" x14ac:dyDescent="0.25">
      <c r="B35" t="s">
        <v>405</v>
      </c>
      <c r="C35" t="s">
        <v>406</v>
      </c>
    </row>
    <row r="36" spans="1:3" x14ac:dyDescent="0.25">
      <c r="A36" t="s">
        <v>407</v>
      </c>
      <c r="B36" s="141">
        <v>31717</v>
      </c>
      <c r="C36" s="141">
        <v>37649</v>
      </c>
    </row>
    <row r="37" spans="1:3" x14ac:dyDescent="0.25">
      <c r="A37" t="s">
        <v>404</v>
      </c>
      <c r="B37" s="141">
        <v>50804</v>
      </c>
    </row>
    <row r="55" spans="1:2" x14ac:dyDescent="0.25">
      <c r="A55" t="s">
        <v>411</v>
      </c>
    </row>
    <row r="57" spans="1:2" x14ac:dyDescent="0.25">
      <c r="A57" s="19" t="s">
        <v>427</v>
      </c>
      <c r="B57" s="50">
        <f>GETPIVOTDATA("Total kWh Savings",'Annual Program Summary'!$A$14,"Sector","Non-Residential","Sub-Sector","Non-Residential Shell")</f>
        <v>10599.21</v>
      </c>
    </row>
    <row r="58" spans="1:2" x14ac:dyDescent="0.25">
      <c r="A58" s="19" t="s">
        <v>129</v>
      </c>
      <c r="B58" s="50">
        <f>GETPIVOTDATA("Total kWh Savings",'Annual Program Summary'!$A$14,"Sector","Non-Residential","Sub-Sector","Green Motors")</f>
        <v>14401.598788212286</v>
      </c>
    </row>
    <row r="59" spans="1:2" x14ac:dyDescent="0.25">
      <c r="A59" s="19" t="s">
        <v>52</v>
      </c>
      <c r="B59" s="50">
        <f>GETPIVOTDATA("Total kWh Savings",'Annual Program Summary'!$A$14,"Sector","Residential","Sub-Sector","Multi-Family Weatherization")</f>
        <v>38332.361475542886</v>
      </c>
    </row>
    <row r="60" spans="1:2" x14ac:dyDescent="0.25">
      <c r="A60" s="19" t="s">
        <v>389</v>
      </c>
      <c r="B60" s="50">
        <f>GETPIVOTDATA("Total kWh Savings",'Annual Program Summary'!$A$14,"Sector","Non-Residential","Sub-Sector","Grocer")</f>
        <v>40007.693620698206</v>
      </c>
    </row>
    <row r="61" spans="1:2" x14ac:dyDescent="0.25">
      <c r="A61" s="19" t="s">
        <v>426</v>
      </c>
      <c r="B61" s="50">
        <f>GETPIVOTDATA("Total kWh Savings",'Annual Program Summary'!$A$14,"Sector","Residential","Sub-Sector","Shell")</f>
        <v>57126.183894328678</v>
      </c>
    </row>
    <row r="62" spans="1:2" x14ac:dyDescent="0.25">
      <c r="A62" s="19" t="s">
        <v>382</v>
      </c>
      <c r="B62" s="50">
        <f>GETPIVOTDATA("Total kWh Savings",'Annual Program Summary'!$A$14,"Sector","Residential","Sub-Sector","MEEP Program")</f>
        <v>103651</v>
      </c>
    </row>
    <row r="63" spans="1:2" x14ac:dyDescent="0.25">
      <c r="A63" s="19" t="s">
        <v>384</v>
      </c>
      <c r="B63" s="50">
        <f>GETPIVOTDATA("Total kWh Savings",'Annual Program Summary'!$A$14,"Sector","Residential","Sub-Sector","ENERGY Star Homes")</f>
        <v>105026.8</v>
      </c>
    </row>
    <row r="64" spans="1:2" x14ac:dyDescent="0.25">
      <c r="A64" s="19" t="s">
        <v>442</v>
      </c>
      <c r="B64" s="50">
        <f>GETPIVOTDATA("Total kWh Savings",'Annual Program Summary'!$A$14,"Sector","Residential","Sub-Sector","Appliances")</f>
        <v>213849.15</v>
      </c>
    </row>
    <row r="65" spans="1:2" x14ac:dyDescent="0.25">
      <c r="A65" s="19" t="s">
        <v>312</v>
      </c>
      <c r="B65" s="50">
        <f>GETPIVOTDATA("Total kWh Savings",'Annual Program Summary'!$A$14,"Sector","Non-Residential","Sub-Sector","Building Operator Certification")</f>
        <v>188932</v>
      </c>
    </row>
    <row r="66" spans="1:2" x14ac:dyDescent="0.25">
      <c r="A66" s="19"/>
      <c r="B66" s="50"/>
    </row>
    <row r="67" spans="1:2" x14ac:dyDescent="0.25">
      <c r="A67" s="19" t="s">
        <v>443</v>
      </c>
      <c r="B67" t="s">
        <v>444</v>
      </c>
    </row>
    <row r="68" spans="1:2" x14ac:dyDescent="0.25">
      <c r="A68" s="19" t="s">
        <v>312</v>
      </c>
      <c r="B68" s="50">
        <f>GETPIVOTDATA("Total kWh Savings",'Annual Program Summary'!$A$14,"Sector","Non-Residential","Sub-Sector","Building Operator Certification")</f>
        <v>188932</v>
      </c>
    </row>
    <row r="69" spans="1:2" x14ac:dyDescent="0.25">
      <c r="A69" s="19" t="s">
        <v>429</v>
      </c>
      <c r="B69" s="50">
        <f>B$57+B$58+B$60+B$65</f>
        <v>253940.50240891048</v>
      </c>
    </row>
    <row r="70" spans="1:2" x14ac:dyDescent="0.25">
      <c r="A70" s="19" t="s">
        <v>425</v>
      </c>
      <c r="B70" s="50">
        <f>GETPIVOTDATA("Total kWh Savings",'Annual Program Summary'!$A$14,"Sector","Non-Residential","Sub-Sector","Non-Residential Midstream")</f>
        <v>376653.55</v>
      </c>
    </row>
    <row r="71" spans="1:2" x14ac:dyDescent="0.25">
      <c r="A71" s="19" t="s">
        <v>428</v>
      </c>
      <c r="B71" s="50">
        <f>B$64+B$63+B$61+B$59</f>
        <v>414334.49536987155</v>
      </c>
    </row>
    <row r="72" spans="1:2" x14ac:dyDescent="0.25">
      <c r="A72" s="19" t="s">
        <v>70</v>
      </c>
      <c r="B72" s="50">
        <f>GETPIVOTDATA("Total kWh Savings",'Annual Program Summary'!$A$14,"Sector","Low Income")</f>
        <v>723224.62625609536</v>
      </c>
    </row>
    <row r="73" spans="1:2" x14ac:dyDescent="0.25">
      <c r="A73" s="19" t="s">
        <v>423</v>
      </c>
      <c r="B73" s="50">
        <f>GETPIVOTDATA("Total kWh Savings",'Annual Program Summary'!$A$14,"Sector","Non-Residential","Sub-Sector","Exterior Lighting")</f>
        <v>1409918.7880540357</v>
      </c>
    </row>
    <row r="74" spans="1:2" x14ac:dyDescent="0.25">
      <c r="A74" s="19" t="s">
        <v>422</v>
      </c>
      <c r="B74" s="50">
        <f>GETPIVOTDATA("Total kWh Savings",'Annual Program Summary'!$A$14,"Sector","Non-Residential","Sub-Sector","Interior Lighting")</f>
        <v>2660043.1162379161</v>
      </c>
    </row>
    <row r="75" spans="1:2" x14ac:dyDescent="0.25">
      <c r="A75" s="19" t="s">
        <v>73</v>
      </c>
      <c r="B75" s="50">
        <f>GETPIVOTDATA("Total kWh Savings",'Annual Program Summary'!$A$14,"Sector","Residential","Sub-Sector","Residential Midstream")</f>
        <v>5677081.9850312946</v>
      </c>
    </row>
    <row r="76" spans="1:2" x14ac:dyDescent="0.25">
      <c r="A76" s="19" t="s">
        <v>86</v>
      </c>
      <c r="B76" s="50">
        <f>GETPIVOTDATA("Total kWh Savings",'Annual Program Summary'!$A$14,"Sector","Non-Residential","Sub-Sector","Direct Install Lighting")</f>
        <v>8992267</v>
      </c>
    </row>
    <row r="77" spans="1:2" x14ac:dyDescent="0.25">
      <c r="A77" s="19" t="s">
        <v>424</v>
      </c>
      <c r="B77" s="50">
        <f>GETPIVOTDATA("Total kWh Savings",'Annual Program Summary'!$A$14,"Sector","Non-Residential","Sub-Sector","Site Specific")</f>
        <v>17037979</v>
      </c>
    </row>
  </sheetData>
  <autoFilter ref="A67:B77" xr:uid="{6D0C2346-C171-4ECF-9283-E7AACAB0218B}">
    <sortState xmlns:xlrd2="http://schemas.microsoft.com/office/spreadsheetml/2017/richdata2" ref="A68:B77">
      <sortCondition ref="B67:B77"/>
    </sortState>
  </autoFilter>
  <sortState xmlns:xlrd2="http://schemas.microsoft.com/office/spreadsheetml/2017/richdata2" ref="A57:B76">
    <sortCondition ref="B57:B76"/>
  </sortState>
  <mergeCells count="4">
    <mergeCell ref="A1:A2"/>
    <mergeCell ref="C1:C2"/>
    <mergeCell ref="D1:D2"/>
    <mergeCell ref="E1:E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247D-14CD-486A-B34A-9A5AB57F1595}">
  <dimension ref="A2:I41"/>
  <sheetViews>
    <sheetView workbookViewId="0">
      <selection activeCell="H18" sqref="H18"/>
    </sheetView>
  </sheetViews>
  <sheetFormatPr defaultRowHeight="15" x14ac:dyDescent="0.25"/>
  <cols>
    <col min="1" max="1" width="41.140625" customWidth="1"/>
    <col min="2" max="3" width="16.5703125" customWidth="1"/>
    <col min="8" max="8" width="30.140625" bestFit="1" customWidth="1"/>
    <col min="9" max="9" width="14.28515625" bestFit="1" customWidth="1"/>
  </cols>
  <sheetData>
    <row r="2" spans="1:3" ht="15.75" thickBot="1" x14ac:dyDescent="0.3">
      <c r="A2" s="153" t="s">
        <v>445</v>
      </c>
      <c r="B2" s="154" t="s">
        <v>216</v>
      </c>
      <c r="C2" s="155" t="s">
        <v>446</v>
      </c>
    </row>
    <row r="3" spans="1:3" ht="15.75" thickBot="1" x14ac:dyDescent="0.3">
      <c r="A3" s="192" t="s">
        <v>447</v>
      </c>
      <c r="B3" s="193"/>
      <c r="C3" s="194"/>
    </row>
    <row r="4" spans="1:3" ht="15.75" thickBot="1" x14ac:dyDescent="0.3">
      <c r="A4" s="162" t="s">
        <v>448</v>
      </c>
      <c r="B4" s="177">
        <f>+GETPIVOTDATA("Total kWh Savings",'Annual Program Summary'!$A$2,"Sector","Low Income")</f>
        <v>723224.62625609536</v>
      </c>
      <c r="C4" s="167">
        <f>+GETPIVOTDATA("Program Total Incentive",'Low-Income Summary'!$A$3,"Sub-Sector","Low Income")+GETPIVOTDATA("Sum of Third Party Costs",'Low-Income Summary'!$A$3,"Sub-Sector","Low Income")</f>
        <v>2593892.994494292</v>
      </c>
    </row>
    <row r="5" spans="1:3" ht="15.75" thickBot="1" x14ac:dyDescent="0.3">
      <c r="A5" s="162" t="s">
        <v>467</v>
      </c>
      <c r="B5" s="177">
        <v>0</v>
      </c>
      <c r="C5" s="167">
        <f>+GETPIVOTDATA("Incentive ($)",'Low-Income Summary'!$A$3,"Measure Description","Named Community Projects","Sub-Sector","NCIF")</f>
        <v>2000000</v>
      </c>
    </row>
    <row r="6" spans="1:3" ht="15.75" thickBot="1" x14ac:dyDescent="0.3">
      <c r="A6" s="156" t="s">
        <v>449</v>
      </c>
      <c r="B6" s="176">
        <f>SUM(B4:B5)</f>
        <v>723224.62625609536</v>
      </c>
      <c r="C6" s="165">
        <f>SUM(C4:C5)</f>
        <v>4593892.994494292</v>
      </c>
    </row>
    <row r="7" spans="1:3" ht="15.75" thickBot="1" x14ac:dyDescent="0.3">
      <c r="A7" s="192" t="s">
        <v>450</v>
      </c>
      <c r="B7" s="193"/>
      <c r="C7" s="194"/>
    </row>
    <row r="8" spans="1:3" ht="15.75" thickBot="1" x14ac:dyDescent="0.3">
      <c r="A8" s="162" t="s">
        <v>457</v>
      </c>
      <c r="B8" s="173">
        <f>+GETPIVOTDATA("Total kWh Savings",'Annual Program Summary'!$A$14,"Sector","Residential","Sub-Sector","Shell")</f>
        <v>57126.183894328678</v>
      </c>
      <c r="C8" s="167">
        <f>GETPIVOTDATA("Total Program Incentive",'Annual Program Summary'!$A$14,"Sector","Residential","Sub-Sector","Shell")</f>
        <v>92242</v>
      </c>
    </row>
    <row r="9" spans="1:3" ht="15.75" thickBot="1" x14ac:dyDescent="0.3">
      <c r="A9" s="161" t="s">
        <v>451</v>
      </c>
      <c r="B9" s="173">
        <f>+GETPIVOTDATA("Total kWh Savings",'Annual Program Summary'!$A$14,"Sector","Residential","Sub-Sector","Residential Midstream")</f>
        <v>5677081.9850312946</v>
      </c>
      <c r="C9" s="168">
        <f>+GETPIVOTDATA("Total Program Incentive",'Annual Program Summary'!$A$14,"Sector","Residential","Sub-Sector","Residential Midstream")</f>
        <v>1102619.8269912661</v>
      </c>
    </row>
    <row r="10" spans="1:3" ht="15.75" thickBot="1" x14ac:dyDescent="0.3">
      <c r="A10" s="161" t="s">
        <v>384</v>
      </c>
      <c r="B10" s="173">
        <f>+GETPIVOTDATA("Total kWh Savings",'Annual Program Summary'!$A$14,"Sector","Residential","Sub-Sector","ENERGY Star Homes")</f>
        <v>105026.8</v>
      </c>
      <c r="C10" s="168">
        <f>+GETPIVOTDATA("Total Program Incentive",'Annual Program Summary'!$A$14,"Sector","Residential","Sub-Sector","ENERGY Star Homes")</f>
        <v>38000</v>
      </c>
    </row>
    <row r="11" spans="1:3" ht="15.75" thickBot="1" x14ac:dyDescent="0.3">
      <c r="A11" s="161" t="s">
        <v>469</v>
      </c>
      <c r="B11" s="173">
        <f>+GETPIVOTDATA("Total kWh Savings",'Annual Program Summary'!$A$14,"Sector","Residential","Sub-Sector","MEEP Program")</f>
        <v>103651</v>
      </c>
      <c r="C11" s="168">
        <f>+GETPIVOTDATA("Total Program Incentive",'Annual Program Summary'!$A$14,"Sector","Residential","Sub-Sector","MEEP Program")</f>
        <v>26949.232427313964</v>
      </c>
    </row>
    <row r="12" spans="1:3" ht="15.75" thickBot="1" x14ac:dyDescent="0.3">
      <c r="A12" s="161" t="s">
        <v>52</v>
      </c>
      <c r="B12" s="173">
        <f>+GETPIVOTDATA("Total kWh Savings",'Annual Program Summary'!$A$14,"Sector","Residential","Sub-Sector","Multi-Family Weatherization")</f>
        <v>38332.361475542886</v>
      </c>
      <c r="C12" s="168">
        <f>+GETPIVOTDATA("Total Program Incentive",'Annual Program Summary'!$A$14,"Sector","Residential","Sub-Sector","Multi-Family Weatherization")</f>
        <v>28879.166519999999</v>
      </c>
    </row>
    <row r="13" spans="1:3" ht="15.75" thickBot="1" x14ac:dyDescent="0.3">
      <c r="A13" s="161" t="s">
        <v>383</v>
      </c>
      <c r="B13" s="173">
        <f>+GETPIVOTDATA("Total kWh Savings",'Annual Program Summary'!$A$14,"Sector","Residential","Sub-Sector","Appliances")</f>
        <v>213849.15</v>
      </c>
      <c r="C13" s="168">
        <f>+GETPIVOTDATA("Total Program Incentive",'Annual Program Summary'!$A$14,"Sector","Residential","Sub-Sector","Appliances")</f>
        <v>106050</v>
      </c>
    </row>
    <row r="14" spans="1:3" ht="15.75" thickBot="1" x14ac:dyDescent="0.3">
      <c r="A14" s="157" t="s">
        <v>452</v>
      </c>
      <c r="B14" s="175">
        <f>SUM(B8:B13)</f>
        <v>6195067.4804011667</v>
      </c>
      <c r="C14" s="164">
        <f>SUM(C8:C13)</f>
        <v>1394740.22593858</v>
      </c>
    </row>
    <row r="15" spans="1:3" ht="15.75" thickBot="1" x14ac:dyDescent="0.3">
      <c r="A15" s="192" t="s">
        <v>453</v>
      </c>
      <c r="B15" s="193"/>
      <c r="C15" s="194"/>
    </row>
    <row r="16" spans="1:3" ht="15.75" thickBot="1" x14ac:dyDescent="0.3">
      <c r="A16" s="162" t="s">
        <v>312</v>
      </c>
      <c r="B16" s="173">
        <f>+GETPIVOTDATA("Total kWh Savings",'Annual Program Summary'!$A$14,"Sector","Non-Residential","Sub-Sector","Building Operator Certification")</f>
        <v>188932</v>
      </c>
      <c r="C16" s="167">
        <f>+GETPIVOTDATA("Total Program Incentive",'Annual Program Summary'!$A$14,"Sector","Non-Residential","Sub-Sector","Building Operator Certification")</f>
        <v>400</v>
      </c>
    </row>
    <row r="17" spans="1:9" ht="15.75" thickBot="1" x14ac:dyDescent="0.3">
      <c r="A17" s="162" t="s">
        <v>86</v>
      </c>
      <c r="B17" s="173">
        <f>+GETPIVOTDATA("Total kWh Savings",'Annual Program Summary'!$A$14,"Sector","Non-Residential","Sub-Sector","Direct Install Lighting")</f>
        <v>8992267</v>
      </c>
      <c r="C17" s="167">
        <f>+GETPIVOTDATA("Total Program Incentive",'Annual Program Summary'!$A$14,"Sector","Non-Residential","Sub-Sector","Direct Install Lighting")</f>
        <v>4496133.5</v>
      </c>
    </row>
    <row r="18" spans="1:9" ht="15.75" thickBot="1" x14ac:dyDescent="0.3">
      <c r="A18" s="162" t="s">
        <v>84</v>
      </c>
      <c r="B18" s="173">
        <f>+GETPIVOTDATA("Total kWh Savings",'Annual Program Summary'!$A$14,"Sector","Non-Residential","Sub-Sector","Exterior Lighting")</f>
        <v>1409918.7880540357</v>
      </c>
      <c r="C18" s="167">
        <f>+GETPIVOTDATA("Total Program Incentive",'Annual Program Summary'!$A$14,"Sector","Non-Residential","Sub-Sector","Exterior Lighting")</f>
        <v>357025</v>
      </c>
    </row>
    <row r="19" spans="1:9" ht="15.75" thickBot="1" x14ac:dyDescent="0.3">
      <c r="A19" s="162" t="s">
        <v>129</v>
      </c>
      <c r="B19" s="173">
        <f>+GETPIVOTDATA("Total kWh Savings",'Annual Program Summary'!$A$14,"Sector","Non-Residential","Sub-Sector","Green Motors")</f>
        <v>14401.598788212286</v>
      </c>
      <c r="C19" s="167">
        <f>+GETPIVOTDATA("Total Program Incentive",'Annual Program Summary'!$A$14,"Sector","Non-Residential","Sub-Sector","Green Motors")</f>
        <v>2650</v>
      </c>
    </row>
    <row r="20" spans="1:9" ht="15.75" thickBot="1" x14ac:dyDescent="0.3">
      <c r="A20" s="162" t="s">
        <v>389</v>
      </c>
      <c r="B20" s="173">
        <f>+GETPIVOTDATA("Total kWh Savings",'Annual Program Summary'!$A$14,"Sector","Non-Residential","Sub-Sector","Grocer")</f>
        <v>40007.693620698206</v>
      </c>
      <c r="C20" s="167">
        <f>+GETPIVOTDATA("Total Program Incentive",'Annual Program Summary'!$A$14,"Sector","Non-Residential","Sub-Sector","Grocer")</f>
        <v>18960</v>
      </c>
    </row>
    <row r="21" spans="1:9" ht="15.75" thickBot="1" x14ac:dyDescent="0.3">
      <c r="A21" s="162" t="s">
        <v>81</v>
      </c>
      <c r="B21" s="173">
        <f>+GETPIVOTDATA("Total kWh Savings",'Annual Program Summary'!$A$14,"Sector","Non-Residential","Sub-Sector","Interior Lighting")</f>
        <v>2660043.1162379161</v>
      </c>
      <c r="C21" s="167">
        <f>+GETPIVOTDATA("Total Program Incentive",'Annual Program Summary'!$A$14,"Sector","Non-Residential","Sub-Sector","Interior Lighting")</f>
        <v>633485</v>
      </c>
    </row>
    <row r="22" spans="1:9" ht="15.75" thickBot="1" x14ac:dyDescent="0.3">
      <c r="A22" s="162" t="s">
        <v>151</v>
      </c>
      <c r="B22" s="173">
        <f>+GETPIVOTDATA("Total kWh Savings",'Annual Program Summary'!$A$14,"Sector","Non-Residential","Sub-Sector","Non-Residential Midstream")</f>
        <v>376653.55</v>
      </c>
      <c r="C22" s="167">
        <f>+GETPIVOTDATA("Total Program Incentive",'Annual Program Summary'!$A$14,"Sector","Non-Residential","Sub-Sector","Non-Residential Midstream")</f>
        <v>194298.26474999997</v>
      </c>
    </row>
    <row r="23" spans="1:9" ht="15.75" thickBot="1" x14ac:dyDescent="0.3">
      <c r="A23" s="161" t="s">
        <v>471</v>
      </c>
      <c r="B23" s="173">
        <f>+GETPIVOTDATA("Total kWh Savings",'Annual Program Summary'!$A$14,"Sector","Non-Residential","Sub-Sector","Non-Residential Shell")</f>
        <v>10599.21</v>
      </c>
      <c r="C23" s="168">
        <f>+GETPIVOTDATA("Total Program Incentive",'Annual Program Summary'!$A$14,"Sector","Non-Residential","Sub-Sector","Non-Residential Shell")</f>
        <v>4234.75</v>
      </c>
    </row>
    <row r="24" spans="1:9" ht="15.75" thickBot="1" x14ac:dyDescent="0.3">
      <c r="A24" s="161" t="s">
        <v>87</v>
      </c>
      <c r="B24" s="173">
        <f>+GETPIVOTDATA("Total kWh Savings",'Annual Program Summary'!$A$14,"Sector","Non-Residential","Sub-Sector","Site Specific")</f>
        <v>17037979</v>
      </c>
      <c r="C24" s="168">
        <f>+GETPIVOTDATA("Total Program Incentive",'Annual Program Summary'!$A$14,"Sector","Non-Residential","Sub-Sector","Site Specific")</f>
        <v>4577818.0583186401</v>
      </c>
    </row>
    <row r="25" spans="1:9" ht="15.75" thickBot="1" x14ac:dyDescent="0.3">
      <c r="A25" s="157" t="s">
        <v>454</v>
      </c>
      <c r="B25" s="175">
        <f>SUM(B16:B24)</f>
        <v>30730801.956700865</v>
      </c>
      <c r="C25" s="164">
        <f>SUM(C16:C24)</f>
        <v>10285004.573068641</v>
      </c>
    </row>
    <row r="26" spans="1:9" ht="15.75" thickBot="1" x14ac:dyDescent="0.3">
      <c r="A26" s="192" t="s">
        <v>455</v>
      </c>
      <c r="B26" s="193"/>
      <c r="C26" s="194"/>
    </row>
    <row r="27" spans="1:9" ht="15.75" thickBot="1" x14ac:dyDescent="0.3">
      <c r="A27" s="162" t="s">
        <v>290</v>
      </c>
      <c r="B27" s="178">
        <v>8234399.9999999991</v>
      </c>
      <c r="C27" s="167">
        <f>NIUC!C5</f>
        <v>1539138</v>
      </c>
      <c r="H27" s="19"/>
      <c r="I27" s="50"/>
    </row>
    <row r="28" spans="1:9" ht="15.75" thickBot="1" x14ac:dyDescent="0.3">
      <c r="A28" s="161" t="s">
        <v>458</v>
      </c>
      <c r="B28" s="173"/>
      <c r="C28" s="168">
        <f>NIUC!I5</f>
        <v>704899.06199999992</v>
      </c>
      <c r="H28" s="19"/>
      <c r="I28" s="50"/>
    </row>
    <row r="29" spans="1:9" ht="15.75" thickBot="1" x14ac:dyDescent="0.3">
      <c r="A29" s="161" t="s">
        <v>459</v>
      </c>
      <c r="B29" s="173"/>
      <c r="C29" s="168">
        <f>NIUC!G5</f>
        <v>2867915.9969999995</v>
      </c>
    </row>
    <row r="30" spans="1:9" ht="15.75" thickBot="1" x14ac:dyDescent="0.3">
      <c r="A30" s="161" t="s">
        <v>460</v>
      </c>
      <c r="B30" s="173"/>
      <c r="C30" s="168">
        <f>SUM(NIUC!E5,NIUC!F5,NIUC!D5)</f>
        <v>4125981.5982000004</v>
      </c>
      <c r="H30" s="19"/>
      <c r="I30" s="50"/>
    </row>
    <row r="31" spans="1:9" ht="15.75" thickBot="1" x14ac:dyDescent="0.3">
      <c r="A31" s="170" t="s">
        <v>461</v>
      </c>
      <c r="B31" s="174"/>
      <c r="C31" s="169">
        <f>NIUC!H5</f>
        <v>1122266.5</v>
      </c>
      <c r="H31" s="19"/>
      <c r="I31" s="50"/>
    </row>
    <row r="32" spans="1:9" ht="15.75" thickBot="1" x14ac:dyDescent="0.3">
      <c r="A32" s="157" t="s">
        <v>456</v>
      </c>
      <c r="B32" s="172">
        <f>SUM(B27:B31)</f>
        <v>8234399.9999999991</v>
      </c>
      <c r="C32" s="163">
        <f>SUM(C27:C31)</f>
        <v>10360201.157199999</v>
      </c>
      <c r="H32" s="19"/>
      <c r="I32" s="50"/>
    </row>
    <row r="33" spans="1:9" ht="15.75" thickBot="1" x14ac:dyDescent="0.3">
      <c r="A33" s="158"/>
      <c r="B33" s="152"/>
      <c r="C33" s="159"/>
      <c r="H33" s="19"/>
      <c r="I33" s="50"/>
    </row>
    <row r="34" spans="1:9" x14ac:dyDescent="0.25">
      <c r="A34" s="160" t="s">
        <v>468</v>
      </c>
      <c r="B34" s="171">
        <f>SUM(B32,B25,B14,B6)</f>
        <v>45883494.063358121</v>
      </c>
      <c r="C34" s="166">
        <f>SUM(C32,C6,C14,C25)</f>
        <v>26633838.950701512</v>
      </c>
      <c r="H34" s="19"/>
      <c r="I34" s="50"/>
    </row>
    <row r="35" spans="1:9" x14ac:dyDescent="0.25">
      <c r="H35" s="19"/>
      <c r="I35" s="50"/>
    </row>
    <row r="36" spans="1:9" x14ac:dyDescent="0.25">
      <c r="B36" s="49"/>
      <c r="H36" s="19"/>
      <c r="I36" s="50"/>
    </row>
    <row r="37" spans="1:9" x14ac:dyDescent="0.25">
      <c r="H37" s="19"/>
      <c r="I37" s="50"/>
    </row>
    <row r="38" spans="1:9" x14ac:dyDescent="0.25">
      <c r="H38" s="19"/>
      <c r="I38" s="50"/>
    </row>
    <row r="39" spans="1:9" x14ac:dyDescent="0.25">
      <c r="H39" s="19"/>
      <c r="I39" s="50"/>
    </row>
    <row r="41" spans="1:9" x14ac:dyDescent="0.25">
      <c r="H41" s="19"/>
      <c r="I41" s="50"/>
    </row>
  </sheetData>
  <mergeCells count="4">
    <mergeCell ref="A3:C3"/>
    <mergeCell ref="A7:C7"/>
    <mergeCell ref="A15:C15"/>
    <mergeCell ref="A26:C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AA6E-F32F-488D-AC0B-8E812CC082B2}">
  <sheetPr codeName="Sheet13"/>
  <dimension ref="A3:F34"/>
  <sheetViews>
    <sheetView workbookViewId="0">
      <selection activeCell="H15" sqref="H15"/>
    </sheetView>
  </sheetViews>
  <sheetFormatPr defaultRowHeight="15" x14ac:dyDescent="0.25"/>
  <cols>
    <col min="1" max="1" width="32.5703125" bestFit="1" customWidth="1"/>
    <col min="2" max="2" width="20.140625" style="44" bestFit="1" customWidth="1"/>
    <col min="3" max="3" width="22.7109375" style="44" bestFit="1" customWidth="1"/>
    <col min="4" max="4" width="15.42578125" style="3" bestFit="1" customWidth="1"/>
    <col min="5" max="5" width="25.140625" bestFit="1" customWidth="1"/>
    <col min="6" max="6" width="25.5703125" bestFit="1" customWidth="1"/>
  </cols>
  <sheetData>
    <row r="3" spans="1:6" x14ac:dyDescent="0.25">
      <c r="A3" s="17" t="s">
        <v>188</v>
      </c>
      <c r="B3" t="s">
        <v>280</v>
      </c>
      <c r="C3" t="s">
        <v>278</v>
      </c>
      <c r="D3" t="s">
        <v>281</v>
      </c>
      <c r="E3" t="s">
        <v>282</v>
      </c>
      <c r="F3" t="s">
        <v>279</v>
      </c>
    </row>
    <row r="4" spans="1:6" x14ac:dyDescent="0.25">
      <c r="A4" s="18" t="s">
        <v>70</v>
      </c>
      <c r="B4" s="50">
        <v>723224.62625609536</v>
      </c>
      <c r="C4" s="50">
        <v>0</v>
      </c>
      <c r="D4" s="15">
        <v>1816173.5374942916</v>
      </c>
      <c r="E4" s="15">
        <v>1247840.1529575549</v>
      </c>
      <c r="F4" s="15">
        <v>3064013.6904518465</v>
      </c>
    </row>
    <row r="5" spans="1:6" x14ac:dyDescent="0.25">
      <c r="A5" s="19" t="s">
        <v>70</v>
      </c>
      <c r="B5" s="50">
        <v>723224.62625609536</v>
      </c>
      <c r="C5" s="50">
        <v>0</v>
      </c>
      <c r="D5" s="15">
        <v>1816173.5374942916</v>
      </c>
      <c r="E5" s="15">
        <v>1247840.1529575549</v>
      </c>
      <c r="F5" s="15">
        <v>3064013.6904518465</v>
      </c>
    </row>
    <row r="6" spans="1:6" x14ac:dyDescent="0.25">
      <c r="A6" s="18" t="s">
        <v>78</v>
      </c>
      <c r="B6" s="50">
        <v>30690794.263080165</v>
      </c>
      <c r="C6" s="50">
        <v>0</v>
      </c>
      <c r="D6" s="15">
        <v>10266044.573068641</v>
      </c>
      <c r="E6" s="15">
        <v>7977006.8582795775</v>
      </c>
      <c r="F6" s="15">
        <v>18243051.431348216</v>
      </c>
    </row>
    <row r="7" spans="1:6" x14ac:dyDescent="0.25">
      <c r="A7" s="19" t="s">
        <v>149</v>
      </c>
      <c r="B7" s="50">
        <v>0</v>
      </c>
      <c r="C7" s="50">
        <v>0</v>
      </c>
      <c r="D7" s="15">
        <v>0</v>
      </c>
      <c r="E7" s="15">
        <v>0</v>
      </c>
      <c r="F7" s="15">
        <v>0</v>
      </c>
    </row>
    <row r="8" spans="1:6" x14ac:dyDescent="0.25">
      <c r="A8" s="19" t="s">
        <v>146</v>
      </c>
      <c r="B8" s="50">
        <v>0</v>
      </c>
      <c r="C8" s="50">
        <v>0</v>
      </c>
      <c r="D8" s="15">
        <v>0</v>
      </c>
      <c r="E8" s="15">
        <v>0</v>
      </c>
      <c r="F8" s="15">
        <v>0</v>
      </c>
    </row>
    <row r="9" spans="1:6" x14ac:dyDescent="0.25">
      <c r="A9" s="19" t="s">
        <v>150</v>
      </c>
      <c r="B9" s="50">
        <v>0</v>
      </c>
      <c r="C9" s="50">
        <v>0</v>
      </c>
      <c r="D9" s="15">
        <v>0</v>
      </c>
      <c r="E9" s="15">
        <v>0</v>
      </c>
      <c r="F9" s="15">
        <v>0</v>
      </c>
    </row>
    <row r="10" spans="1:6" x14ac:dyDescent="0.25">
      <c r="A10" s="19" t="s">
        <v>130</v>
      </c>
      <c r="B10" s="50">
        <v>0</v>
      </c>
      <c r="C10" s="50">
        <v>0</v>
      </c>
      <c r="D10" s="15">
        <v>0</v>
      </c>
      <c r="E10" s="15">
        <v>0</v>
      </c>
      <c r="F10" s="15">
        <v>0</v>
      </c>
    </row>
    <row r="11" spans="1:6" x14ac:dyDescent="0.25">
      <c r="A11" s="19" t="s">
        <v>86</v>
      </c>
      <c r="B11" s="50">
        <v>8992267</v>
      </c>
      <c r="C11" s="50">
        <v>0</v>
      </c>
      <c r="D11" s="15">
        <v>4496133.5</v>
      </c>
      <c r="E11" s="15">
        <v>1954839.8761776139</v>
      </c>
      <c r="F11" s="15">
        <v>6450973.3761776136</v>
      </c>
    </row>
    <row r="12" spans="1:6" x14ac:dyDescent="0.25">
      <c r="A12" s="19" t="s">
        <v>84</v>
      </c>
      <c r="B12" s="50">
        <v>1409918.7880540357</v>
      </c>
      <c r="C12" s="50">
        <v>0</v>
      </c>
      <c r="D12" s="15">
        <v>357025</v>
      </c>
      <c r="E12" s="15">
        <v>363473.06392087339</v>
      </c>
      <c r="F12" s="15">
        <v>720498.06392087357</v>
      </c>
    </row>
    <row r="13" spans="1:6" x14ac:dyDescent="0.25">
      <c r="A13" s="19" t="s">
        <v>129</v>
      </c>
      <c r="B13" s="50">
        <v>14401.598788212286</v>
      </c>
      <c r="C13" s="50">
        <v>0</v>
      </c>
      <c r="D13" s="15">
        <v>2650</v>
      </c>
      <c r="E13" s="15">
        <v>2144.3533853294957</v>
      </c>
      <c r="F13" s="15">
        <v>4794.3533853294957</v>
      </c>
    </row>
    <row r="14" spans="1:6" x14ac:dyDescent="0.25">
      <c r="A14" s="19" t="s">
        <v>81</v>
      </c>
      <c r="B14" s="50">
        <v>2660043.1162379161</v>
      </c>
      <c r="C14" s="50">
        <v>0</v>
      </c>
      <c r="D14" s="15">
        <v>633485</v>
      </c>
      <c r="E14" s="15">
        <v>653954.20176162128</v>
      </c>
      <c r="F14" s="15">
        <v>1287439.2017616217</v>
      </c>
    </row>
    <row r="15" spans="1:6" x14ac:dyDescent="0.25">
      <c r="A15" s="19" t="s">
        <v>151</v>
      </c>
      <c r="B15" s="50">
        <v>376653.55</v>
      </c>
      <c r="C15" s="50">
        <v>0</v>
      </c>
      <c r="D15" s="15">
        <v>194298.26474999997</v>
      </c>
      <c r="E15" s="15">
        <v>124948.01558691848</v>
      </c>
      <c r="F15" s="15">
        <v>319246.28033691848</v>
      </c>
    </row>
    <row r="16" spans="1:6" x14ac:dyDescent="0.25">
      <c r="A16" s="19" t="s">
        <v>93</v>
      </c>
      <c r="B16" s="50">
        <v>10599.21</v>
      </c>
      <c r="C16" s="50">
        <v>0</v>
      </c>
      <c r="D16" s="15">
        <v>4234.75</v>
      </c>
      <c r="E16" s="15">
        <v>5352.9231432867637</v>
      </c>
      <c r="F16" s="15">
        <v>9587.6731432867637</v>
      </c>
    </row>
    <row r="17" spans="1:6" x14ac:dyDescent="0.25">
      <c r="A17" s="19" t="s">
        <v>147</v>
      </c>
      <c r="B17" s="50">
        <v>0</v>
      </c>
      <c r="C17" s="50">
        <v>0</v>
      </c>
      <c r="D17" s="15">
        <v>0</v>
      </c>
      <c r="E17" s="15">
        <v>0</v>
      </c>
      <c r="F17" s="15">
        <v>0</v>
      </c>
    </row>
    <row r="18" spans="1:6" x14ac:dyDescent="0.25">
      <c r="A18" s="19" t="s">
        <v>87</v>
      </c>
      <c r="B18" s="50">
        <v>17037979</v>
      </c>
      <c r="C18" s="50">
        <v>0</v>
      </c>
      <c r="D18" s="15">
        <v>4577818.0583186401</v>
      </c>
      <c r="E18" s="15">
        <v>4852558.3884758912</v>
      </c>
      <c r="F18" s="15">
        <v>9430376.4467945304</v>
      </c>
    </row>
    <row r="19" spans="1:6" x14ac:dyDescent="0.25">
      <c r="A19" s="19" t="s">
        <v>135</v>
      </c>
      <c r="B19" s="50">
        <v>0</v>
      </c>
      <c r="C19" s="50">
        <v>0</v>
      </c>
      <c r="D19" s="15">
        <v>0</v>
      </c>
      <c r="E19" s="15">
        <v>0</v>
      </c>
      <c r="F19" s="15">
        <v>0</v>
      </c>
    </row>
    <row r="20" spans="1:6" x14ac:dyDescent="0.25">
      <c r="A20" s="19" t="s">
        <v>312</v>
      </c>
      <c r="B20" s="50">
        <v>188932</v>
      </c>
      <c r="C20" s="50">
        <v>0</v>
      </c>
      <c r="D20" s="15">
        <v>400</v>
      </c>
      <c r="E20" s="15">
        <v>19736.035828042615</v>
      </c>
      <c r="F20" s="15">
        <v>20136.035828042615</v>
      </c>
    </row>
    <row r="21" spans="1:6" x14ac:dyDescent="0.25">
      <c r="A21" s="18" t="s">
        <v>41</v>
      </c>
      <c r="B21" s="50">
        <v>6195067.4804011667</v>
      </c>
      <c r="C21" s="50">
        <v>3218.315322221003</v>
      </c>
      <c r="D21" s="15">
        <v>1394740.22593858</v>
      </c>
      <c r="E21" s="15">
        <v>1907559.7835426824</v>
      </c>
      <c r="F21" s="15">
        <v>3302300.0094812629</v>
      </c>
    </row>
    <row r="22" spans="1:6" x14ac:dyDescent="0.25">
      <c r="A22" s="19" t="s">
        <v>85</v>
      </c>
      <c r="B22" s="50">
        <v>0</v>
      </c>
      <c r="C22" s="50">
        <v>0</v>
      </c>
      <c r="D22" s="15">
        <v>0</v>
      </c>
      <c r="E22" s="15">
        <v>0</v>
      </c>
      <c r="F22" s="15">
        <v>0</v>
      </c>
    </row>
    <row r="23" spans="1:6" x14ac:dyDescent="0.25">
      <c r="A23" s="19" t="s">
        <v>52</v>
      </c>
      <c r="B23" s="50">
        <v>38332.361475542886</v>
      </c>
      <c r="C23" s="50">
        <v>0</v>
      </c>
      <c r="D23" s="15">
        <v>28879.166519999999</v>
      </c>
      <c r="E23" s="15">
        <v>28555.896836753338</v>
      </c>
      <c r="F23" s="15">
        <v>57435.063356753322</v>
      </c>
    </row>
    <row r="24" spans="1:6" x14ac:dyDescent="0.25">
      <c r="A24" s="19" t="s">
        <v>77</v>
      </c>
      <c r="B24" s="50">
        <v>0</v>
      </c>
      <c r="C24" s="50">
        <v>0</v>
      </c>
      <c r="D24" s="15">
        <v>0</v>
      </c>
      <c r="E24" s="15">
        <v>0</v>
      </c>
      <c r="F24" s="15">
        <v>0</v>
      </c>
    </row>
    <row r="25" spans="1:6" x14ac:dyDescent="0.25">
      <c r="A25" s="19" t="s">
        <v>73</v>
      </c>
      <c r="B25" s="50">
        <v>5677081.9850312946</v>
      </c>
      <c r="C25" s="50">
        <v>0</v>
      </c>
      <c r="D25" s="15">
        <v>1102619.8269912661</v>
      </c>
      <c r="E25" s="15">
        <v>1644420.4633636365</v>
      </c>
      <c r="F25" s="15">
        <v>2747040.2903549029</v>
      </c>
    </row>
    <row r="26" spans="1:6" x14ac:dyDescent="0.25">
      <c r="A26" s="19" t="s">
        <v>382</v>
      </c>
      <c r="B26" s="50">
        <v>103651</v>
      </c>
      <c r="C26" s="50">
        <v>0</v>
      </c>
      <c r="D26" s="15">
        <v>26949.232427313964</v>
      </c>
      <c r="E26" s="15">
        <v>47774.127682233091</v>
      </c>
      <c r="F26" s="15">
        <v>74723.360109547051</v>
      </c>
    </row>
    <row r="27" spans="1:6" x14ac:dyDescent="0.25">
      <c r="A27" s="19" t="s">
        <v>385</v>
      </c>
      <c r="B27" s="50">
        <v>0</v>
      </c>
      <c r="C27" s="50">
        <v>0</v>
      </c>
      <c r="D27" s="15">
        <v>0</v>
      </c>
      <c r="E27" s="15">
        <v>0</v>
      </c>
      <c r="F27" s="15">
        <v>0</v>
      </c>
    </row>
    <row r="28" spans="1:6" x14ac:dyDescent="0.25">
      <c r="A28" s="19" t="s">
        <v>384</v>
      </c>
      <c r="B28" s="50">
        <v>105026.8</v>
      </c>
      <c r="C28" s="50">
        <v>1507.4954491915623</v>
      </c>
      <c r="D28" s="15">
        <v>38000</v>
      </c>
      <c r="E28" s="15">
        <v>87823.10349503356</v>
      </c>
      <c r="F28" s="15">
        <v>125823.10349503355</v>
      </c>
    </row>
    <row r="29" spans="1:6" x14ac:dyDescent="0.25">
      <c r="A29" s="19" t="s">
        <v>383</v>
      </c>
      <c r="B29" s="50">
        <v>213849.15</v>
      </c>
      <c r="C29" s="50">
        <v>1710.8198730294409</v>
      </c>
      <c r="D29" s="15">
        <v>106050</v>
      </c>
      <c r="E29" s="15">
        <v>55326.927366221367</v>
      </c>
      <c r="F29" s="15">
        <v>161376.92736622138</v>
      </c>
    </row>
    <row r="30" spans="1:6" x14ac:dyDescent="0.25">
      <c r="A30" s="19" t="s">
        <v>386</v>
      </c>
      <c r="B30" s="50">
        <v>57126.183894328678</v>
      </c>
      <c r="C30" s="50">
        <v>0</v>
      </c>
      <c r="D30" s="15">
        <v>92242</v>
      </c>
      <c r="E30" s="15">
        <v>43659.264798804841</v>
      </c>
      <c r="F30" s="15">
        <v>135901.26479880483</v>
      </c>
    </row>
    <row r="31" spans="1:6" x14ac:dyDescent="0.25">
      <c r="A31" s="19" t="s">
        <v>359</v>
      </c>
      <c r="B31" s="50">
        <v>0</v>
      </c>
      <c r="C31" s="50">
        <v>0</v>
      </c>
      <c r="D31" s="15">
        <v>0</v>
      </c>
      <c r="E31" s="15">
        <v>0</v>
      </c>
      <c r="F31" s="15">
        <v>0</v>
      </c>
    </row>
    <row r="32" spans="1:6" x14ac:dyDescent="0.25">
      <c r="A32" s="18" t="s">
        <v>79</v>
      </c>
      <c r="B32" s="50">
        <v>0</v>
      </c>
      <c r="C32" s="50">
        <v>0</v>
      </c>
      <c r="D32" s="15">
        <v>2000000</v>
      </c>
      <c r="E32" s="15">
        <v>0</v>
      </c>
      <c r="F32" s="15">
        <v>2000000</v>
      </c>
    </row>
    <row r="33" spans="1:6" x14ac:dyDescent="0.25">
      <c r="A33" s="19" t="s">
        <v>79</v>
      </c>
      <c r="B33" s="50">
        <v>0</v>
      </c>
      <c r="C33" s="50">
        <v>0</v>
      </c>
      <c r="D33" s="15">
        <v>2000000</v>
      </c>
      <c r="E33" s="15">
        <v>0</v>
      </c>
      <c r="F33" s="15">
        <v>2000000</v>
      </c>
    </row>
    <row r="34" spans="1:6" x14ac:dyDescent="0.25">
      <c r="A34" s="18" t="s">
        <v>262</v>
      </c>
      <c r="B34" s="50">
        <v>37609086.369737424</v>
      </c>
      <c r="C34" s="50">
        <v>3218.315322221003</v>
      </c>
      <c r="D34" s="15">
        <v>15476958.336501511</v>
      </c>
      <c r="E34" s="15">
        <v>11132406.794779817</v>
      </c>
      <c r="F34" s="15">
        <v>26609365.131281327</v>
      </c>
    </row>
  </sheetData>
  <sheetProtection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CB35C9304D5E48918E20617CF3EA6E" ma:contentTypeVersion="24" ma:contentTypeDescription="" ma:contentTypeScope="" ma:versionID="18faa630d44c54877be864303c41c3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2025-01-15T08:00:00+00:00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230897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E3CE97-73E6-4F52-AB36-91FEA535D960}"/>
</file>

<file path=customXml/itemProps2.xml><?xml version="1.0" encoding="utf-8"?>
<ds:datastoreItem xmlns:ds="http://schemas.openxmlformats.org/officeDocument/2006/customXml" ds:itemID="{8ABB0E28-1EC4-4CE9-BB54-0CF5D90F1E21}"/>
</file>

<file path=customXml/itemProps3.xml><?xml version="1.0" encoding="utf-8"?>
<ds:datastoreItem xmlns:ds="http://schemas.openxmlformats.org/officeDocument/2006/customXml" ds:itemID="{BFB95CBD-1104-4A83-8CA2-4AAF49637AB0}"/>
</file>

<file path=customXml/itemProps4.xml><?xml version="1.0" encoding="utf-8"?>
<ds:datastoreItem xmlns:ds="http://schemas.openxmlformats.org/officeDocument/2006/customXml" ds:itemID="{4BCF57F8-F551-41FD-B60B-3E7028120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58</vt:i4>
      </vt:variant>
    </vt:vector>
  </HeadingPairs>
  <TitlesOfParts>
    <vt:vector size="71" baseType="lpstr">
      <vt:lpstr>Workbook Selections</vt:lpstr>
      <vt:lpstr>Core Data</vt:lpstr>
      <vt:lpstr>Rate Constants Control</vt:lpstr>
      <vt:lpstr>NIUC</vt:lpstr>
      <vt:lpstr>Electric Avoided Costs</vt:lpstr>
      <vt:lpstr>Gas Avoided Costs</vt:lpstr>
      <vt:lpstr>Residential Summary</vt:lpstr>
      <vt:lpstr>Low-Income Summary</vt:lpstr>
      <vt:lpstr>Non-Residential Summary</vt:lpstr>
      <vt:lpstr>Annual Program Summary</vt:lpstr>
      <vt:lpstr>Figures - MP</vt:lpstr>
      <vt:lpstr>Appendix C</vt:lpstr>
      <vt:lpstr>Program Manager View</vt:lpstr>
      <vt:lpstr>AC_Measure_Life</vt:lpstr>
      <vt:lpstr>Elec_AC_Measure_Life</vt:lpstr>
      <vt:lpstr>Elec_Heat_Curve</vt:lpstr>
      <vt:lpstr>Electric_AC</vt:lpstr>
      <vt:lpstr>Electric_Discount_Rate</vt:lpstr>
      <vt:lpstr>Energy_Savings</vt:lpstr>
      <vt:lpstr>Gas_AC</vt:lpstr>
      <vt:lpstr>Gas_AC_Measure_Life</vt:lpstr>
      <vt:lpstr>Gas_Discount_Rate</vt:lpstr>
      <vt:lpstr>Gas_Heat_Load</vt:lpstr>
      <vt:lpstr>Heat_Curve</vt:lpstr>
      <vt:lpstr>ID_Elec_NIUC</vt:lpstr>
      <vt:lpstr>ID_Electric_Rates</vt:lpstr>
      <vt:lpstr>ID_Gas_NIUC</vt:lpstr>
      <vt:lpstr>ID_Gas_Rates</vt:lpstr>
      <vt:lpstr>'Annual Program Summary'!LI_Total_Incentive</vt:lpstr>
      <vt:lpstr>'Annual Program Summary'!Low_Income_AC</vt:lpstr>
      <vt:lpstr>'Annual Program Summary'!Low_Income_CIC</vt:lpstr>
      <vt:lpstr>'Annual Program Summary'!Low_Income_Energy_Savings</vt:lpstr>
      <vt:lpstr>'Annual Program Summary'!Low_Income_NEI</vt:lpstr>
      <vt:lpstr>'Annual Program Summary'!Low_Income_NIUC</vt:lpstr>
      <vt:lpstr>'Annual Program Summary'!Low_Income_Total_Incentive</vt:lpstr>
      <vt:lpstr>'Annual Program Summary'!NR_AC</vt:lpstr>
      <vt:lpstr>'Annual Program Summary'!NR_CIC</vt:lpstr>
      <vt:lpstr>'Annual Program Summary'!NR_ENERGY_SAVINGS</vt:lpstr>
      <vt:lpstr>'Annual Program Summary'!NR_INCENTIVE</vt:lpstr>
      <vt:lpstr>'Annual Program Summary'!NR_NEI</vt:lpstr>
      <vt:lpstr>'Annual Program Summary'!NR_NIUC</vt:lpstr>
      <vt:lpstr>PCT_Elec_Constant</vt:lpstr>
      <vt:lpstr>PCT_Gas_Constant</vt:lpstr>
      <vt:lpstr>Program_AC</vt:lpstr>
      <vt:lpstr>Program_CIC</vt:lpstr>
      <vt:lpstr>Program_Incentive</vt:lpstr>
      <vt:lpstr>Program_NEI</vt:lpstr>
      <vt:lpstr>Program_NIUC</vt:lpstr>
      <vt:lpstr>'Annual Program Summary'!RES_AC</vt:lpstr>
      <vt:lpstr>'Annual Program Summary'!RES_CIC</vt:lpstr>
      <vt:lpstr>'Annual Program Summary'!RES_ENERGY_SAVINGS</vt:lpstr>
      <vt:lpstr>'Annual Program Summary'!RES_INCENTIVE</vt:lpstr>
      <vt:lpstr>'Annual Program Summary'!RES_NEI</vt:lpstr>
      <vt:lpstr>'Annual Program Summary'!RES_NIUC</vt:lpstr>
      <vt:lpstr>Res_Space_Heat</vt:lpstr>
      <vt:lpstr>Summary_AC</vt:lpstr>
      <vt:lpstr>Summary_CIC</vt:lpstr>
      <vt:lpstr>Summary_Energy_Savings</vt:lpstr>
      <vt:lpstr>Summary_Incentive</vt:lpstr>
      <vt:lpstr>Summary_NEI</vt:lpstr>
      <vt:lpstr>Summary_NIUC</vt:lpstr>
      <vt:lpstr>'Annual Program Summary'!TOTAL_AC</vt:lpstr>
      <vt:lpstr>'Annual Program Summary'!TOTAL_CIC</vt:lpstr>
      <vt:lpstr>'Annual Program Summary'!TOTAL_ENERGY_SAVINGS</vt:lpstr>
      <vt:lpstr>'Annual Program Summary'!TOTAL_INCENTIVE</vt:lpstr>
      <vt:lpstr>'Annual Program Summary'!TOTAL_NEI</vt:lpstr>
      <vt:lpstr>'Annual Program Summary'!TOTAL_NIUC</vt:lpstr>
      <vt:lpstr>WA_Elec_NIUC</vt:lpstr>
      <vt:lpstr>WA_Electric_Rates</vt:lpstr>
      <vt:lpstr>WA_Gas_NIUC</vt:lpstr>
      <vt:lpstr>WA_Gas_Rates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Oglesby, Austin</dc:creator>
  <cp:lastModifiedBy>Majure, Jaime</cp:lastModifiedBy>
  <dcterms:created xsi:type="dcterms:W3CDTF">2023-11-20T17:31:18Z</dcterms:created>
  <dcterms:modified xsi:type="dcterms:W3CDTF">2025-01-15T23:16:20Z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0x0101006E56B4D1795A2E4DB2F0B01679ED314A00A6CB35C9304D5E48918E20617CF3EA6E</vt:lpwstr>
  </property>
  <property fmtid="{D5CDD505-2E9C-101B-9397-08002B2CF9AE}" pid="3" name="_docset_NoMedatataSyncRequired">
    <vt:lpwstr>False</vt:lpwstr>
  </property>
</Properties>
</file>