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WashingtonPCAM/Shared Documents/2021 Washington PCAM Filing/Testimony/"/>
    </mc:Choice>
  </mc:AlternateContent>
  <xr:revisionPtr revIDLastSave="10" documentId="13_ncr:1_{5E2B73C5-166E-4669-9D20-002DE0115ACC}" xr6:coauthVersionLast="47" xr6:coauthVersionMax="47" xr10:uidLastSave="{4DC00D21-9863-417F-B471-50A17ABFA8A1}"/>
  <bookViews>
    <workbookView xWindow="-120" yWindow="-120" windowWidth="29040" windowHeight="15840" xr2:uid="{0DBE7AF9-5D51-4EBD-A8C3-C050A038D8A6}"/>
  </bookViews>
  <sheets>
    <sheet name="Summary" sheetId="1" r:id="rId1"/>
    <sheet name="Exhibit JP-2 PCAM Calculatio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#REF!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Burn">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#REF!</definedName>
    <definedName name="ContractTypeMWh">#REF!</definedName>
    <definedName name="COSFacVal">[5]Inputs!$W$11</definedName>
    <definedName name="Cost">#REF!</definedName>
    <definedName name="DATA5">[13]DS13!$E$2:$E$103</definedName>
    <definedName name="DATA6">[13]DS13!$F$2:$F$103</definedName>
    <definedName name="_xlnm.Database">[14]Invoice!#REF!</definedName>
    <definedName name="DataCheck">'[15]Base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'[16]on off peak hours'!$C$15:$Z$15</definedName>
    <definedName name="Debt">[11]Variables!$AQ$25</definedName>
    <definedName name="DebtCost">[11]Variables!$AT$25</definedName>
    <definedName name="Demand">[17]Inputs!$D$9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'[15]Exhibit 1'!#REF!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'[15]Base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OFFSET([18]FTE!$A$1,0,0,COUNTA([18]FTE!$A$1:$A$65536),12)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'[16]on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[17]Inputs!$Y$11</definedName>
    <definedName name="INSERTPOINT">'[19]REX Data'!#REF!</definedName>
    <definedName name="INSERTPOINT2">'[19]REX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[20]!Macro2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[21]lookup!$C$98:$D$107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[6]Inputs!#REF!</definedName>
    <definedName name="MSPYearEndInput">[6]Inputs!#REF!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[22]VDOC!$O$4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'[23]1993'!#REF!</definedName>
    <definedName name="PE_Lookup">'[15]Exhibit 1'!#REF!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[24]Inputs!#REF!</definedName>
    <definedName name="_xlnm.Print_Area" localSheetId="1">'Exhibit JP-2 PCAM Calculation'!$A$1:$P$45</definedName>
    <definedName name="_xlnm.Print_Area">#REF!</definedName>
    <definedName name="PSATable">[25]Hermiston!$A$32:$E$57</definedName>
    <definedName name="Purchases">[21]lookup!$C$21:$D$64</definedName>
    <definedName name="QFs">[21]lookup!$C$66:$D$96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[21]lookup!$C$3:$D$19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rtMWh">#REF!</definedName>
    <definedName name="StartTheMill">#REF!</definedName>
    <definedName name="StartTheRack">#REF!</definedName>
    <definedName name="State">[5]Inputs!$C$5</definedName>
    <definedName name="Storage">[21]lookup!$C$109:$D$126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[26]Transm2!$A$1:$M$461:'[26]10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[27]Inputs!#REF!</definedName>
    <definedName name="WinterPeak">'[28]Load Data'!$D$9:$H$12,'[28]Load Data'!$D$20:$H$22</definedName>
    <definedName name="Workforce_Data">OFFSET([29]Workforce!$A$1,0,0,COUNTA([29]Workforce!$A$1:$A$65536),COUNTA([29]Workforce!$A$1:$IV$1))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'[30]DSM Output'!$B$21:$B$23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localSheetId="0" hidden="1">'[30]DSM Output'!$G$21:$G$23</definedName>
    <definedName name="z" hidden="1">'[4]DSM Output'!$G$21:$G$23</definedName>
    <definedName name="Z_01844156_6462_4A28_9785_1A86F4D0C834_.wvu.PrintTitles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0" i="2" l="1"/>
  <c r="A48" i="2"/>
  <c r="O36" i="2"/>
  <c r="N36" i="2"/>
  <c r="M36" i="2"/>
  <c r="L36" i="2"/>
  <c r="K36" i="2"/>
  <c r="J36" i="2"/>
  <c r="I36" i="2"/>
  <c r="H36" i="2"/>
  <c r="G36" i="2"/>
  <c r="F36" i="2"/>
  <c r="E36" i="2"/>
  <c r="A18" i="2"/>
  <c r="A20" i="2" s="1"/>
  <c r="C9" i="1"/>
  <c r="I14" i="2"/>
  <c r="I16" i="2" s="1"/>
  <c r="I20" i="2" s="1"/>
  <c r="C14" i="2"/>
  <c r="E13" i="2"/>
  <c r="F13" i="2" s="1"/>
  <c r="G13" i="2" s="1"/>
  <c r="H13" i="2" s="1"/>
  <c r="I13" i="2" s="1"/>
  <c r="J13" i="2" s="1"/>
  <c r="K13" i="2" s="1"/>
  <c r="L13" i="2" s="1"/>
  <c r="M13" i="2" s="1"/>
  <c r="N13" i="2" s="1"/>
  <c r="O13" i="2" s="1"/>
  <c r="C9" i="2"/>
  <c r="D9" i="2"/>
  <c r="M20" i="2" l="1"/>
  <c r="O14" i="2"/>
  <c r="O16" i="2" s="1"/>
  <c r="O20" i="2" s="1"/>
  <c r="K14" i="2"/>
  <c r="K16" i="2" s="1"/>
  <c r="G14" i="2"/>
  <c r="G16" i="2" s="1"/>
  <c r="G20" i="2" s="1"/>
  <c r="D11" i="2"/>
  <c r="C6" i="1"/>
  <c r="N14" i="2"/>
  <c r="N16" i="2" s="1"/>
  <c r="N20" i="2" s="1"/>
  <c r="J14" i="2"/>
  <c r="J16" i="2" s="1"/>
  <c r="J20" i="2" s="1"/>
  <c r="F14" i="2"/>
  <c r="F16" i="2" s="1"/>
  <c r="F20" i="2" s="1"/>
  <c r="H14" i="2"/>
  <c r="H16" i="2" s="1"/>
  <c r="H20" i="2" s="1"/>
  <c r="M14" i="2"/>
  <c r="M16" i="2" s="1"/>
  <c r="E14" i="2"/>
  <c r="E16" i="2" s="1"/>
  <c r="E20" i="2" s="1"/>
  <c r="L14" i="2"/>
  <c r="L16" i="2" s="1"/>
  <c r="L20" i="2" s="1"/>
  <c r="D14" i="2"/>
  <c r="D16" i="2" s="1"/>
  <c r="D20" i="2" s="1"/>
  <c r="D21" i="2" s="1"/>
  <c r="K20" i="2"/>
  <c r="P18" i="2"/>
  <c r="C5" i="1" s="1"/>
  <c r="C7" i="1" s="1"/>
  <c r="C20" i="2"/>
  <c r="A21" i="2"/>
  <c r="E21" i="2" l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M39" i="2"/>
  <c r="I39" i="2"/>
  <c r="E39" i="2"/>
  <c r="O39" i="2"/>
  <c r="G39" i="2"/>
  <c r="L39" i="2"/>
  <c r="H39" i="2"/>
  <c r="D39" i="2"/>
  <c r="K39" i="2"/>
  <c r="N39" i="2"/>
  <c r="J39" i="2"/>
  <c r="F39" i="2"/>
  <c r="C21" i="2"/>
  <c r="A24" i="2"/>
  <c r="P16" i="2"/>
  <c r="N26" i="2" l="1"/>
  <c r="J26" i="2"/>
  <c r="F26" i="2"/>
  <c r="C11" i="1"/>
  <c r="M26" i="2"/>
  <c r="I26" i="2"/>
  <c r="E26" i="2"/>
  <c r="K26" i="2"/>
  <c r="H26" i="2"/>
  <c r="O26" i="2"/>
  <c r="G26" i="2"/>
  <c r="L26" i="2"/>
  <c r="D26" i="2"/>
  <c r="A25" i="2"/>
  <c r="C17" i="1"/>
  <c r="A26" i="2"/>
  <c r="G25" i="2" l="1"/>
  <c r="E25" i="2"/>
  <c r="O25" i="2"/>
  <c r="O32" i="2"/>
  <c r="P26" i="2"/>
  <c r="C14" i="1" s="1"/>
  <c r="O31" i="2"/>
  <c r="I32" i="2"/>
  <c r="I31" i="2"/>
  <c r="I25" i="2"/>
  <c r="J31" i="2"/>
  <c r="J25" i="2"/>
  <c r="J32" i="2"/>
  <c r="A29" i="2"/>
  <c r="D29" i="2"/>
  <c r="D32" i="2"/>
  <c r="E32" i="2" s="1"/>
  <c r="D31" i="2"/>
  <c r="E31" i="2" s="1"/>
  <c r="F31" i="2" s="1"/>
  <c r="D30" i="2"/>
  <c r="D25" i="2"/>
  <c r="H25" i="2"/>
  <c r="M32" i="2"/>
  <c r="M31" i="2"/>
  <c r="M25" i="2"/>
  <c r="N31" i="2"/>
  <c r="N25" i="2"/>
  <c r="N32" i="2"/>
  <c r="L32" i="2"/>
  <c r="L25" i="2"/>
  <c r="L31" i="2"/>
  <c r="K25" i="2"/>
  <c r="K32" i="2"/>
  <c r="K31" i="2"/>
  <c r="F25" i="2"/>
  <c r="D33" i="2" l="1"/>
  <c r="F32" i="2"/>
  <c r="G32" i="2" s="1"/>
  <c r="H32" i="2" s="1"/>
  <c r="G31" i="2"/>
  <c r="H31" i="2" s="1"/>
  <c r="F30" i="2"/>
  <c r="G30" i="2" s="1"/>
  <c r="A30" i="2"/>
  <c r="E30" i="2"/>
  <c r="D38" i="2"/>
  <c r="D40" i="2" s="1"/>
  <c r="E29" i="2"/>
  <c r="A31" i="2" l="1"/>
  <c r="A32" i="2" s="1"/>
  <c r="E33" i="2"/>
  <c r="F29" i="2"/>
  <c r="F33" i="2" s="1"/>
  <c r="F38" i="2" s="1"/>
  <c r="F40" i="2" s="1"/>
  <c r="H30" i="2"/>
  <c r="D44" i="2"/>
  <c r="D42" i="2"/>
  <c r="A33" i="2" l="1"/>
  <c r="A36" i="2" s="1"/>
  <c r="A37" i="2" s="1"/>
  <c r="A38" i="2" s="1"/>
  <c r="A44" i="2" s="1"/>
  <c r="A45" i="2" s="1"/>
  <c r="A47" i="2" s="1"/>
  <c r="A50" i="2" s="1"/>
  <c r="G29" i="2"/>
  <c r="H29" i="2" s="1"/>
  <c r="H33" i="2" s="1"/>
  <c r="H38" i="2" s="1"/>
  <c r="H40" i="2" s="1"/>
  <c r="D45" i="2"/>
  <c r="E37" i="2" s="1"/>
  <c r="E38" i="2"/>
  <c r="E40" i="2" s="1"/>
  <c r="E44" i="2" l="1"/>
  <c r="I29" i="2"/>
  <c r="E42" i="2"/>
  <c r="E45" i="2" s="1"/>
  <c r="F37" i="2" s="1"/>
  <c r="G33" i="2"/>
  <c r="J29" i="2" l="1"/>
  <c r="I30" i="2"/>
  <c r="I33" i="2" s="1"/>
  <c r="I38" i="2" s="1"/>
  <c r="I40" i="2" s="1"/>
  <c r="G38" i="2"/>
  <c r="G40" i="2" s="1"/>
  <c r="F42" i="2"/>
  <c r="F44" i="2"/>
  <c r="F45" i="2" l="1"/>
  <c r="G37" i="2" s="1"/>
  <c r="G42" i="2" s="1"/>
  <c r="J30" i="2"/>
  <c r="J33" i="2" s="1"/>
  <c r="K29" i="2"/>
  <c r="J38" i="2" l="1"/>
  <c r="J40" i="2" s="1"/>
  <c r="K30" i="2"/>
  <c r="K33" i="2" s="1"/>
  <c r="K38" i="2" s="1"/>
  <c r="K40" i="2" s="1"/>
  <c r="L29" i="2"/>
  <c r="G44" i="2"/>
  <c r="G45" i="2" s="1"/>
  <c r="H37" i="2" s="1"/>
  <c r="H42" i="2" l="1"/>
  <c r="H44" i="2"/>
  <c r="L30" i="2"/>
  <c r="L33" i="2" s="1"/>
  <c r="L38" i="2" s="1"/>
  <c r="L40" i="2" s="1"/>
  <c r="M29" i="2"/>
  <c r="M30" i="2" l="1"/>
  <c r="M33" i="2" s="1"/>
  <c r="M38" i="2" s="1"/>
  <c r="M40" i="2" s="1"/>
  <c r="N29" i="2"/>
  <c r="H45" i="2"/>
  <c r="I37" i="2" s="1"/>
  <c r="N30" i="2" l="1"/>
  <c r="N33" i="2" s="1"/>
  <c r="N38" i="2" s="1"/>
  <c r="N40" i="2" s="1"/>
  <c r="O29" i="2"/>
  <c r="I42" i="2"/>
  <c r="I44" i="2"/>
  <c r="O30" i="2" l="1"/>
  <c r="O33" i="2" s="1"/>
  <c r="I45" i="2"/>
  <c r="J37" i="2" s="1"/>
  <c r="O38" i="2" l="1"/>
  <c r="O40" i="2" s="1"/>
  <c r="P33" i="2"/>
  <c r="C16" i="1" s="1"/>
  <c r="J42" i="2"/>
  <c r="J44" i="2"/>
  <c r="J45" i="2" l="1"/>
  <c r="K37" i="2" s="1"/>
  <c r="K42" i="2" l="1"/>
  <c r="K45" i="2" s="1"/>
  <c r="L37" i="2" s="1"/>
  <c r="K44" i="2"/>
  <c r="L42" i="2" l="1"/>
  <c r="L44" i="2"/>
  <c r="L45" i="2" l="1"/>
  <c r="M37" i="2" s="1"/>
  <c r="M42" i="2" l="1"/>
  <c r="M44" i="2"/>
  <c r="M45" i="2" l="1"/>
  <c r="N37" i="2" s="1"/>
  <c r="N42" i="2" l="1"/>
  <c r="N44" i="2"/>
  <c r="N45" i="2" l="1"/>
  <c r="O37" i="2" s="1"/>
  <c r="O42" i="2" l="1"/>
  <c r="O44" i="2"/>
  <c r="C18" i="1" s="1"/>
  <c r="C20" i="1" s="1"/>
  <c r="O45" i="2" l="1"/>
  <c r="P45" i="2" s="1"/>
</calcChain>
</file>

<file path=xl/sharedStrings.xml><?xml version="1.0" encoding="utf-8"?>
<sst xmlns="http://schemas.openxmlformats.org/spreadsheetml/2006/main" count="78" uniqueCount="76">
  <si>
    <t>Calendar Year 2021 PCAM Deferral</t>
  </si>
  <si>
    <t>Actual PCAM Costs ($/MWh)</t>
  </si>
  <si>
    <t>Base PCAM Costs ($/MWh)</t>
  </si>
  <si>
    <t>PCAM Cost Differential ($/MWh)</t>
  </si>
  <si>
    <t>Washington Sales (MWh)</t>
  </si>
  <si>
    <t>Total PCAM Differential*</t>
  </si>
  <si>
    <t>Total Deferrable ABOVE Deadband</t>
  </si>
  <si>
    <t>Total Deferrable BELOW Deadband</t>
  </si>
  <si>
    <t>Washington Deferral after Sharing</t>
  </si>
  <si>
    <t>DNBA Adjustment</t>
  </si>
  <si>
    <t>Interest Accrued through December 31, 2021</t>
  </si>
  <si>
    <t>Requested PCAM Recovery</t>
  </si>
  <si>
    <t>* Calculated monthly</t>
  </si>
  <si>
    <t>Washington Power Cost Adjustment Mechanism</t>
  </si>
  <si>
    <t>Deferral Period: January 1, 2021 - December 31, 2021</t>
  </si>
  <si>
    <t>Exhibit No. JP-2: Power Cost Adjustment Mechanism Calculation</t>
  </si>
  <si>
    <t>Line No.</t>
  </si>
  <si>
    <t>Base NPC in Rates:</t>
  </si>
  <si>
    <t>UE-191024</t>
  </si>
  <si>
    <t>Total Annual NPC in Rates</t>
  </si>
  <si>
    <t>(4.1)</t>
  </si>
  <si>
    <t>Retail Sales @ Meter in Rates</t>
  </si>
  <si>
    <t>(7.1)</t>
  </si>
  <si>
    <t>NPC $/MWh - Final NPC October Update</t>
  </si>
  <si>
    <t>3a</t>
  </si>
  <si>
    <t>NPC $/MWh - Settlement NPC in Rates</t>
  </si>
  <si>
    <t>Settlement / Line 2</t>
  </si>
  <si>
    <t>3b</t>
  </si>
  <si>
    <t>Difference Between Final NPC and Settlement NPC</t>
  </si>
  <si>
    <t>Line 3 - Line 3a</t>
  </si>
  <si>
    <t>Deferral:</t>
  </si>
  <si>
    <t>Total</t>
  </si>
  <si>
    <t>Base NPC in Rates</t>
  </si>
  <si>
    <t>Actual WA Sales (MWh)</t>
  </si>
  <si>
    <t>Actual Collections of Base NPC</t>
  </si>
  <si>
    <t>Line 4 x Line 5</t>
  </si>
  <si>
    <t>WIJAM Allocated Adjusted Actual NPC</t>
  </si>
  <si>
    <t>(3.1)</t>
  </si>
  <si>
    <t>Total Monthly PCAM Differential - Above or (Below) Base</t>
  </si>
  <si>
    <t>Cumulative PCAM Differential - Above or (Below) Base</t>
  </si>
  <si>
    <t>Deadband:</t>
  </si>
  <si>
    <t>Deadband +/-$4 Million</t>
  </si>
  <si>
    <t>PCAM Differential Outside of Deadband</t>
  </si>
  <si>
    <t>Cumulative PCAM Differential Outside of Deadband</t>
  </si>
  <si>
    <t>Asymmetrical Sharing Band</t>
  </si>
  <si>
    <t>Asymmetrical Sharing Band :</t>
  </si>
  <si>
    <t>Lower Limit</t>
  </si>
  <si>
    <t>Upper Limit</t>
  </si>
  <si>
    <t>Customer Share</t>
  </si>
  <si>
    <t>Company Share</t>
  </si>
  <si>
    <t>Amount Deferrable between $4 million and $10 million, 50/50 Sharing</t>
  </si>
  <si>
    <t>Amount Deferrable greater than $10 million, 90/10 Sharing</t>
  </si>
  <si>
    <t>Amount Deferrable between ($4 million) and ($10 million), 75/25 Sharing</t>
  </si>
  <si>
    <t>Amount Deferrable less than ($10 million), 90/10 Sharing</t>
  </si>
  <si>
    <t>Total Incremental Deferral After Sharing</t>
  </si>
  <si>
    <t>Deferred Balancing Account:</t>
  </si>
  <si>
    <t>FERC Interest Rate - Published Quarterly</t>
  </si>
  <si>
    <t>FERC</t>
  </si>
  <si>
    <t>Beginning Balance</t>
  </si>
  <si>
    <t>Incremental Deferral After Sharing</t>
  </si>
  <si>
    <t>Line 17</t>
  </si>
  <si>
    <t>20a</t>
  </si>
  <si>
    <t>Line 3b x Line 5</t>
  </si>
  <si>
    <t>20b</t>
  </si>
  <si>
    <t>Total Adjustment</t>
  </si>
  <si>
    <t>Line 20 + Line 20a</t>
  </si>
  <si>
    <t>20c</t>
  </si>
  <si>
    <t>Incremental Deferral After Sharing and DNBA Adjustment</t>
  </si>
  <si>
    <t>Line 19 + Line 20b</t>
  </si>
  <si>
    <t>Carrying Charge</t>
  </si>
  <si>
    <t>[Line 19  + (Line 20b x 50%)] x Line 18/12</t>
  </si>
  <si>
    <t>Ending PCAM Balance</t>
  </si>
  <si>
    <t>Line 20c + Line 21</t>
  </si>
  <si>
    <t>2016 - 2017 PCAM Regulatory Liability Account True-Up</t>
  </si>
  <si>
    <t>Total PCAM Recovery</t>
  </si>
  <si>
    <t>UE-210402 PCORC Temporary Aurora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</si>
</sst>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\ #,##0.00_);_(&quot;$&quot;* \(#,##0.00\);_(&quot;$&quot;* &quot;-&quot;??_);_(@_)"/>
    <numFmt numFmtId="165" formatCode="_(* #,##0_);_(* \(#,##0\);_(* &quot;-&quot;??_);_(@_)"/>
    <numFmt numFmtId="166" formatCode="_(&quot;$&quot;\ #,##0_);_(&quot;$&quot;* \(#,##0\);_(&quot;$&quot;* &quot;-&quot;_);_(@_)"/>
    <numFmt numFmtId="167" formatCode="[$-409]mmm\-yy;@"/>
    <numFmt numFmtId="168" formatCode="_(&quot;$&quot;* #,##0_);_(&quot;$&quot;* \(#,##0\);_(&quot;$&quot;* &quot;-&quot;??_);_(@_)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1" fillId="2" borderId="1" xfId="4" applyFill="1" applyBorder="1"/>
    <xf numFmtId="0" fontId="1" fillId="2" borderId="2" xfId="4" applyFill="1" applyBorder="1"/>
    <xf numFmtId="0" fontId="1" fillId="2" borderId="3" xfId="4" applyFill="1" applyBorder="1"/>
    <xf numFmtId="0" fontId="1" fillId="0" borderId="0" xfId="4"/>
    <xf numFmtId="0" fontId="2" fillId="2" borderId="4" xfId="4" applyFont="1" applyFill="1" applyBorder="1"/>
    <xf numFmtId="0" fontId="1" fillId="2" borderId="0" xfId="4" applyFill="1"/>
    <xf numFmtId="0" fontId="1" fillId="2" borderId="5" xfId="4" applyFill="1" applyBorder="1"/>
    <xf numFmtId="0" fontId="1" fillId="2" borderId="4" xfId="4" applyFill="1" applyBorder="1"/>
    <xf numFmtId="0" fontId="0" fillId="2" borderId="4" xfId="0" applyFill="1" applyBorder="1" applyAlignment="1">
      <alignment horizontal="left" indent="1"/>
    </xf>
    <xf numFmtId="44" fontId="1" fillId="2" borderId="0" xfId="5" applyFont="1" applyFill="1" applyBorder="1" applyAlignment="1">
      <alignment horizontal="right" vertical="center"/>
    </xf>
    <xf numFmtId="43" fontId="1" fillId="2" borderId="6" xfId="5" applyNumberFormat="1" applyFont="1" applyFill="1" applyBorder="1" applyAlignment="1">
      <alignment horizontal="right" vertical="center"/>
    </xf>
    <xf numFmtId="43" fontId="1" fillId="2" borderId="0" xfId="5" applyNumberFormat="1" applyFont="1" applyFill="1" applyBorder="1" applyAlignment="1">
      <alignment horizontal="right" vertical="center"/>
    </xf>
    <xf numFmtId="164" fontId="4" fillId="2" borderId="0" xfId="5" applyNumberFormat="1" applyFont="1" applyFill="1" applyBorder="1" applyAlignment="1">
      <alignment horizontal="right" vertical="center"/>
    </xf>
    <xf numFmtId="165" fontId="1" fillId="2" borderId="0" xfId="1" applyNumberFormat="1" applyFont="1" applyFill="1" applyBorder="1"/>
    <xf numFmtId="0" fontId="1" fillId="2" borderId="4" xfId="4" applyFill="1" applyBorder="1" applyAlignment="1">
      <alignment horizontal="left" indent="1"/>
    </xf>
    <xf numFmtId="166" fontId="1" fillId="2" borderId="0" xfId="4" applyNumberFormat="1" applyFill="1"/>
    <xf numFmtId="41" fontId="1" fillId="2" borderId="0" xfId="4" applyNumberFormat="1" applyFill="1"/>
    <xf numFmtId="41" fontId="1" fillId="2" borderId="0" xfId="1" applyNumberFormat="1" applyFont="1" applyFill="1" applyBorder="1"/>
    <xf numFmtId="0" fontId="4" fillId="2" borderId="4" xfId="4" applyFont="1" applyFill="1" applyBorder="1" applyAlignment="1">
      <alignment horizontal="left" indent="1"/>
    </xf>
    <xf numFmtId="41" fontId="4" fillId="2" borderId="0" xfId="4" applyNumberFormat="1" applyFont="1" applyFill="1"/>
    <xf numFmtId="166" fontId="4" fillId="2" borderId="7" xfId="4" applyNumberFormat="1" applyFont="1" applyFill="1" applyBorder="1"/>
    <xf numFmtId="0" fontId="4" fillId="2" borderId="4" xfId="4" applyFont="1" applyFill="1" applyBorder="1"/>
    <xf numFmtId="166" fontId="4" fillId="2" borderId="0" xfId="4" applyNumberFormat="1" applyFont="1" applyFill="1"/>
    <xf numFmtId="0" fontId="5" fillId="2" borderId="4" xfId="4" applyFont="1" applyFill="1" applyBorder="1"/>
    <xf numFmtId="0" fontId="1" fillId="2" borderId="8" xfId="4" applyFill="1" applyBorder="1"/>
    <xf numFmtId="0" fontId="1" fillId="2" borderId="6" xfId="4" applyFill="1" applyBorder="1"/>
    <xf numFmtId="0" fontId="1" fillId="2" borderId="9" xfId="4" applyFill="1" applyBorder="1"/>
    <xf numFmtId="165" fontId="0" fillId="0" borderId="0" xfId="1" applyNumberFormat="1" applyFont="1"/>
    <xf numFmtId="0" fontId="6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167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168" fontId="0" fillId="0" borderId="0" xfId="2" applyNumberFormat="1" applyFont="1"/>
    <xf numFmtId="165" fontId="0" fillId="0" borderId="0" xfId="1" applyNumberFormat="1" applyFont="1" applyBorder="1"/>
    <xf numFmtId="0" fontId="1" fillId="0" borderId="0" xfId="0" applyFont="1" applyAlignment="1">
      <alignment horizontal="center"/>
    </xf>
    <xf numFmtId="165" fontId="1" fillId="0" borderId="0" xfId="1" applyNumberFormat="1" applyFont="1" applyFill="1" applyAlignment="1">
      <alignment horizontal="center"/>
    </xf>
    <xf numFmtId="44" fontId="1" fillId="0" borderId="2" xfId="2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44" fontId="6" fillId="0" borderId="0" xfId="0" applyNumberFormat="1" applyFont="1"/>
    <xf numFmtId="44" fontId="1" fillId="0" borderId="0" xfId="2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67" fontId="4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4" fontId="0" fillId="0" borderId="0" xfId="6" applyFont="1" applyFill="1" applyAlignment="1">
      <alignment horizontal="center" vertical="center"/>
    </xf>
    <xf numFmtId="41" fontId="0" fillId="0" borderId="6" xfId="0" applyNumberForma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1" fontId="1" fillId="0" borderId="0" xfId="6" applyNumberFormat="1" applyFont="1" applyFill="1" applyAlignment="1">
      <alignment horizontal="right" vertical="center"/>
    </xf>
    <xf numFmtId="41" fontId="0" fillId="0" borderId="2" xfId="0" applyNumberForma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0" fillId="0" borderId="0" xfId="0" applyNumberFormat="1"/>
    <xf numFmtId="0" fontId="0" fillId="0" borderId="0" xfId="0" applyAlignment="1">
      <alignment horizontal="left" vertical="center" wrapText="1"/>
    </xf>
    <xf numFmtId="41" fontId="3" fillId="0" borderId="2" xfId="6" applyNumberFormat="1" applyFont="1" applyFill="1" applyBorder="1" applyAlignment="1">
      <alignment horizontal="center" vertical="center"/>
    </xf>
    <xf numFmtId="41" fontId="3" fillId="0" borderId="0" xfId="6" applyNumberFormat="1" applyFont="1" applyFill="1" applyBorder="1" applyAlignment="1">
      <alignment horizontal="center" vertical="center"/>
    </xf>
    <xf numFmtId="41" fontId="6" fillId="0" borderId="0" xfId="0" applyNumberFormat="1" applyFont="1"/>
    <xf numFmtId="0" fontId="1" fillId="0" borderId="0" xfId="0" applyFont="1" applyAlignment="1">
      <alignment horizontal="center" vertical="center" wrapText="1"/>
    </xf>
    <xf numFmtId="168" fontId="1" fillId="0" borderId="2" xfId="6" applyNumberFormat="1" applyFont="1" applyFill="1" applyBorder="1" applyAlignment="1">
      <alignment horizontal="right" vertical="center"/>
    </xf>
    <xf numFmtId="168" fontId="0" fillId="0" borderId="2" xfId="0" applyNumberFormat="1" applyBorder="1" applyAlignment="1">
      <alignment vertical="center"/>
    </xf>
    <xf numFmtId="168" fontId="1" fillId="0" borderId="0" xfId="6" applyNumberFormat="1" applyFont="1" applyFill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0" xfId="0" applyNumberForma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1" fontId="1" fillId="0" borderId="0" xfId="6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8" fontId="0" fillId="0" borderId="0" xfId="0" applyNumberFormat="1" applyAlignment="1">
      <alignment horizontal="center" vertical="center"/>
    </xf>
    <xf numFmtId="9" fontId="0" fillId="0" borderId="0" xfId="3" applyFont="1"/>
    <xf numFmtId="165" fontId="1" fillId="0" borderId="0" xfId="1" applyNumberFormat="1" applyFont="1" applyFill="1" applyAlignment="1">
      <alignment horizontal="right" vertical="center"/>
    </xf>
    <xf numFmtId="41" fontId="0" fillId="0" borderId="0" xfId="2" applyNumberFormat="1" applyFont="1"/>
    <xf numFmtId="0" fontId="6" fillId="0" borderId="0" xfId="0" applyFont="1" applyAlignment="1">
      <alignment wrapText="1"/>
    </xf>
    <xf numFmtId="168" fontId="1" fillId="0" borderId="0" xfId="6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0" fontId="0" fillId="0" borderId="0" xfId="3" applyNumberFormat="1" applyFont="1" applyFill="1"/>
    <xf numFmtId="168" fontId="0" fillId="0" borderId="0" xfId="2" applyNumberFormat="1" applyFont="1" applyFill="1" applyAlignment="1">
      <alignment horizontal="center"/>
    </xf>
    <xf numFmtId="43" fontId="0" fillId="0" borderId="0" xfId="0" applyNumberFormat="1"/>
    <xf numFmtId="165" fontId="0" fillId="0" borderId="0" xfId="1" applyNumberFormat="1" applyFont="1" applyFill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168" fontId="6" fillId="0" borderId="7" xfId="0" applyNumberFormat="1" applyFont="1" applyBorder="1" applyAlignment="1">
      <alignment horizontal="center" vertical="center"/>
    </xf>
    <xf numFmtId="168" fontId="3" fillId="0" borderId="0" xfId="2" applyNumberFormat="1" applyFont="1"/>
    <xf numFmtId="165" fontId="0" fillId="0" borderId="0" xfId="0" applyNumberFormat="1"/>
    <xf numFmtId="168" fontId="6" fillId="0" borderId="7" xfId="0" applyNumberFormat="1" applyFont="1" applyBorder="1"/>
    <xf numFmtId="0" fontId="4" fillId="0" borderId="0" xfId="0" applyFont="1" applyAlignment="1">
      <alignment horizontal="center" vertical="center"/>
    </xf>
  </cellXfs>
  <cellStyles count="7">
    <cellStyle name="Comma" xfId="1" builtinId="3"/>
    <cellStyle name="Currency" xfId="2" builtinId="4"/>
    <cellStyle name="Currency 10" xfId="5" xr:uid="{11A1D9B8-1888-4379-8D53-316C085DA198}"/>
    <cellStyle name="Currency 2 2" xfId="6" xr:uid="{C60E9685-37EB-4F22-A2B8-498C58A29F9F}"/>
    <cellStyle name="Normal" xfId="0" builtinId="0"/>
    <cellStyle name="Normal 10 2 2" xfId="4" xr:uid="{9C5084B9-2918-4286-9C9F-F71B8F3BC58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3.xml"/><Relationship Id="rId21" Type="http://schemas.openxmlformats.org/officeDocument/2006/relationships/externalLink" Target="externalLinks/externalLink19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Y%2020000-xxx-xx-xx%20(GRC%20CY2016)/Data/GNw_Market%20Price%20Index%20(1206)%20(Confidential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83751-7862-4B8C-A829-70C1E5F77803}">
  <dimension ref="B2:D25"/>
  <sheetViews>
    <sheetView tabSelected="1" zoomScaleNormal="100" workbookViewId="0"/>
  </sheetViews>
  <sheetFormatPr defaultRowHeight="12.75" x14ac:dyDescent="0.2"/>
  <cols>
    <col min="1" max="1" width="9.140625" style="4"/>
    <col min="2" max="2" width="48.7109375" style="4" customWidth="1"/>
    <col min="3" max="3" width="20.7109375" style="4" customWidth="1"/>
    <col min="4" max="4" width="1.85546875" style="4" customWidth="1"/>
    <col min="5" max="16384" width="9.140625" style="4"/>
  </cols>
  <sheetData>
    <row r="2" spans="2:4" x14ac:dyDescent="0.2">
      <c r="B2" s="1"/>
      <c r="C2" s="2"/>
      <c r="D2" s="3"/>
    </row>
    <row r="3" spans="2:4" x14ac:dyDescent="0.2">
      <c r="B3" s="5" t="s">
        <v>0</v>
      </c>
      <c r="C3" s="6"/>
      <c r="D3" s="7"/>
    </row>
    <row r="4" spans="2:4" x14ac:dyDescent="0.2">
      <c r="B4" s="8"/>
      <c r="C4" s="6"/>
      <c r="D4" s="7"/>
    </row>
    <row r="5" spans="2:4" x14ac:dyDescent="0.2">
      <c r="B5" s="9" t="s">
        <v>1</v>
      </c>
      <c r="C5" s="10">
        <f>'Exhibit JP-2 PCAM Calculation'!P18/SUM('Exhibit JP-2 PCAM Calculation'!D15:O15)</f>
        <v>39.239672381888411</v>
      </c>
      <c r="D5" s="7"/>
    </row>
    <row r="6" spans="2:4" x14ac:dyDescent="0.2">
      <c r="B6" s="9" t="s">
        <v>2</v>
      </c>
      <c r="C6" s="11">
        <f>'Exhibit JP-2 PCAM Calculation'!D9</f>
        <v>29.283584810195197</v>
      </c>
      <c r="D6" s="7"/>
    </row>
    <row r="7" spans="2:4" x14ac:dyDescent="0.2">
      <c r="B7" s="9" t="s">
        <v>3</v>
      </c>
      <c r="C7" s="12">
        <f>+C5-C6</f>
        <v>9.9560875716932138</v>
      </c>
      <c r="D7" s="7"/>
    </row>
    <row r="8" spans="2:4" x14ac:dyDescent="0.2">
      <c r="B8" s="9"/>
      <c r="C8" s="13"/>
      <c r="D8" s="7"/>
    </row>
    <row r="9" spans="2:4" x14ac:dyDescent="0.2">
      <c r="B9" s="9" t="s">
        <v>4</v>
      </c>
      <c r="C9" s="14">
        <f>SUM('Exhibit JP-2 PCAM Calculation'!D15:O15)</f>
        <v>4198960.8440000005</v>
      </c>
      <c r="D9" s="7"/>
    </row>
    <row r="10" spans="2:4" x14ac:dyDescent="0.2">
      <c r="B10" s="15"/>
      <c r="C10" s="16"/>
      <c r="D10" s="7"/>
    </row>
    <row r="11" spans="2:4" x14ac:dyDescent="0.2">
      <c r="B11" s="15" t="s">
        <v>5</v>
      </c>
      <c r="C11" s="16">
        <f>'Exhibit JP-2 PCAM Calculation'!P21</f>
        <v>41805221.872974865</v>
      </c>
      <c r="D11" s="7"/>
    </row>
    <row r="12" spans="2:4" x14ac:dyDescent="0.2">
      <c r="B12" s="15"/>
      <c r="C12" s="16"/>
      <c r="D12" s="7"/>
    </row>
    <row r="13" spans="2:4" x14ac:dyDescent="0.2">
      <c r="B13" s="9" t="s">
        <v>6</v>
      </c>
      <c r="C13" s="17">
        <v>0</v>
      </c>
      <c r="D13" s="7"/>
    </row>
    <row r="14" spans="2:4" x14ac:dyDescent="0.2">
      <c r="B14" s="9" t="s">
        <v>7</v>
      </c>
      <c r="C14" s="18">
        <f>'Exhibit JP-2 PCAM Calculation'!P26</f>
        <v>37805221.872974865</v>
      </c>
      <c r="D14" s="7"/>
    </row>
    <row r="15" spans="2:4" x14ac:dyDescent="0.2">
      <c r="B15" s="19"/>
      <c r="C15" s="20"/>
      <c r="D15" s="7"/>
    </row>
    <row r="16" spans="2:4" x14ac:dyDescent="0.2">
      <c r="B16" s="15" t="s">
        <v>8</v>
      </c>
      <c r="C16" s="17">
        <f>'Exhibit JP-2 PCAM Calculation'!P33</f>
        <v>31624699.685677379</v>
      </c>
      <c r="D16" s="7"/>
    </row>
    <row r="17" spans="2:4" x14ac:dyDescent="0.2">
      <c r="B17" s="15" t="s">
        <v>9</v>
      </c>
      <c r="C17" s="17">
        <f>SUM('Exhibit JP-2 PCAM Calculation'!D39:O39)</f>
        <v>18377215.551669016</v>
      </c>
      <c r="D17" s="7"/>
    </row>
    <row r="18" spans="2:4" x14ac:dyDescent="0.2">
      <c r="B18" s="15" t="s">
        <v>10</v>
      </c>
      <c r="C18" s="17">
        <f>SUM('Exhibit JP-2 PCAM Calculation'!D44:O44)</f>
        <v>-151967.22956909594</v>
      </c>
      <c r="D18" s="7"/>
    </row>
    <row r="19" spans="2:4" x14ac:dyDescent="0.2">
      <c r="B19" s="15"/>
      <c r="C19" s="6"/>
      <c r="D19" s="7"/>
    </row>
    <row r="20" spans="2:4" ht="13.5" thickBot="1" x14ac:dyDescent="0.25">
      <c r="B20" s="19" t="s">
        <v>11</v>
      </c>
      <c r="C20" s="21">
        <f>C16+C17+C18</f>
        <v>49849948.007777303</v>
      </c>
      <c r="D20" s="7"/>
    </row>
    <row r="21" spans="2:4" ht="13.5" thickTop="1" x14ac:dyDescent="0.2">
      <c r="B21" s="22"/>
      <c r="C21" s="23"/>
      <c r="D21" s="7"/>
    </row>
    <row r="22" spans="2:4" x14ac:dyDescent="0.2">
      <c r="B22" s="24" t="s">
        <v>12</v>
      </c>
      <c r="C22" s="6"/>
      <c r="D22" s="7"/>
    </row>
    <row r="23" spans="2:4" x14ac:dyDescent="0.2">
      <c r="B23" s="25"/>
      <c r="C23" s="26"/>
      <c r="D23" s="27"/>
    </row>
    <row r="25" spans="2:4" x14ac:dyDescent="0.2">
      <c r="C25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81001-B1D0-4B55-95ED-DD7914E590A1}">
  <sheetPr>
    <pageSetUpPr fitToPage="1"/>
  </sheetPr>
  <dimension ref="A1:X51"/>
  <sheetViews>
    <sheetView zoomScale="90" zoomScaleNormal="9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5.5703125" customWidth="1"/>
    <col min="2" max="2" width="51.42578125" bestFit="1" customWidth="1"/>
    <col min="3" max="3" width="19.42578125" style="30" customWidth="1"/>
    <col min="4" max="16" width="16.28515625" customWidth="1"/>
    <col min="17" max="17" width="5.28515625" customWidth="1"/>
    <col min="18" max="18" width="13.85546875" customWidth="1"/>
    <col min="19" max="19" width="13.42578125" bestFit="1" customWidth="1"/>
    <col min="20" max="20" width="14.5703125" bestFit="1" customWidth="1"/>
    <col min="21" max="21" width="14.42578125" bestFit="1" customWidth="1"/>
    <col min="24" max="24" width="11.85546875" bestFit="1" customWidth="1"/>
  </cols>
  <sheetData>
    <row r="1" spans="1:16" x14ac:dyDescent="0.2">
      <c r="A1" s="29" t="s">
        <v>13</v>
      </c>
    </row>
    <row r="2" spans="1:16" x14ac:dyDescent="0.2">
      <c r="A2" s="29" t="s">
        <v>14</v>
      </c>
    </row>
    <row r="3" spans="1:16" x14ac:dyDescent="0.2">
      <c r="A3" s="29" t="s">
        <v>15</v>
      </c>
    </row>
    <row r="5" spans="1:16" ht="25.5" x14ac:dyDescent="0.2">
      <c r="A5" s="31" t="s">
        <v>16</v>
      </c>
      <c r="B5" s="32"/>
      <c r="E5" s="33"/>
      <c r="F5" s="33"/>
      <c r="G5" s="33"/>
      <c r="H5" s="33"/>
    </row>
    <row r="6" spans="1:16" x14ac:dyDescent="0.2">
      <c r="A6" s="34" t="s">
        <v>17</v>
      </c>
      <c r="B6" s="32"/>
      <c r="C6" s="35"/>
      <c r="D6" s="33" t="s">
        <v>18</v>
      </c>
      <c r="E6" s="36"/>
      <c r="F6" s="36"/>
      <c r="G6" s="36"/>
    </row>
    <row r="7" spans="1:16" x14ac:dyDescent="0.2">
      <c r="A7" s="37">
        <v>1</v>
      </c>
      <c r="B7" s="38" t="s">
        <v>19</v>
      </c>
      <c r="C7" s="30" t="s">
        <v>20</v>
      </c>
      <c r="D7" s="39">
        <v>119524079.43418483</v>
      </c>
      <c r="E7" s="39"/>
      <c r="F7" s="39"/>
      <c r="G7" s="39"/>
      <c r="H7" s="40"/>
    </row>
    <row r="8" spans="1:16" x14ac:dyDescent="0.2">
      <c r="A8" s="41">
        <v>2</v>
      </c>
      <c r="B8" t="s">
        <v>21</v>
      </c>
      <c r="C8" s="30" t="s">
        <v>22</v>
      </c>
      <c r="D8" s="42">
        <v>4081606.818594561</v>
      </c>
      <c r="E8" s="42"/>
      <c r="F8" s="42"/>
      <c r="G8" s="42"/>
      <c r="H8" s="40"/>
    </row>
    <row r="9" spans="1:16" x14ac:dyDescent="0.2">
      <c r="A9" s="41">
        <v>3</v>
      </c>
      <c r="B9" t="s">
        <v>23</v>
      </c>
      <c r="C9" s="30" t="str">
        <f>"Line "&amp;A7&amp;" / Line "&amp;A8</f>
        <v>Line 1 / Line 2</v>
      </c>
      <c r="D9" s="43">
        <f>+D7/D8</f>
        <v>29.283584810195197</v>
      </c>
      <c r="E9" s="44"/>
      <c r="F9" s="44"/>
      <c r="G9" s="44"/>
      <c r="H9" s="44"/>
      <c r="I9" s="45"/>
    </row>
    <row r="10" spans="1:16" x14ac:dyDescent="0.2">
      <c r="A10" s="41" t="s">
        <v>24</v>
      </c>
      <c r="B10" t="s">
        <v>25</v>
      </c>
      <c r="C10" s="30" t="s">
        <v>26</v>
      </c>
      <c r="D10" s="46">
        <v>24.906974445292967</v>
      </c>
      <c r="E10" s="44"/>
      <c r="F10" s="44"/>
      <c r="G10" s="44"/>
      <c r="H10" s="44"/>
      <c r="I10" s="45"/>
    </row>
    <row r="11" spans="1:16" x14ac:dyDescent="0.2">
      <c r="A11" s="41" t="s">
        <v>27</v>
      </c>
      <c r="B11" t="s">
        <v>28</v>
      </c>
      <c r="C11" s="30" t="s">
        <v>29</v>
      </c>
      <c r="D11" s="46">
        <f>D9-D10</f>
        <v>4.3766103649022305</v>
      </c>
      <c r="E11" s="44"/>
      <c r="F11" s="44"/>
      <c r="G11" s="44"/>
      <c r="H11" s="44"/>
      <c r="I11" s="45"/>
    </row>
    <row r="12" spans="1:16" x14ac:dyDescent="0.2">
      <c r="A12" s="47"/>
      <c r="B12" s="32"/>
      <c r="D12" s="36"/>
      <c r="E12" s="36"/>
      <c r="F12" s="36"/>
      <c r="G12" s="36"/>
    </row>
    <row r="13" spans="1:16" x14ac:dyDescent="0.2">
      <c r="A13" s="48" t="s">
        <v>30</v>
      </c>
      <c r="B13" s="49"/>
      <c r="D13" s="50">
        <v>44197</v>
      </c>
      <c r="E13" s="50">
        <f>EDATE(D13,1)</f>
        <v>44228</v>
      </c>
      <c r="F13" s="50">
        <f t="shared" ref="F13:O13" si="0">EDATE(E13,1)</f>
        <v>44256</v>
      </c>
      <c r="G13" s="50">
        <f t="shared" si="0"/>
        <v>44287</v>
      </c>
      <c r="H13" s="50">
        <f t="shared" si="0"/>
        <v>44317</v>
      </c>
      <c r="I13" s="50">
        <f t="shared" si="0"/>
        <v>44348</v>
      </c>
      <c r="J13" s="50">
        <f t="shared" si="0"/>
        <v>44378</v>
      </c>
      <c r="K13" s="50">
        <f t="shared" si="0"/>
        <v>44409</v>
      </c>
      <c r="L13" s="50">
        <f t="shared" si="0"/>
        <v>44440</v>
      </c>
      <c r="M13" s="50">
        <f t="shared" si="0"/>
        <v>44470</v>
      </c>
      <c r="N13" s="50">
        <f t="shared" si="0"/>
        <v>44501</v>
      </c>
      <c r="O13" s="50">
        <f t="shared" si="0"/>
        <v>44531</v>
      </c>
      <c r="P13" s="51" t="s">
        <v>31</v>
      </c>
    </row>
    <row r="14" spans="1:16" x14ac:dyDescent="0.2">
      <c r="A14" s="37">
        <v>4</v>
      </c>
      <c r="B14" s="49" t="s">
        <v>32</v>
      </c>
      <c r="C14" s="30" t="str">
        <f>"Line "&amp;A9</f>
        <v>Line 3</v>
      </c>
      <c r="D14" s="52">
        <f>$D$9</f>
        <v>29.283584810195197</v>
      </c>
      <c r="E14" s="52">
        <f t="shared" ref="E14:O14" si="1">$D$9</f>
        <v>29.283584810195197</v>
      </c>
      <c r="F14" s="52">
        <f t="shared" si="1"/>
        <v>29.283584810195197</v>
      </c>
      <c r="G14" s="52">
        <f t="shared" si="1"/>
        <v>29.283584810195197</v>
      </c>
      <c r="H14" s="52">
        <f t="shared" si="1"/>
        <v>29.283584810195197</v>
      </c>
      <c r="I14" s="52">
        <f t="shared" si="1"/>
        <v>29.283584810195197</v>
      </c>
      <c r="J14" s="52">
        <f t="shared" si="1"/>
        <v>29.283584810195197</v>
      </c>
      <c r="K14" s="52">
        <f t="shared" si="1"/>
        <v>29.283584810195197</v>
      </c>
      <c r="L14" s="52">
        <f t="shared" si="1"/>
        <v>29.283584810195197</v>
      </c>
      <c r="M14" s="52">
        <f t="shared" si="1"/>
        <v>29.283584810195197</v>
      </c>
      <c r="N14" s="52">
        <f t="shared" si="1"/>
        <v>29.283584810195197</v>
      </c>
      <c r="O14" s="52">
        <f t="shared" si="1"/>
        <v>29.283584810195197</v>
      </c>
    </row>
    <row r="15" spans="1:16" x14ac:dyDescent="0.2">
      <c r="A15" s="37">
        <v>5</v>
      </c>
      <c r="B15" s="49" t="s">
        <v>33</v>
      </c>
      <c r="C15" s="30" t="s">
        <v>22</v>
      </c>
      <c r="D15" s="53">
        <v>377892.86900000001</v>
      </c>
      <c r="E15" s="53">
        <v>343805.58</v>
      </c>
      <c r="F15" s="53">
        <v>318098.147</v>
      </c>
      <c r="G15" s="53">
        <v>290946.88399999996</v>
      </c>
      <c r="H15" s="53">
        <v>297324.342</v>
      </c>
      <c r="I15" s="53">
        <v>357382.95900000003</v>
      </c>
      <c r="J15" s="53">
        <v>411778.467</v>
      </c>
      <c r="K15" s="53">
        <v>385071.59400000004</v>
      </c>
      <c r="L15" s="53">
        <v>314003.65500000003</v>
      </c>
      <c r="M15" s="53">
        <v>333559.89999999997</v>
      </c>
      <c r="N15" s="53">
        <v>358277.91499999992</v>
      </c>
      <c r="O15" s="53">
        <v>410818.53200000001</v>
      </c>
    </row>
    <row r="16" spans="1:16" x14ac:dyDescent="0.2">
      <c r="A16" s="37">
        <v>6</v>
      </c>
      <c r="B16" s="54" t="s">
        <v>34</v>
      </c>
      <c r="C16" s="55" t="s">
        <v>35</v>
      </c>
      <c r="D16" s="56">
        <f>D14*D15</f>
        <v>11066057.878529483</v>
      </c>
      <c r="E16" s="56">
        <f t="shared" ref="E16:O16" si="2">E14*E15</f>
        <v>10067859.86014835</v>
      </c>
      <c r="F16" s="56">
        <f t="shared" si="2"/>
        <v>9315054.0656404383</v>
      </c>
      <c r="G16" s="56">
        <f t="shared" si="2"/>
        <v>8519967.7528760228</v>
      </c>
      <c r="H16" s="56">
        <f t="shared" si="2"/>
        <v>8706722.5850924812</v>
      </c>
      <c r="I16" s="56">
        <f t="shared" si="2"/>
        <v>10465454.189595014</v>
      </c>
      <c r="J16" s="56">
        <f t="shared" si="2"/>
        <v>12058349.661406664</v>
      </c>
      <c r="K16" s="56">
        <f t="shared" si="2"/>
        <v>11276276.680896053</v>
      </c>
      <c r="L16" s="56">
        <f t="shared" si="2"/>
        <v>9195152.6619037744</v>
      </c>
      <c r="M16" s="56">
        <f t="shared" si="2"/>
        <v>9767829.6209302284</v>
      </c>
      <c r="N16" s="56">
        <f t="shared" si="2"/>
        <v>10491661.709522404</v>
      </c>
      <c r="O16" s="56">
        <f t="shared" si="2"/>
        <v>12030239.32342189</v>
      </c>
      <c r="P16" s="57">
        <f>SUM(D16:O16)</f>
        <v>122960625.98996282</v>
      </c>
    </row>
    <row r="17" spans="1:24" x14ac:dyDescent="0.2">
      <c r="A17" s="37"/>
      <c r="B17" s="58"/>
      <c r="C17" s="59"/>
      <c r="D17" s="60"/>
      <c r="E17" s="60"/>
      <c r="F17" s="60"/>
      <c r="G17" s="60"/>
      <c r="H17" s="61"/>
      <c r="I17" s="61"/>
      <c r="J17" s="61"/>
      <c r="K17" s="61"/>
      <c r="L17" s="61"/>
      <c r="M17" s="61"/>
      <c r="N17" s="61"/>
      <c r="O17" s="61"/>
      <c r="P17" s="61"/>
    </row>
    <row r="18" spans="1:24" x14ac:dyDescent="0.2">
      <c r="A18" s="37">
        <f>MAX($A$13:A17)+1</f>
        <v>7</v>
      </c>
      <c r="B18" s="62" t="s">
        <v>36</v>
      </c>
      <c r="C18" s="30" t="s">
        <v>37</v>
      </c>
      <c r="D18" s="63">
        <v>9872225.0578736011</v>
      </c>
      <c r="E18" s="63">
        <v>13139738.414024521</v>
      </c>
      <c r="F18" s="63">
        <v>8947044.4988928866</v>
      </c>
      <c r="G18" s="63">
        <v>9239561.9898668285</v>
      </c>
      <c r="H18" s="63">
        <v>8425596.276794821</v>
      </c>
      <c r="I18" s="63">
        <v>18961941.183075078</v>
      </c>
      <c r="J18" s="63">
        <v>21457303.366370812</v>
      </c>
      <c r="K18" s="63">
        <v>16755851.984343102</v>
      </c>
      <c r="L18" s="63">
        <v>12319355.574061126</v>
      </c>
      <c r="M18" s="63">
        <v>13291391.744794281</v>
      </c>
      <c r="N18" s="63">
        <v>13530981.423148625</v>
      </c>
      <c r="O18" s="63">
        <v>18824856.34969198</v>
      </c>
      <c r="P18" s="57">
        <f>SUM(D18:O18)</f>
        <v>164765847.86293766</v>
      </c>
    </row>
    <row r="19" spans="1:24" x14ac:dyDescent="0.2">
      <c r="A19" s="37"/>
      <c r="B19" s="62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1:24" x14ac:dyDescent="0.2">
      <c r="A20" s="37">
        <f>MAX($A$13:A19)+1</f>
        <v>8</v>
      </c>
      <c r="B20" s="54" t="s">
        <v>38</v>
      </c>
      <c r="C20" s="30" t="str">
        <f>"Line "&amp;A18&amp;" - Line "&amp;A16</f>
        <v>Line 7 - Line 6</v>
      </c>
      <c r="D20" s="56">
        <f t="shared" ref="D20:O20" si="3">+D18-D16</f>
        <v>-1193832.8206558824</v>
      </c>
      <c r="E20" s="56">
        <f t="shared" si="3"/>
        <v>3071878.5538761709</v>
      </c>
      <c r="F20" s="56">
        <f t="shared" si="3"/>
        <v>-368009.56674755178</v>
      </c>
      <c r="G20" s="56">
        <f t="shared" si="3"/>
        <v>719594.23699080572</v>
      </c>
      <c r="H20" s="56">
        <f t="shared" si="3"/>
        <v>-281126.3082976602</v>
      </c>
      <c r="I20" s="56">
        <f t="shared" si="3"/>
        <v>8496486.993480064</v>
      </c>
      <c r="J20" s="56">
        <f t="shared" si="3"/>
        <v>9398953.7049641479</v>
      </c>
      <c r="K20" s="56">
        <f t="shared" si="3"/>
        <v>5479575.3034470491</v>
      </c>
      <c r="L20" s="56">
        <f t="shared" si="3"/>
        <v>3124202.9121573512</v>
      </c>
      <c r="M20" s="56">
        <f t="shared" si="3"/>
        <v>3523562.1238640528</v>
      </c>
      <c r="N20" s="56">
        <f t="shared" si="3"/>
        <v>3039319.7136262208</v>
      </c>
      <c r="O20" s="56">
        <f t="shared" si="3"/>
        <v>6794617.0262700897</v>
      </c>
      <c r="P20" s="65"/>
    </row>
    <row r="21" spans="1:24" ht="25.5" x14ac:dyDescent="0.2">
      <c r="A21" s="37">
        <f>MAX($A$13:A20)+1</f>
        <v>9</v>
      </c>
      <c r="B21" s="54" t="s">
        <v>39</v>
      </c>
      <c r="C21" s="66" t="str">
        <f>"Line "&amp;A20&amp;" + Prior Month Line "&amp;A21</f>
        <v>Line 8 + Prior Month Line 9</v>
      </c>
      <c r="D21" s="67">
        <f>+D20</f>
        <v>-1193832.8206558824</v>
      </c>
      <c r="E21" s="67">
        <f>+E20+D21</f>
        <v>1878045.7332202885</v>
      </c>
      <c r="F21" s="67">
        <f>+F20+E21</f>
        <v>1510036.1664727367</v>
      </c>
      <c r="G21" s="67">
        <f t="shared" ref="G21:J21" si="4">+G20+F21</f>
        <v>2229630.4034635425</v>
      </c>
      <c r="H21" s="67">
        <f t="shared" si="4"/>
        <v>1948504.0951658823</v>
      </c>
      <c r="I21" s="67">
        <f t="shared" si="4"/>
        <v>10444991.088645946</v>
      </c>
      <c r="J21" s="67">
        <f t="shared" si="4"/>
        <v>19843944.793610096</v>
      </c>
      <c r="K21" s="67">
        <f>+K20+J21</f>
        <v>25323520.097057145</v>
      </c>
      <c r="L21" s="67">
        <f>+L20+K21</f>
        <v>28447723.009214498</v>
      </c>
      <c r="M21" s="67">
        <f>+M20+L21</f>
        <v>31971285.133078553</v>
      </c>
      <c r="N21" s="67">
        <f>+N20+M21</f>
        <v>35010604.846704774</v>
      </c>
      <c r="O21" s="67">
        <f>+O20+N21</f>
        <v>41805221.872974865</v>
      </c>
      <c r="P21" s="68">
        <f>+O21</f>
        <v>41805221.872974865</v>
      </c>
    </row>
    <row r="22" spans="1:24" x14ac:dyDescent="0.2">
      <c r="A22" s="37"/>
      <c r="B22" s="54"/>
      <c r="C22" s="66"/>
      <c r="D22" s="69"/>
      <c r="E22" s="69"/>
      <c r="F22" s="69"/>
      <c r="G22" s="69"/>
      <c r="H22" s="70"/>
      <c r="I22" s="70"/>
      <c r="J22" s="70"/>
      <c r="K22" s="70"/>
      <c r="L22" s="70"/>
      <c r="M22" s="70"/>
      <c r="N22" s="70"/>
      <c r="O22" s="70"/>
      <c r="P22" s="71"/>
    </row>
    <row r="23" spans="1:24" x14ac:dyDescent="0.2">
      <c r="A23" s="72" t="s">
        <v>40</v>
      </c>
      <c r="B23" s="54"/>
      <c r="C23" s="73"/>
      <c r="D23" s="69"/>
      <c r="E23" s="69"/>
      <c r="F23" s="69"/>
      <c r="G23" s="69"/>
      <c r="H23" s="71"/>
      <c r="I23" s="71"/>
      <c r="J23" s="71"/>
      <c r="K23" s="71"/>
      <c r="L23" s="71"/>
      <c r="M23" s="71"/>
      <c r="N23" s="71"/>
      <c r="O23" s="71"/>
    </row>
    <row r="24" spans="1:24" x14ac:dyDescent="0.2">
      <c r="A24" s="37">
        <f>MAX($A$13:A23)+1</f>
        <v>10</v>
      </c>
      <c r="B24" s="62" t="s">
        <v>41</v>
      </c>
      <c r="C24" s="73"/>
      <c r="D24" s="69"/>
      <c r="E24" s="69"/>
      <c r="F24" s="69"/>
      <c r="G24" s="69"/>
      <c r="H24" s="71"/>
      <c r="I24" s="71"/>
      <c r="J24" s="71"/>
      <c r="K24" s="71"/>
      <c r="L24" s="71"/>
      <c r="M24" s="71"/>
      <c r="N24" s="71"/>
      <c r="O24" s="71"/>
      <c r="P24" s="61">
        <v>4000000</v>
      </c>
      <c r="Q24" s="71"/>
      <c r="R24" s="28"/>
      <c r="S24" s="28"/>
      <c r="T24" s="28"/>
    </row>
    <row r="25" spans="1:24" x14ac:dyDescent="0.2">
      <c r="A25" s="37">
        <f>MAX($A$13:A24)+1</f>
        <v>11</v>
      </c>
      <c r="B25" s="62" t="s">
        <v>42</v>
      </c>
      <c r="C25" s="73"/>
      <c r="D25" s="74">
        <f>D26</f>
        <v>0</v>
      </c>
      <c r="E25" s="74">
        <f>E26-D26</f>
        <v>0</v>
      </c>
      <c r="F25" s="74">
        <f>F26-E26</f>
        <v>0</v>
      </c>
      <c r="G25" s="74">
        <f>G26-F26</f>
        <v>0</v>
      </c>
      <c r="H25" s="74">
        <f>H26-G26</f>
        <v>0</v>
      </c>
      <c r="I25" s="74">
        <f t="shared" ref="I25:O25" si="5">I26-H26</f>
        <v>6444991.0886459462</v>
      </c>
      <c r="J25" s="74">
        <f t="shared" si="5"/>
        <v>9398953.7049641497</v>
      </c>
      <c r="K25" s="74">
        <f t="shared" si="5"/>
        <v>5479575.3034470491</v>
      </c>
      <c r="L25" s="74">
        <f t="shared" si="5"/>
        <v>3124202.912157353</v>
      </c>
      <c r="M25" s="74">
        <f t="shared" si="5"/>
        <v>3523562.1238640547</v>
      </c>
      <c r="N25" s="74">
        <f t="shared" si="5"/>
        <v>3039319.7136262208</v>
      </c>
      <c r="O25" s="74">
        <f t="shared" si="5"/>
        <v>6794617.0262700915</v>
      </c>
      <c r="P25" s="71"/>
      <c r="R25" s="28"/>
      <c r="S25" s="28"/>
      <c r="T25" s="28"/>
    </row>
    <row r="26" spans="1:24" ht="12.75" customHeight="1" x14ac:dyDescent="0.2">
      <c r="A26" s="37">
        <f>MAX($A$13:A25)+1</f>
        <v>12</v>
      </c>
      <c r="B26" s="62" t="s">
        <v>43</v>
      </c>
      <c r="C26" s="73"/>
      <c r="D26" s="67">
        <f t="shared" ref="D26:O26" si="6">IF(OR($P$21&gt;$P$24,$P$21&lt;-$P$24),IF(AND($P$21&gt;$P$24,D21&gt;$P$24),D21-$P$24,IF(AND($P$21&lt;-$P$24,D21&lt;-$P$24),D21+$P$24,0)),0)</f>
        <v>0</v>
      </c>
      <c r="E26" s="67">
        <f t="shared" si="6"/>
        <v>0</v>
      </c>
      <c r="F26" s="67">
        <f t="shared" si="6"/>
        <v>0</v>
      </c>
      <c r="G26" s="67">
        <f t="shared" si="6"/>
        <v>0</v>
      </c>
      <c r="H26" s="67">
        <f t="shared" si="6"/>
        <v>0</v>
      </c>
      <c r="I26" s="67">
        <f t="shared" si="6"/>
        <v>6444991.0886459462</v>
      </c>
      <c r="J26" s="67">
        <f t="shared" si="6"/>
        <v>15843944.793610096</v>
      </c>
      <c r="K26" s="67">
        <f t="shared" si="6"/>
        <v>21323520.097057145</v>
      </c>
      <c r="L26" s="67">
        <f t="shared" si="6"/>
        <v>24447723.009214498</v>
      </c>
      <c r="M26" s="67">
        <f t="shared" si="6"/>
        <v>27971285.133078553</v>
      </c>
      <c r="N26" s="67">
        <f t="shared" si="6"/>
        <v>31010604.846704774</v>
      </c>
      <c r="O26" s="67">
        <f t="shared" si="6"/>
        <v>37805221.872974865</v>
      </c>
      <c r="P26" s="67">
        <f>+O26</f>
        <v>37805221.872974865</v>
      </c>
      <c r="R26" s="28"/>
      <c r="S26" s="28"/>
      <c r="T26" s="28"/>
    </row>
    <row r="27" spans="1:24" x14ac:dyDescent="0.2">
      <c r="A27" s="37"/>
      <c r="B27" s="62"/>
      <c r="C27" s="73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1"/>
      <c r="R27" s="96" t="s">
        <v>44</v>
      </c>
      <c r="S27" s="96"/>
      <c r="T27" s="96"/>
      <c r="U27" s="96"/>
    </row>
    <row r="28" spans="1:24" x14ac:dyDescent="0.2">
      <c r="A28" s="58" t="s">
        <v>45</v>
      </c>
      <c r="B28" s="62"/>
      <c r="C28" s="73"/>
      <c r="D28" s="69"/>
      <c r="E28" s="69"/>
      <c r="F28" s="69"/>
      <c r="G28" s="69"/>
      <c r="H28" s="71"/>
      <c r="I28" s="71"/>
      <c r="J28" s="71"/>
      <c r="K28" s="71"/>
      <c r="L28" s="71"/>
      <c r="M28" s="71"/>
      <c r="N28" s="71"/>
      <c r="O28" s="71"/>
      <c r="R28" t="s">
        <v>46</v>
      </c>
      <c r="S28" s="75" t="s">
        <v>47</v>
      </c>
      <c r="T28" t="s">
        <v>48</v>
      </c>
      <c r="U28" t="s">
        <v>49</v>
      </c>
    </row>
    <row r="29" spans="1:24" ht="25.5" x14ac:dyDescent="0.2">
      <c r="A29" s="37">
        <f>MAX($A$13:A28)+1</f>
        <v>13</v>
      </c>
      <c r="B29" s="76" t="s">
        <v>50</v>
      </c>
      <c r="C29" s="73"/>
      <c r="D29" s="69">
        <f>IF(D26=0,0,IF(AND($P$21&gt;$P$24,$P$21&lt;$S$29),D25*$T$29,IF(AND($P$21&gt;$S$29,D26&lt;($S$29-$R$29)),D25*$T$29,IF(AND($P$21&gt;$S$29,D26&gt;($S$29-$R$29)),($S$29-$R$29)*$T$29,0))))</f>
        <v>0</v>
      </c>
      <c r="E29" s="69">
        <f>IF(E26=0,SUM($D$29:D29),IF(AND($P$21&gt;$P$24,$P$21&lt;$S$29),E25*$T$29,IF(AND($P$21&gt;$S$29,E26&lt;($S$29-$R$29)),E25*$T$29,IF(AND($P$21&gt;$S$29,E26&gt;($S$29-$R$29)),(($S$29-$R$29)*$T$29)-SUM($D$29:D29),0))))</f>
        <v>0</v>
      </c>
      <c r="F29" s="69">
        <f>IF(F26=0,SUM($D$29:E29),IF(AND($P$21&gt;$P$24,$P$21&lt;$S$29),F25*$T$29,IF(AND($P$21&gt;$S$29,F26&lt;($S$29-$R$29)),F25*$T$29,IF(AND($P$21&gt;$S$29,F26&gt;($S$29-$R$29)),(($S$29-$R$29)*$T$29)-SUM($D$29:E29),0))))</f>
        <v>0</v>
      </c>
      <c r="G29" s="69">
        <f>IF(G26=0,SUM($D$29:F29),IF(AND($P$21&gt;$P$24,$P$21&lt;$S$29),G25*$T$29,IF(AND($P$21&gt;$S$29,G26&lt;($S$29-$R$29)),G25*$T$29,IF(AND($P$21&gt;$S$29,G26&gt;($S$29-$R$29)),(($S$29-$R$29)*$T$29)-SUM($D$29:F29),0))))</f>
        <v>0</v>
      </c>
      <c r="H29" s="69">
        <f>IF(H26=0,SUM($D$29:G29),IF(AND($P$21&gt;$P$24,$P$21&lt;$S$29),H25*$T$29,IF(AND($P$21&gt;$S$29,H26&lt;($S$29-$R$29)),H25*$T$29,IF(AND($P$21&gt;$S$29,H26&gt;($S$29-$R$29)),(($S$29-$R$29)*$T$29)-SUM($D$29:G29),0))))</f>
        <v>0</v>
      </c>
      <c r="I29" s="69">
        <f>IF(I26=0,SUM($D$29:H29),IF(AND($P$21&gt;$P$24,$P$21&lt;$S$29),I25*$T$29,IF(AND($P$21&gt;$S$29,I26&lt;($S$29-$R$29)),I25*$T$29,IF(AND($P$21&gt;$S$29,I26&gt;($S$29-$R$29)),(($S$29-$R$29)*$T$29)-SUM($D$29:H29),0))))</f>
        <v>3000000</v>
      </c>
      <c r="J29" s="69">
        <f>IF(J26=0,SUM($D$29:I29),IF(AND($P$21&gt;$P$24,$P$21&lt;$S$29),J25*$T$29,IF(AND($P$21&gt;$S$29,J26&lt;($S$29-$R$29)),J25*$T$29,IF(AND($P$21&gt;$S$29,J26&gt;($S$29-$R$29)),(($S$29-$R$29)*$T$29)-SUM($D$29:I29),0))))</f>
        <v>0</v>
      </c>
      <c r="K29" s="69">
        <f>IF(K26=0,SUM($D$29:J29),IF(AND($P$21&gt;$P$24,$P$21&lt;$S$29),K25*$T$29,IF(AND($P$21&gt;$S$29,K26&lt;($S$29-$R$29)),K25*$T$29,IF(AND($P$21&gt;$S$29,K26&gt;($S$29-$R$29)),(($S$29-$R$29)*$T$29)-SUM($D$29:J29),0))))</f>
        <v>0</v>
      </c>
      <c r="L29" s="69">
        <f>IF(L26=0,SUM($D$29:K29),IF(AND($P$21&gt;$P$24,$P$21&lt;$S$29),L25*$T$29,IF(AND($P$21&gt;$S$29,L26&lt;($S$29-$R$29)),L25*$T$29,IF(AND($P$21&gt;$S$29,L26&gt;($S$29-$R$29)),(($S$29-$R$29)*$T$29)-SUM($D$29:K29),0))))</f>
        <v>0</v>
      </c>
      <c r="M29" s="69">
        <f>IF(M26=0,SUM($D$29:L29),IF(AND($P$21&gt;$P$24,$P$21&lt;$S$29),M25*$T$29,IF(AND($P$21&gt;$S$29,M26&lt;($S$29-$R$29)),M25*$T$29,IF(AND($P$21&gt;$S$29,M26&gt;($S$29-$R$29)),(($S$29-$R$29)*$T$29)-SUM($D$29:L29),0))))</f>
        <v>0</v>
      </c>
      <c r="N29" s="69">
        <f>IF(N26=0,SUM($D$29:M29),IF(AND($P$21&gt;$P$24,$P$21&lt;$S$29),N25*$T$29,IF(AND($P$21&gt;$S$29,N26&lt;($S$29-$R$29)),N25*$T$29,IF(AND($P$21&gt;$S$29,N26&gt;($S$29-$R$29)),(($S$29-$R$29)*$T$29)-SUM($D$29:M29),0))))</f>
        <v>0</v>
      </c>
      <c r="O29" s="69">
        <f>IF(O26=0,SUM($D$29:N29),IF(AND($P$21&gt;$P$24,$P$21&lt;$S$29),O25*$T$29,IF(AND($P$21&gt;$S$29,O26&lt;($S$29-$R$29)),O25*$T$29,IF(AND($P$21&gt;$S$29,O26&gt;($S$29-$R$29)),(($S$29-$R$29)*$T$29)-SUM($D$29:N29),0))))</f>
        <v>0</v>
      </c>
      <c r="P29" s="77"/>
      <c r="R29" s="39">
        <v>4000000</v>
      </c>
      <c r="S29" s="39">
        <v>10000000</v>
      </c>
      <c r="T29" s="78">
        <v>0.5</v>
      </c>
      <c r="U29" s="78">
        <v>0.5</v>
      </c>
    </row>
    <row r="30" spans="1:24" x14ac:dyDescent="0.2">
      <c r="A30" s="37">
        <f>MAX($A$13:A29)+1</f>
        <v>14</v>
      </c>
      <c r="B30" s="76" t="s">
        <v>51</v>
      </c>
      <c r="C30" s="73"/>
      <c r="D30" s="79">
        <f>IF(D26=0,0,IF(AND($P$21&gt;$R$30,D26&gt;($S$29-$R$29)),(D25-(D29/$T$29))*$T$30,0))</f>
        <v>0</v>
      </c>
      <c r="E30" s="79">
        <f>IF(E26=0,SUM($D$30:D30),IF(AND($P$21&gt;$R$30,E26&gt;($S$29-$R$29)),(E25-(E29/$T$29))*$T$30,0))</f>
        <v>0</v>
      </c>
      <c r="F30" s="79">
        <f>IF(F26=0,SUM($D$30:E30),IF(AND($P$21&gt;$R$30,F26&gt;($S$29-$R$29)),(F25-(F29/$T$29))*$T$30,0))</f>
        <v>0</v>
      </c>
      <c r="G30" s="79">
        <f>IF(G26=0,SUM($D$30:F30),IF(AND($P$21&gt;$R$30,G26&gt;($S$29-$R$29)),(G25-(G29/$T$29))*$T$30,0))</f>
        <v>0</v>
      </c>
      <c r="H30" s="79">
        <f>IF(H26=0,SUM($D$30:G30),IF(AND($P$21&gt;$R$30,H26&gt;($S$29-$R$29)),(H25-(H29/$T$29))*$T$30,0))</f>
        <v>0</v>
      </c>
      <c r="I30" s="79">
        <f>IF(I26=0,SUM($D$30:H30),IF(AND($P$21&gt;$R$30,I26&gt;($S$29-$R$29)),(I25-(I29/$T$29))*$T$30,0))</f>
        <v>400491.97978135163</v>
      </c>
      <c r="J30" s="79">
        <f>IF(J26=0,SUM($D$30:I30),IF(AND($P$21&gt;$R$30,J26&gt;($S$29-$R$29)),(J25-(J29/$T$29))*$T$30,0))</f>
        <v>8459058.3344677351</v>
      </c>
      <c r="K30" s="79">
        <f>IF(K26=0,SUM($D$30:J30),IF(AND($P$21&gt;$R$30,K26&gt;($S$29-$R$29)),(K25-(K29/$T$29))*$T$30,0))</f>
        <v>4931617.773102344</v>
      </c>
      <c r="L30" s="79">
        <f>IF(L26=0,SUM($D$30:K30),IF(AND($P$21&gt;$R$30,L26&gt;($S$29-$R$29)),(L25-(L29/$T$29))*$T$30,0))</f>
        <v>2811782.620941618</v>
      </c>
      <c r="M30" s="79">
        <f>IF(M26=0,SUM($D$30:L30),IF(AND($P$21&gt;$R$30,M26&gt;($S$29-$R$29)),(M25-(M29/$T$29))*$T$30,0))</f>
        <v>3171205.9114776491</v>
      </c>
      <c r="N30" s="79">
        <f>IF(N26=0,SUM($D$30:M30),IF(AND($P$21&gt;$R$30,N26&gt;($S$29-$R$29)),(N25-(N29/$T$29))*$T$30,0))</f>
        <v>2735387.7422635988</v>
      </c>
      <c r="O30" s="79">
        <f>IF(O26=0,SUM($D$30:N30),IF(AND($P$21&gt;$R$30,O26&gt;($S$29-$R$29)),(O25-(O29/$T$29))*$T$30,0))</f>
        <v>6115155.3236430828</v>
      </c>
      <c r="P30" s="77"/>
      <c r="R30" s="80">
        <v>10000000</v>
      </c>
      <c r="S30" s="61"/>
      <c r="T30" s="78">
        <v>0.9</v>
      </c>
      <c r="U30" s="78">
        <v>0.1</v>
      </c>
    </row>
    <row r="31" spans="1:24" ht="25.5" x14ac:dyDescent="0.2">
      <c r="A31" s="37">
        <f>MAX($A$13:A30)+1</f>
        <v>15</v>
      </c>
      <c r="B31" s="76" t="s">
        <v>52</v>
      </c>
      <c r="C31" s="73"/>
      <c r="D31" s="79">
        <f>IF(D26=0,0,IF(AND($P$21&lt;$R$31,$P$21&gt;$S$31),D25*$T$31,IF(AND($P$21&lt;$S$31,D26&gt;($S$31-$R$31)),D25*$T$31,IF(AND($P$21&lt;$S$31,D26&lt;($S$31-$R$31)),($S$31-$R$31),0))))</f>
        <v>0</v>
      </c>
      <c r="E31" s="79">
        <f>IF(E26=0,-SUM($D$31:D31),IF(AND($P$21&lt;$R$31,$P$21&gt;$S$31),E25*$T$31,IF(AND($P$21&lt;$S$31,E26&gt;($S$31-$R$31)),E25*$T$31,IF(AND($P$21&lt;$S$31,E26&lt;($S$31-$R$31)),(($S$31-$R$31)*$T$31)-SUM($D$31:D31),0))))</f>
        <v>0</v>
      </c>
      <c r="F31" s="79">
        <f>IF(F26=0,-SUM($D$31:E31),IF(AND($P$21&lt;$R$31,$P$21&gt;$S$31),F25*$T$31,IF(AND($P$21&lt;$S$31,F26&gt;($S$31-$R$31)),F25*$T$31,IF(AND($P$21&lt;$S$31,F26&lt;($S$31-$R$31)),(($S$31-$R$31)*$T$31)-SUM($D$31:E31),0))))</f>
        <v>0</v>
      </c>
      <c r="G31" s="79">
        <f>IF(G26=0,-SUM($D$31:F31),IF(AND($P$21&lt;$R$31,$P$21&gt;$S$31),G25*$T$31,IF(AND($P$21&lt;$S$31,G26&gt;($S$31-$R$31)),G25*$T$31,IF(AND($P$21&lt;$S$31,G26&lt;($S$31-$R$31)),(($S$31-$R$31)*$T$31)-SUM($D$31:F31),0))))</f>
        <v>0</v>
      </c>
      <c r="H31" s="79">
        <f>IF(H26=0,-SUM($D$31:G31),IF(AND($P$21&lt;$R$31,$P$21&gt;$S$31),H25*$T$31,IF(AND($P$21&lt;$S$31,H26&gt;($S$31-$R$31)),H25*$T$31,IF(AND($P$21&lt;$S$31,H26&lt;($S$31-$R$31)),(($S$31-$R$31)*$T$31)-SUM($D$31:G31),0))))</f>
        <v>0</v>
      </c>
      <c r="I31" s="79">
        <f>IF(I26=0,-SUM($D$31:H31),IF(AND($P$21&lt;$R$31,$P$21&gt;$S$31),I25*$T$31,IF(AND($P$21&lt;$S$31,I26&gt;($S$31-$R$31)),I25*$T$31,IF(AND($P$21&lt;$S$31,I26&lt;($S$31-$R$31)),(($S$31-$R$31)*$T$31)-SUM($D$31:H31),0))))</f>
        <v>0</v>
      </c>
      <c r="J31" s="79">
        <f>IF(J26=0,-SUM($D$31:I31),IF(AND($P$21&lt;$R$31,$P$21&gt;$S$31),J25*$T$31,IF(AND($P$21&lt;$S$31,J26&gt;($S$31-$R$31)),J25*$T$31,IF(AND($P$21&lt;$S$31,J26&lt;($S$31-$R$31)),(($S$31-$R$31)*$T$31)-SUM($D$31:I31),0))))</f>
        <v>0</v>
      </c>
      <c r="K31" s="79">
        <f>IF(K26=0,-SUM($D$31:J31),IF(AND($P$21&lt;$R$31,$P$21&gt;$S$31),K25*$T$31,IF(AND($P$21&lt;$S$31,K26&gt;($S$31-$R$31)),K25*$T$31,IF(AND($P$21&lt;$S$31,K26&lt;($S$31-$R$31)),(($S$31-$R$31)*$T$31)-SUM($D$31:J31),0))))</f>
        <v>0</v>
      </c>
      <c r="L31" s="79">
        <f>IF(L26=0,-SUM($D$31:K31),IF(AND($P$21&lt;$R$31,$P$21&gt;$S$31),L25*$T$31,IF(AND($P$21&lt;$S$31,L26&gt;($S$31-$R$31)),L25*$T$31,IF(AND($P$21&lt;$S$31,L26&lt;($S$31-$R$31)),(($S$31-$R$31)*$T$31)-SUM($D$31:K31),0))))</f>
        <v>0</v>
      </c>
      <c r="M31" s="79">
        <f>IF(M26=0,-SUM($D$31:L31),IF(AND($P$21&lt;$R$31,$P$21&gt;$S$31),M25*$T$31,IF(AND($P$21&lt;$S$31,M26&gt;($S$31-$R$31)),M25*$T$31,IF(AND($P$21&lt;$S$31,M26&lt;($S$31-$R$31)),(($S$31-$R$31)*$T$31)-SUM($D$31:L31),0))))</f>
        <v>0</v>
      </c>
      <c r="N31" s="79">
        <f>IF(N26=0,-SUM($D$31:M31),IF(AND($P$21&lt;$R$31,$P$21&gt;$S$31),N25*$T$31,IF(AND($P$21&lt;$S$31,N26&gt;($S$31-$R$31)),N25*$T$31,IF(AND($P$21&lt;$S$31,N26&lt;($S$31-$R$31)),(($S$31-$R$31)*$T$31)-SUM($D$31:M31),0))))</f>
        <v>0</v>
      </c>
      <c r="O31" s="79">
        <f>IF(O26=0,-SUM($D$31:N31),IF(AND($P$21&lt;$R$31,$P$21&gt;$S$31),O25*$T$31,IF(AND($P$21&lt;$S$31,O26&gt;($S$31-$R$31)),O25*$T$31,IF(AND($P$21&lt;$S$31,O26&lt;($S$31-$R$31)),(($S$31-$R$31)*$T$31)-SUM($D$31:N31),0))))</f>
        <v>0</v>
      </c>
      <c r="P31" s="77"/>
      <c r="R31" s="80">
        <v>-4000000</v>
      </c>
      <c r="S31" s="80">
        <v>-10000000</v>
      </c>
      <c r="T31" s="78">
        <v>0.75</v>
      </c>
      <c r="U31" s="78">
        <v>0.25</v>
      </c>
      <c r="X31" s="71"/>
    </row>
    <row r="32" spans="1:24" x14ac:dyDescent="0.2">
      <c r="A32" s="37">
        <f>MAX($A$13:A31)+1</f>
        <v>16</v>
      </c>
      <c r="B32" s="76" t="s">
        <v>53</v>
      </c>
      <c r="C32" s="73"/>
      <c r="D32" s="79">
        <f>IF(D26=0,0,IF(AND($P$21&lt;$R$32,D26&lt;($S$31-$R$31)),(D25-(D31/$T$31))*$T$32,0))</f>
        <v>0</v>
      </c>
      <c r="E32" s="79">
        <f>IF(E26=0,-SUM($D$32:D32),IF(AND($P$21&lt;$R$32,E26&lt;($S$31-$R$31)),(E25-(E31/$T$31))*$T$32,0))</f>
        <v>0</v>
      </c>
      <c r="F32" s="79">
        <f>IF(F26=0,-SUM($D$32:E32),IF(AND($P$21&lt;$R$32,F26&lt;($S$31-$R$31)),(F25-(F31/$T$31))*$T$32,0))</f>
        <v>0</v>
      </c>
      <c r="G32" s="79">
        <f>IF(G26=0,-SUM($D$32:F32),IF(AND($P$21&lt;$R$32,G26&lt;($S$31-$R$31)),(G25-(G31/$T$31))*$T$32,0))</f>
        <v>0</v>
      </c>
      <c r="H32" s="79">
        <f>IF(H26=0,-SUM($D$32:G32),IF(AND($P$21&lt;$R$32,H26&lt;($S$31-$R$31)),(H25-(H31/$T$31))*$T$32,0))</f>
        <v>0</v>
      </c>
      <c r="I32" s="79">
        <f>IF(I26=0,-SUM($D$32:H32),IF(AND($P$21&lt;$R$32,I26&lt;($S$31-$R$31)),(I25-(I31/$T$31))*$T$32,0))</f>
        <v>0</v>
      </c>
      <c r="J32" s="79">
        <f>IF(J26=0,-SUM($D$32:I32),IF(AND($P$21&lt;$R$32,J26&lt;($S$31-$R$31)),(J25-(J31/$T$31))*$T$32,0))</f>
        <v>0</v>
      </c>
      <c r="K32" s="79">
        <f>IF(K26=0,-SUM($D$32:J32),IF(AND($P$21&lt;$R$32,K26&lt;($S$31-$R$31)),(K25-(K31/$T$31))*$T$32,0))</f>
        <v>0</v>
      </c>
      <c r="L32" s="79">
        <f>IF(L26=0,-SUM($D$32:K32),IF(AND($P$21&lt;$R$32,L26&lt;($S$31-$R$31)),(L25-(L31/$T$31))*$T$32,0))</f>
        <v>0</v>
      </c>
      <c r="M32" s="79">
        <f>IF(M26=0,-SUM($D$32:L32),IF(AND($P$21&lt;$R$32,M26&lt;($S$31-$R$31)),(M25-(M31/$T$31))*$T$32,0))</f>
        <v>0</v>
      </c>
      <c r="N32" s="79">
        <f>IF(N26=0,-SUM($D$32:M32),IF(AND($P$21&lt;$R$32,N26&lt;($S$31-$R$31)),(N25-(N31/$T$31))*$T$32,0))</f>
        <v>0</v>
      </c>
      <c r="O32" s="79">
        <f>IF(O26=0,-SUM($D$32:N32),IF(AND($P$21&lt;$R$32,O26&lt;($S$31-$R$31)),(O25-(O31/$T$31))*$T$32,0))</f>
        <v>0</v>
      </c>
      <c r="P32" s="77"/>
      <c r="R32" s="80">
        <v>-10000000</v>
      </c>
      <c r="S32" s="61"/>
      <c r="T32" s="78">
        <v>0.9</v>
      </c>
      <c r="U32" s="78">
        <v>0.1</v>
      </c>
    </row>
    <row r="33" spans="1:17" x14ac:dyDescent="0.2">
      <c r="A33" s="37">
        <f>MAX($A$13:A32)+1</f>
        <v>17</v>
      </c>
      <c r="B33" s="76" t="s">
        <v>54</v>
      </c>
      <c r="C33" s="73"/>
      <c r="D33" s="67">
        <f t="shared" ref="D33:O33" si="7">SUM(D29:D32)</f>
        <v>0</v>
      </c>
      <c r="E33" s="67">
        <f t="shared" si="7"/>
        <v>0</v>
      </c>
      <c r="F33" s="67">
        <f t="shared" si="7"/>
        <v>0</v>
      </c>
      <c r="G33" s="67">
        <f t="shared" si="7"/>
        <v>0</v>
      </c>
      <c r="H33" s="67">
        <f t="shared" si="7"/>
        <v>0</v>
      </c>
      <c r="I33" s="67">
        <f t="shared" si="7"/>
        <v>3400491.9797813515</v>
      </c>
      <c r="J33" s="67">
        <f t="shared" si="7"/>
        <v>8459058.3344677351</v>
      </c>
      <c r="K33" s="67">
        <f t="shared" si="7"/>
        <v>4931617.773102344</v>
      </c>
      <c r="L33" s="67">
        <f t="shared" si="7"/>
        <v>2811782.620941618</v>
      </c>
      <c r="M33" s="67">
        <f t="shared" si="7"/>
        <v>3171205.9114776491</v>
      </c>
      <c r="N33" s="67">
        <f t="shared" si="7"/>
        <v>2735387.7422635988</v>
      </c>
      <c r="O33" s="67">
        <f t="shared" si="7"/>
        <v>6115155.3236430828</v>
      </c>
      <c r="P33" s="67">
        <f>SUM(D33:O33)</f>
        <v>31624699.685677379</v>
      </c>
    </row>
    <row r="34" spans="1:17" x14ac:dyDescent="0.2">
      <c r="A34" s="37"/>
      <c r="B34" s="81"/>
      <c r="C34" s="73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7" x14ac:dyDescent="0.2">
      <c r="A35" s="58" t="s">
        <v>55</v>
      </c>
      <c r="B35" s="76"/>
      <c r="C35" s="73"/>
      <c r="D35" s="83"/>
      <c r="E35" s="83"/>
      <c r="F35" s="83"/>
      <c r="G35" s="83"/>
      <c r="N35" s="71"/>
      <c r="O35" s="28"/>
    </row>
    <row r="36" spans="1:17" x14ac:dyDescent="0.2">
      <c r="A36" s="37">
        <f>MAX($A$13:A35)+1</f>
        <v>18</v>
      </c>
      <c r="B36" s="76" t="s">
        <v>56</v>
      </c>
      <c r="C36" s="30" t="s">
        <v>57</v>
      </c>
      <c r="D36" s="84">
        <v>3.2500000000000001E-2</v>
      </c>
      <c r="E36" s="84">
        <f>$D$36</f>
        <v>3.2500000000000001E-2</v>
      </c>
      <c r="F36" s="84">
        <f t="shared" ref="F36:O36" si="8">$D$36</f>
        <v>3.2500000000000001E-2</v>
      </c>
      <c r="G36" s="84">
        <f t="shared" si="8"/>
        <v>3.2500000000000001E-2</v>
      </c>
      <c r="H36" s="84">
        <f t="shared" si="8"/>
        <v>3.2500000000000001E-2</v>
      </c>
      <c r="I36" s="84">
        <f t="shared" si="8"/>
        <v>3.2500000000000001E-2</v>
      </c>
      <c r="J36" s="84">
        <f t="shared" si="8"/>
        <v>3.2500000000000001E-2</v>
      </c>
      <c r="K36" s="84">
        <f t="shared" si="8"/>
        <v>3.2500000000000001E-2</v>
      </c>
      <c r="L36" s="84">
        <f t="shared" si="8"/>
        <v>3.2500000000000001E-2</v>
      </c>
      <c r="M36" s="84">
        <f t="shared" si="8"/>
        <v>3.2500000000000001E-2</v>
      </c>
      <c r="N36" s="84">
        <f t="shared" si="8"/>
        <v>3.2500000000000001E-2</v>
      </c>
      <c r="O36" s="84">
        <f t="shared" si="8"/>
        <v>3.2500000000000001E-2</v>
      </c>
    </row>
    <row r="37" spans="1:17" x14ac:dyDescent="0.2">
      <c r="A37" s="37">
        <f>MAX($A$13:A36)+1</f>
        <v>19</v>
      </c>
      <c r="B37" s="54" t="s">
        <v>58</v>
      </c>
      <c r="D37" s="85">
        <v>-23111786.306605227</v>
      </c>
      <c r="E37" s="39">
        <f t="shared" ref="E37:O37" si="9">+D45</f>
        <v>-21518251.238062706</v>
      </c>
      <c r="F37" s="39">
        <f t="shared" si="9"/>
        <v>-20069789.151492797</v>
      </c>
      <c r="G37" s="39">
        <f t="shared" si="9"/>
        <v>-18730067.923706088</v>
      </c>
      <c r="H37" s="39">
        <f t="shared" si="9"/>
        <v>-17505709.699627597</v>
      </c>
      <c r="I37" s="39">
        <f t="shared" si="9"/>
        <v>-16250086.059549969</v>
      </c>
      <c r="J37" s="39">
        <f t="shared" si="9"/>
        <v>-11322755.846784096</v>
      </c>
      <c r="K37" s="39">
        <f t="shared" si="9"/>
        <v>-1078273.9569423813</v>
      </c>
      <c r="L37" s="39">
        <f t="shared" si="9"/>
        <v>5544692.2411537152</v>
      </c>
      <c r="M37" s="39">
        <f t="shared" si="9"/>
        <v>9751432.0031653531</v>
      </c>
      <c r="N37" s="39">
        <f t="shared" si="9"/>
        <v>14415180.996052401</v>
      </c>
      <c r="O37" s="39">
        <f t="shared" si="9"/>
        <v>18763480.252060011</v>
      </c>
      <c r="Q37" s="86"/>
    </row>
    <row r="38" spans="1:17" x14ac:dyDescent="0.2">
      <c r="A38" s="37">
        <f>MAX($A$13:A37)+1</f>
        <v>20</v>
      </c>
      <c r="B38" s="54" t="s">
        <v>59</v>
      </c>
      <c r="C38" s="30" t="s">
        <v>60</v>
      </c>
      <c r="D38" s="87">
        <f t="shared" ref="D38:O38" si="10">+D33</f>
        <v>0</v>
      </c>
      <c r="E38" s="87">
        <f t="shared" si="10"/>
        <v>0</v>
      </c>
      <c r="F38" s="87">
        <f t="shared" si="10"/>
        <v>0</v>
      </c>
      <c r="G38" s="87">
        <f t="shared" si="10"/>
        <v>0</v>
      </c>
      <c r="H38" s="87">
        <f t="shared" si="10"/>
        <v>0</v>
      </c>
      <c r="I38" s="87">
        <f t="shared" si="10"/>
        <v>3400491.9797813515</v>
      </c>
      <c r="J38" s="87">
        <f t="shared" si="10"/>
        <v>8459058.3344677351</v>
      </c>
      <c r="K38" s="87">
        <f t="shared" si="10"/>
        <v>4931617.773102344</v>
      </c>
      <c r="L38" s="87">
        <f t="shared" si="10"/>
        <v>2811782.620941618</v>
      </c>
      <c r="M38" s="87">
        <f t="shared" si="10"/>
        <v>3171205.9114776491</v>
      </c>
      <c r="N38" s="87">
        <f t="shared" si="10"/>
        <v>2735387.7422635988</v>
      </c>
      <c r="O38" s="87">
        <f t="shared" si="10"/>
        <v>6115155.3236430828</v>
      </c>
      <c r="Q38" s="87"/>
    </row>
    <row r="39" spans="1:17" x14ac:dyDescent="0.2">
      <c r="A39" s="37" t="s">
        <v>61</v>
      </c>
      <c r="B39" s="54" t="s">
        <v>9</v>
      </c>
      <c r="C39" s="30" t="s">
        <v>62</v>
      </c>
      <c r="D39" s="88">
        <f t="shared" ref="D39:O39" si="11">$D$11*D15</f>
        <v>1653889.8472880409</v>
      </c>
      <c r="E39" s="88">
        <f t="shared" si="11"/>
        <v>1504703.064939223</v>
      </c>
      <c r="F39" s="88">
        <f t="shared" si="11"/>
        <v>1392191.6472163934</v>
      </c>
      <c r="G39" s="88">
        <f t="shared" si="11"/>
        <v>1273361.1481504068</v>
      </c>
      <c r="H39" s="88">
        <f t="shared" si="11"/>
        <v>1301272.7969349355</v>
      </c>
      <c r="I39" s="88">
        <f t="shared" si="11"/>
        <v>1564125.9625988291</v>
      </c>
      <c r="J39" s="88">
        <f t="shared" si="11"/>
        <v>1802193.9067157512</v>
      </c>
      <c r="K39" s="88">
        <f t="shared" si="11"/>
        <v>1685308.3295298237</v>
      </c>
      <c r="L39" s="88">
        <f t="shared" si="11"/>
        <v>1374271.6510901842</v>
      </c>
      <c r="M39" s="88">
        <f t="shared" si="11"/>
        <v>1459861.7156557513</v>
      </c>
      <c r="N39" s="88">
        <f t="shared" si="11"/>
        <v>1568042.8363045601</v>
      </c>
      <c r="O39" s="88">
        <f t="shared" si="11"/>
        <v>1797992.6452451188</v>
      </c>
      <c r="Q39" s="87"/>
    </row>
    <row r="40" spans="1:17" x14ac:dyDescent="0.2">
      <c r="A40" s="37" t="s">
        <v>63</v>
      </c>
      <c r="B40" s="54" t="s">
        <v>64</v>
      </c>
      <c r="C40" s="30" t="s">
        <v>65</v>
      </c>
      <c r="D40" s="87">
        <f>D38+D39</f>
        <v>1653889.8472880409</v>
      </c>
      <c r="E40" s="87">
        <f t="shared" ref="E40:O40" si="12">E38+E39</f>
        <v>1504703.064939223</v>
      </c>
      <c r="F40" s="87">
        <f t="shared" si="12"/>
        <v>1392191.6472163934</v>
      </c>
      <c r="G40" s="87">
        <f t="shared" si="12"/>
        <v>1273361.1481504068</v>
      </c>
      <c r="H40" s="87">
        <f t="shared" si="12"/>
        <v>1301272.7969349355</v>
      </c>
      <c r="I40" s="87">
        <f t="shared" si="12"/>
        <v>4964617.9423801806</v>
      </c>
      <c r="J40" s="87">
        <f t="shared" si="12"/>
        <v>10261252.241183486</v>
      </c>
      <c r="K40" s="87">
        <f t="shared" si="12"/>
        <v>6616926.1026321677</v>
      </c>
      <c r="L40" s="87">
        <f t="shared" si="12"/>
        <v>4186054.2720318022</v>
      </c>
      <c r="M40" s="87">
        <f t="shared" si="12"/>
        <v>4631067.6271334002</v>
      </c>
      <c r="N40" s="87">
        <f t="shared" si="12"/>
        <v>4303430.5785681587</v>
      </c>
      <c r="O40" s="87">
        <f t="shared" si="12"/>
        <v>7913147.9688882018</v>
      </c>
      <c r="Q40" s="87"/>
    </row>
    <row r="41" spans="1:17" x14ac:dyDescent="0.2">
      <c r="A41" s="37"/>
      <c r="B41" s="54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Q41" s="87"/>
    </row>
    <row r="42" spans="1:17" x14ac:dyDescent="0.2">
      <c r="A42" s="37" t="s">
        <v>66</v>
      </c>
      <c r="B42" s="54" t="s">
        <v>67</v>
      </c>
      <c r="C42" s="30" t="s">
        <v>68</v>
      </c>
      <c r="D42" s="87">
        <f>D37+D40</f>
        <v>-21457896.459317185</v>
      </c>
      <c r="E42" s="87">
        <f t="shared" ref="E42:O42" si="13">E37+E40</f>
        <v>-20013548.173123483</v>
      </c>
      <c r="F42" s="87">
        <f t="shared" si="13"/>
        <v>-18677597.504276402</v>
      </c>
      <c r="G42" s="87">
        <f t="shared" si="13"/>
        <v>-17456706.775555681</v>
      </c>
      <c r="H42" s="87">
        <f t="shared" si="13"/>
        <v>-16204436.902692661</v>
      </c>
      <c r="I42" s="87">
        <f t="shared" si="13"/>
        <v>-11285468.117169788</v>
      </c>
      <c r="J42" s="87">
        <f t="shared" si="13"/>
        <v>-1061503.6056006104</v>
      </c>
      <c r="K42" s="87">
        <f t="shared" si="13"/>
        <v>5538652.1456897864</v>
      </c>
      <c r="L42" s="87">
        <f t="shared" si="13"/>
        <v>9730746.5131855179</v>
      </c>
      <c r="M42" s="87">
        <f t="shared" si="13"/>
        <v>14382499.630298752</v>
      </c>
      <c r="N42" s="87">
        <f t="shared" si="13"/>
        <v>18718611.57462056</v>
      </c>
      <c r="O42" s="87">
        <f t="shared" si="13"/>
        <v>26676628.220948212</v>
      </c>
      <c r="Q42" s="87"/>
    </row>
    <row r="43" spans="1:17" x14ac:dyDescent="0.2">
      <c r="A43" s="37"/>
      <c r="B43" s="54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Q43" s="87"/>
    </row>
    <row r="44" spans="1:17" ht="25.5" x14ac:dyDescent="0.2">
      <c r="A44" s="37">
        <f>MAX($A$13:A38)+1</f>
        <v>21</v>
      </c>
      <c r="B44" s="49" t="s">
        <v>69</v>
      </c>
      <c r="C44" s="89" t="s">
        <v>70</v>
      </c>
      <c r="D44" s="90">
        <f>+((D40*0.5)+D37)*D36/12</f>
        <v>-60354.778745519936</v>
      </c>
      <c r="E44" s="90">
        <f t="shared" ref="E44:O44" si="14">+((E40*0.5)+E37)*E36/12</f>
        <v>-56240.978369314631</v>
      </c>
      <c r="F44" s="90">
        <f t="shared" si="14"/>
        <v>-52470.419429687463</v>
      </c>
      <c r="G44" s="90">
        <f t="shared" si="14"/>
        <v>-49002.924071916983</v>
      </c>
      <c r="H44" s="90">
        <f t="shared" si="14"/>
        <v>-45649.156857308692</v>
      </c>
      <c r="I44" s="90">
        <f t="shared" si="14"/>
        <v>-37287.729614308002</v>
      </c>
      <c r="J44" s="90">
        <f t="shared" si="14"/>
        <v>-16770.351341770958</v>
      </c>
      <c r="K44" s="90">
        <f t="shared" si="14"/>
        <v>6040.0954639287775</v>
      </c>
      <c r="L44" s="90">
        <f t="shared" si="14"/>
        <v>20685.489979834379</v>
      </c>
      <c r="M44" s="90">
        <f t="shared" si="14"/>
        <v>32681.365753649312</v>
      </c>
      <c r="N44" s="90">
        <f t="shared" si="14"/>
        <v>44868.677439452964</v>
      </c>
      <c r="O44" s="90">
        <f t="shared" si="14"/>
        <v>61533.480223865306</v>
      </c>
    </row>
    <row r="45" spans="1:17" ht="13.5" thickBot="1" x14ac:dyDescent="0.25">
      <c r="A45" s="37">
        <f>MAX($A$13:A44)+1</f>
        <v>22</v>
      </c>
      <c r="B45" s="91" t="s">
        <v>71</v>
      </c>
      <c r="C45" s="89" t="s">
        <v>72</v>
      </c>
      <c r="D45" s="92">
        <f>D42+D44</f>
        <v>-21518251.238062706</v>
      </c>
      <c r="E45" s="92">
        <f t="shared" ref="E45:O45" si="15">E42+E44</f>
        <v>-20069789.151492797</v>
      </c>
      <c r="F45" s="92">
        <f t="shared" si="15"/>
        <v>-18730067.923706088</v>
      </c>
      <c r="G45" s="92">
        <f t="shared" si="15"/>
        <v>-17505709.699627597</v>
      </c>
      <c r="H45" s="92">
        <f t="shared" si="15"/>
        <v>-16250086.059549969</v>
      </c>
      <c r="I45" s="92">
        <f t="shared" si="15"/>
        <v>-11322755.846784096</v>
      </c>
      <c r="J45" s="92">
        <f t="shared" si="15"/>
        <v>-1078273.9569423813</v>
      </c>
      <c r="K45" s="92">
        <f t="shared" si="15"/>
        <v>5544692.2411537152</v>
      </c>
      <c r="L45" s="92">
        <f t="shared" si="15"/>
        <v>9751432.0031653531</v>
      </c>
      <c r="M45" s="92">
        <f t="shared" si="15"/>
        <v>14415180.996052401</v>
      </c>
      <c r="N45" s="92">
        <f t="shared" si="15"/>
        <v>18763480.252060011</v>
      </c>
      <c r="O45" s="92">
        <f t="shared" si="15"/>
        <v>26738161.701172076</v>
      </c>
      <c r="P45" s="92">
        <f>O45</f>
        <v>26738161.701172076</v>
      </c>
    </row>
    <row r="46" spans="1:17" ht="13.5" thickTop="1" x14ac:dyDescent="0.2"/>
    <row r="47" spans="1:17" x14ac:dyDescent="0.2">
      <c r="A47" s="37">
        <f>MAX($A$13:A46)+1</f>
        <v>23</v>
      </c>
      <c r="B47" t="s">
        <v>73</v>
      </c>
      <c r="P47" s="93">
        <v>-1177816.48</v>
      </c>
    </row>
    <row r="48" spans="1:17" x14ac:dyDescent="0.2">
      <c r="A48" s="37">
        <f>MAX($A$13:A47)+1</f>
        <v>24</v>
      </c>
      <c r="B48" t="s">
        <v>75</v>
      </c>
      <c r="P48" s="93">
        <v>12000</v>
      </c>
    </row>
    <row r="49" spans="1:16" x14ac:dyDescent="0.2">
      <c r="E49" s="94"/>
    </row>
    <row r="50" spans="1:16" ht="13.5" thickBot="1" x14ac:dyDescent="0.25">
      <c r="A50" s="37">
        <f>MAX($A$13:A49)+1</f>
        <v>25</v>
      </c>
      <c r="B50" s="29" t="s">
        <v>74</v>
      </c>
      <c r="E50" s="86"/>
      <c r="P50" s="95">
        <f>P45+P47+P48</f>
        <v>25572345.221172076</v>
      </c>
    </row>
    <row r="51" spans="1:16" ht="13.5" thickTop="1" x14ac:dyDescent="0.2"/>
  </sheetData>
  <mergeCells count="1">
    <mergeCell ref="R27:U27"/>
  </mergeCell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30A5079C749B4E9A8348B3095EF55B" ma:contentTypeVersion="20" ma:contentTypeDescription="" ma:contentTypeScope="" ma:versionID="6e0b337f0bcd296867945c6d8c5fb09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2022-06-15T07:00:00+00:00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220441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12E7B5E-FDAF-4221-8195-8E6F41F35A60}"/>
</file>

<file path=customXml/itemProps2.xml><?xml version="1.0" encoding="utf-8"?>
<ds:datastoreItem xmlns:ds="http://schemas.openxmlformats.org/officeDocument/2006/customXml" ds:itemID="{32E90984-3033-4F23-8628-E713DC949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B8C9E8-78B6-4A29-9433-0F532828CC55}">
  <ds:schemaRefs>
    <ds:schemaRef ds:uri="http://purl.org/dc/elements/1.1/"/>
    <ds:schemaRef ds:uri="http://purl.org/dc/dcmitype/"/>
    <ds:schemaRef ds:uri="093f97ad-0b95-4bcf-8086-d4941a3bad1c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05647CC5-91BA-422F-9059-DD46E067C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Exhibit JP-2 PCAM Calculation</vt:lpstr>
      <vt:lpstr>'Exhibit JP-2 PCAM Calculation'!Print_Area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Painter, Jack</dc:creator>
  <cp:keywords/>
  <dc:description/>
  <cp:lastModifiedBy>Painter, Jack (PacifiCorp)</cp:lastModifiedBy>
  <cp:revision/>
  <dcterms:created xsi:type="dcterms:W3CDTF">2022-06-09T21:05:07Z</dcterms:created>
  <dcterms:modified xsi:type="dcterms:W3CDTF">2022-06-13T20:43:39Z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0x0101006E56B4D1795A2E4DB2F0B01679ED314A002A30A5079C749B4E9A8348B3095EF55B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