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120" windowWidth="19440" windowHeight="961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_xlnm.Print_Area" localSheetId="1">PriorYearBalanceSheet!$A$2:$I$53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F14" i="18" l="1"/>
  <c r="C24" i="16" l="1"/>
  <c r="E19" i="3" l="1"/>
  <c r="D19" i="3"/>
  <c r="C21" i="16" l="1"/>
  <c r="C25" i="16" s="1"/>
  <c r="D52" i="10" l="1"/>
  <c r="D50" i="10"/>
  <c r="D26" i="10"/>
  <c r="D22" i="10"/>
  <c r="E54" i="13"/>
  <c r="D54" i="10" s="1"/>
  <c r="D53" i="13"/>
  <c r="C53" i="13"/>
  <c r="E52" i="13"/>
  <c r="E51" i="13"/>
  <c r="D51" i="10" s="1"/>
  <c r="E50" i="13"/>
  <c r="E53" i="13" s="1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21" i="10" l="1"/>
  <c r="C25" i="13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28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I32" i="12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15" i="18" l="1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<sst xmlns="http://schemas.openxmlformats.org/spreadsheetml/2006/main" count="643" uniqueCount="269">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</sst>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11" sqref="A1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Header>&amp;R&amp;"-,Bold"&amp;12EXHIBIT 4</oddHeader>
    <oddFooter>&amp;LPETITION OF INLAND TELEPHONE COMPANY
TO RECEIVE SUPPORT FROM THE STATE UNIVERSAL
COMMUNICATIONS PROGRAM-EXHIBIT 4&amp;RPAGE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7" sqref="E1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228660</v>
      </c>
      <c r="E9" s="56">
        <v>241941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439205</v>
      </c>
      <c r="E11" s="53">
        <v>110676</v>
      </c>
    </row>
    <row r="12" spans="1:5" x14ac:dyDescent="0.25">
      <c r="A12" s="11" t="s">
        <v>217</v>
      </c>
      <c r="B12" s="18" t="s">
        <v>260</v>
      </c>
      <c r="C12" s="11"/>
      <c r="D12" s="53">
        <v>418535</v>
      </c>
      <c r="E12" s="53">
        <v>289093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42460</v>
      </c>
      <c r="E14" s="53">
        <v>40222</v>
      </c>
    </row>
    <row r="15" spans="1:5" x14ac:dyDescent="0.25">
      <c r="A15" s="11" t="s">
        <v>219</v>
      </c>
      <c r="B15" s="18" t="s">
        <v>169</v>
      </c>
      <c r="C15" s="11"/>
      <c r="D15" s="53">
        <v>1285190</v>
      </c>
      <c r="E15" s="53">
        <v>1904156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946447</v>
      </c>
      <c r="E16" s="53">
        <v>846980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127182</v>
      </c>
    </row>
    <row r="18" spans="1:5" x14ac:dyDescent="0.25">
      <c r="A18" s="11">
        <v>6</v>
      </c>
      <c r="B18" s="18" t="s">
        <v>194</v>
      </c>
      <c r="C18" s="12"/>
      <c r="D18" s="54">
        <v>91400</v>
      </c>
      <c r="E18" s="54">
        <v>30445</v>
      </c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3451897</v>
      </c>
      <c r="E19" s="36">
        <f>E9+E11+E12+E14+E15+E16+E17+E18</f>
        <v>3590695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3451897</v>
      </c>
      <c r="E20" s="38">
        <f>IncomeStmtSummary!D10</f>
        <v>3590695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25" sqref="A25"/>
    </sheetView>
  </sheetViews>
  <sheetFormatPr defaultRowHeight="15" x14ac:dyDescent="0.25"/>
  <cols>
    <col min="1" max="1" width="73.5703125" customWidth="1"/>
    <col min="2" max="2" width="14.7109375" bestFit="1" customWidth="1"/>
    <col min="3" max="3" width="1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zoomScaleNormal="100" workbookViewId="0">
      <selection activeCell="B5" sqref="B5"/>
    </sheetView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4829151</v>
      </c>
    </row>
    <row r="11" spans="1:3" x14ac:dyDescent="0.25">
      <c r="A11" s="78">
        <v>2</v>
      </c>
      <c r="B11" s="83" t="s">
        <v>206</v>
      </c>
      <c r="C11" s="105">
        <f>'RateBase '!E15</f>
        <v>8323933</v>
      </c>
    </row>
    <row r="12" spans="1:3" x14ac:dyDescent="0.25">
      <c r="A12" s="78">
        <v>3</v>
      </c>
      <c r="B12" s="98" t="s">
        <v>207</v>
      </c>
      <c r="C12" s="85">
        <f>(C10+C11)/2</f>
        <v>6576542</v>
      </c>
    </row>
    <row r="13" spans="1:3" x14ac:dyDescent="0.25">
      <c r="A13" s="78">
        <v>4</v>
      </c>
      <c r="B13" s="83" t="s">
        <v>208</v>
      </c>
      <c r="C13" s="60">
        <f>IncomeStmtSummary!D31</f>
        <v>11109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11109</v>
      </c>
    </row>
    <row r="16" spans="1:3" x14ac:dyDescent="0.25">
      <c r="A16" s="78">
        <v>7</v>
      </c>
      <c r="B16" s="98" t="s">
        <v>209</v>
      </c>
      <c r="C16" s="86">
        <f>C15/C12</f>
        <v>1.6891855932798727E-3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/>
    </row>
    <row r="20" spans="1:7" x14ac:dyDescent="0.25">
      <c r="A20" s="78">
        <v>9</v>
      </c>
      <c r="B20" s="83" t="s">
        <v>214</v>
      </c>
      <c r="C20" s="88"/>
    </row>
    <row r="21" spans="1:7" x14ac:dyDescent="0.25">
      <c r="A21" s="78">
        <v>10</v>
      </c>
      <c r="B21" s="98" t="s">
        <v>210</v>
      </c>
      <c r="C21" s="85">
        <f t="shared" ref="C21" si="0">(C19+C20)/2</f>
        <v>0</v>
      </c>
    </row>
    <row r="22" spans="1:7" x14ac:dyDescent="0.25">
      <c r="A22" s="78">
        <v>11</v>
      </c>
      <c r="B22" s="83" t="s">
        <v>215</v>
      </c>
      <c r="C22" s="53"/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0</v>
      </c>
    </row>
    <row r="25" spans="1:7" x14ac:dyDescent="0.25">
      <c r="A25" s="95">
        <v>14</v>
      </c>
      <c r="B25" s="102" t="s">
        <v>211</v>
      </c>
      <c r="C25" s="89" t="e">
        <f>C24/C21</f>
        <v>#DIV/0!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C11" sqref="C1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298416</v>
      </c>
      <c r="C10" s="57"/>
      <c r="D10" s="60">
        <f>SUM(B10:C10)</f>
        <v>298416</v>
      </c>
      <c r="E10" s="18"/>
      <c r="F10" s="18" t="s">
        <v>78</v>
      </c>
      <c r="G10" s="53">
        <v>1134728</v>
      </c>
      <c r="H10" s="57"/>
      <c r="I10" s="60">
        <f>SUM(G10:H10)</f>
        <v>1134728</v>
      </c>
    </row>
    <row r="11" spans="1:9" x14ac:dyDescent="0.25">
      <c r="A11" s="18" t="s">
        <v>148</v>
      </c>
      <c r="B11" s="53">
        <v>395813</v>
      </c>
      <c r="C11" s="57"/>
      <c r="D11" s="60">
        <f>SUM(B11:C11)</f>
        <v>395813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>
        <v>84991</v>
      </c>
      <c r="C13" s="57"/>
      <c r="D13" s="60">
        <f>SUM(B13:C13)</f>
        <v>84991</v>
      </c>
      <c r="E13" s="18"/>
      <c r="F13" s="18" t="s">
        <v>83</v>
      </c>
      <c r="G13" s="53">
        <v>2041</v>
      </c>
      <c r="H13" s="57"/>
      <c r="I13" s="60">
        <f t="shared" si="0"/>
        <v>2041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321735</v>
      </c>
      <c r="H14" s="57">
        <v>-17128</v>
      </c>
      <c r="I14" s="60">
        <f t="shared" si="0"/>
        <v>304607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559143</v>
      </c>
      <c r="C17" s="57"/>
      <c r="D17" s="60">
        <f>SUM(B17:C17)</f>
        <v>559143</v>
      </c>
      <c r="E17" s="19"/>
      <c r="F17" s="18" t="s">
        <v>87</v>
      </c>
      <c r="G17" s="53">
        <v>60011</v>
      </c>
      <c r="H17" s="57"/>
      <c r="I17" s="60">
        <f t="shared" si="0"/>
        <v>60011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142940</v>
      </c>
      <c r="H18" s="57"/>
      <c r="I18" s="60">
        <f t="shared" si="0"/>
        <v>142940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815571</v>
      </c>
      <c r="H19" s="67"/>
      <c r="I19" s="61">
        <f t="shared" si="0"/>
        <v>815571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2477026</v>
      </c>
      <c r="H20" s="60">
        <f>SUM(H10:H19)</f>
        <v>-17128</v>
      </c>
      <c r="I20" s="60">
        <f t="shared" ref="I20" si="3">SUM(I10:I19)</f>
        <v>2459898</v>
      </c>
    </row>
    <row r="21" spans="1:9" x14ac:dyDescent="0.25">
      <c r="A21" s="18" t="s">
        <v>49</v>
      </c>
      <c r="B21" s="53">
        <v>269547</v>
      </c>
      <c r="C21" s="55"/>
      <c r="D21" s="60">
        <f t="shared" si="2"/>
        <v>269547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>
        <v>191617</v>
      </c>
      <c r="H22" s="57">
        <v>-10201</v>
      </c>
      <c r="I22" s="60">
        <f>SUM(G22:H22)</f>
        <v>181416</v>
      </c>
    </row>
    <row r="23" spans="1:9" x14ac:dyDescent="0.25">
      <c r="A23" s="18" t="s">
        <v>51</v>
      </c>
      <c r="B23" s="53">
        <v>38205</v>
      </c>
      <c r="C23" s="57"/>
      <c r="D23" s="60">
        <f t="shared" si="2"/>
        <v>38205</v>
      </c>
      <c r="E23" s="18"/>
      <c r="F23" s="18" t="s">
        <v>93</v>
      </c>
      <c r="G23" s="53">
        <v>54535</v>
      </c>
      <c r="H23" s="57">
        <v>-2903</v>
      </c>
      <c r="I23" s="60">
        <f t="shared" ref="I23:I31" si="4">SUM(G23:H23)</f>
        <v>51632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>
        <v>2816944</v>
      </c>
      <c r="H24" s="57"/>
      <c r="I24" s="60">
        <f t="shared" si="4"/>
        <v>2816944</v>
      </c>
    </row>
    <row r="25" spans="1:9" x14ac:dyDescent="0.25">
      <c r="A25" s="18" t="s">
        <v>41</v>
      </c>
      <c r="B25" s="60">
        <f>B10+B11+B13+B14+B15+B17+B18+B19+B20+B21+B22+B23+B24</f>
        <v>1646115</v>
      </c>
      <c r="C25" s="60">
        <f>C10+C11+C13+C14+C15+C17+C18+C19+C20+C21+C22+C23+C24</f>
        <v>0</v>
      </c>
      <c r="D25" s="60">
        <f t="shared" ref="D25" si="5">D10+D11+D13+D14+D15+D17+D18+D19+D20+D21+D22+D23+D24</f>
        <v>1646115</v>
      </c>
      <c r="E25" s="18"/>
      <c r="F25" s="18" t="s">
        <v>95</v>
      </c>
      <c r="G25" s="53">
        <v>-2655</v>
      </c>
      <c r="H25" s="57"/>
      <c r="I25" s="60">
        <f t="shared" si="4"/>
        <v>-2655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>
        <v>51709</v>
      </c>
      <c r="C29" s="57"/>
      <c r="D29" s="60">
        <f>SUM(B29:C29)</f>
        <v>51709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3060441</v>
      </c>
      <c r="H32" s="60">
        <f>SUM(H22:H31)</f>
        <v>-13104</v>
      </c>
      <c r="I32" s="60">
        <f t="shared" ref="I32" si="6">SUM(I22:I31)</f>
        <v>3047337</v>
      </c>
    </row>
    <row r="33" spans="1:9" x14ac:dyDescent="0.25">
      <c r="A33" s="18" t="s">
        <v>58</v>
      </c>
      <c r="B33" s="53">
        <v>190106</v>
      </c>
      <c r="C33" s="57"/>
      <c r="D33" s="60">
        <f t="shared" ref="D33:D37" si="7">SUM(B33:C33)</f>
        <v>190106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1464073</v>
      </c>
      <c r="C34" s="72">
        <f>-1*(C25+C29+C30+C32+C33+C35+C36+C37+C46)</f>
        <v>322634</v>
      </c>
      <c r="D34" s="60">
        <f t="shared" si="7"/>
        <v>1786707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>
        <v>250</v>
      </c>
      <c r="C35" s="57"/>
      <c r="D35" s="60">
        <f t="shared" si="7"/>
        <v>250</v>
      </c>
      <c r="E35" s="18"/>
      <c r="F35" s="18" t="s">
        <v>151</v>
      </c>
      <c r="G35" s="53">
        <v>406878</v>
      </c>
      <c r="H35" s="53">
        <v>-26917</v>
      </c>
      <c r="I35" s="60">
        <f t="shared" ref="I35:I36" si="8">SUM(G35:H35)</f>
        <v>379961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406878</v>
      </c>
      <c r="H37" s="60">
        <f t="shared" ref="H37:I37" si="9">SUM(H34:H36)</f>
        <v>-26917</v>
      </c>
      <c r="I37" s="60">
        <f t="shared" si="9"/>
        <v>379961</v>
      </c>
    </row>
    <row r="38" spans="1:9" x14ac:dyDescent="0.25">
      <c r="A38" s="18" t="s">
        <v>65</v>
      </c>
      <c r="B38" s="60">
        <f>B29+B30+B32+B33+B34+B35+B36+B37</f>
        <v>1706138</v>
      </c>
      <c r="C38" s="60">
        <f>C29+C30+C32+C33+C34+C35+C36+C37</f>
        <v>322634</v>
      </c>
      <c r="D38" s="60">
        <f t="shared" ref="D38" si="10">D29+D30+D32+D33+D34+D35+D36+D37</f>
        <v>2028772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93150</v>
      </c>
      <c r="H39" s="23"/>
      <c r="I39" s="60">
        <f>SUM(G39:H39)</f>
        <v>93150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7175</v>
      </c>
      <c r="H40" s="23"/>
      <c r="I40" s="60">
        <f t="shared" ref="I40:I45" si="11">SUM(G40:H40)</f>
        <v>7175</v>
      </c>
    </row>
    <row r="41" spans="1:9" x14ac:dyDescent="0.25">
      <c r="A41" s="18" t="s">
        <v>190</v>
      </c>
      <c r="B41" s="53">
        <v>18902328</v>
      </c>
      <c r="C41" s="53">
        <v>-1062900</v>
      </c>
      <c r="D41" s="60">
        <f>SUM(B41:C41)</f>
        <v>17839428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2488508</v>
      </c>
      <c r="C43" s="53">
        <v>-25373</v>
      </c>
      <c r="D43" s="60">
        <f t="shared" si="12"/>
        <v>2463135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-14045463</v>
      </c>
      <c r="C45" s="54">
        <v>765639</v>
      </c>
      <c r="D45" s="61">
        <f t="shared" si="12"/>
        <v>-13279824</v>
      </c>
      <c r="E45" s="18"/>
      <c r="F45" s="18" t="s">
        <v>181</v>
      </c>
      <c r="G45" s="54">
        <v>4652956</v>
      </c>
      <c r="H45" s="106">
        <f>-1*(H20+H32+H37)</f>
        <v>57149</v>
      </c>
      <c r="I45" s="61">
        <f t="shared" si="11"/>
        <v>4710105</v>
      </c>
    </row>
    <row r="46" spans="1:9" x14ac:dyDescent="0.25">
      <c r="A46" s="18" t="s">
        <v>71</v>
      </c>
      <c r="B46" s="60">
        <f>B41+B42+B43+B44+B45</f>
        <v>7345373</v>
      </c>
      <c r="C46" s="60">
        <f t="shared" ref="C46:D46" si="13">C41+C42+C43+C44+C45</f>
        <v>-322634</v>
      </c>
      <c r="D46" s="60">
        <f t="shared" si="13"/>
        <v>7022739</v>
      </c>
      <c r="E46" s="18"/>
      <c r="F46" s="18" t="s">
        <v>114</v>
      </c>
      <c r="G46" s="60">
        <f>SUM(G39:G45)</f>
        <v>4753281</v>
      </c>
      <c r="H46" s="63">
        <f t="shared" ref="H46:I46" si="14">SUM(H39:H45)</f>
        <v>57149</v>
      </c>
      <c r="I46" s="60">
        <f t="shared" si="14"/>
        <v>4810430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10697626</v>
      </c>
      <c r="C48" s="62">
        <f t="shared" ref="C48:D48" si="15">C25+C38+C46</f>
        <v>0</v>
      </c>
      <c r="D48" s="62">
        <f t="shared" si="15"/>
        <v>10697626</v>
      </c>
      <c r="E48" s="18"/>
      <c r="F48" s="22" t="s">
        <v>115</v>
      </c>
      <c r="G48" s="62">
        <f>G20+G32+G37+G46</f>
        <v>10697626</v>
      </c>
      <c r="H48" s="62">
        <f t="shared" ref="H48:I48" si="16">H20+H32+H37+H46</f>
        <v>0</v>
      </c>
      <c r="I48" s="62">
        <f t="shared" si="16"/>
        <v>10697626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rintOptions horizontalCentered="1"/>
  <pageMargins left="1.2" right="0.2" top="1.25" bottom="0.75" header="0.8" footer="0.3"/>
  <pageSetup scale="61" orientation="landscape" r:id="rId1"/>
  <headerFooter>
    <oddHeader>&amp;L&amp;"-,Bold"State USF Petition Filing Requirement -WAC 480-123-110 (1)(e)
Prior Year Balance Sheet&amp;R&amp;"-,Bold"&amp;12EXHIBIT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selection activeCell="H35" sqref="H3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114840</v>
      </c>
      <c r="C10" s="57"/>
      <c r="D10" s="60">
        <f>SUM(B10:C10)</f>
        <v>114840</v>
      </c>
      <c r="E10" s="18"/>
      <c r="F10" s="18" t="s">
        <v>78</v>
      </c>
      <c r="G10" s="53">
        <v>872782</v>
      </c>
      <c r="H10" s="57"/>
      <c r="I10" s="60">
        <f>SUM(G10:H10)</f>
        <v>872782</v>
      </c>
    </row>
    <row r="11" spans="1:9" x14ac:dyDescent="0.25">
      <c r="A11" s="18" t="s">
        <v>148</v>
      </c>
      <c r="B11" s="53">
        <v>75774</v>
      </c>
      <c r="C11" s="57"/>
      <c r="D11" s="60">
        <f>SUM(B11:C11)</f>
        <v>75774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>
        <v>1913</v>
      </c>
      <c r="H13" s="57"/>
      <c r="I13" s="60">
        <f t="shared" si="0"/>
        <v>1913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428568</v>
      </c>
      <c r="H14" s="57">
        <v>-15297</v>
      </c>
      <c r="I14" s="60">
        <f t="shared" si="0"/>
        <v>413271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538193</v>
      </c>
      <c r="C17" s="57"/>
      <c r="D17" s="60">
        <f>SUM(B17:C17)</f>
        <v>538193</v>
      </c>
      <c r="E17" s="19"/>
      <c r="F17" s="18" t="s">
        <v>87</v>
      </c>
      <c r="G17" s="53">
        <v>20</v>
      </c>
      <c r="H17" s="57"/>
      <c r="I17" s="60">
        <f t="shared" si="0"/>
        <v>20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98938</v>
      </c>
      <c r="H18" s="57"/>
      <c r="I18" s="60">
        <f t="shared" si="0"/>
        <v>98938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356671</v>
      </c>
      <c r="H19" s="67"/>
      <c r="I19" s="61">
        <f t="shared" si="0"/>
        <v>356671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1758892</v>
      </c>
      <c r="H20" s="60">
        <f>SUM(H10:H19)</f>
        <v>-15297</v>
      </c>
      <c r="I20" s="60">
        <f t="shared" ref="I20" si="3">SUM(I10:I19)</f>
        <v>1743595</v>
      </c>
    </row>
    <row r="21" spans="1:9" x14ac:dyDescent="0.25">
      <c r="A21" s="18" t="s">
        <v>49</v>
      </c>
      <c r="B21" s="53">
        <v>241005</v>
      </c>
      <c r="C21" s="55"/>
      <c r="D21" s="60">
        <f t="shared" si="2"/>
        <v>241005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>
        <v>146434</v>
      </c>
      <c r="H22" s="57">
        <v>-5227</v>
      </c>
      <c r="I22" s="60">
        <f>SUM(G22:H22)</f>
        <v>141207</v>
      </c>
    </row>
    <row r="23" spans="1:9" x14ac:dyDescent="0.25">
      <c r="A23" s="18" t="s">
        <v>51</v>
      </c>
      <c r="B23" s="53">
        <v>42366</v>
      </c>
      <c r="C23" s="57"/>
      <c r="D23" s="60">
        <f t="shared" si="2"/>
        <v>42366</v>
      </c>
      <c r="E23" s="18"/>
      <c r="F23" s="18" t="s">
        <v>93</v>
      </c>
      <c r="G23" s="53">
        <v>39427</v>
      </c>
      <c r="H23" s="57">
        <v>-1407</v>
      </c>
      <c r="I23" s="60">
        <f t="shared" ref="I23:I31" si="4">SUM(G23:H23)</f>
        <v>38020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>
        <v>6071879</v>
      </c>
      <c r="H24" s="57">
        <v>-216731</v>
      </c>
      <c r="I24" s="60">
        <f t="shared" si="4"/>
        <v>5855148</v>
      </c>
    </row>
    <row r="25" spans="1:9" x14ac:dyDescent="0.25">
      <c r="A25" s="18" t="s">
        <v>41</v>
      </c>
      <c r="B25" s="60">
        <f>B10+B11+B13+B14+B15+B17+B18+B19+B20+B21+B22+B23+B24</f>
        <v>1012178</v>
      </c>
      <c r="C25" s="60">
        <f>C10+C11+C13+C14+C15+C17+C18+C19+C20+C21+C22+C23+C24</f>
        <v>0</v>
      </c>
      <c r="D25" s="60">
        <f t="shared" ref="D25" si="5">D10+D11+D13+D14+D15+D17+D18+D19+D20+D21+D22+D23+D24</f>
        <v>1012178</v>
      </c>
      <c r="E25" s="18"/>
      <c r="F25" s="18" t="s">
        <v>95</v>
      </c>
      <c r="G25" s="53">
        <v>-3363</v>
      </c>
      <c r="H25" s="57"/>
      <c r="I25" s="60">
        <f t="shared" si="4"/>
        <v>-3363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>
        <v>733101</v>
      </c>
      <c r="C29" s="57"/>
      <c r="D29" s="60">
        <f>SUM(B29:C29)</f>
        <v>733101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6254377</v>
      </c>
      <c r="H32" s="60">
        <f>SUM(H22:H31)</f>
        <v>-223365</v>
      </c>
      <c r="I32" s="60">
        <f t="shared" ref="I32" si="6">SUM(I22:I31)</f>
        <v>6031012</v>
      </c>
    </row>
    <row r="33" spans="1:11" x14ac:dyDescent="0.25">
      <c r="A33" s="18" t="s">
        <v>58</v>
      </c>
      <c r="B33" s="53">
        <v>201491</v>
      </c>
      <c r="C33" s="57"/>
      <c r="D33" s="60">
        <f t="shared" ref="D33:D37" si="7">SUM(B33:C33)</f>
        <v>201491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1606179</v>
      </c>
      <c r="C34" s="72">
        <f>-1*(C25+C29+C30+C32+C33+C35+C36+C37+C46)</f>
        <v>273688</v>
      </c>
      <c r="D34" s="60">
        <f t="shared" si="7"/>
        <v>1879867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>
        <v>250</v>
      </c>
      <c r="C35" s="57"/>
      <c r="D35" s="60">
        <f t="shared" si="7"/>
        <v>250</v>
      </c>
      <c r="E35" s="18"/>
      <c r="F35" s="18" t="s">
        <v>151</v>
      </c>
      <c r="G35" s="53">
        <v>472601</v>
      </c>
      <c r="H35" s="53">
        <v>-36179</v>
      </c>
      <c r="I35" s="60">
        <f t="shared" ref="I35:I36" si="8">SUM(G35:H35)</f>
        <v>436422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472601</v>
      </c>
      <c r="H37" s="60">
        <f t="shared" ref="H37:I37" si="9">SUM(H34:H36)</f>
        <v>-36179</v>
      </c>
      <c r="I37" s="60">
        <f t="shared" si="9"/>
        <v>436422</v>
      </c>
    </row>
    <row r="38" spans="1:11" x14ac:dyDescent="0.25">
      <c r="A38" s="18" t="s">
        <v>65</v>
      </c>
      <c r="B38" s="60">
        <f>B29+B30+B32+B33+B34+B35+B36+B37</f>
        <v>2541021</v>
      </c>
      <c r="C38" s="60">
        <f>C29+C30+C32+C33+C34+C35+C36+C37</f>
        <v>273688</v>
      </c>
      <c r="D38" s="60">
        <f t="shared" ref="D38" si="10">D29+D30+D32+D33+D34+D35+D36+D37</f>
        <v>2814709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93150</v>
      </c>
      <c r="H39" s="23"/>
      <c r="I39" s="60">
        <f>SUM(G39:H39)</f>
        <v>93150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7175</v>
      </c>
      <c r="H40" s="23"/>
      <c r="I40" s="60">
        <f t="shared" ref="I40:I45" si="11">SUM(G40:H40)</f>
        <v>7175</v>
      </c>
    </row>
    <row r="41" spans="1:11" x14ac:dyDescent="0.25">
      <c r="A41" s="18" t="s">
        <v>190</v>
      </c>
      <c r="B41" s="53">
        <v>23122680</v>
      </c>
      <c r="C41" s="53">
        <v>-862147</v>
      </c>
      <c r="D41" s="60">
        <f>SUM(B41:C41)</f>
        <v>22260533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2230837</v>
      </c>
      <c r="C43" s="53">
        <v>-101298</v>
      </c>
      <c r="D43" s="60">
        <f t="shared" si="12"/>
        <v>2129539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-14867362</v>
      </c>
      <c r="C45" s="54">
        <v>689757</v>
      </c>
      <c r="D45" s="61">
        <f t="shared" si="12"/>
        <v>-14177605</v>
      </c>
      <c r="E45" s="18"/>
      <c r="F45" s="18" t="s">
        <v>181</v>
      </c>
      <c r="G45" s="54">
        <v>5453159</v>
      </c>
      <c r="H45" s="106">
        <f>-1*(H20+H32+H37)</f>
        <v>274841</v>
      </c>
      <c r="I45" s="61">
        <f t="shared" si="11"/>
        <v>5728000</v>
      </c>
    </row>
    <row r="46" spans="1:11" x14ac:dyDescent="0.25">
      <c r="A46" s="18" t="s">
        <v>71</v>
      </c>
      <c r="B46" s="60">
        <f>B41+B42+B43+B44+B45</f>
        <v>10486155</v>
      </c>
      <c r="C46" s="60">
        <f t="shared" ref="C46:D46" si="13">C41+C42+C43+C44+C45</f>
        <v>-273688</v>
      </c>
      <c r="D46" s="60">
        <f t="shared" si="13"/>
        <v>10212467</v>
      </c>
      <c r="E46" s="18"/>
      <c r="F46" s="18" t="s">
        <v>114</v>
      </c>
      <c r="G46" s="60">
        <f>SUM(G39:G45)</f>
        <v>5553484</v>
      </c>
      <c r="H46" s="63">
        <f t="shared" ref="H46:I46" si="14">SUM(H39:H45)</f>
        <v>274841</v>
      </c>
      <c r="I46" s="60">
        <f t="shared" si="14"/>
        <v>5828325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14039354</v>
      </c>
      <c r="C48" s="62">
        <f t="shared" ref="C48:D48" si="15">C25+C38+C46</f>
        <v>0</v>
      </c>
      <c r="D48" s="62">
        <f t="shared" si="15"/>
        <v>14039354</v>
      </c>
      <c r="E48" s="18"/>
      <c r="F48" s="22" t="s">
        <v>115</v>
      </c>
      <c r="G48" s="62">
        <f>G20+G32+G37+G46</f>
        <v>14039354</v>
      </c>
      <c r="H48" s="62">
        <f t="shared" ref="H48:I48" si="16">H20+H32+H37+H46</f>
        <v>0</v>
      </c>
      <c r="I48" s="62">
        <f t="shared" si="16"/>
        <v>14039354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B9" sqref="B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298416</v>
      </c>
      <c r="C10" s="33">
        <f>'CurrentYearBalanceSheet '!D10</f>
        <v>114840</v>
      </c>
      <c r="D10" s="18"/>
      <c r="E10" s="18" t="s">
        <v>78</v>
      </c>
      <c r="F10" s="33">
        <f>PriorYearBalanceSheet!I10</f>
        <v>1134728</v>
      </c>
      <c r="G10" s="33">
        <f>'CurrentYearBalanceSheet '!I10</f>
        <v>872782</v>
      </c>
    </row>
    <row r="11" spans="1:7" x14ac:dyDescent="0.25">
      <c r="A11" s="18" t="s">
        <v>148</v>
      </c>
      <c r="B11" s="33">
        <f>PriorYearBalanceSheet!D11</f>
        <v>395813</v>
      </c>
      <c r="C11" s="33">
        <f>'CurrentYearBalanceSheet '!D11</f>
        <v>75774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84991</v>
      </c>
      <c r="C13" s="33">
        <f>'CurrentYearBalanceSheet '!D13</f>
        <v>0</v>
      </c>
      <c r="D13" s="18"/>
      <c r="E13" s="18" t="s">
        <v>83</v>
      </c>
      <c r="F13" s="33">
        <f>PriorYearBalanceSheet!I13</f>
        <v>2041</v>
      </c>
      <c r="G13" s="33">
        <f>'CurrentYearBalanceSheet '!I13</f>
        <v>1913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304607</v>
      </c>
      <c r="G14" s="33">
        <f>'CurrentYearBalanceSheet '!I14</f>
        <v>413271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559143</v>
      </c>
      <c r="C17" s="33">
        <f>'CurrentYearBalanceSheet '!D17</f>
        <v>538193</v>
      </c>
      <c r="D17" s="18"/>
      <c r="E17" s="18" t="s">
        <v>87</v>
      </c>
      <c r="F17" s="33">
        <f>PriorYearBalanceSheet!I17</f>
        <v>60011</v>
      </c>
      <c r="G17" s="33">
        <f>'CurrentYearBalanceSheet '!I17</f>
        <v>20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142940</v>
      </c>
      <c r="G18" s="33">
        <f>'CurrentYearBalanceSheet '!I18</f>
        <v>98938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815571</v>
      </c>
      <c r="G19" s="33">
        <f>'CurrentYearBalanceSheet '!I19</f>
        <v>356671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2459898</v>
      </c>
      <c r="G20" s="36">
        <f>SUM(G10:G19)</f>
        <v>1743595</v>
      </c>
    </row>
    <row r="21" spans="1:7" x14ac:dyDescent="0.25">
      <c r="A21" s="18" t="s">
        <v>49</v>
      </c>
      <c r="B21" s="33">
        <f>PriorYearBalanceSheet!D21</f>
        <v>269547</v>
      </c>
      <c r="C21" s="33">
        <f>'CurrentYearBalanceSheet '!D21</f>
        <v>241005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181416</v>
      </c>
      <c r="G22" s="33">
        <f>'CurrentYearBalanceSheet '!I22</f>
        <v>141207</v>
      </c>
    </row>
    <row r="23" spans="1:7" x14ac:dyDescent="0.25">
      <c r="A23" s="18" t="s">
        <v>51</v>
      </c>
      <c r="B23" s="33">
        <f>PriorYearBalanceSheet!D23</f>
        <v>38205</v>
      </c>
      <c r="C23" s="33">
        <f>'CurrentYearBalanceSheet '!D23</f>
        <v>42366</v>
      </c>
      <c r="D23" s="18"/>
      <c r="E23" s="18" t="s">
        <v>93</v>
      </c>
      <c r="F23" s="33">
        <f>PriorYearBalanceSheet!I23</f>
        <v>51632</v>
      </c>
      <c r="G23" s="33">
        <f>'CurrentYearBalanceSheet '!I23</f>
        <v>38020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2816944</v>
      </c>
      <c r="G24" s="33">
        <f>'CurrentYearBalanceSheet '!I24</f>
        <v>5855148</v>
      </c>
    </row>
    <row r="25" spans="1:7" x14ac:dyDescent="0.25">
      <c r="A25" s="18" t="s">
        <v>41</v>
      </c>
      <c r="B25" s="33">
        <f>B10+B11+B13+B14+B15+B17+B18+B19+B20+B21+B22+B23+B24</f>
        <v>1646115</v>
      </c>
      <c r="C25" s="33">
        <f>C10+C11+C13+C14+C15+C17+C18+C19+C20+C21+C22+C23+C24</f>
        <v>1012178</v>
      </c>
      <c r="D25" s="18"/>
      <c r="E25" s="18" t="s">
        <v>95</v>
      </c>
      <c r="F25" s="33">
        <f>PriorYearBalanceSheet!I25</f>
        <v>-2655</v>
      </c>
      <c r="G25" s="33">
        <f>'CurrentYearBalanceSheet '!I25</f>
        <v>-3363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51709</v>
      </c>
      <c r="C29" s="33">
        <f>'CurrentYearBalanceSheet '!D29</f>
        <v>733101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3047337</v>
      </c>
      <c r="G32" s="33">
        <f>SUM(G22:G31)</f>
        <v>6031012</v>
      </c>
    </row>
    <row r="33" spans="1:7" x14ac:dyDescent="0.25">
      <c r="A33" s="18" t="s">
        <v>58</v>
      </c>
      <c r="B33" s="33">
        <f>PriorYearBalanceSheet!D33</f>
        <v>190106</v>
      </c>
      <c r="C33" s="33">
        <f>'CurrentYearBalanceSheet '!D33</f>
        <v>201491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1786707</v>
      </c>
      <c r="C34" s="33">
        <f>'CurrentYearBalanceSheet '!D34</f>
        <v>1879867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250</v>
      </c>
      <c r="C35" s="33">
        <f>'CurrentYearBalanceSheet '!D35</f>
        <v>250</v>
      </c>
      <c r="D35" s="18"/>
      <c r="E35" s="18" t="s">
        <v>222</v>
      </c>
      <c r="F35" s="33">
        <f>PriorYearBalanceSheet!I35</f>
        <v>379961</v>
      </c>
      <c r="G35" s="33">
        <f>'CurrentYearBalanceSheet '!I35</f>
        <v>436422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379961</v>
      </c>
      <c r="G37" s="33">
        <f>SUM(G34:G36)</f>
        <v>436422</v>
      </c>
    </row>
    <row r="38" spans="1:7" x14ac:dyDescent="0.25">
      <c r="A38" s="18" t="s">
        <v>65</v>
      </c>
      <c r="B38" s="33">
        <f>B29+B30+B32+B33+B34+B35+B36+B37</f>
        <v>2028772</v>
      </c>
      <c r="C38" s="33">
        <f>C29+C30+C32+C33+C34+C35+C36+C37</f>
        <v>2814709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93150</v>
      </c>
      <c r="G39" s="33">
        <f>'CurrentYearBalanceSheet '!I39</f>
        <v>93150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7175</v>
      </c>
      <c r="G40" s="33">
        <f>'CurrentYearBalanceSheet '!I40</f>
        <v>7175</v>
      </c>
    </row>
    <row r="41" spans="1:7" x14ac:dyDescent="0.25">
      <c r="A41" s="18" t="s">
        <v>67</v>
      </c>
      <c r="B41" s="33">
        <f>PriorYearBalanceSheet!D41</f>
        <v>17839428</v>
      </c>
      <c r="C41" s="33">
        <f>'CurrentYearBalanceSheet '!D41</f>
        <v>22260533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2463135</v>
      </c>
      <c r="C43" s="33">
        <f>'CurrentYearBalanceSheet '!D43</f>
        <v>2129539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-13279824</v>
      </c>
      <c r="C45" s="34">
        <f>'CurrentYearBalanceSheet '!D45</f>
        <v>-14177605</v>
      </c>
      <c r="D45" s="18"/>
      <c r="E45" s="18" t="s">
        <v>113</v>
      </c>
      <c r="F45" s="34">
        <f>PriorYearBalanceSheet!I45</f>
        <v>4710105</v>
      </c>
      <c r="G45" s="34">
        <f>'CurrentYearBalanceSheet '!I45</f>
        <v>5728000</v>
      </c>
    </row>
    <row r="46" spans="1:7" x14ac:dyDescent="0.25">
      <c r="A46" s="18" t="s">
        <v>71</v>
      </c>
      <c r="B46" s="33">
        <f>SUM(B41:B45)</f>
        <v>7022739</v>
      </c>
      <c r="C46" s="33">
        <f>SUM(C41:C45)</f>
        <v>10212467</v>
      </c>
      <c r="D46" s="18"/>
      <c r="E46" s="18" t="s">
        <v>114</v>
      </c>
      <c r="F46" s="33">
        <f>SUM(F39:F45)</f>
        <v>4810430</v>
      </c>
      <c r="G46" s="33">
        <f>SUM(G39:G45)</f>
        <v>5828325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10697626</v>
      </c>
      <c r="C48" s="35">
        <f>C25+C38+C46</f>
        <v>14039354</v>
      </c>
      <c r="D48" s="18"/>
      <c r="E48" s="22" t="s">
        <v>115</v>
      </c>
      <c r="F48" s="35">
        <f>F20+F32+F37+F46</f>
        <v>10697626</v>
      </c>
      <c r="G48" s="35">
        <f>G20+G32+G37+G46</f>
        <v>14039354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4" sqref="B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17839428</v>
      </c>
      <c r="E10" s="60">
        <f>'BalanceSheet(Summary)'!C41</f>
        <v>22260533</v>
      </c>
      <c r="F10" s="60">
        <f>(D10+E10)/2</f>
        <v>20049980.5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-13279824</v>
      </c>
      <c r="E12" s="60">
        <f>'BalanceSheet(Summary)'!C45</f>
        <v>-14177605</v>
      </c>
      <c r="F12" s="60">
        <f t="shared" ref="F12:F15" si="0">(D12+E12)/2</f>
        <v>-13728714.5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269547</v>
      </c>
      <c r="E13" s="60">
        <f>'BalanceSheet(Summary)'!C21</f>
        <v>241005</v>
      </c>
      <c r="F13" s="60">
        <f t="shared" si="0"/>
        <v>255276</v>
      </c>
    </row>
    <row r="14" spans="1:6" x14ac:dyDescent="0.25">
      <c r="A14" s="11">
        <v>5</v>
      </c>
      <c r="B14" s="18" t="s">
        <v>132</v>
      </c>
      <c r="C14" s="20"/>
      <c r="D14" s="53"/>
      <c r="E14" s="53"/>
      <c r="F14" s="60">
        <f t="shared" si="0"/>
        <v>0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4829151</v>
      </c>
      <c r="E15" s="64">
        <f>SUM(E10:E14)</f>
        <v>8323933</v>
      </c>
      <c r="F15" s="65">
        <f t="shared" si="0"/>
        <v>6576542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F10" sqref="F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1736</v>
      </c>
      <c r="D10" s="53">
        <v>1719</v>
      </c>
      <c r="E10" s="33">
        <f>D10-C10</f>
        <v>-17</v>
      </c>
      <c r="F10" s="39">
        <f>E10/C10</f>
        <v>-9.7926267281105983E-3</v>
      </c>
    </row>
    <row r="11" spans="1:6" x14ac:dyDescent="0.25">
      <c r="A11" s="11">
        <v>2</v>
      </c>
      <c r="B11" s="20" t="s">
        <v>140</v>
      </c>
      <c r="C11" s="53">
        <v>633</v>
      </c>
      <c r="D11" s="53">
        <v>624</v>
      </c>
      <c r="E11" s="33">
        <f>D11-C11</f>
        <v>-9</v>
      </c>
      <c r="F11" s="39">
        <f t="shared" ref="F11:F12" si="0">E11/C11</f>
        <v>-1.4218009478672985E-2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2369</v>
      </c>
      <c r="D12" s="35">
        <f t="shared" ref="D12:E12" si="1">SUM(D10:D11)</f>
        <v>2343</v>
      </c>
      <c r="E12" s="35">
        <f t="shared" si="1"/>
        <v>-26</v>
      </c>
      <c r="F12" s="40">
        <f t="shared" si="0"/>
        <v>-1.0975094976783452E-2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zoomScaleNormal="100" workbookViewId="0">
      <selection activeCell="C55" sqref="C55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562589</v>
      </c>
      <c r="D9" s="53"/>
      <c r="E9" s="60">
        <f>SUM(C9:D9)</f>
        <v>562589</v>
      </c>
    </row>
    <row r="10" spans="1:6" x14ac:dyDescent="0.25">
      <c r="A10" s="11">
        <v>2</v>
      </c>
      <c r="B10" s="15" t="s">
        <v>2</v>
      </c>
      <c r="C10" s="53">
        <v>3451897</v>
      </c>
      <c r="D10" s="53"/>
      <c r="E10" s="60">
        <f t="shared" ref="E10:E14" si="0">SUM(C10:D10)</f>
        <v>3451897</v>
      </c>
    </row>
    <row r="11" spans="1:6" x14ac:dyDescent="0.25">
      <c r="A11" s="11">
        <v>3</v>
      </c>
      <c r="B11" s="15" t="s">
        <v>3</v>
      </c>
      <c r="C11" s="53">
        <v>-850</v>
      </c>
      <c r="D11" s="53"/>
      <c r="E11" s="60">
        <f t="shared" si="0"/>
        <v>-850</v>
      </c>
    </row>
    <row r="12" spans="1:6" x14ac:dyDescent="0.25">
      <c r="A12" s="11">
        <v>4</v>
      </c>
      <c r="B12" s="15" t="s">
        <v>4</v>
      </c>
      <c r="C12" s="53">
        <v>50550</v>
      </c>
      <c r="D12" s="53"/>
      <c r="E12" s="60">
        <f t="shared" si="0"/>
        <v>50550</v>
      </c>
    </row>
    <row r="13" spans="1:6" x14ac:dyDescent="0.25">
      <c r="A13" s="11">
        <v>5</v>
      </c>
      <c r="B13" s="15" t="s">
        <v>5</v>
      </c>
      <c r="C13" s="53">
        <v>48078</v>
      </c>
      <c r="D13" s="53"/>
      <c r="E13" s="60">
        <f t="shared" si="0"/>
        <v>48078</v>
      </c>
    </row>
    <row r="14" spans="1:6" x14ac:dyDescent="0.25">
      <c r="A14" s="11">
        <v>6</v>
      </c>
      <c r="B14" s="15" t="s">
        <v>159</v>
      </c>
      <c r="C14" s="53">
        <v>-5843</v>
      </c>
      <c r="D14" s="53"/>
      <c r="E14" s="60">
        <f t="shared" si="0"/>
        <v>-5843</v>
      </c>
    </row>
    <row r="15" spans="1:6" x14ac:dyDescent="0.25">
      <c r="A15" s="11">
        <v>7</v>
      </c>
      <c r="B15" s="97" t="s">
        <v>158</v>
      </c>
      <c r="C15" s="109">
        <f>SUM(C9:C14)</f>
        <v>4106421</v>
      </c>
      <c r="D15" s="109">
        <f t="shared" ref="D15:E15" si="1">SUM(D9:D14)</f>
        <v>0</v>
      </c>
      <c r="E15" s="109">
        <f t="shared" si="1"/>
        <v>4106421</v>
      </c>
      <c r="F15" s="1"/>
    </row>
    <row r="16" spans="1:6" x14ac:dyDescent="0.25">
      <c r="A16" s="11">
        <v>8</v>
      </c>
      <c r="B16" s="15" t="s">
        <v>6</v>
      </c>
      <c r="C16" s="53">
        <v>1605078</v>
      </c>
      <c r="D16" s="53">
        <v>-137268</v>
      </c>
      <c r="E16" s="42">
        <f>SUM(C16:D16)</f>
        <v>1467810</v>
      </c>
    </row>
    <row r="17" spans="1:6" x14ac:dyDescent="0.25">
      <c r="A17" s="11">
        <v>9</v>
      </c>
      <c r="B17" s="15" t="s">
        <v>40</v>
      </c>
      <c r="C17" s="53">
        <v>287876</v>
      </c>
      <c r="D17" s="53"/>
      <c r="E17" s="42">
        <f t="shared" ref="E17:E21" si="2">SUM(C17:D17)</f>
        <v>287876</v>
      </c>
    </row>
    <row r="18" spans="1:6" x14ac:dyDescent="0.25">
      <c r="A18" s="11">
        <v>10</v>
      </c>
      <c r="B18" s="15" t="s">
        <v>7</v>
      </c>
      <c r="C18" s="53">
        <v>1127367</v>
      </c>
      <c r="D18" s="53">
        <v>-69821</v>
      </c>
      <c r="E18" s="42">
        <f t="shared" si="2"/>
        <v>1057546</v>
      </c>
    </row>
    <row r="19" spans="1:6" x14ac:dyDescent="0.25">
      <c r="A19" s="11">
        <v>11</v>
      </c>
      <c r="B19" s="15" t="s">
        <v>8</v>
      </c>
      <c r="C19" s="53">
        <v>182</v>
      </c>
      <c r="D19" s="53"/>
      <c r="E19" s="42">
        <f t="shared" si="2"/>
        <v>182</v>
      </c>
    </row>
    <row r="20" spans="1:6" x14ac:dyDescent="0.25">
      <c r="A20" s="11">
        <v>12</v>
      </c>
      <c r="B20" s="15" t="s">
        <v>9</v>
      </c>
      <c r="C20" s="53">
        <v>483882</v>
      </c>
      <c r="D20" s="53">
        <v>-59233</v>
      </c>
      <c r="E20" s="42">
        <f t="shared" si="2"/>
        <v>424649</v>
      </c>
    </row>
    <row r="21" spans="1:6" x14ac:dyDescent="0.25">
      <c r="A21" s="11">
        <v>13</v>
      </c>
      <c r="B21" s="15" t="s">
        <v>10</v>
      </c>
      <c r="C21" s="53">
        <v>867296</v>
      </c>
      <c r="D21" s="53">
        <v>-12176</v>
      </c>
      <c r="E21" s="42">
        <f t="shared" si="2"/>
        <v>855120</v>
      </c>
    </row>
    <row r="22" spans="1:6" x14ac:dyDescent="0.25">
      <c r="A22" s="11" t="s">
        <v>154</v>
      </c>
      <c r="B22" s="15" t="s">
        <v>160</v>
      </c>
      <c r="C22" s="110"/>
      <c r="D22" s="110"/>
      <c r="E22" s="88"/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867296</v>
      </c>
      <c r="D23" s="60">
        <f t="shared" ref="D23:E23" si="3">SUM(D21:D22)</f>
        <v>-12176</v>
      </c>
      <c r="E23" s="87">
        <f t="shared" si="3"/>
        <v>855120</v>
      </c>
    </row>
    <row r="24" spans="1:6" x14ac:dyDescent="0.25">
      <c r="A24" s="11">
        <v>14</v>
      </c>
      <c r="B24" s="92" t="s">
        <v>157</v>
      </c>
      <c r="C24" s="109">
        <f>C16+C17+C18+C19+C20+C23</f>
        <v>4371681</v>
      </c>
      <c r="D24" s="109">
        <f t="shared" ref="D24:E24" si="4">D16+D17+D18+D19+D20+D23</f>
        <v>-278498</v>
      </c>
      <c r="E24" s="111">
        <f t="shared" si="4"/>
        <v>4093183</v>
      </c>
      <c r="F24" s="1"/>
    </row>
    <row r="25" spans="1:6" x14ac:dyDescent="0.25">
      <c r="A25" s="11">
        <v>15</v>
      </c>
      <c r="B25" s="15" t="s">
        <v>14</v>
      </c>
      <c r="C25" s="60">
        <f>C15-C24</f>
        <v>-265260</v>
      </c>
      <c r="D25" s="60">
        <f t="shared" ref="D25:E25" si="5">D15-D24</f>
        <v>278498</v>
      </c>
      <c r="E25" s="60">
        <f t="shared" si="5"/>
        <v>13238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101698</v>
      </c>
      <c r="D27" s="53">
        <v>-11441</v>
      </c>
      <c r="E27" s="60">
        <f t="shared" ref="E27:E29" si="6">SUM(C27:D27)</f>
        <v>90257</v>
      </c>
    </row>
    <row r="28" spans="1:6" x14ac:dyDescent="0.25">
      <c r="A28" s="11">
        <v>18</v>
      </c>
      <c r="B28" s="15" t="s">
        <v>242</v>
      </c>
      <c r="C28" s="53">
        <v>-198891</v>
      </c>
      <c r="D28" s="108">
        <v>11150</v>
      </c>
      <c r="E28" s="60">
        <f t="shared" si="6"/>
        <v>-187741</v>
      </c>
    </row>
    <row r="29" spans="1:6" x14ac:dyDescent="0.25">
      <c r="A29" s="11">
        <v>19</v>
      </c>
      <c r="B29" s="15" t="s">
        <v>13</v>
      </c>
      <c r="C29" s="53"/>
      <c r="D29" s="53"/>
      <c r="E29" s="60">
        <f t="shared" si="6"/>
        <v>0</v>
      </c>
    </row>
    <row r="30" spans="1:6" x14ac:dyDescent="0.25">
      <c r="A30" s="11">
        <v>20</v>
      </c>
      <c r="B30" s="97" t="s">
        <v>12</v>
      </c>
      <c r="C30" s="85">
        <f>SUM(C27:C29)</f>
        <v>-97193</v>
      </c>
      <c r="D30" s="85">
        <f t="shared" ref="D30:E30" si="7">SUM(D27:D29)</f>
        <v>-291</v>
      </c>
      <c r="E30" s="112">
        <f t="shared" si="7"/>
        <v>-97484</v>
      </c>
    </row>
    <row r="31" spans="1:6" x14ac:dyDescent="0.25">
      <c r="A31" s="11">
        <v>21</v>
      </c>
      <c r="B31" s="97" t="s">
        <v>23</v>
      </c>
      <c r="C31" s="85">
        <f>C25+C26-C30</f>
        <v>-168067</v>
      </c>
      <c r="D31" s="85">
        <f>D25+D26-D30</f>
        <v>278789</v>
      </c>
      <c r="E31" s="112">
        <f>E25+E26-E30</f>
        <v>110722</v>
      </c>
    </row>
    <row r="32" spans="1:6" x14ac:dyDescent="0.25">
      <c r="A32" s="11">
        <v>22</v>
      </c>
      <c r="B32" s="15" t="s">
        <v>15</v>
      </c>
      <c r="C32" s="53">
        <v>62405</v>
      </c>
      <c r="D32" s="57">
        <v>-2750</v>
      </c>
      <c r="E32" s="60">
        <f>SUM(C32:D32)</f>
        <v>59655</v>
      </c>
    </row>
    <row r="33" spans="1:10" x14ac:dyDescent="0.25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18946</v>
      </c>
      <c r="D34" s="57"/>
      <c r="E34" s="60">
        <f t="shared" si="8"/>
        <v>18946</v>
      </c>
    </row>
    <row r="35" spans="1:10" x14ac:dyDescent="0.25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81351</v>
      </c>
      <c r="D36" s="113">
        <f t="shared" ref="D36" si="9">SUM(D32:D35)</f>
        <v>-2750</v>
      </c>
      <c r="E36" s="85">
        <f>SUM(E32:E35)</f>
        <v>78601</v>
      </c>
    </row>
    <row r="37" spans="1:10" x14ac:dyDescent="0.25">
      <c r="A37" s="11">
        <v>27</v>
      </c>
      <c r="B37" s="15" t="s">
        <v>19</v>
      </c>
      <c r="C37" s="53">
        <v>13925</v>
      </c>
      <c r="D37" s="57"/>
      <c r="E37" s="33">
        <f>SUM(C37:D37)</f>
        <v>13925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-199650</v>
      </c>
      <c r="D40" s="72">
        <f>-1*(D31-D36)</f>
        <v>-281539</v>
      </c>
      <c r="E40" s="33">
        <f t="shared" si="10"/>
        <v>-481189</v>
      </c>
    </row>
    <row r="41" spans="1:10" x14ac:dyDescent="0.25">
      <c r="A41" s="11">
        <v>31</v>
      </c>
      <c r="B41" s="97" t="s">
        <v>22</v>
      </c>
      <c r="C41" s="85">
        <f>C31-C36+C37+C38+C39+C40</f>
        <v>-435143</v>
      </c>
      <c r="D41" s="85">
        <f t="shared" ref="D41:E41" si="11">D31-D36+D37+D38+D39+D40</f>
        <v>0</v>
      </c>
      <c r="E41" s="85">
        <f t="shared" si="11"/>
        <v>-435143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6286883</v>
      </c>
      <c r="D43" s="57"/>
      <c r="E43" s="60">
        <f t="shared" ref="E43:E48" si="12">SUM(C43:D43)</f>
        <v>6286883</v>
      </c>
    </row>
    <row r="44" spans="1:10" x14ac:dyDescent="0.25">
      <c r="A44" s="11">
        <v>34</v>
      </c>
      <c r="B44" s="15" t="s">
        <v>26</v>
      </c>
      <c r="C44" s="53">
        <v>3594</v>
      </c>
      <c r="D44" s="57"/>
      <c r="E44" s="60">
        <f t="shared" si="12"/>
        <v>3594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5855334</v>
      </c>
      <c r="D49" s="113">
        <f t="shared" ref="D49:E49" si="13">(D41+D43+D44)-(D45+D46+D47+D48)</f>
        <v>0</v>
      </c>
      <c r="E49" s="112">
        <f t="shared" si="13"/>
        <v>5855334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645182</v>
      </c>
      <c r="D54" s="115"/>
      <c r="E54" s="33">
        <f>C54</f>
        <v>645182</v>
      </c>
    </row>
    <row r="55" spans="1:7" x14ac:dyDescent="0.25">
      <c r="A55" s="11">
        <v>45</v>
      </c>
      <c r="B55" s="15" t="s">
        <v>36</v>
      </c>
      <c r="C55" s="116">
        <f>((C24+C30-C18-C19)/C15)</f>
        <v>0.76634592507684918</v>
      </c>
      <c r="D55" s="116" t="e">
        <f>((D24+D30-D18-D19)/D15)</f>
        <v>#DIV/0!</v>
      </c>
      <c r="E55" s="116">
        <f>((E24+E30-E18-E19)/E15)</f>
        <v>0.71545781594239855</v>
      </c>
    </row>
    <row r="56" spans="1:7" x14ac:dyDescent="0.25">
      <c r="A56" s="11">
        <v>46</v>
      </c>
      <c r="B56" s="15" t="s">
        <v>37</v>
      </c>
      <c r="C56" s="116">
        <f>((C24+C30+C36)/C15)</f>
        <v>1.0607385360633992</v>
      </c>
      <c r="D56" s="116" t="e">
        <f>((D24+D30+D36)/D15)</f>
        <v>#DIV/0!</v>
      </c>
      <c r="E56" s="116">
        <f>((E24+E30+E36)/E15)</f>
        <v>0.99217785999048802</v>
      </c>
    </row>
    <row r="57" spans="1:7" x14ac:dyDescent="0.25">
      <c r="A57" s="11">
        <v>47</v>
      </c>
      <c r="B57" s="15" t="s">
        <v>38</v>
      </c>
      <c r="C57" s="116">
        <f>((C41+C36)/C36)</f>
        <v>-4.348956988850782</v>
      </c>
      <c r="D57" s="116">
        <f t="shared" ref="D57:E57" si="16">((D41+D36)/D36)</f>
        <v>1</v>
      </c>
      <c r="E57" s="116">
        <f t="shared" si="16"/>
        <v>-4.5361000496176898</v>
      </c>
    </row>
    <row r="58" spans="1:7" x14ac:dyDescent="0.25">
      <c r="A58" s="11">
        <v>48</v>
      </c>
      <c r="B58" s="15" t="s">
        <v>39</v>
      </c>
      <c r="C58" s="116">
        <f>(C41+C36+C18+C19)/C54</f>
        <v>1.1992848529562201</v>
      </c>
      <c r="D58" s="116" t="e">
        <f t="shared" ref="D58:E58" si="17">(D41+D36+D18+D19)/D54</f>
        <v>#DIV/0!</v>
      </c>
      <c r="E58" s="116">
        <f t="shared" si="17"/>
        <v>1.0868034136104232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opLeftCell="A25" zoomScaleNormal="100" workbookViewId="0">
      <selection activeCell="B42" sqref="B4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570631</v>
      </c>
      <c r="D9" s="53"/>
      <c r="E9" s="33">
        <f>SUM(C9:D9)</f>
        <v>570631</v>
      </c>
    </row>
    <row r="10" spans="1:6" x14ac:dyDescent="0.25">
      <c r="A10" s="11">
        <v>2</v>
      </c>
      <c r="B10" s="18" t="s">
        <v>2</v>
      </c>
      <c r="C10" s="53">
        <v>3590695</v>
      </c>
      <c r="D10" s="53"/>
      <c r="E10" s="33">
        <f t="shared" ref="E10:E14" si="0">SUM(C10:D10)</f>
        <v>3590695</v>
      </c>
    </row>
    <row r="11" spans="1:6" x14ac:dyDescent="0.25">
      <c r="A11" s="11">
        <v>3</v>
      </c>
      <c r="B11" s="18" t="s">
        <v>3</v>
      </c>
      <c r="C11" s="53">
        <v>-1157</v>
      </c>
      <c r="D11" s="53"/>
      <c r="E11" s="33">
        <f t="shared" si="0"/>
        <v>-1157</v>
      </c>
    </row>
    <row r="12" spans="1:6" x14ac:dyDescent="0.25">
      <c r="A12" s="11">
        <v>4</v>
      </c>
      <c r="B12" s="18" t="s">
        <v>4</v>
      </c>
      <c r="C12" s="53">
        <v>46364</v>
      </c>
      <c r="D12" s="53"/>
      <c r="E12" s="33">
        <f t="shared" si="0"/>
        <v>46364</v>
      </c>
    </row>
    <row r="13" spans="1:6" x14ac:dyDescent="0.25">
      <c r="A13" s="11">
        <v>5</v>
      </c>
      <c r="B13" s="18" t="s">
        <v>5</v>
      </c>
      <c r="C13" s="53">
        <v>68917</v>
      </c>
      <c r="D13" s="53"/>
      <c r="E13" s="33">
        <f t="shared" si="0"/>
        <v>68917</v>
      </c>
    </row>
    <row r="14" spans="1:6" x14ac:dyDescent="0.25">
      <c r="A14" s="11">
        <v>6</v>
      </c>
      <c r="B14" s="18" t="s">
        <v>159</v>
      </c>
      <c r="C14" s="53">
        <v>-6683</v>
      </c>
      <c r="D14" s="53"/>
      <c r="E14" s="33">
        <f t="shared" si="0"/>
        <v>-6683</v>
      </c>
    </row>
    <row r="15" spans="1:6" x14ac:dyDescent="0.25">
      <c r="A15" s="11">
        <v>7</v>
      </c>
      <c r="B15" s="92" t="s">
        <v>158</v>
      </c>
      <c r="C15" s="41">
        <f>SUM(C9:C14)</f>
        <v>4268767</v>
      </c>
      <c r="D15" s="41">
        <f t="shared" ref="D15:E15" si="1">SUM(D9:D14)</f>
        <v>0</v>
      </c>
      <c r="E15" s="41">
        <f t="shared" si="1"/>
        <v>4268767</v>
      </c>
      <c r="F15" s="1"/>
    </row>
    <row r="16" spans="1:6" x14ac:dyDescent="0.25">
      <c r="A16" s="11">
        <v>8</v>
      </c>
      <c r="B16" s="18" t="s">
        <v>6</v>
      </c>
      <c r="C16" s="53">
        <v>1474380</v>
      </c>
      <c r="D16" s="53">
        <v>-104606</v>
      </c>
      <c r="E16" s="42">
        <f>SUM(C16:D16)</f>
        <v>1369774</v>
      </c>
    </row>
    <row r="17" spans="1:6" x14ac:dyDescent="0.25">
      <c r="A17" s="11">
        <v>9</v>
      </c>
      <c r="B17" s="18" t="s">
        <v>40</v>
      </c>
      <c r="C17" s="53">
        <v>339429</v>
      </c>
      <c r="D17" s="53"/>
      <c r="E17" s="42">
        <f t="shared" ref="E17:E21" si="2">SUM(C17:D17)</f>
        <v>339429</v>
      </c>
    </row>
    <row r="18" spans="1:6" x14ac:dyDescent="0.25">
      <c r="A18" s="11">
        <v>10</v>
      </c>
      <c r="B18" s="18" t="s">
        <v>7</v>
      </c>
      <c r="C18" s="53">
        <v>1184003</v>
      </c>
      <c r="D18" s="53">
        <v>-57758</v>
      </c>
      <c r="E18" s="42">
        <f t="shared" si="2"/>
        <v>1126245</v>
      </c>
    </row>
    <row r="19" spans="1:6" x14ac:dyDescent="0.25">
      <c r="A19" s="11">
        <v>11</v>
      </c>
      <c r="B19" s="18" t="s">
        <v>8</v>
      </c>
      <c r="C19" s="53">
        <v>182</v>
      </c>
      <c r="D19" s="53"/>
      <c r="E19" s="42">
        <f t="shared" si="2"/>
        <v>182</v>
      </c>
    </row>
    <row r="20" spans="1:6" x14ac:dyDescent="0.25">
      <c r="A20" s="11">
        <v>12</v>
      </c>
      <c r="B20" s="18" t="s">
        <v>9</v>
      </c>
      <c r="C20" s="53">
        <v>528255</v>
      </c>
      <c r="D20" s="53">
        <v>-82227</v>
      </c>
      <c r="E20" s="42">
        <f t="shared" si="2"/>
        <v>446028</v>
      </c>
    </row>
    <row r="21" spans="1:6" x14ac:dyDescent="0.25">
      <c r="A21" s="11">
        <v>13</v>
      </c>
      <c r="B21" s="18" t="s">
        <v>10</v>
      </c>
      <c r="C21" s="53">
        <v>819369</v>
      </c>
      <c r="D21" s="53">
        <v>-13202</v>
      </c>
      <c r="E21" s="42">
        <f t="shared" si="2"/>
        <v>806167</v>
      </c>
    </row>
    <row r="22" spans="1:6" x14ac:dyDescent="0.25">
      <c r="A22" s="11" t="s">
        <v>154</v>
      </c>
      <c r="B22" s="18" t="s">
        <v>160</v>
      </c>
      <c r="C22" s="103"/>
      <c r="D22" s="103"/>
      <c r="E22" s="88"/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819369</v>
      </c>
      <c r="D23" s="33">
        <f t="shared" ref="D23:E23" si="3">SUM(D21:D22)</f>
        <v>-13202</v>
      </c>
      <c r="E23" s="42">
        <f t="shared" si="3"/>
        <v>806167</v>
      </c>
    </row>
    <row r="24" spans="1:6" x14ac:dyDescent="0.25">
      <c r="A24" s="11">
        <v>14</v>
      </c>
      <c r="B24" s="92" t="s">
        <v>157</v>
      </c>
      <c r="C24" s="41">
        <f>C16+C17+C18+C19+C20+C23</f>
        <v>4345618</v>
      </c>
      <c r="D24" s="41">
        <f t="shared" ref="D24:E24" si="4">D16+D17+D18+D19+D20+D23</f>
        <v>-257793</v>
      </c>
      <c r="E24" s="43">
        <f t="shared" si="4"/>
        <v>4087825</v>
      </c>
      <c r="F24" s="1"/>
    </row>
    <row r="25" spans="1:6" x14ac:dyDescent="0.25">
      <c r="A25" s="11">
        <v>15</v>
      </c>
      <c r="B25" s="18" t="s">
        <v>14</v>
      </c>
      <c r="C25" s="33">
        <f>C15-C24</f>
        <v>-76851</v>
      </c>
      <c r="D25" s="33">
        <f t="shared" ref="D25:E25" si="5">D15-D24</f>
        <v>257793</v>
      </c>
      <c r="E25" s="33">
        <f t="shared" si="5"/>
        <v>180942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115345</v>
      </c>
      <c r="D27" s="53">
        <v>-4207</v>
      </c>
      <c r="E27" s="33">
        <f t="shared" ref="E27:E29" si="6">SUM(C27:D27)</f>
        <v>111138</v>
      </c>
    </row>
    <row r="28" spans="1:6" x14ac:dyDescent="0.25">
      <c r="A28" s="11">
        <v>18</v>
      </c>
      <c r="B28" s="18" t="s">
        <v>242</v>
      </c>
      <c r="C28" s="53">
        <v>62644</v>
      </c>
      <c r="D28" s="108">
        <v>-3949</v>
      </c>
      <c r="E28" s="33">
        <f t="shared" si="6"/>
        <v>58695</v>
      </c>
    </row>
    <row r="29" spans="1:6" x14ac:dyDescent="0.25">
      <c r="A29" s="11">
        <v>19</v>
      </c>
      <c r="B29" s="18" t="s">
        <v>13</v>
      </c>
      <c r="C29" s="53"/>
      <c r="D29" s="53"/>
      <c r="E29" s="33">
        <f t="shared" si="6"/>
        <v>0</v>
      </c>
    </row>
    <row r="30" spans="1:6" x14ac:dyDescent="0.25">
      <c r="A30" s="11">
        <v>20</v>
      </c>
      <c r="B30" s="92" t="s">
        <v>12</v>
      </c>
      <c r="C30" s="38">
        <f>SUM(C27:C29)</f>
        <v>177989</v>
      </c>
      <c r="D30" s="38">
        <f t="shared" ref="D30:E30" si="7">SUM(D27:D29)</f>
        <v>-8156</v>
      </c>
      <c r="E30" s="44">
        <f t="shared" si="7"/>
        <v>169833</v>
      </c>
    </row>
    <row r="31" spans="1:6" x14ac:dyDescent="0.25">
      <c r="A31" s="11">
        <v>21</v>
      </c>
      <c r="B31" s="92" t="s">
        <v>23</v>
      </c>
      <c r="C31" s="38">
        <f>C25+C26-C30</f>
        <v>-254840</v>
      </c>
      <c r="D31" s="38">
        <f>D25+D26-D30</f>
        <v>265949</v>
      </c>
      <c r="E31" s="44">
        <f>E25+E26-E30</f>
        <v>11109</v>
      </c>
    </row>
    <row r="32" spans="1:6" x14ac:dyDescent="0.25">
      <c r="A32" s="11">
        <v>22</v>
      </c>
      <c r="B32" s="18" t="s">
        <v>15</v>
      </c>
      <c r="C32" s="53">
        <v>122078</v>
      </c>
      <c r="D32" s="57">
        <v>-5020</v>
      </c>
      <c r="E32" s="33">
        <f>SUM(C32:D32)</f>
        <v>117058</v>
      </c>
    </row>
    <row r="33" spans="1:5" x14ac:dyDescent="0.25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8509</v>
      </c>
      <c r="D34" s="57"/>
      <c r="E34" s="33">
        <f t="shared" si="8"/>
        <v>8509</v>
      </c>
    </row>
    <row r="35" spans="1:5" x14ac:dyDescent="0.25">
      <c r="A35" s="11">
        <v>25</v>
      </c>
      <c r="B35" s="18" t="s">
        <v>175</v>
      </c>
      <c r="C35" s="53">
        <v>-25674</v>
      </c>
      <c r="D35" s="57">
        <v>1002</v>
      </c>
      <c r="E35" s="34">
        <f t="shared" si="8"/>
        <v>-24672</v>
      </c>
    </row>
    <row r="36" spans="1:5" x14ac:dyDescent="0.25">
      <c r="A36" s="11">
        <v>26</v>
      </c>
      <c r="B36" s="92" t="s">
        <v>18</v>
      </c>
      <c r="C36" s="38">
        <f>SUM(C32:C35)</f>
        <v>104913</v>
      </c>
      <c r="D36" s="66">
        <f t="shared" ref="D36" si="9">SUM(D32:D35)</f>
        <v>-4018</v>
      </c>
      <c r="E36" s="38">
        <f>SUM(E32:E35)</f>
        <v>100895</v>
      </c>
    </row>
    <row r="37" spans="1:5" x14ac:dyDescent="0.25">
      <c r="A37" s="11">
        <v>27</v>
      </c>
      <c r="B37" s="18" t="s">
        <v>19</v>
      </c>
      <c r="C37" s="53">
        <v>-1988</v>
      </c>
      <c r="D37" s="57"/>
      <c r="E37" s="33">
        <f>SUM(C37:D37)</f>
        <v>-1988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515222</v>
      </c>
      <c r="D40" s="72">
        <f>-1*(D31-D36)</f>
        <v>-269967</v>
      </c>
      <c r="E40" s="33">
        <f t="shared" si="10"/>
        <v>245255</v>
      </c>
    </row>
    <row r="41" spans="1:5" x14ac:dyDescent="0.25">
      <c r="A41" s="11">
        <v>31</v>
      </c>
      <c r="B41" s="92" t="s">
        <v>22</v>
      </c>
      <c r="C41" s="38">
        <f>C31-C36+C37+C38+C39+C40</f>
        <v>153481</v>
      </c>
      <c r="D41" s="38">
        <f t="shared" ref="D41:E41" si="11">D31-D36+D37+D38+D39+D40</f>
        <v>0</v>
      </c>
      <c r="E41" s="38">
        <f t="shared" si="11"/>
        <v>153481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5988074</v>
      </c>
      <c r="D43" s="57"/>
      <c r="E43" s="33">
        <f t="shared" ref="E43:E48" si="12">SUM(C43:D43)</f>
        <v>5988074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1331</v>
      </c>
      <c r="D47" s="57"/>
      <c r="E47" s="33">
        <f t="shared" si="12"/>
        <v>1331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6140224</v>
      </c>
      <c r="D49" s="66">
        <f t="shared" ref="D49:E49" si="13">(D41+D43+D44)-(D45+D46+D47+D48)</f>
        <v>0</v>
      </c>
      <c r="E49" s="44">
        <f t="shared" si="13"/>
        <v>6140224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598192</v>
      </c>
      <c r="D54" s="107"/>
      <c r="E54" s="33">
        <f>C54</f>
        <v>598192</v>
      </c>
    </row>
    <row r="55" spans="1:7" x14ac:dyDescent="0.25">
      <c r="A55" s="11">
        <v>45</v>
      </c>
      <c r="B55" s="18" t="s">
        <v>36</v>
      </c>
      <c r="C55" s="47">
        <f>((C24+C30-C18-C19)/C15)</f>
        <v>0.78229193582128043</v>
      </c>
      <c r="D55" s="47" t="e">
        <f>((D24+D30-D18-D19)/D15)</f>
        <v>#DIV/0!</v>
      </c>
      <c r="E55" s="47">
        <f>((E24+E30-E18-E19)/E15)</f>
        <v>0.73352117836368202</v>
      </c>
    </row>
    <row r="56" spans="1:7" x14ac:dyDescent="0.25">
      <c r="A56" s="11">
        <v>46</v>
      </c>
      <c r="B56" s="18" t="s">
        <v>37</v>
      </c>
      <c r="C56" s="47">
        <f>((C24+C30+C36)/C15)</f>
        <v>1.0842756233825832</v>
      </c>
      <c r="D56" s="47" t="e">
        <f>((D24+D30+D36)/D15)</f>
        <v>#DIV/0!</v>
      </c>
      <c r="E56" s="47">
        <f>((E24+E30+E36)/E15)</f>
        <v>1.0210332398090596</v>
      </c>
    </row>
    <row r="57" spans="1:7" x14ac:dyDescent="0.25">
      <c r="A57" s="11">
        <v>47</v>
      </c>
      <c r="B57" s="18" t="s">
        <v>38</v>
      </c>
      <c r="C57" s="47">
        <f>((C41+C36)/C36)</f>
        <v>2.4629359564591615</v>
      </c>
      <c r="D57" s="47">
        <f t="shared" ref="D57:E57" si="16">((D41+D36)/D36)</f>
        <v>1</v>
      </c>
      <c r="E57" s="47">
        <f t="shared" si="16"/>
        <v>2.5211953020466824</v>
      </c>
    </row>
    <row r="58" spans="1:7" x14ac:dyDescent="0.25">
      <c r="A58" s="11">
        <v>48</v>
      </c>
      <c r="B58" s="18" t="s">
        <v>39</v>
      </c>
      <c r="C58" s="47">
        <f>(C41+C36+C18+C19)/C54</f>
        <v>2.4115651830850298</v>
      </c>
      <c r="D58" s="47" t="e">
        <f t="shared" ref="D58:E58" si="17">(D41+D36+D18+D19)/D54</f>
        <v>#DIV/0!</v>
      </c>
      <c r="E58" s="47">
        <f t="shared" si="17"/>
        <v>2.3082939925642605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>
      <selection activeCell="C65" sqref="C65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562589</v>
      </c>
      <c r="D9" s="42">
        <f>'CurrentYearIncomeStmt '!E9</f>
        <v>570631</v>
      </c>
    </row>
    <row r="10" spans="1:5" x14ac:dyDescent="0.25">
      <c r="A10" s="11">
        <v>2</v>
      </c>
      <c r="B10" s="18" t="s">
        <v>2</v>
      </c>
      <c r="C10" s="33">
        <f>PriorYearIncomeStmt!E10</f>
        <v>3451897</v>
      </c>
      <c r="D10" s="42">
        <f>'CurrentYearIncomeStmt '!E10</f>
        <v>3590695</v>
      </c>
    </row>
    <row r="11" spans="1:5" x14ac:dyDescent="0.25">
      <c r="A11" s="11">
        <v>3</v>
      </c>
      <c r="B11" s="18" t="s">
        <v>3</v>
      </c>
      <c r="C11" s="33">
        <f>PriorYearIncomeStmt!E11</f>
        <v>-850</v>
      </c>
      <c r="D11" s="42">
        <f>'CurrentYearIncomeStmt '!E11</f>
        <v>-1157</v>
      </c>
    </row>
    <row r="12" spans="1:5" x14ac:dyDescent="0.25">
      <c r="A12" s="11">
        <v>4</v>
      </c>
      <c r="B12" s="18" t="s">
        <v>4</v>
      </c>
      <c r="C12" s="33">
        <f>PriorYearIncomeStmt!E12</f>
        <v>50550</v>
      </c>
      <c r="D12" s="42">
        <f>'CurrentYearIncomeStmt '!E12</f>
        <v>46364</v>
      </c>
    </row>
    <row r="13" spans="1:5" x14ac:dyDescent="0.25">
      <c r="A13" s="11">
        <v>5</v>
      </c>
      <c r="B13" s="18" t="s">
        <v>5</v>
      </c>
      <c r="C13" s="33">
        <f>PriorYearIncomeStmt!E13</f>
        <v>48078</v>
      </c>
      <c r="D13" s="42">
        <f>'CurrentYearIncomeStmt '!E13</f>
        <v>68917</v>
      </c>
    </row>
    <row r="14" spans="1:5" x14ac:dyDescent="0.25">
      <c r="A14" s="11">
        <v>6</v>
      </c>
      <c r="B14" s="18" t="s">
        <v>159</v>
      </c>
      <c r="C14" s="33">
        <f>PriorYearIncomeStmt!E14</f>
        <v>-5843</v>
      </c>
      <c r="D14" s="42">
        <f>'CurrentYearIncomeStmt '!E14</f>
        <v>-6683</v>
      </c>
    </row>
    <row r="15" spans="1:5" x14ac:dyDescent="0.25">
      <c r="A15" s="11">
        <v>7</v>
      </c>
      <c r="B15" s="92" t="s">
        <v>158</v>
      </c>
      <c r="C15" s="41">
        <f>SUM(C9:C14)</f>
        <v>4106421</v>
      </c>
      <c r="D15" s="43">
        <f t="shared" ref="D15" si="0">SUM(D9:D14)</f>
        <v>4268767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1467810</v>
      </c>
      <c r="D16" s="42">
        <f>'CurrentYearIncomeStmt '!E16</f>
        <v>1369774</v>
      </c>
    </row>
    <row r="17" spans="1:5" x14ac:dyDescent="0.25">
      <c r="A17" s="11">
        <v>9</v>
      </c>
      <c r="B17" s="18" t="s">
        <v>40</v>
      </c>
      <c r="C17" s="33">
        <f>PriorYearIncomeStmt!E17</f>
        <v>287876</v>
      </c>
      <c r="D17" s="42">
        <f>'CurrentYearIncomeStmt '!E17</f>
        <v>339429</v>
      </c>
    </row>
    <row r="18" spans="1:5" x14ac:dyDescent="0.25">
      <c r="A18" s="11">
        <v>10</v>
      </c>
      <c r="B18" s="18" t="s">
        <v>7</v>
      </c>
      <c r="C18" s="33">
        <f>PriorYearIncomeStmt!E18</f>
        <v>1057546</v>
      </c>
      <c r="D18" s="42">
        <f>'CurrentYearIncomeStmt '!E18</f>
        <v>1126245</v>
      </c>
    </row>
    <row r="19" spans="1:5" x14ac:dyDescent="0.25">
      <c r="A19" s="11">
        <v>11</v>
      </c>
      <c r="B19" s="18" t="s">
        <v>8</v>
      </c>
      <c r="C19" s="33">
        <f>PriorYearIncomeStmt!E19</f>
        <v>182</v>
      </c>
      <c r="D19" s="42">
        <f>'CurrentYearIncomeStmt '!E19</f>
        <v>182</v>
      </c>
    </row>
    <row r="20" spans="1:5" x14ac:dyDescent="0.25">
      <c r="A20" s="11">
        <v>12</v>
      </c>
      <c r="B20" s="18" t="s">
        <v>9</v>
      </c>
      <c r="C20" s="33">
        <f>PriorYearIncomeStmt!E20</f>
        <v>424649</v>
      </c>
      <c r="D20" s="42">
        <f>'CurrentYearIncomeStmt '!E20</f>
        <v>446028</v>
      </c>
    </row>
    <row r="21" spans="1:5" x14ac:dyDescent="0.25">
      <c r="A21" s="11">
        <v>13</v>
      </c>
      <c r="B21" s="18" t="s">
        <v>10</v>
      </c>
      <c r="C21" s="33">
        <f>PriorYearIncomeStmt!E21</f>
        <v>855120</v>
      </c>
      <c r="D21" s="42">
        <f>'CurrentYearIncomeStmt '!E21</f>
        <v>806167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855120</v>
      </c>
      <c r="D23" s="42">
        <f t="shared" ref="D23" si="1">SUM(D21:D22)</f>
        <v>806167</v>
      </c>
    </row>
    <row r="24" spans="1:5" x14ac:dyDescent="0.25">
      <c r="A24" s="11">
        <v>14</v>
      </c>
      <c r="B24" s="92" t="s">
        <v>157</v>
      </c>
      <c r="C24" s="41">
        <f>C16+C17+C18+C19+C20+C23</f>
        <v>4093183</v>
      </c>
      <c r="D24" s="43">
        <f t="shared" ref="D24" si="2">D16+D17+D18+D19+D20+D23</f>
        <v>4087825</v>
      </c>
      <c r="E24" s="1"/>
    </row>
    <row r="25" spans="1:5" x14ac:dyDescent="0.25">
      <c r="A25" s="11">
        <v>15</v>
      </c>
      <c r="B25" s="18" t="s">
        <v>14</v>
      </c>
      <c r="C25" s="33">
        <f>C15-C24</f>
        <v>13238</v>
      </c>
      <c r="D25" s="42">
        <f t="shared" ref="D25" si="3">D15-D24</f>
        <v>180942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90257</v>
      </c>
      <c r="D27" s="42">
        <f>'CurrentYearIncomeStmt '!E27</f>
        <v>111138</v>
      </c>
    </row>
    <row r="28" spans="1:5" x14ac:dyDescent="0.25">
      <c r="A28" s="11">
        <v>18</v>
      </c>
      <c r="B28" s="18" t="s">
        <v>224</v>
      </c>
      <c r="C28" s="33">
        <f>PriorYearIncomeStmt!E28</f>
        <v>-187741</v>
      </c>
      <c r="D28" s="42">
        <f>'CurrentYearIncomeStmt '!E28</f>
        <v>58695</v>
      </c>
    </row>
    <row r="29" spans="1:5" x14ac:dyDescent="0.25">
      <c r="A29" s="11">
        <v>19</v>
      </c>
      <c r="B29" s="18" t="s">
        <v>13</v>
      </c>
      <c r="C29" s="33">
        <f>PriorYearIncomeStmt!E29</f>
        <v>0</v>
      </c>
      <c r="D29" s="42">
        <f>'CurrentYearIncomeStmt '!E29</f>
        <v>0</v>
      </c>
    </row>
    <row r="30" spans="1:5" x14ac:dyDescent="0.25">
      <c r="A30" s="11">
        <v>20</v>
      </c>
      <c r="B30" s="92" t="s">
        <v>12</v>
      </c>
      <c r="C30" s="38">
        <f>SUM(C27:C29)</f>
        <v>-97484</v>
      </c>
      <c r="D30" s="44">
        <f t="shared" ref="D30" si="4">SUM(D27:D29)</f>
        <v>169833</v>
      </c>
    </row>
    <row r="31" spans="1:5" x14ac:dyDescent="0.25">
      <c r="A31" s="11">
        <v>21</v>
      </c>
      <c r="B31" s="92" t="s">
        <v>23</v>
      </c>
      <c r="C31" s="38">
        <f>C25+C26-C30</f>
        <v>110722</v>
      </c>
      <c r="D31" s="44">
        <f>D25+D26-D30</f>
        <v>11109</v>
      </c>
    </row>
    <row r="32" spans="1:5" x14ac:dyDescent="0.25">
      <c r="A32" s="11">
        <v>22</v>
      </c>
      <c r="B32" s="18" t="s">
        <v>15</v>
      </c>
      <c r="C32" s="33">
        <f>PriorYearIncomeStmt!E32</f>
        <v>59655</v>
      </c>
      <c r="D32" s="42">
        <f>'CurrentYearIncomeStmt '!E32</f>
        <v>117058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18946</v>
      </c>
      <c r="D34" s="42">
        <f>'CurrentYearIncomeStmt '!E34</f>
        <v>8509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-24672</v>
      </c>
    </row>
    <row r="36" spans="1:4" x14ac:dyDescent="0.25">
      <c r="A36" s="11">
        <v>26</v>
      </c>
      <c r="B36" s="92" t="s">
        <v>18</v>
      </c>
      <c r="C36" s="38">
        <f>SUM(C32:C35)</f>
        <v>78601</v>
      </c>
      <c r="D36" s="44">
        <f t="shared" ref="D36" si="5">SUM(D32:D35)</f>
        <v>100895</v>
      </c>
    </row>
    <row r="37" spans="1:4" x14ac:dyDescent="0.25">
      <c r="A37" s="11">
        <v>27</v>
      </c>
      <c r="B37" s="18" t="s">
        <v>19</v>
      </c>
      <c r="C37" s="33">
        <f>PriorYearIncomeStmt!E37</f>
        <v>13925</v>
      </c>
      <c r="D37" s="42">
        <f>'CurrentYearIncomeStmt '!E37</f>
        <v>-1988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-481189</v>
      </c>
      <c r="D40" s="42">
        <f>'CurrentYearIncomeStmt '!E40</f>
        <v>245255</v>
      </c>
    </row>
    <row r="41" spans="1:4" x14ac:dyDescent="0.25">
      <c r="A41" s="11">
        <v>31</v>
      </c>
      <c r="B41" s="92" t="s">
        <v>22</v>
      </c>
      <c r="C41" s="38">
        <f>C31-C36+C37+C38+C39+C40</f>
        <v>-435143</v>
      </c>
      <c r="D41" s="44">
        <f t="shared" ref="D41" si="6">D31-D36+D37+D38+D39+D40</f>
        <v>153481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6286883</v>
      </c>
      <c r="D43" s="42">
        <f>'CurrentYearIncomeStmt '!E43</f>
        <v>5988074</v>
      </c>
    </row>
    <row r="44" spans="1:4" x14ac:dyDescent="0.25">
      <c r="A44" s="11">
        <v>34</v>
      </c>
      <c r="B44" s="18" t="s">
        <v>26</v>
      </c>
      <c r="C44" s="33">
        <f>PriorYearIncomeStmt!E44</f>
        <v>3594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1331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5855334</v>
      </c>
      <c r="D49" s="44">
        <f t="shared" ref="D49" si="7">(D41+D43+D44)-(D45+D46+D47+D48)</f>
        <v>6140224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645182</v>
      </c>
      <c r="D54" s="42">
        <f>'CurrentYearIncomeStmt '!E54</f>
        <v>598192</v>
      </c>
    </row>
    <row r="55" spans="1:8" x14ac:dyDescent="0.25">
      <c r="A55" s="11">
        <v>45</v>
      </c>
      <c r="B55" s="18" t="s">
        <v>36</v>
      </c>
      <c r="C55" s="50">
        <f>((C24+C30-C18-C19)/C15)</f>
        <v>0.71545781594239855</v>
      </c>
      <c r="D55" s="50">
        <f>((D24+D30-D18-D19)/D15)</f>
        <v>0.73352117836368202</v>
      </c>
    </row>
    <row r="56" spans="1:8" x14ac:dyDescent="0.25">
      <c r="A56" s="11">
        <v>46</v>
      </c>
      <c r="B56" s="18" t="s">
        <v>37</v>
      </c>
      <c r="C56" s="50">
        <f>((C24+C30+C36)/C15)</f>
        <v>0.99217785999048802</v>
      </c>
      <c r="D56" s="50">
        <f>((D24+D30+D36)/D15)</f>
        <v>1.0210332398090596</v>
      </c>
    </row>
    <row r="57" spans="1:8" x14ac:dyDescent="0.25">
      <c r="A57" s="11">
        <v>47</v>
      </c>
      <c r="B57" s="18" t="s">
        <v>38</v>
      </c>
      <c r="C57" s="50">
        <f>((C41+C36)/C36)</f>
        <v>-4.5361000496176898</v>
      </c>
      <c r="D57" s="50">
        <f t="shared" ref="D57" si="9">((D41+D36)/D36)</f>
        <v>2.5211953020466824</v>
      </c>
    </row>
    <row r="58" spans="1:8" x14ac:dyDescent="0.25">
      <c r="A58" s="11">
        <v>48</v>
      </c>
      <c r="B58" s="18" t="s">
        <v>39</v>
      </c>
      <c r="C58" s="46">
        <f>(C41+C36+C18+C19)/C54</f>
        <v>1.0868034136104232</v>
      </c>
      <c r="D58" s="50">
        <f t="shared" ref="D58" si="10">(D41+D36+D18+D19)/D54</f>
        <v>2.3082939925642605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Statement&amp;R&amp;"-,Bold"&amp;12EXHIBIT 4</oddHeader>
    <oddFooter>&amp;LPETITION OF INLAND TELEPHONE COMPANY
TO RECEIVE SUPPORT FROM THE STATE UNIVERSAL
COMMUNICATIONS PROGRAM-EXHIBIT 4&amp;CPage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2015-07-21T07:00:00+00:00</OpenedDate>
    <Date1 xmlns="dc463f71-b30c-4ab2-9473-d307f9d35888">2015-07-21T07:00:00+00:00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151501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18D6F8333A24FBF584E4DDDD7CE1D" ma:contentTypeVersion="119" ma:contentTypeDescription="" ma:contentTypeScope="" ma:versionID="56ca604b427cf78e29fc61b31df733a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A1426-D5AF-4718-8D1A-904CC7D11EAB}"/>
</file>

<file path=customXml/itemProps2.xml><?xml version="1.0" encoding="utf-8"?>
<ds:datastoreItem xmlns:ds="http://schemas.openxmlformats.org/officeDocument/2006/customXml" ds:itemID="{1A2C8F6F-DF4B-44EF-AE09-F08556137F11}"/>
</file>

<file path=customXml/itemProps3.xml><?xml version="1.0" encoding="utf-8"?>
<ds:datastoreItem xmlns:ds="http://schemas.openxmlformats.org/officeDocument/2006/customXml" ds:itemID="{523D3752-34FB-44E0-8009-AD8B778FA71D}"/>
</file>

<file path=customXml/itemProps4.xml><?xml version="1.0" encoding="utf-8"?>
<ds:datastoreItem xmlns:ds="http://schemas.openxmlformats.org/officeDocument/2006/customXml" ds:itemID="{35021298-C28F-4C74-8751-C35B5205A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  <vt:lpstr>PriorYearBalanceSheet!Print_Area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Hahn, Roger (UTC)</dc:creator>
  <cp:lastModifiedBy>Lorri Targus</cp:lastModifiedBy>
  <cp:lastPrinted>2015-07-21T17:17:49Z</cp:lastPrinted>
  <dcterms:created xsi:type="dcterms:W3CDTF">2014-05-21T17:51:51Z</dcterms:created>
  <dcterms:modified xsi:type="dcterms:W3CDTF">2015-07-21T17:18:50Z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0x0101006E56B4D1795A2E4DB2F0B01679ED314A00CA218D6F8333A24FBF584E4DDDD7CE1D</vt:lpwstr>
  </property>
  <property fmtid="{D5CDD505-2E9C-101B-9397-08002B2CF9AE}" pid="3" name="_docset_NoMedatataSyncRequired">
    <vt:lpwstr>False</vt:lpwstr>
  </property>
</Properties>
</file>