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371" windowWidth="7215" windowHeight="9345" activeTab="0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definedNames>
    <definedName name="_xlnm.Print_Area" localSheetId="4">'MF Commodity Revenue'!$A$1:$S$105</definedName>
    <definedName name="_xlnm.Print_Area" localSheetId="3">'Residential Commodity Revenue'!$A$1:$S$107</definedName>
    <definedName name="_xlnm.Print_Area" localSheetId="2">'SKC Waste Stream Report'!$A$1:$R$78</definedName>
    <definedName name="_xlnm.Print_Area" localSheetId="1">'Sno-King Waste Stream Report'!$A$1:$R$69</definedName>
    <definedName name="_xlnm.Print_Area" localSheetId="0">'Total KC Waste Stream Report'!$A$1:$R$79</definedName>
    <definedName name="_xlnm.Print_Titles" localSheetId="4">'MF Commodity Revenue'!$1:$1</definedName>
    <definedName name="_xlnm.Print_Titles" localSheetId="3">'Residential Commodity Revenue'!$1:$1</definedName>
    <definedName name="_xlnm.Print_Titles" localSheetId="2">'SKC Waste Stream Report'!$1:$3</definedName>
    <definedName name="_xlnm.Print_Titles" localSheetId="0">'Total KC Waste Stream Report'!$1:$3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<sst xmlns="http://schemas.openxmlformats.org/spreadsheetml/2006/main" count="794" uniqueCount="130">
  <si>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</si>
  <si>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</si>
  <si>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</si>
  <si>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</si>
  <si>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</si>
  <si>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</si>
  <si>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</si>
  <si>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</si>
  <si>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</si>
  <si>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</si>
  <si>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</si>
  <si>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</si>
  <si>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</si>
  <si>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</si>
  <si>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</si>
  <si>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</si>
  <si>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</si>
  <si>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</si>
  <si>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</si>
  <si>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</si>
  <si>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</si>
  <si>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</si>
  <si>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</si>
  <si>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</si>
  <si>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</si>
  <si>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</si>
  <si>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</si>
  <si>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</si>
  <si>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</si>
  <si>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</si>
  <si>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</si>
  <si>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</si>
  <si>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</si>
  <si>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</si>
  <si>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</si>
  <si>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</si>
  <si>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</si>
  <si>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</si>
  <si>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</si>
  <si>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</si>
  <si>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</si>
  <si>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</si>
  <si>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</si>
  <si>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</si>
  <si>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</si>
  <si>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</si>
  <si>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</si>
  <si>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</si>
  <si>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</si>
  <si>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</si>
  <si>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</si>
  <si>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</si>
  <si>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</si>
  <si>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</si>
  <si>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</si>
  <si>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</si>
  <si>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</si>
  <si>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</si>
  <si>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</si>
  <si>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</si>
  <si>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</si>
  <si>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</si>
  <si>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</si>
  <si>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</si>
  <si>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</si>
  <si>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</si>
  <si>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</si>
  <si>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</si>
  <si>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</si>
  <si>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</si>
  <si>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</si>
  <si>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</si>
  <si>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</si>
  <si>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</si>
  <si>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</si>
  <si>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</si>
  <si>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</si>
  <si>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</si>
  <si>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</si>
  <si>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</si>
  <si>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</si>
  <si>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</si>
  <si>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</si>
  <si>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</si>
  <si>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</si>
  <si>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</si>
  <si>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</si>
  <si>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</si>
  <si>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</si>
  <si>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</si>
  <si>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</si>
  <si>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</si>
  <si>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</si>
  <si>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</si>
  <si>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</si>
  <si>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</si>
  <si>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</si>
  <si>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</si>
  <si>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Colored HDPE</t>
  </si>
  <si>
    <t>Natural HDPE</t>
  </si>
  <si>
    <t>Mixed Plastics</t>
  </si>
  <si>
    <t>Total 1st Quarter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</si>
  <si>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</si>
  <si>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</si>
  <si>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</si>
  <si>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 Quarter</t>
    </r>
    <r>
      <rPr>
        <b/>
        <i/>
        <u val="single"/>
        <sz val="11"/>
        <rFont val="Arial"/>
        <family val="2"/>
      </rPr>
      <t xml:space="preserve">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</si>
  <si>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>2nd</t>
    </r>
    <r>
      <rPr>
        <b/>
        <u val="single"/>
        <sz val="10"/>
        <rFont val="Arial"/>
        <family val="2"/>
      </rPr>
      <t xml:space="preserve"> Quarter</t>
    </r>
  </si>
  <si>
    <r>
      <t xml:space="preserve">Total </t>
    </r>
    <r>
      <rPr>
        <b/>
        <u val="single"/>
        <sz val="10"/>
        <color indexed="10"/>
        <rFont val="Arial"/>
        <family val="2"/>
      </rPr>
      <t>1st</t>
    </r>
    <r>
      <rPr>
        <b/>
        <u val="single"/>
        <sz val="10"/>
        <rFont val="Arial"/>
        <family val="2"/>
      </rPr>
      <t xml:space="preserve"> Quarter</t>
    </r>
  </si>
  <si>
    <t>Apr</t>
  </si>
  <si>
    <t>Jun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</si>
  <si>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</t>
    </r>
    <r>
      <rPr>
        <b/>
        <i/>
        <u val="single"/>
        <sz val="11"/>
        <rFont val="Arial"/>
        <family val="2"/>
      </rPr>
      <t xml:space="preserve"> Quarter 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</si>
  <si>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</t>
    </r>
    <r>
      <rPr>
        <b/>
        <i/>
        <u val="single"/>
        <sz val="11"/>
        <rFont val="Arial"/>
        <family val="2"/>
      </rPr>
      <t>Quarter 2004</t>
    </r>
  </si>
  <si>
    <t>Oct</t>
  </si>
  <si>
    <t>Nov</t>
  </si>
  <si>
    <t>Dec</t>
  </si>
  <si>
    <t>Total Resi MSW Customers</t>
  </si>
  <si>
    <t>Total MF MSW Customers</t>
  </si>
  <si>
    <t xml:space="preserve">35 gal Cart Monthly </t>
  </si>
  <si>
    <t xml:space="preserve">2 - 35 gal Cart </t>
  </si>
  <si>
    <t>3 - 35 gal Cart</t>
  </si>
  <si>
    <t>4 - 35 gal Cart</t>
  </si>
  <si>
    <t>Total 2nd Quarter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</si>
  <si>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</si>
  <si>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t>Sept</t>
  </si>
  <si>
    <t xml:space="preserve">September </t>
  </si>
  <si>
    <r>
      <t xml:space="preserve">Total </t>
    </r>
    <r>
      <rPr>
        <b/>
        <u val="single"/>
        <sz val="10"/>
        <color indexed="10"/>
        <rFont val="Arial"/>
        <family val="2"/>
      </rPr>
      <t>3rd</t>
    </r>
    <r>
      <rPr>
        <b/>
        <u val="single"/>
        <sz val="10"/>
        <rFont val="Arial"/>
        <family val="2"/>
      </rPr>
      <t xml:space="preserve"> Quarter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</si>
  <si>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</t>
    </r>
    <r>
      <rPr>
        <b/>
        <i/>
        <u val="single"/>
        <sz val="11"/>
        <rFont val="Arial"/>
        <family val="2"/>
      </rPr>
      <t>Quarter 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</si>
  <si>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</si>
  <si>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r>
      <t xml:space="preserve">Total </t>
    </r>
    <r>
      <rPr>
        <b/>
        <u val="single"/>
        <sz val="10"/>
        <color indexed="10"/>
        <rFont val="Arial"/>
        <family val="2"/>
      </rPr>
      <t xml:space="preserve">1st </t>
    </r>
    <r>
      <rPr>
        <b/>
        <u val="single"/>
        <sz val="10"/>
        <rFont val="Arial"/>
        <family val="2"/>
      </rPr>
      <t>Quarter</t>
    </r>
  </si>
  <si>
    <t>Waste Stream Summary Report - 9 months ended September,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</si>
</sst>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  <numFmt numFmtId="175" formatCode="&quot;$&quot;"/>
  </numFmts>
  <fonts count="19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Gray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>
        <color indexed="8"/>
      </bottom>
    </border>
    <border>
      <left style="thin"/>
      <right style="thick"/>
      <top style="double">
        <color indexed="8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double">
        <color indexed="8"/>
      </bottom>
    </border>
    <border>
      <left style="double"/>
      <right style="thick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ck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15" applyFont="1" applyBorder="1" applyAlignment="1" applyProtection="1">
      <alignment horizontal="center"/>
      <protection locked="0"/>
    </xf>
    <xf numFmtId="43" fontId="1" fillId="2" borderId="10" xfId="15" applyFont="1" applyFill="1" applyBorder="1" applyAlignment="1">
      <alignment horizontal="center"/>
    </xf>
    <xf numFmtId="43" fontId="1" fillId="2" borderId="11" xfId="15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3" fontId="0" fillId="0" borderId="9" xfId="15" applyFont="1" applyBorder="1" applyAlignment="1" applyProtection="1">
      <alignment horizontal="center"/>
      <protection/>
    </xf>
    <xf numFmtId="43" fontId="1" fillId="2" borderId="3" xfId="15" applyFont="1" applyFill="1" applyBorder="1" applyAlignment="1">
      <alignment horizontal="center"/>
    </xf>
    <xf numFmtId="43" fontId="0" fillId="0" borderId="12" xfId="15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10" fontId="0" fillId="0" borderId="12" xfId="0" applyNumberFormat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0" xfId="15" applyBorder="1" applyAlignment="1">
      <alignment/>
    </xf>
    <xf numFmtId="166" fontId="1" fillId="2" borderId="10" xfId="15" applyNumberFormat="1" applyFont="1" applyFill="1" applyBorder="1" applyAlignment="1">
      <alignment horizontal="center"/>
    </xf>
    <xf numFmtId="43" fontId="0" fillId="0" borderId="21" xfId="15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3" fontId="10" fillId="0" borderId="22" xfId="15" applyFont="1" applyBorder="1" applyAlignment="1" applyProtection="1">
      <alignment horizontal="center"/>
      <protection/>
    </xf>
    <xf numFmtId="43" fontId="10" fillId="2" borderId="23" xfId="15" applyFont="1" applyFill="1" applyBorder="1" applyAlignment="1">
      <alignment horizontal="center"/>
    </xf>
    <xf numFmtId="43" fontId="9" fillId="0" borderId="24" xfId="15" applyFont="1" applyBorder="1" applyAlignment="1" applyProtection="1">
      <alignment horizontal="center"/>
      <protection/>
    </xf>
    <xf numFmtId="43" fontId="9" fillId="2" borderId="18" xfId="15" applyFont="1" applyFill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10" fontId="10" fillId="0" borderId="26" xfId="0" applyNumberFormat="1" applyFont="1" applyBorder="1" applyAlignment="1">
      <alignment horizontal="center"/>
    </xf>
    <xf numFmtId="10" fontId="10" fillId="2" borderId="23" xfId="0" applyNumberFormat="1" applyFont="1" applyFill="1" applyBorder="1" applyAlignment="1">
      <alignment horizontal="center"/>
    </xf>
    <xf numFmtId="10" fontId="10" fillId="0" borderId="27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10" fontId="10" fillId="0" borderId="2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2" xfId="15" applyFont="1" applyBorder="1" applyAlignment="1" applyProtection="1">
      <alignment horizontal="center"/>
      <protection locked="0"/>
    </xf>
    <xf numFmtId="43" fontId="0" fillId="0" borderId="30" xfId="15" applyFont="1" applyBorder="1" applyAlignment="1" applyProtection="1">
      <alignment horizontal="center"/>
      <protection locked="0"/>
    </xf>
    <xf numFmtId="166" fontId="1" fillId="2" borderId="11" xfId="15" applyNumberFormat="1" applyFont="1" applyFill="1" applyBorder="1" applyAlignment="1">
      <alignment horizontal="center"/>
    </xf>
    <xf numFmtId="43" fontId="0" fillId="0" borderId="30" xfId="15" applyBorder="1" applyAlignment="1">
      <alignment/>
    </xf>
    <xf numFmtId="169" fontId="0" fillId="0" borderId="0" xfId="0" applyNumberFormat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6" fontId="1" fillId="0" borderId="12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9" fontId="0" fillId="0" borderId="0" xfId="17" applyNumberFormat="1" applyAlignment="1">
      <alignment/>
    </xf>
    <xf numFmtId="169" fontId="4" fillId="0" borderId="0" xfId="17" applyNumberFormat="1" applyFont="1" applyAlignment="1">
      <alignment/>
    </xf>
    <xf numFmtId="169" fontId="4" fillId="0" borderId="0" xfId="0" applyNumberFormat="1" applyFont="1" applyAlignment="1">
      <alignment/>
    </xf>
    <xf numFmtId="43" fontId="1" fillId="0" borderId="21" xfId="15" applyNumberFormat="1" applyFont="1" applyBorder="1" applyAlignment="1">
      <alignment/>
    </xf>
    <xf numFmtId="43" fontId="1" fillId="0" borderId="31" xfId="15" applyNumberFormat="1" applyFont="1" applyBorder="1" applyAlignment="1">
      <alignment/>
    </xf>
    <xf numFmtId="43" fontId="1" fillId="2" borderId="8" xfId="15" applyFont="1" applyFill="1" applyBorder="1" applyAlignment="1">
      <alignment horizontal="center"/>
    </xf>
    <xf numFmtId="43" fontId="0" fillId="0" borderId="20" xfId="15" applyNumberFormat="1" applyFon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166" fontId="1" fillId="0" borderId="21" xfId="15" applyNumberFormat="1" applyFont="1" applyFill="1" applyBorder="1" applyAlignment="1">
      <alignment horizontal="center"/>
    </xf>
    <xf numFmtId="10" fontId="0" fillId="0" borderId="20" xfId="21" applyNumberFormat="1" applyFont="1" applyBorder="1" applyAlignment="1">
      <alignment/>
    </xf>
    <xf numFmtId="43" fontId="0" fillId="0" borderId="20" xfId="15" applyFont="1" applyBorder="1" applyAlignment="1">
      <alignment/>
    </xf>
    <xf numFmtId="43" fontId="0" fillId="0" borderId="30" xfId="15" applyFont="1" applyBorder="1" applyAlignment="1">
      <alignment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43" fontId="0" fillId="0" borderId="20" xfId="15" applyFont="1" applyBorder="1" applyAlignment="1" applyProtection="1">
      <alignment horizontal="center"/>
      <protection locked="0"/>
    </xf>
    <xf numFmtId="43" fontId="0" fillId="0" borderId="31" xfId="15" applyFont="1" applyBorder="1" applyAlignment="1" applyProtection="1">
      <alignment horizontal="center"/>
      <protection locked="0"/>
    </xf>
    <xf numFmtId="43" fontId="0" fillId="0" borderId="20" xfId="15" applyFont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/>
    </xf>
    <xf numFmtId="43" fontId="0" fillId="0" borderId="30" xfId="15" applyFont="1" applyBorder="1" applyAlignment="1" applyProtection="1">
      <alignment horizontal="center"/>
      <protection/>
    </xf>
    <xf numFmtId="43" fontId="9" fillId="0" borderId="33" xfId="15" applyFont="1" applyBorder="1" applyAlignment="1" applyProtection="1">
      <alignment horizontal="center"/>
      <protection/>
    </xf>
    <xf numFmtId="43" fontId="0" fillId="0" borderId="34" xfId="15" applyFont="1" applyBorder="1" applyAlignment="1" applyProtection="1">
      <alignment horizontal="center"/>
      <protection/>
    </xf>
    <xf numFmtId="10" fontId="0" fillId="0" borderId="9" xfId="21" applyNumberFormat="1" applyFill="1" applyBorder="1" applyAlignment="1">
      <alignment horizontal="center"/>
    </xf>
    <xf numFmtId="166" fontId="1" fillId="0" borderId="21" xfId="15" applyNumberFormat="1" applyFont="1" applyFill="1" applyBorder="1" applyAlignment="1">
      <alignment/>
    </xf>
    <xf numFmtId="166" fontId="1" fillId="0" borderId="31" xfId="15" applyNumberFormat="1" applyFont="1" applyFill="1" applyBorder="1" applyAlignment="1">
      <alignment/>
    </xf>
    <xf numFmtId="10" fontId="1" fillId="0" borderId="35" xfId="0" applyNumberFormat="1" applyFont="1" applyBorder="1" applyAlignment="1">
      <alignment horizontal="center"/>
    </xf>
    <xf numFmtId="166" fontId="1" fillId="0" borderId="31" xfId="15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0" xfId="21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2" xfId="15" applyFont="1" applyBorder="1" applyAlignment="1">
      <alignment horizontal="center"/>
    </xf>
    <xf numFmtId="43" fontId="9" fillId="0" borderId="36" xfId="15" applyFont="1" applyBorder="1" applyAlignment="1" applyProtection="1">
      <alignment horizontal="center"/>
      <protection/>
    </xf>
    <xf numFmtId="43" fontId="9" fillId="2" borderId="6" xfId="15" applyFont="1" applyFill="1" applyBorder="1" applyAlignment="1" applyProtection="1">
      <alignment horizontal="center"/>
      <protection/>
    </xf>
    <xf numFmtId="43" fontId="10" fillId="0" borderId="37" xfId="15" applyFont="1" applyBorder="1" applyAlignment="1" applyProtection="1">
      <alignment horizontal="center"/>
      <protection/>
    </xf>
    <xf numFmtId="10" fontId="1" fillId="2" borderId="10" xfId="21" applyNumberFormat="1" applyFont="1" applyFill="1" applyBorder="1" applyAlignment="1">
      <alignment horizontal="right"/>
    </xf>
    <xf numFmtId="10" fontId="1" fillId="0" borderId="3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0" fontId="1" fillId="0" borderId="39" xfId="0" applyNumberFormat="1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43" fontId="1" fillId="0" borderId="31" xfId="15" applyFont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166" fontId="1" fillId="2" borderId="8" xfId="15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right"/>
    </xf>
    <xf numFmtId="10" fontId="0" fillId="0" borderId="30" xfId="21" applyNumberFormat="1" applyFont="1" applyBorder="1" applyAlignment="1">
      <alignment/>
    </xf>
    <xf numFmtId="10" fontId="0" fillId="2" borderId="30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0" fontId="1" fillId="2" borderId="35" xfId="0" applyNumberFormat="1" applyFont="1" applyFill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66" fontId="1" fillId="2" borderId="6" xfId="15" applyNumberFormat="1" applyFont="1" applyFill="1" applyBorder="1" applyAlignment="1">
      <alignment horizontal="center"/>
    </xf>
    <xf numFmtId="10" fontId="0" fillId="0" borderId="20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9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41" fontId="11" fillId="0" borderId="0" xfId="16" applyFont="1" applyBorder="1" applyAlignment="1">
      <alignment/>
    </xf>
    <xf numFmtId="41" fontId="0" fillId="0" borderId="0" xfId="0" applyNumberFormat="1" applyAlignment="1">
      <alignment/>
    </xf>
    <xf numFmtId="10" fontId="0" fillId="0" borderId="20" xfId="15" applyNumberFormat="1" applyBorder="1" applyAlignment="1">
      <alignment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43" fontId="1" fillId="0" borderId="46" xfId="15" applyFont="1" applyBorder="1" applyAlignment="1" applyProtection="1">
      <alignment horizontal="center"/>
      <protection locked="0"/>
    </xf>
    <xf numFmtId="43" fontId="0" fillId="0" borderId="45" xfId="15" applyFont="1" applyBorder="1" applyAlignment="1" applyProtection="1">
      <alignment horizontal="center"/>
      <protection locked="0"/>
    </xf>
    <xf numFmtId="43" fontId="0" fillId="0" borderId="46" xfId="15" applyFont="1" applyBorder="1" applyAlignment="1" applyProtection="1">
      <alignment horizontal="center"/>
      <protection locked="0"/>
    </xf>
    <xf numFmtId="43" fontId="9" fillId="0" borderId="47" xfId="15" applyFont="1" applyBorder="1" applyAlignment="1" applyProtection="1">
      <alignment horizontal="center"/>
      <protection/>
    </xf>
    <xf numFmtId="43" fontId="0" fillId="0" borderId="45" xfId="15" applyFont="1" applyBorder="1" applyAlignment="1" applyProtection="1">
      <alignment horizontal="center"/>
      <protection/>
    </xf>
    <xf numFmtId="43" fontId="10" fillId="0" borderId="48" xfId="15" applyFont="1" applyBorder="1" applyAlignment="1" applyProtection="1">
      <alignment horizontal="center"/>
      <protection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43" fontId="1" fillId="0" borderId="52" xfId="15" applyFont="1" applyBorder="1" applyAlignment="1" applyProtection="1">
      <alignment horizontal="center"/>
      <protection locked="0"/>
    </xf>
    <xf numFmtId="43" fontId="0" fillId="0" borderId="51" xfId="15" applyFont="1" applyBorder="1" applyAlignment="1" applyProtection="1">
      <alignment horizontal="center"/>
      <protection locked="0"/>
    </xf>
    <xf numFmtId="43" fontId="0" fillId="0" borderId="52" xfId="15" applyFont="1" applyBorder="1" applyAlignment="1" applyProtection="1">
      <alignment horizontal="center"/>
      <protection locked="0"/>
    </xf>
    <xf numFmtId="43" fontId="9" fillId="0" borderId="53" xfId="15" applyFont="1" applyBorder="1" applyAlignment="1" applyProtection="1">
      <alignment horizontal="center"/>
      <protection/>
    </xf>
    <xf numFmtId="43" fontId="0" fillId="0" borderId="51" xfId="15" applyFont="1" applyBorder="1" applyAlignment="1" applyProtection="1">
      <alignment horizontal="center"/>
      <protection/>
    </xf>
    <xf numFmtId="43" fontId="10" fillId="0" borderId="54" xfId="15" applyFont="1" applyBorder="1" applyAlignment="1" applyProtection="1">
      <alignment horizontal="center"/>
      <protection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43" fontId="1" fillId="0" borderId="58" xfId="15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43" fontId="1" fillId="0" borderId="58" xfId="15" applyFont="1" applyBorder="1" applyAlignment="1">
      <alignment/>
    </xf>
    <xf numFmtId="43" fontId="9" fillId="0" borderId="59" xfId="15" applyFont="1" applyBorder="1" applyAlignment="1" applyProtection="1">
      <alignment horizontal="center"/>
      <protection/>
    </xf>
    <xf numFmtId="0" fontId="1" fillId="0" borderId="58" xfId="0" applyFont="1" applyBorder="1" applyAlignment="1">
      <alignment horizontal="center"/>
    </xf>
    <xf numFmtId="43" fontId="1" fillId="0" borderId="59" xfId="15" applyFont="1" applyBorder="1" applyAlignment="1" applyProtection="1">
      <alignment horizontal="center"/>
      <protection/>
    </xf>
    <xf numFmtId="0" fontId="9" fillId="0" borderId="60" xfId="0" applyFont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6" fontId="1" fillId="0" borderId="46" xfId="15" applyNumberFormat="1" applyFont="1" applyFill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 horizontal="center"/>
    </xf>
    <xf numFmtId="166" fontId="1" fillId="0" borderId="58" xfId="15" applyNumberFormat="1" applyFont="1" applyFill="1" applyBorder="1" applyAlignment="1">
      <alignment/>
    </xf>
    <xf numFmtId="43" fontId="1" fillId="0" borderId="57" xfId="15" applyFont="1" applyBorder="1" applyAlignment="1">
      <alignment/>
    </xf>
    <xf numFmtId="166" fontId="1" fillId="0" borderId="58" xfId="15" applyNumberFormat="1" applyFont="1" applyFill="1" applyBorder="1" applyAlignment="1">
      <alignment horizontal="center"/>
    </xf>
    <xf numFmtId="10" fontId="0" fillId="0" borderId="0" xfId="15" applyNumberFormat="1" applyBorder="1" applyAlignment="1">
      <alignment/>
    </xf>
    <xf numFmtId="0" fontId="0" fillId="0" borderId="49" xfId="0" applyBorder="1" applyAlignment="1">
      <alignment horizontal="center"/>
    </xf>
    <xf numFmtId="166" fontId="1" fillId="0" borderId="52" xfId="15" applyNumberFormat="1" applyFont="1" applyFill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43" fontId="0" fillId="0" borderId="51" xfId="15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10" fontId="0" fillId="0" borderId="51" xfId="15" applyNumberFormat="1" applyBorder="1" applyAlignment="1">
      <alignment/>
    </xf>
    <xf numFmtId="10" fontId="0" fillId="0" borderId="46" xfId="0" applyNumberFormat="1" applyBorder="1" applyAlignment="1">
      <alignment horizontal="center"/>
    </xf>
    <xf numFmtId="10" fontId="1" fillId="0" borderId="6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6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10" fontId="1" fillId="0" borderId="57" xfId="21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10" fontId="9" fillId="0" borderId="60" xfId="21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10" fontId="10" fillId="0" borderId="50" xfId="0" applyNumberFormat="1" applyFont="1" applyBorder="1" applyAlignment="1">
      <alignment horizontal="center"/>
    </xf>
    <xf numFmtId="10" fontId="10" fillId="0" borderId="64" xfId="0" applyNumberFormat="1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1" fillId="0" borderId="65" xfId="15" applyNumberFormat="1" applyFont="1" applyBorder="1" applyAlignment="1">
      <alignment/>
    </xf>
    <xf numFmtId="43" fontId="1" fillId="0" borderId="57" xfId="0" applyNumberFormat="1" applyFont="1" applyFill="1" applyBorder="1" applyAlignment="1">
      <alignment horizontal="center"/>
    </xf>
    <xf numFmtId="43" fontId="1" fillId="0" borderId="58" xfId="0" applyNumberFormat="1" applyFont="1" applyFill="1" applyBorder="1" applyAlignment="1">
      <alignment/>
    </xf>
    <xf numFmtId="43" fontId="1" fillId="0" borderId="52" xfId="15" applyNumberFormat="1" applyFont="1" applyBorder="1" applyAlignment="1">
      <alignment/>
    </xf>
    <xf numFmtId="166" fontId="1" fillId="0" borderId="65" xfId="15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0" fillId="0" borderId="45" xfId="21" applyNumberFormat="1" applyFill="1" applyBorder="1" applyAlignment="1">
      <alignment/>
    </xf>
    <xf numFmtId="10" fontId="0" fillId="0" borderId="45" xfId="21" applyNumberFormat="1" applyFill="1" applyBorder="1" applyAlignment="1">
      <alignment horizontal="center"/>
    </xf>
    <xf numFmtId="166" fontId="1" fillId="0" borderId="52" xfId="15" applyNumberFormat="1" applyFon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1" xfId="21" applyNumberFormat="1" applyFill="1" applyBorder="1" applyAlignment="1">
      <alignment/>
    </xf>
    <xf numFmtId="10" fontId="0" fillId="0" borderId="51" xfId="21" applyNumberFormat="1" applyFill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43" fontId="9" fillId="0" borderId="66" xfId="15" applyFont="1" applyBorder="1" applyAlignment="1" applyProtection="1">
      <alignment horizontal="center"/>
      <protection/>
    </xf>
    <xf numFmtId="43" fontId="9" fillId="0" borderId="63" xfId="15" applyFont="1" applyBorder="1" applyAlignment="1" applyProtection="1">
      <alignment horizontal="center"/>
      <protection/>
    </xf>
    <xf numFmtId="43" fontId="10" fillId="0" borderId="64" xfId="15" applyFont="1" applyBorder="1" applyAlignment="1" applyProtection="1">
      <alignment horizontal="center"/>
      <protection/>
    </xf>
    <xf numFmtId="0" fontId="0" fillId="5" borderId="0" xfId="0" applyFill="1" applyBorder="1" applyAlignment="1">
      <alignment/>
    </xf>
    <xf numFmtId="43" fontId="1" fillId="5" borderId="57" xfId="0" applyNumberFormat="1" applyFont="1" applyFill="1" applyBorder="1" applyAlignment="1">
      <alignment/>
    </xf>
    <xf numFmtId="43" fontId="0" fillId="5" borderId="45" xfId="15" applyFont="1" applyFill="1" applyBorder="1" applyAlignment="1" applyProtection="1">
      <alignment horizontal="center"/>
      <protection locked="0"/>
    </xf>
    <xf numFmtId="43" fontId="0" fillId="5" borderId="9" xfId="15" applyFont="1" applyFill="1" applyBorder="1" applyAlignment="1" applyProtection="1">
      <alignment horizontal="center"/>
      <protection locked="0"/>
    </xf>
    <xf numFmtId="43" fontId="0" fillId="5" borderId="51" xfId="15" applyFont="1" applyFill="1" applyBorder="1" applyAlignment="1" applyProtection="1">
      <alignment horizontal="center"/>
      <protection locked="0"/>
    </xf>
    <xf numFmtId="43" fontId="0" fillId="5" borderId="20" xfId="15" applyFont="1" applyFill="1" applyBorder="1" applyAlignment="1" applyProtection="1">
      <alignment horizontal="center"/>
      <protection locked="0"/>
    </xf>
    <xf numFmtId="43" fontId="0" fillId="5" borderId="30" xfId="15" applyFont="1" applyFill="1" applyBorder="1" applyAlignment="1" applyProtection="1">
      <alignment horizontal="center"/>
      <protection locked="0"/>
    </xf>
    <xf numFmtId="43" fontId="1" fillId="5" borderId="57" xfId="0" applyNumberFormat="1" applyFont="1" applyFill="1" applyBorder="1" applyAlignment="1">
      <alignment horizontal="center"/>
    </xf>
    <xf numFmtId="43" fontId="0" fillId="5" borderId="0" xfId="15" applyNumberFormat="1" applyFont="1" applyFill="1" applyBorder="1" applyAlignment="1">
      <alignment/>
    </xf>
    <xf numFmtId="43" fontId="0" fillId="5" borderId="20" xfId="15" applyNumberFormat="1" applyFont="1" applyFill="1" applyBorder="1" applyAlignment="1">
      <alignment/>
    </xf>
    <xf numFmtId="43" fontId="0" fillId="5" borderId="51" xfId="15" applyNumberFormat="1" applyFont="1" applyFill="1" applyBorder="1" applyAlignment="1">
      <alignment/>
    </xf>
    <xf numFmtId="43" fontId="1" fillId="5" borderId="57" xfId="15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 horizontal="left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 horizontal="left"/>
    </xf>
    <xf numFmtId="166" fontId="0" fillId="5" borderId="45" xfId="15" applyNumberFormat="1" applyFill="1" applyBorder="1" applyAlignment="1">
      <alignment horizontal="center"/>
    </xf>
    <xf numFmtId="166" fontId="0" fillId="5" borderId="9" xfId="15" applyNumberFormat="1" applyFill="1" applyBorder="1" applyAlignment="1">
      <alignment horizontal="center"/>
    </xf>
    <xf numFmtId="166" fontId="0" fillId="5" borderId="51" xfId="15" applyNumberFormat="1" applyFill="1" applyBorder="1" applyAlignment="1">
      <alignment horizontal="center"/>
    </xf>
    <xf numFmtId="166" fontId="0" fillId="5" borderId="0" xfId="15" applyNumberFormat="1" applyFill="1" applyBorder="1" applyAlignment="1">
      <alignment horizontal="center"/>
    </xf>
    <xf numFmtId="166" fontId="0" fillId="5" borderId="67" xfId="15" applyNumberFormat="1" applyFill="1" applyBorder="1" applyAlignment="1">
      <alignment horizontal="center"/>
    </xf>
    <xf numFmtId="166" fontId="0" fillId="5" borderId="68" xfId="15" applyNumberFormat="1" applyFill="1" applyBorder="1" applyAlignment="1">
      <alignment horizontal="center"/>
    </xf>
    <xf numFmtId="166" fontId="0" fillId="5" borderId="20" xfId="15" applyNumberFormat="1" applyFill="1" applyBorder="1" applyAlignment="1">
      <alignment horizontal="center"/>
    </xf>
    <xf numFmtId="166" fontId="0" fillId="5" borderId="30" xfId="15" applyNumberFormat="1" applyFill="1" applyBorder="1" applyAlignment="1">
      <alignment horizontal="center"/>
    </xf>
    <xf numFmtId="166" fontId="0" fillId="5" borderId="44" xfId="15" applyNumberFormat="1" applyFill="1" applyBorder="1" applyAlignment="1">
      <alignment horizontal="center"/>
    </xf>
    <xf numFmtId="166" fontId="0" fillId="5" borderId="28" xfId="15" applyNumberFormat="1" applyFill="1" applyBorder="1" applyAlignment="1">
      <alignment horizontal="center"/>
    </xf>
    <xf numFmtId="166" fontId="0" fillId="5" borderId="50" xfId="15" applyNumberFormat="1" applyFill="1" applyBorder="1" applyAlignment="1">
      <alignment horizontal="center"/>
    </xf>
    <xf numFmtId="166" fontId="0" fillId="5" borderId="27" xfId="15" applyNumberFormat="1" applyFill="1" applyBorder="1" applyAlignment="1">
      <alignment horizontal="center"/>
    </xf>
    <xf numFmtId="166" fontId="0" fillId="5" borderId="41" xfId="15" applyNumberForma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1" fillId="0" borderId="65" xfId="15" applyFont="1" applyBorder="1" applyAlignment="1" applyProtection="1">
      <alignment horizontal="center"/>
      <protection locked="0"/>
    </xf>
    <xf numFmtId="43" fontId="0" fillId="5" borderId="0" xfId="15" applyFont="1" applyFill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/>
    </xf>
    <xf numFmtId="43" fontId="0" fillId="0" borderId="65" xfId="15" applyFont="1" applyBorder="1" applyAlignment="1" applyProtection="1">
      <alignment horizontal="center"/>
      <protection locked="0"/>
    </xf>
    <xf numFmtId="0" fontId="1" fillId="6" borderId="49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166" fontId="0" fillId="5" borderId="69" xfId="15" applyNumberFormat="1" applyFill="1" applyBorder="1" applyAlignment="1">
      <alignment horizontal="center"/>
    </xf>
    <xf numFmtId="10" fontId="0" fillId="0" borderId="0" xfId="21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66" fontId="0" fillId="5" borderId="1" xfId="15" applyNumberFormat="1" applyFill="1" applyBorder="1" applyAlignment="1">
      <alignment horizontal="center"/>
    </xf>
    <xf numFmtId="166" fontId="0" fillId="5" borderId="66" xfId="15" applyNumberFormat="1" applyFill="1" applyBorder="1" applyAlignment="1">
      <alignment horizontal="center"/>
    </xf>
    <xf numFmtId="0" fontId="12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2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43" fontId="0" fillId="0" borderId="70" xfId="0" applyNumberFormat="1" applyBorder="1" applyAlignment="1">
      <alignment/>
    </xf>
    <xf numFmtId="43" fontId="2" fillId="0" borderId="70" xfId="0" applyNumberFormat="1" applyFont="1" applyBorder="1" applyAlignment="1">
      <alignment/>
    </xf>
    <xf numFmtId="169" fontId="0" fillId="0" borderId="70" xfId="17" applyNumberFormat="1" applyBorder="1" applyAlignment="1">
      <alignment/>
    </xf>
    <xf numFmtId="166" fontId="0" fillId="0" borderId="70" xfId="0" applyNumberFormat="1" applyBorder="1" applyAlignment="1">
      <alignment/>
    </xf>
    <xf numFmtId="166" fontId="0" fillId="0" borderId="70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166" fontId="0" fillId="0" borderId="70" xfId="15" applyNumberFormat="1" applyBorder="1" applyAlignment="1">
      <alignment/>
    </xf>
    <xf numFmtId="166" fontId="2" fillId="0" borderId="70" xfId="15" applyNumberFormat="1" applyFont="1" applyBorder="1" applyAlignment="1">
      <alignment/>
    </xf>
    <xf numFmtId="41" fontId="0" fillId="0" borderId="70" xfId="17" applyNumberFormat="1" applyBorder="1" applyAlignment="1">
      <alignment/>
    </xf>
    <xf numFmtId="166" fontId="1" fillId="0" borderId="45" xfId="15" applyNumberFormat="1" applyFont="1" applyFill="1" applyBorder="1" applyAlignment="1">
      <alignment horizontal="center"/>
    </xf>
    <xf numFmtId="166" fontId="1" fillId="0" borderId="9" xfId="15" applyNumberFormat="1" applyFont="1" applyFill="1" applyBorder="1" applyAlignment="1">
      <alignment horizontal="center"/>
    </xf>
    <xf numFmtId="166" fontId="1" fillId="0" borderId="51" xfId="15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64" fontId="4" fillId="9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43" fontId="4" fillId="9" borderId="0" xfId="0" applyNumberFormat="1" applyFont="1" applyFill="1" applyAlignment="1">
      <alignment/>
    </xf>
    <xf numFmtId="169" fontId="4" fillId="9" borderId="0" xfId="17" applyNumberFormat="1" applyFont="1" applyFill="1" applyAlignment="1">
      <alignment/>
    </xf>
    <xf numFmtId="169" fontId="0" fillId="9" borderId="0" xfId="0" applyNumberFormat="1" applyFill="1" applyAlignment="1">
      <alignment/>
    </xf>
    <xf numFmtId="169" fontId="4" fillId="9" borderId="0" xfId="0" applyNumberFormat="1" applyFont="1" applyFill="1" applyAlignment="1">
      <alignment/>
    </xf>
    <xf numFmtId="44" fontId="4" fillId="9" borderId="0" xfId="17" applyFont="1" applyFill="1" applyAlignment="1">
      <alignment/>
    </xf>
    <xf numFmtId="0" fontId="0" fillId="5" borderId="0" xfId="0" applyFill="1" applyAlignment="1">
      <alignment/>
    </xf>
    <xf numFmtId="0" fontId="18" fillId="0" borderId="0" xfId="0" applyFont="1" applyAlignment="1">
      <alignment horizontal="center"/>
    </xf>
    <xf numFmtId="43" fontId="0" fillId="5" borderId="30" xfId="15" applyNumberFormat="1" applyFont="1" applyFill="1" applyBorder="1" applyAlignment="1">
      <alignment/>
    </xf>
    <xf numFmtId="166" fontId="0" fillId="5" borderId="20" xfId="15" applyNumberFormat="1" applyFont="1" applyFill="1" applyBorder="1" applyAlignment="1">
      <alignment horizontal="center"/>
    </xf>
    <xf numFmtId="166" fontId="0" fillId="5" borderId="67" xfId="15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0" fillId="0" borderId="65" xfId="15" applyNumberFormat="1" applyFont="1" applyBorder="1" applyAlignment="1">
      <alignment/>
    </xf>
    <xf numFmtId="43" fontId="9" fillId="0" borderId="72" xfId="15" applyFont="1" applyBorder="1" applyAlignment="1" applyProtection="1">
      <alignment horizontal="center"/>
      <protection/>
    </xf>
    <xf numFmtId="43" fontId="0" fillId="0" borderId="51" xfId="15" applyNumberFormat="1" applyFont="1" applyBorder="1" applyAlignment="1">
      <alignment/>
    </xf>
    <xf numFmtId="43" fontId="0" fillId="0" borderId="52" xfId="15" applyNumberFormat="1" applyFont="1" applyBorder="1" applyAlignment="1">
      <alignment/>
    </xf>
    <xf numFmtId="0" fontId="0" fillId="3" borderId="14" xfId="0" applyFill="1" applyBorder="1" applyAlignment="1">
      <alignment horizontal="center"/>
    </xf>
    <xf numFmtId="166" fontId="1" fillId="0" borderId="65" xfId="15" applyNumberFormat="1" applyFont="1" applyFill="1" applyBorder="1" applyAlignment="1">
      <alignment horizontal="center"/>
    </xf>
    <xf numFmtId="166" fontId="0" fillId="5" borderId="69" xfId="15" applyNumberFormat="1" applyFont="1" applyFill="1" applyBorder="1" applyAlignment="1">
      <alignment horizontal="center"/>
    </xf>
    <xf numFmtId="166" fontId="0" fillId="5" borderId="0" xfId="15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66" fontId="0" fillId="5" borderId="51" xfId="15" applyNumberFormat="1" applyFont="1" applyFill="1" applyBorder="1" applyAlignment="1">
      <alignment horizontal="center"/>
    </xf>
    <xf numFmtId="10" fontId="0" fillId="0" borderId="51" xfId="21" applyNumberFormat="1" applyFont="1" applyBorder="1" applyAlignment="1">
      <alignment/>
    </xf>
    <xf numFmtId="43" fontId="0" fillId="0" borderId="51" xfId="15" applyFont="1" applyBorder="1" applyAlignment="1">
      <alignment/>
    </xf>
    <xf numFmtId="0" fontId="0" fillId="6" borderId="14" xfId="0" applyFill="1" applyBorder="1" applyAlignment="1">
      <alignment horizontal="center"/>
    </xf>
    <xf numFmtId="166" fontId="0" fillId="5" borderId="66" xfId="15" applyNumberFormat="1" applyFont="1" applyFill="1" applyBorder="1" applyAlignment="1">
      <alignment horizontal="center"/>
    </xf>
    <xf numFmtId="43" fontId="1" fillId="0" borderId="46" xfId="15" applyNumberFormat="1" applyFont="1" applyBorder="1" applyAlignment="1">
      <alignment/>
    </xf>
    <xf numFmtId="43" fontId="1" fillId="5" borderId="57" xfId="15" applyNumberFormat="1" applyFont="1" applyFill="1" applyBorder="1" applyAlignment="1">
      <alignment horizontal="center"/>
    </xf>
    <xf numFmtId="43" fontId="1" fillId="0" borderId="57" xfId="15" applyNumberFormat="1" applyFont="1" applyBorder="1" applyAlignment="1">
      <alignment horizontal="center"/>
    </xf>
    <xf numFmtId="43" fontId="1" fillId="0" borderId="56" xfId="15" applyNumberFormat="1" applyFont="1" applyBorder="1" applyAlignment="1">
      <alignment/>
    </xf>
    <xf numFmtId="0" fontId="1" fillId="10" borderId="55" xfId="0" applyFont="1" applyFill="1" applyBorder="1" applyAlignment="1">
      <alignment horizontal="center"/>
    </xf>
    <xf numFmtId="0" fontId="1" fillId="10" borderId="56" xfId="0" applyFont="1" applyFill="1" applyBorder="1" applyAlignment="1">
      <alignment horizontal="center"/>
    </xf>
    <xf numFmtId="0" fontId="9" fillId="10" borderId="55" xfId="0" applyFont="1" applyFill="1" applyBorder="1" applyAlignment="1">
      <alignment/>
    </xf>
    <xf numFmtId="0" fontId="0" fillId="10" borderId="55" xfId="0" applyFill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166" fontId="0" fillId="5" borderId="51" xfId="15" applyNumberFormat="1" applyFont="1" applyFill="1" applyBorder="1" applyAlignment="1">
      <alignment horizontal="center"/>
    </xf>
    <xf numFmtId="43" fontId="0" fillId="0" borderId="45" xfId="0" applyNumberFormat="1" applyFont="1" applyBorder="1" applyAlignment="1">
      <alignment horizontal="center"/>
    </xf>
    <xf numFmtId="43" fontId="0" fillId="0" borderId="51" xfId="0" applyNumberFormat="1" applyFont="1" applyBorder="1" applyAlignment="1">
      <alignment horizontal="center"/>
    </xf>
    <xf numFmtId="43" fontId="0" fillId="0" borderId="9" xfId="0" applyNumberFormat="1" applyFont="1" applyBorder="1" applyAlignment="1">
      <alignment horizontal="center"/>
    </xf>
    <xf numFmtId="166" fontId="1" fillId="0" borderId="73" xfId="15" applyNumberFormat="1" applyFont="1" applyFill="1" applyBorder="1" applyAlignment="1">
      <alignment horizontal="center"/>
    </xf>
    <xf numFmtId="166" fontId="0" fillId="5" borderId="74" xfId="15" applyNumberFormat="1" applyFont="1" applyFill="1" applyBorder="1" applyAlignment="1">
      <alignment horizontal="center"/>
    </xf>
    <xf numFmtId="166" fontId="0" fillId="5" borderId="9" xfId="15" applyNumberFormat="1" applyFont="1" applyFill="1" applyBorder="1" applyAlignment="1">
      <alignment horizontal="center"/>
    </xf>
    <xf numFmtId="44" fontId="0" fillId="0" borderId="0" xfId="17" applyFont="1" applyAlignment="1">
      <alignment/>
    </xf>
    <xf numFmtId="166" fontId="0" fillId="0" borderId="70" xfId="15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70" xfId="15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44" fontId="0" fillId="0" borderId="0" xfId="17" applyNumberFormat="1" applyFont="1" applyAlignment="1">
      <alignment/>
    </xf>
    <xf numFmtId="44" fontId="2" fillId="0" borderId="0" xfId="17" applyFont="1" applyAlignment="1">
      <alignment/>
    </xf>
    <xf numFmtId="0" fontId="0" fillId="11" borderId="0" xfId="0" applyFill="1" applyAlignment="1">
      <alignment/>
    </xf>
    <xf numFmtId="0" fontId="1" fillId="4" borderId="75" xfId="0" applyFont="1" applyFill="1" applyBorder="1" applyAlignment="1">
      <alignment horizontal="center"/>
    </xf>
    <xf numFmtId="164" fontId="4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43" fontId="4" fillId="11" borderId="0" xfId="0" applyNumberFormat="1" applyFont="1" applyFill="1" applyAlignment="1">
      <alignment/>
    </xf>
    <xf numFmtId="169" fontId="4" fillId="11" borderId="0" xfId="17" applyNumberFormat="1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4" borderId="76" xfId="0" applyFont="1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" fillId="6" borderId="77" xfId="0" applyFont="1" applyFill="1" applyBorder="1" applyAlignment="1">
      <alignment horizontal="center"/>
    </xf>
    <xf numFmtId="0" fontId="1" fillId="6" borderId="75" xfId="0" applyFont="1" applyFill="1" applyBorder="1" applyAlignment="1">
      <alignment horizontal="center"/>
    </xf>
    <xf numFmtId="0" fontId="1" fillId="6" borderId="76" xfId="0" applyFont="1" applyFill="1" applyBorder="1" applyAlignment="1">
      <alignment horizontal="center"/>
    </xf>
    <xf numFmtId="0" fontId="1" fillId="7" borderId="77" xfId="0" applyFont="1" applyFill="1" applyBorder="1" applyAlignment="1">
      <alignment horizontal="center"/>
    </xf>
    <xf numFmtId="0" fontId="1" fillId="7" borderId="75" xfId="0" applyFont="1" applyFill="1" applyBorder="1" applyAlignment="1">
      <alignment horizontal="center"/>
    </xf>
    <xf numFmtId="0" fontId="1" fillId="7" borderId="78" xfId="0" applyFont="1" applyFill="1" applyBorder="1" applyAlignment="1">
      <alignment horizontal="center"/>
    </xf>
    <xf numFmtId="0" fontId="9" fillId="0" borderId="79" xfId="0" applyFont="1" applyBorder="1" applyAlignment="1">
      <alignment/>
    </xf>
    <xf numFmtId="0" fontId="1" fillId="4" borderId="77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1" fillId="7" borderId="82" xfId="0" applyFont="1" applyFill="1" applyBorder="1" applyAlignment="1">
      <alignment horizontal="center"/>
    </xf>
    <xf numFmtId="0" fontId="0" fillId="0" borderId="83" xfId="0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140625" style="0" bestFit="1" customWidth="1"/>
    <col min="7" max="8" width="11.8515625" style="0" bestFit="1" customWidth="1"/>
    <col min="9" max="17" width="11.00390625" style="0" customWidth="1"/>
    <col min="18" max="18" width="11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87</v>
      </c>
    </row>
    <row r="2" spans="1:5" ht="15">
      <c r="A2" s="9" t="s">
        <v>129</v>
      </c>
      <c r="B2" s="1"/>
      <c r="C2" s="1"/>
      <c r="D2" s="1"/>
      <c r="E2" s="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387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1">
        <v>2004</v>
      </c>
      <c r="M4" s="292">
        <v>2004</v>
      </c>
      <c r="N4" s="314">
        <v>2004</v>
      </c>
      <c r="O4" s="306">
        <v>2004</v>
      </c>
      <c r="P4" s="298">
        <v>2004</v>
      </c>
      <c r="Q4" s="299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388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3" t="s">
        <v>12</v>
      </c>
      <c r="M5" s="294" t="s">
        <v>16</v>
      </c>
      <c r="N5" s="315" t="s">
        <v>17</v>
      </c>
      <c r="O5" s="307" t="s">
        <v>72</v>
      </c>
      <c r="P5" s="300" t="s">
        <v>73</v>
      </c>
      <c r="Q5" s="301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174"/>
      <c r="G6" s="22"/>
      <c r="H6" s="183"/>
      <c r="I6" s="308"/>
      <c r="J6" s="115"/>
      <c r="K6" s="316"/>
      <c r="L6" s="308"/>
      <c r="M6" s="115"/>
      <c r="N6" s="316"/>
      <c r="O6" s="308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f>+'Sno-King Waste Stream Report'!E7+'SKC Waste Stream Report'!E7</f>
        <v>1793.1985548425982</v>
      </c>
      <c r="F7" s="383">
        <f>+'Sno-King Waste Stream Report'!F7+'SKC Waste Stream Report'!F7</f>
        <v>2191.29</v>
      </c>
      <c r="G7" s="102">
        <f>+'Sno-King Waste Stream Report'!G7+'SKC Waste Stream Report'!G7</f>
        <v>1684.5</v>
      </c>
      <c r="H7" s="244">
        <f>+'Sno-King Waste Stream Report'!H7+'SKC Waste Stream Report'!H7</f>
        <v>1941.7999999999997</v>
      </c>
      <c r="I7" s="241">
        <f>+'Sno-King Waste Stream Report'!I7+'SKC Waste Stream Report'!I7</f>
        <v>2202.304933026834</v>
      </c>
      <c r="J7" s="102">
        <f>+'Sno-King Waste Stream Report'!J7+'SKC Waste Stream Report'!J7</f>
        <v>1978.8155331902271</v>
      </c>
      <c r="K7" s="244">
        <f>+'Sno-King Waste Stream Report'!K7+'SKC Waste Stream Report'!K7</f>
        <v>2011.3870216997618</v>
      </c>
      <c r="L7" s="241">
        <f>+'Sno-King Waste Stream Report'!L7+'SKC Waste Stream Report'!L7</f>
        <v>2070.62</v>
      </c>
      <c r="M7" s="102">
        <f>+'Sno-King Waste Stream Report'!M7+'SKC Waste Stream Report'!M7</f>
        <v>2115.15</v>
      </c>
      <c r="N7" s="244">
        <f>+'Sno-King Waste Stream Report'!N7+'SKC Waste Stream Report'!N7</f>
        <v>2008.27</v>
      </c>
      <c r="O7" s="241"/>
      <c r="P7" s="102"/>
      <c r="Q7" s="101"/>
      <c r="R7" s="28">
        <f>AVERAGE(F7:Q7)</f>
        <v>2022.6819431018691</v>
      </c>
    </row>
    <row r="8" spans="1:18" ht="12.75">
      <c r="A8" s="24"/>
      <c r="B8" s="2"/>
      <c r="C8" s="258" t="s">
        <v>5</v>
      </c>
      <c r="D8" s="25"/>
      <c r="E8" s="269">
        <f>+'Sno-King Waste Stream Report'!E8+'SKC Waste Stream Report'!E8</f>
        <v>875.5824080216582</v>
      </c>
      <c r="F8" s="266">
        <f>+'Sno-King Waste Stream Report'!F8+'SKC Waste Stream Report'!F8</f>
        <v>1082.305956937446</v>
      </c>
      <c r="G8" s="267">
        <f>+'Sno-King Waste Stream Report'!G8+'SKC Waste Stream Report'!G8</f>
        <v>785.0978937973191</v>
      </c>
      <c r="H8" s="268">
        <f>+'Sno-King Waste Stream Report'!H8+'SKC Waste Stream Report'!H8</f>
        <v>790.741020606986</v>
      </c>
      <c r="I8" s="266">
        <f>+'Sno-King Waste Stream Report'!I8+'SKC Waste Stream Report'!I8</f>
        <v>919.9100000000001</v>
      </c>
      <c r="J8" s="267">
        <f>+'Sno-King Waste Stream Report'!J8+'SKC Waste Stream Report'!J8</f>
        <v>720.714624442163</v>
      </c>
      <c r="K8" s="268">
        <f>+'Sno-King Waste Stream Report'!K8+'SKC Waste Stream Report'!K8</f>
        <v>702.21</v>
      </c>
      <c r="L8" s="266">
        <f>+'Sno-King Waste Stream Report'!L8+'SKC Waste Stream Report'!L8</f>
        <v>771.64</v>
      </c>
      <c r="M8" s="267">
        <f>+'Sno-King Waste Stream Report'!M8+'SKC Waste Stream Report'!M8</f>
        <v>704.53</v>
      </c>
      <c r="N8" s="268">
        <f>+'Sno-King Waste Stream Report'!N8+'SKC Waste Stream Report'!N8</f>
        <v>739.22</v>
      </c>
      <c r="O8" s="266"/>
      <c r="P8" s="267"/>
      <c r="Q8" s="362"/>
      <c r="R8" s="27">
        <f>AVERAGE(F8:Q8)</f>
        <v>801.8188328648794</v>
      </c>
    </row>
    <row r="9" spans="1:18" ht="12.75">
      <c r="A9" s="24"/>
      <c r="B9" s="2"/>
      <c r="C9" s="258" t="s">
        <v>2</v>
      </c>
      <c r="D9" s="25"/>
      <c r="E9" s="269">
        <f>+'Sno-King Waste Stream Report'!E9+'SKC Waste Stream Report'!E9</f>
        <v>357.5942733685921</v>
      </c>
      <c r="F9" s="266">
        <f>+'Sno-King Waste Stream Report'!F9+'SKC Waste Stream Report'!F9</f>
        <v>483.5546485753338</v>
      </c>
      <c r="G9" s="267">
        <f>+'Sno-King Waste Stream Report'!G9+'SKC Waste Stream Report'!G9</f>
        <v>405.31197921777095</v>
      </c>
      <c r="H9" s="268">
        <f>+'Sno-King Waste Stream Report'!H9+'SKC Waste Stream Report'!H9</f>
        <v>544.1413096297254</v>
      </c>
      <c r="I9" s="266">
        <f>+'Sno-King Waste Stream Report'!I9+'SKC Waste Stream Report'!I9</f>
        <v>628.31</v>
      </c>
      <c r="J9" s="267">
        <f>+'Sno-King Waste Stream Report'!J9+'SKC Waste Stream Report'!J9</f>
        <v>726.9054697829981</v>
      </c>
      <c r="K9" s="268">
        <f>+'Sno-King Waste Stream Report'!K9+'SKC Waste Stream Report'!K9</f>
        <v>680.2671245349297</v>
      </c>
      <c r="L9" s="266">
        <f>+'Sno-King Waste Stream Report'!L9+'SKC Waste Stream Report'!L9</f>
        <v>671.04</v>
      </c>
      <c r="M9" s="267">
        <f>+'Sno-King Waste Stream Report'!M9+'SKC Waste Stream Report'!M9</f>
        <v>738.3</v>
      </c>
      <c r="N9" s="268">
        <f>+'Sno-King Waste Stream Report'!N9+'SKC Waste Stream Report'!N9</f>
        <v>765.03</v>
      </c>
      <c r="O9" s="266"/>
      <c r="P9" s="267"/>
      <c r="Q9" s="362"/>
      <c r="R9" s="103">
        <f aca="true" t="shared" si="0" ref="R9:R19">AVERAGE(F9:Q9)</f>
        <v>626.9845035267509</v>
      </c>
    </row>
    <row r="10" spans="1:18" ht="12.75">
      <c r="A10" s="24"/>
      <c r="B10" s="2"/>
      <c r="C10" s="258" t="s">
        <v>0</v>
      </c>
      <c r="D10" s="25"/>
      <c r="E10" s="269">
        <f>+'Sno-King Waste Stream Report'!E10+'SKC Waste Stream Report'!E10</f>
        <v>23.126146478949202</v>
      </c>
      <c r="F10" s="266">
        <f>+'Sno-King Waste Stream Report'!F10+'SKC Waste Stream Report'!F10</f>
        <v>19.269212476739874</v>
      </c>
      <c r="G10" s="267">
        <f>+'Sno-King Waste Stream Report'!G10+'SKC Waste Stream Report'!G10</f>
        <v>15.273473412725897</v>
      </c>
      <c r="H10" s="268">
        <f>+'Sno-King Waste Stream Report'!H10+'SKC Waste Stream Report'!H10</f>
        <v>13.262593867701831</v>
      </c>
      <c r="I10" s="266">
        <f>+'Sno-King Waste Stream Report'!I10+'SKC Waste Stream Report'!I10</f>
        <v>21.14</v>
      </c>
      <c r="J10" s="267">
        <f>+'Sno-King Waste Stream Report'!J10+'SKC Waste Stream Report'!J10</f>
        <v>17.674934411897475</v>
      </c>
      <c r="K10" s="268">
        <f>+'Sno-King Waste Stream Report'!K10+'SKC Waste Stream Report'!K10</f>
        <v>20.25364875910763</v>
      </c>
      <c r="L10" s="266">
        <f>+'Sno-King Waste Stream Report'!L10+'SKC Waste Stream Report'!L10</f>
        <v>20.97</v>
      </c>
      <c r="M10" s="267">
        <f>+'Sno-King Waste Stream Report'!M10+'SKC Waste Stream Report'!M10</f>
        <v>17.84</v>
      </c>
      <c r="N10" s="268">
        <f>+'Sno-King Waste Stream Report'!N10+'SKC Waste Stream Report'!N10</f>
        <v>12.71</v>
      </c>
      <c r="O10" s="266"/>
      <c r="P10" s="267"/>
      <c r="Q10" s="362"/>
      <c r="R10" s="103">
        <f t="shared" si="0"/>
        <v>17.5993181031303</v>
      </c>
    </row>
    <row r="11" spans="1:18" ht="12.75">
      <c r="A11" s="24"/>
      <c r="B11" s="2"/>
      <c r="C11" s="258" t="s">
        <v>3</v>
      </c>
      <c r="D11" s="25"/>
      <c r="E11" s="269">
        <f>+'Sno-King Waste Stream Report'!E11+'SKC Waste Stream Report'!E11</f>
        <v>58.76340371197236</v>
      </c>
      <c r="F11" s="266">
        <f>+'Sno-King Waste Stream Report'!F11+'SKC Waste Stream Report'!F11</f>
        <v>40.230547094231994</v>
      </c>
      <c r="G11" s="267">
        <f>+'Sno-King Waste Stream Report'!G11+'SKC Waste Stream Report'!G11</f>
        <v>31.27547479244039</v>
      </c>
      <c r="H11" s="268">
        <f>+'Sno-King Waste Stream Report'!H11+'SKC Waste Stream Report'!H11</f>
        <v>26.49373818350178</v>
      </c>
      <c r="I11" s="266">
        <f>+'Sno-King Waste Stream Report'!I11+'SKC Waste Stream Report'!I11</f>
        <v>32.51</v>
      </c>
      <c r="J11" s="267">
        <f>+'Sno-King Waste Stream Report'!J11+'SKC Waste Stream Report'!J11</f>
        <v>33.685327559574</v>
      </c>
      <c r="K11" s="268">
        <f>+'Sno-King Waste Stream Report'!K11+'SKC Waste Stream Report'!K11</f>
        <v>36.17</v>
      </c>
      <c r="L11" s="266">
        <f>+'Sno-King Waste Stream Report'!L11+'SKC Waste Stream Report'!L11</f>
        <v>30.439999999999998</v>
      </c>
      <c r="M11" s="267">
        <f>+'Sno-King Waste Stream Report'!M11+'SKC Waste Stream Report'!M11</f>
        <v>29.03</v>
      </c>
      <c r="N11" s="268">
        <f>+'Sno-King Waste Stream Report'!N11+'SKC Waste Stream Report'!N11</f>
        <v>31.64</v>
      </c>
      <c r="O11" s="266"/>
      <c r="P11" s="267"/>
      <c r="Q11" s="362"/>
      <c r="R11" s="103">
        <f t="shared" si="0"/>
        <v>32.386120847749794</v>
      </c>
    </row>
    <row r="12" spans="1:18" ht="12.75">
      <c r="A12" s="24"/>
      <c r="B12" s="2"/>
      <c r="C12" s="258" t="s">
        <v>1</v>
      </c>
      <c r="D12" s="25"/>
      <c r="E12" s="269">
        <f>+'Sno-King Waste Stream Report'!E12+'SKC Waste Stream Report'!E12</f>
        <v>446.2368777590313</v>
      </c>
      <c r="F12" s="266">
        <f>+'Sno-King Waste Stream Report'!F12+'SKC Waste Stream Report'!F12</f>
        <v>371.31928682556855</v>
      </c>
      <c r="G12" s="267">
        <f>+'Sno-King Waste Stream Report'!G12+'SKC Waste Stream Report'!G12</f>
        <v>288.3558805507515</v>
      </c>
      <c r="H12" s="268">
        <f>+'Sno-King Waste Stream Report'!H12+'SKC Waste Stream Report'!H12</f>
        <v>385.24312992899837</v>
      </c>
      <c r="I12" s="266">
        <f>+'Sno-King Waste Stream Report'!I12+'SKC Waste Stream Report'!I12</f>
        <v>414.81</v>
      </c>
      <c r="J12" s="267">
        <f>+'Sno-King Waste Stream Report'!J12+'SKC Waste Stream Report'!J12</f>
        <v>296.2186337065896</v>
      </c>
      <c r="K12" s="268">
        <f>+'Sno-King Waste Stream Report'!K12+'SKC Waste Stream Report'!K12</f>
        <v>379.74705591943007</v>
      </c>
      <c r="L12" s="266">
        <f>+'Sno-King Waste Stream Report'!L12+'SKC Waste Stream Report'!L12</f>
        <v>422.44</v>
      </c>
      <c r="M12" s="267">
        <f>+'Sno-King Waste Stream Report'!M12+'SKC Waste Stream Report'!M12</f>
        <v>431.37</v>
      </c>
      <c r="N12" s="268">
        <f>+'Sno-King Waste Stream Report'!N12+'SKC Waste Stream Report'!N12</f>
        <v>325.44</v>
      </c>
      <c r="O12" s="266"/>
      <c r="P12" s="267"/>
      <c r="Q12" s="362"/>
      <c r="R12" s="103">
        <f t="shared" si="0"/>
        <v>368.3271096590376</v>
      </c>
    </row>
    <row r="13" spans="1:18" ht="12.75">
      <c r="A13" s="24"/>
      <c r="B13" s="2"/>
      <c r="C13" s="258" t="s">
        <v>6</v>
      </c>
      <c r="D13" s="25"/>
      <c r="E13" s="269">
        <f>+'Sno-King Waste Stream Report'!E13+'SKC Waste Stream Report'!E13</f>
        <v>14.630379746774238</v>
      </c>
      <c r="F13" s="266">
        <f>+'Sno-King Waste Stream Report'!F13+'SKC Waste Stream Report'!F13</f>
        <v>21.114368549908807</v>
      </c>
      <c r="G13" s="267">
        <f>+'Sno-King Waste Stream Report'!G13+'SKC Waste Stream Report'!G13</f>
        <v>15.62200805663649</v>
      </c>
      <c r="H13" s="268">
        <f>+'Sno-King Waste Stream Report'!H13+'SKC Waste Stream Report'!H13</f>
        <v>18.68275610265836</v>
      </c>
      <c r="I13" s="266">
        <f>+'Sno-King Waste Stream Report'!I13+'SKC Waste Stream Report'!I13</f>
        <v>22.68</v>
      </c>
      <c r="J13" s="267">
        <f>+'Sno-King Waste Stream Report'!J13+'SKC Waste Stream Report'!J13</f>
        <v>17.092617029097994</v>
      </c>
      <c r="K13" s="268">
        <f>+'Sno-King Waste Stream Report'!K13+'SKC Waste Stream Report'!K13</f>
        <v>15.99811479135251</v>
      </c>
      <c r="L13" s="266">
        <f>+'Sno-King Waste Stream Report'!L13+'SKC Waste Stream Report'!L13</f>
        <v>13.84</v>
      </c>
      <c r="M13" s="267">
        <f>+'Sno-King Waste Stream Report'!M13+'SKC Waste Stream Report'!M13</f>
        <v>14.7</v>
      </c>
      <c r="N13" s="268">
        <f>+'Sno-King Waste Stream Report'!N13+'SKC Waste Stream Report'!N13</f>
        <v>16.009999999999998</v>
      </c>
      <c r="O13" s="266"/>
      <c r="P13" s="267"/>
      <c r="Q13" s="362"/>
      <c r="R13" s="103">
        <f t="shared" si="0"/>
        <v>17.304429392183792</v>
      </c>
    </row>
    <row r="14" spans="1:18" ht="12.75">
      <c r="A14" s="24"/>
      <c r="B14" s="2"/>
      <c r="C14" s="258" t="s">
        <v>98</v>
      </c>
      <c r="D14" s="25"/>
      <c r="E14" s="269">
        <f>+'Sno-King Waste Stream Report'!E14+'SKC Waste Stream Report'!E14</f>
        <v>17.265065755620547</v>
      </c>
      <c r="F14" s="266">
        <f>+'Sno-King Waste Stream Report'!F14+'SKC Waste Stream Report'!F14</f>
        <v>15.909014300521182</v>
      </c>
      <c r="G14" s="267">
        <f>+'Sno-King Waste Stream Report'!G14+'SKC Waste Stream Report'!G14</f>
        <v>15.475750675575345</v>
      </c>
      <c r="H14" s="268">
        <f>+'Sno-King Waste Stream Report'!H14+'SKC Waste Stream Report'!H14</f>
        <v>13.185174375240786</v>
      </c>
      <c r="I14" s="266">
        <f>+'Sno-King Waste Stream Report'!I14+'SKC Waste Stream Report'!I14</f>
        <v>19.759999999999998</v>
      </c>
      <c r="J14" s="267">
        <f>+'Sno-King Waste Stream Report'!J14+'SKC Waste Stream Report'!J14</f>
        <v>19.299392612457833</v>
      </c>
      <c r="K14" s="268">
        <f>+'Sno-King Waste Stream Report'!K14+'SKC Waste Stream Report'!K14</f>
        <v>18.001865381498657</v>
      </c>
      <c r="L14" s="266">
        <f>+'Sno-King Waste Stream Report'!L14+'SKC Waste Stream Report'!L14</f>
        <v>20.55</v>
      </c>
      <c r="M14" s="267">
        <f>+'Sno-King Waste Stream Report'!M14+'SKC Waste Stream Report'!M14</f>
        <v>14.77</v>
      </c>
      <c r="N14" s="268">
        <f>+'Sno-King Waste Stream Report'!N14+'SKC Waste Stream Report'!N14</f>
        <v>13.760000000000002</v>
      </c>
      <c r="O14" s="266"/>
      <c r="P14" s="267"/>
      <c r="Q14" s="362"/>
      <c r="R14" s="103">
        <f t="shared" si="0"/>
        <v>16.745688593921535</v>
      </c>
    </row>
    <row r="15" spans="1:18" ht="12.75">
      <c r="A15" s="24"/>
      <c r="B15" s="2"/>
      <c r="C15" s="258" t="s">
        <v>99</v>
      </c>
      <c r="D15" s="25"/>
      <c r="E15" s="384" t="s">
        <v>82</v>
      </c>
      <c r="F15" s="266">
        <f>+'Sno-King Waste Stream Report'!F15+'SKC Waste Stream Report'!F15</f>
        <v>12.416551323186159</v>
      </c>
      <c r="G15" s="267">
        <f>+'Sno-King Waste Stream Report'!G15+'SKC Waste Stream Report'!G15</f>
        <v>11.418934726917058</v>
      </c>
      <c r="H15" s="268">
        <f>+'Sno-King Waste Stream Report'!H15+'SKC Waste Stream Report'!H15</f>
        <v>12.789181787437148</v>
      </c>
      <c r="I15" s="266">
        <f>+'Sno-King Waste Stream Report'!I15+'SKC Waste Stream Report'!I15</f>
        <v>12.059999999999999</v>
      </c>
      <c r="J15" s="267">
        <f>+'Sno-King Waste Stream Report'!J15+'SKC Waste Stream Report'!J15</f>
        <v>10.208457160597998</v>
      </c>
      <c r="K15" s="268">
        <f>+'Sno-King Waste Stream Report'!K15+'SKC Waste Stream Report'!K15</f>
        <v>9.646703769536483</v>
      </c>
      <c r="L15" s="266">
        <f>+'Sno-King Waste Stream Report'!L15+'SKC Waste Stream Report'!L15</f>
        <v>8.559999999999999</v>
      </c>
      <c r="M15" s="267">
        <f>+'Sno-King Waste Stream Report'!M15+'SKC Waste Stream Report'!M15</f>
        <v>8.120000000000001</v>
      </c>
      <c r="N15" s="268">
        <f>+'Sno-King Waste Stream Report'!N15+'SKC Waste Stream Report'!N15</f>
        <v>8.96</v>
      </c>
      <c r="O15" s="266"/>
      <c r="P15" s="267"/>
      <c r="Q15" s="362"/>
      <c r="R15" s="103">
        <f t="shared" si="0"/>
        <v>10.464425418630539</v>
      </c>
    </row>
    <row r="16" spans="1:18" ht="12.75">
      <c r="A16" s="24"/>
      <c r="B16" s="2"/>
      <c r="C16" s="258" t="s">
        <v>100</v>
      </c>
      <c r="D16" s="25"/>
      <c r="E16" s="384" t="s">
        <v>82</v>
      </c>
      <c r="F16" s="266">
        <f>+'Sno-King Waste Stream Report'!F16+'SKC Waste Stream Report'!F16</f>
        <v>5.560413917063661</v>
      </c>
      <c r="G16" s="267">
        <f>+'Sno-King Waste Stream Report'!G16+'SKC Waste Stream Report'!G16</f>
        <v>9.738604769862956</v>
      </c>
      <c r="H16" s="268">
        <f>+'Sno-King Waste Stream Report'!H16+'SKC Waste Stream Report'!H16</f>
        <v>5.431095517750464</v>
      </c>
      <c r="I16" s="266">
        <f>+'Sno-King Waste Stream Report'!I16+'SKC Waste Stream Report'!I16</f>
        <v>24.29</v>
      </c>
      <c r="J16" s="267">
        <f>+'Sno-King Waste Stream Report'!J16+'SKC Waste Stream Report'!J16</f>
        <v>13.280228467922111</v>
      </c>
      <c r="K16" s="268">
        <f>+'Sno-King Waste Stream Report'!K16+'SKC Waste Stream Report'!K16</f>
        <v>10.667181523669266</v>
      </c>
      <c r="L16" s="266">
        <f>+'Sno-King Waste Stream Report'!L16+'SKC Waste Stream Report'!L16</f>
        <v>12.2</v>
      </c>
      <c r="M16" s="267">
        <f>+'Sno-King Waste Stream Report'!M16+'SKC Waste Stream Report'!M16</f>
        <v>13.09</v>
      </c>
      <c r="N16" s="268">
        <f>+'Sno-King Waste Stream Report'!N16+'SKC Waste Stream Report'!N16</f>
        <v>11.52</v>
      </c>
      <c r="O16" s="266"/>
      <c r="P16" s="267"/>
      <c r="Q16" s="362"/>
      <c r="R16" s="103">
        <f t="shared" si="0"/>
        <v>11.753058244029829</v>
      </c>
    </row>
    <row r="17" spans="1:18" ht="12.75">
      <c r="A17" s="24"/>
      <c r="B17" s="2"/>
      <c r="C17" s="258" t="s">
        <v>4</v>
      </c>
      <c r="D17" s="25"/>
      <c r="E17" s="384" t="s">
        <v>82</v>
      </c>
      <c r="F17" s="266">
        <f>+'Sno-King Waste Stream Report'!F17+'SKC Waste Stream Report'!F17</f>
        <v>139.61</v>
      </c>
      <c r="G17" s="267">
        <f>+'Sno-King Waste Stream Report'!G17+'SKC Waste Stream Report'!G17</f>
        <v>106.93</v>
      </c>
      <c r="H17" s="268">
        <f>+'Sno-King Waste Stream Report'!H17+'SKC Waste Stream Report'!H17</f>
        <v>131.83</v>
      </c>
      <c r="I17" s="266">
        <f>+'Sno-King Waste Stream Report'!I17+'SKC Waste Stream Report'!I17</f>
        <v>106.83493302683388</v>
      </c>
      <c r="J17" s="267">
        <f>+'Sno-King Waste Stream Report'!J17+'SKC Waste Stream Report'!J17</f>
        <v>123.7358480169289</v>
      </c>
      <c r="K17" s="268">
        <f>+'Sno-King Waste Stream Report'!K17+'SKC Waste Stream Report'!K17</f>
        <v>138.42532702023763</v>
      </c>
      <c r="L17" s="266">
        <f>+'Sno-King Waste Stream Report'!L17+'SKC Waste Stream Report'!L17</f>
        <v>98.94</v>
      </c>
      <c r="M17" s="267">
        <f>+'Sno-King Waste Stream Report'!M17+'SKC Waste Stream Report'!M17</f>
        <v>143.4</v>
      </c>
      <c r="N17" s="268">
        <f>+'Sno-King Waste Stream Report'!N17+'SKC Waste Stream Report'!N17</f>
        <v>83.98</v>
      </c>
      <c r="O17" s="266"/>
      <c r="P17" s="267"/>
      <c r="Q17" s="362"/>
      <c r="R17" s="103">
        <f t="shared" si="0"/>
        <v>119.2984564515556</v>
      </c>
    </row>
    <row r="18" spans="1:18" ht="12.75">
      <c r="A18" s="24"/>
      <c r="B18" s="2" t="s">
        <v>20</v>
      </c>
      <c r="C18" s="2"/>
      <c r="D18" s="25"/>
      <c r="E18" s="385" t="s">
        <v>82</v>
      </c>
      <c r="F18" s="367">
        <f>+'Sno-King Waste Stream Report'!F18+'SKC Waste Stream Report'!F18</f>
        <v>744.3</v>
      </c>
      <c r="G18" s="104">
        <f>+'Sno-King Waste Stream Report'!G18+'SKC Waste Stream Report'!G18</f>
        <v>890.4300000000001</v>
      </c>
      <c r="H18" s="370">
        <f>+'Sno-King Waste Stream Report'!H18+'SKC Waste Stream Report'!H18</f>
        <v>2284.99</v>
      </c>
      <c r="I18" s="367">
        <f>+'Sno-King Waste Stream Report'!I18+'SKC Waste Stream Report'!I18</f>
        <v>2978.16109807051</v>
      </c>
      <c r="J18" s="104">
        <f>+'Sno-King Waste Stream Report'!J18+'SKC Waste Stream Report'!J18</f>
        <v>2449.063226986232</v>
      </c>
      <c r="K18" s="370">
        <f>+'Sno-King Waste Stream Report'!K18+'SKC Waste Stream Report'!K18</f>
        <v>2477.0319627037857</v>
      </c>
      <c r="L18" s="367">
        <f>+'Sno-King Waste Stream Report'!L18+'SKC Waste Stream Report'!L18</f>
        <v>1823.8899999999999</v>
      </c>
      <c r="M18" s="104">
        <f>+'Sno-King Waste Stream Report'!M18+'SKC Waste Stream Report'!M18</f>
        <v>1442.8200000000002</v>
      </c>
      <c r="N18" s="370">
        <f>+'Sno-King Waste Stream Report'!N18+'SKC Waste Stream Report'!N18</f>
        <v>2093.13</v>
      </c>
      <c r="O18" s="367"/>
      <c r="P18" s="104"/>
      <c r="Q18" s="106"/>
      <c r="R18" s="103">
        <f t="shared" si="0"/>
        <v>1909.3129208622809</v>
      </c>
    </row>
    <row r="19" spans="1:18" ht="12.75">
      <c r="A19" s="24"/>
      <c r="B19" s="2" t="s">
        <v>21</v>
      </c>
      <c r="C19" s="2"/>
      <c r="D19" s="25"/>
      <c r="E19" s="195">
        <f>+'Sno-King Waste Stream Report'!E19+'SKC Waste Stream Report'!E19</f>
        <v>3935.3850690811914</v>
      </c>
      <c r="F19" s="368">
        <f>+'Sno-King Waste Stream Report'!F19+'SKC Waste Stream Report'!F19</f>
        <v>4174.74</v>
      </c>
      <c r="G19" s="105">
        <f>+'Sno-King Waste Stream Report'!G19+'SKC Waste Stream Report'!G19</f>
        <v>3430.38</v>
      </c>
      <c r="H19" s="371">
        <f>+'Sno-King Waste Stream Report'!H19+'SKC Waste Stream Report'!H19</f>
        <v>3701.87</v>
      </c>
      <c r="I19" s="368">
        <f>+'Sno-King Waste Stream Report'!I19+'SKC Waste Stream Report'!I19</f>
        <v>3962.2762047281794</v>
      </c>
      <c r="J19" s="105">
        <f>+'Sno-King Waste Stream Report'!J19+'SKC Waste Stream Report'!J19</f>
        <v>3717.9851028936814</v>
      </c>
      <c r="K19" s="371">
        <f>+'Sno-King Waste Stream Report'!K19+'SKC Waste Stream Report'!K19</f>
        <v>3919.8208268400285</v>
      </c>
      <c r="L19" s="368">
        <f>+'Sno-King Waste Stream Report'!L19+'SKC Waste Stream Report'!L19</f>
        <v>3813.99</v>
      </c>
      <c r="M19" s="105">
        <f>+'Sno-King Waste Stream Report'!M19+'SKC Waste Stream Report'!M19</f>
        <v>3863.46</v>
      </c>
      <c r="N19" s="371">
        <f>+'Sno-King Waste Stream Report'!N19+'SKC Waste Stream Report'!N19</f>
        <v>4003.6899999999996</v>
      </c>
      <c r="O19" s="368"/>
      <c r="P19" s="105"/>
      <c r="Q19" s="107"/>
      <c r="R19" s="28">
        <f t="shared" si="0"/>
        <v>3843.1346816068763</v>
      </c>
    </row>
    <row r="20" spans="1:18" s="1" customFormat="1" ht="13.5" thickBot="1">
      <c r="A20" s="29"/>
      <c r="B20" s="30" t="s">
        <v>22</v>
      </c>
      <c r="C20" s="30"/>
      <c r="D20" s="31"/>
      <c r="E20" s="386">
        <f>+'Sno-King Waste Stream Report'!E20+'SKC Waste Stream Report'!E20</f>
        <v>5728.58362392379</v>
      </c>
      <c r="F20" s="178">
        <f aca="true" t="shared" si="1" ref="F20:R20">+F19+F18+F7</f>
        <v>7110.33</v>
      </c>
      <c r="G20" s="76">
        <f t="shared" si="1"/>
        <v>6005.31</v>
      </c>
      <c r="H20" s="187">
        <f t="shared" si="1"/>
        <v>7928.66</v>
      </c>
      <c r="I20" s="369">
        <f t="shared" si="1"/>
        <v>9142.742235825524</v>
      </c>
      <c r="J20" s="121">
        <f t="shared" si="1"/>
        <v>8145.863863070141</v>
      </c>
      <c r="K20" s="187">
        <f t="shared" si="1"/>
        <v>8408.239811243577</v>
      </c>
      <c r="L20" s="369">
        <f t="shared" si="1"/>
        <v>7708.499999999999</v>
      </c>
      <c r="M20" s="121">
        <f t="shared" si="1"/>
        <v>7421.43</v>
      </c>
      <c r="N20" s="187">
        <f t="shared" si="1"/>
        <v>8105.09</v>
      </c>
      <c r="O20" s="369">
        <f t="shared" si="1"/>
        <v>0</v>
      </c>
      <c r="P20" s="121">
        <f t="shared" si="1"/>
        <v>0</v>
      </c>
      <c r="Q20" s="137">
        <f t="shared" si="1"/>
        <v>0</v>
      </c>
      <c r="R20" s="138">
        <f t="shared" si="1"/>
        <v>7775.129545571027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312"/>
      <c r="J21" s="118"/>
      <c r="K21" s="188"/>
      <c r="L21" s="312"/>
      <c r="M21" s="118"/>
      <c r="N21" s="188"/>
      <c r="O21" s="312"/>
      <c r="P21" s="118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367">
        <f>+'Sno-King Waste Stream Report'!F22+'SKC Waste Stream Report'!F22</f>
        <v>73.75999999999999</v>
      </c>
      <c r="G22" s="104">
        <f>+'Sno-King Waste Stream Report'!G22+'SKC Waste Stream Report'!G22</f>
        <v>74.50999999999999</v>
      </c>
      <c r="H22" s="370">
        <f>+'Sno-King Waste Stream Report'!H22+'SKC Waste Stream Report'!H22</f>
        <v>94.74000000000001</v>
      </c>
      <c r="I22" s="367">
        <f>+'Sno-King Waste Stream Report'!I22+'SKC Waste Stream Report'!I22</f>
        <v>88.32</v>
      </c>
      <c r="J22" s="104">
        <f>+'Sno-King Waste Stream Report'!J22+'SKC Waste Stream Report'!J22</f>
        <v>94.02</v>
      </c>
      <c r="K22" s="370">
        <f>+'Sno-King Waste Stream Report'!K22+'SKC Waste Stream Report'!K22</f>
        <v>79.25728173050483</v>
      </c>
      <c r="L22" s="367">
        <f>+'Sno-King Waste Stream Report'!L22+'SKC Waste Stream Report'!L22</f>
        <v>111.25</v>
      </c>
      <c r="M22" s="104">
        <f>+'Sno-King Waste Stream Report'!M22+'SKC Waste Stream Report'!M22</f>
        <v>119.54</v>
      </c>
      <c r="N22" s="370">
        <f>+'Sno-King Waste Stream Report'!N22+'SKC Waste Stream Report'!N22</f>
        <v>121.95</v>
      </c>
      <c r="O22" s="367"/>
      <c r="P22" s="104"/>
      <c r="Q22" s="106"/>
      <c r="R22" s="103">
        <f>AVERAGE(F22:Q22)</f>
        <v>95.26080908116721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367">
        <f>+'Sno-King Waste Stream Report'!F23+'SKC Waste Stream Report'!F23</f>
        <v>4.84</v>
      </c>
      <c r="G23" s="104">
        <f>+'Sno-King Waste Stream Report'!G23+'SKC Waste Stream Report'!G23</f>
        <v>3.96</v>
      </c>
      <c r="H23" s="370">
        <f>+'Sno-King Waste Stream Report'!H23+'SKC Waste Stream Report'!H23</f>
        <v>22.73</v>
      </c>
      <c r="I23" s="367">
        <f>+'Sno-King Waste Stream Report'!I23+'SKC Waste Stream Report'!I23</f>
        <v>27.332400000000003</v>
      </c>
      <c r="J23" s="104">
        <f>+'Sno-King Waste Stream Report'!J23+'SKC Waste Stream Report'!J23</f>
        <v>21.442766666666667</v>
      </c>
      <c r="K23" s="370">
        <f>+'Sno-King Waste Stream Report'!K23+'SKC Waste Stream Report'!K23</f>
        <v>1.6581077955123757</v>
      </c>
      <c r="L23" s="367">
        <f>+'Sno-King Waste Stream Report'!L23+'SKC Waste Stream Report'!L23</f>
        <v>1.36</v>
      </c>
      <c r="M23" s="104">
        <f>+'Sno-King Waste Stream Report'!M23+'SKC Waste Stream Report'!M23</f>
        <v>6.51</v>
      </c>
      <c r="N23" s="370">
        <f>+'Sno-King Waste Stream Report'!N23+'SKC Waste Stream Report'!N23</f>
        <v>5.47</v>
      </c>
      <c r="O23" s="367"/>
      <c r="P23" s="104"/>
      <c r="Q23" s="106"/>
      <c r="R23" s="103">
        <f>AVERAGE(F23:Q23)</f>
        <v>10.589252718019896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368">
        <f>+'Sno-King Waste Stream Report'!F24+'SKC Waste Stream Report'!F24</f>
        <v>989.69</v>
      </c>
      <c r="G24" s="105">
        <f>+'Sno-King Waste Stream Report'!G24+'SKC Waste Stream Report'!G24</f>
        <v>937.33</v>
      </c>
      <c r="H24" s="371">
        <f>+'Sno-King Waste Stream Report'!H24+'SKC Waste Stream Report'!H24</f>
        <v>1026.1100000000001</v>
      </c>
      <c r="I24" s="368">
        <f>+'Sno-King Waste Stream Report'!I24+'SKC Waste Stream Report'!I24</f>
        <v>945.5277476763965</v>
      </c>
      <c r="J24" s="105">
        <f>+'Sno-King Waste Stream Report'!J24+'SKC Waste Stream Report'!J24</f>
        <v>953.6291147557298</v>
      </c>
      <c r="K24" s="371">
        <f>+'Sno-King Waste Stream Report'!K24+'SKC Waste Stream Report'!K24</f>
        <v>714.8240428149991</v>
      </c>
      <c r="L24" s="368">
        <f>+'Sno-King Waste Stream Report'!L24+'SKC Waste Stream Report'!L24</f>
        <v>1053.6</v>
      </c>
      <c r="M24" s="105">
        <f>+'Sno-King Waste Stream Report'!M24+'SKC Waste Stream Report'!M24</f>
        <v>1018.87</v>
      </c>
      <c r="N24" s="371">
        <f>+'Sno-King Waste Stream Report'!N24+'SKC Waste Stream Report'!N24</f>
        <v>1034.68</v>
      </c>
      <c r="O24" s="368"/>
      <c r="P24" s="105"/>
      <c r="Q24" s="107"/>
      <c r="R24" s="28">
        <f>AVERAGE(F24:Q24)</f>
        <v>963.8067672496805</v>
      </c>
    </row>
    <row r="25" spans="1:18" s="1" customFormat="1" ht="13.5" thickBot="1">
      <c r="A25" s="29"/>
      <c r="B25" s="20" t="s">
        <v>27</v>
      </c>
      <c r="C25" s="20"/>
      <c r="D25" s="21"/>
      <c r="E25" s="200"/>
      <c r="F25" s="178">
        <f aca="true" t="shared" si="2" ref="F25:R25">SUM(F22:F24)</f>
        <v>1068.29</v>
      </c>
      <c r="G25" s="76">
        <f t="shared" si="2"/>
        <v>1015.8000000000001</v>
      </c>
      <c r="H25" s="187">
        <f t="shared" si="2"/>
        <v>1143.5800000000002</v>
      </c>
      <c r="I25" s="178">
        <f t="shared" si="2"/>
        <v>1061.1801476763965</v>
      </c>
      <c r="J25" s="76">
        <f>SUM(J22:J24)</f>
        <v>1069.0918814223965</v>
      </c>
      <c r="K25" s="187">
        <f>SUM(K22:K24)</f>
        <v>795.7394323410163</v>
      </c>
      <c r="L25" s="178">
        <f t="shared" si="2"/>
        <v>1166.2099999999998</v>
      </c>
      <c r="M25" s="76">
        <f t="shared" si="2"/>
        <v>1144.92</v>
      </c>
      <c r="N25" s="187">
        <f t="shared" si="2"/>
        <v>1162.1000000000001</v>
      </c>
      <c r="O25" s="178">
        <f t="shared" si="2"/>
        <v>0</v>
      </c>
      <c r="P25" s="76">
        <f t="shared" si="2"/>
        <v>0</v>
      </c>
      <c r="Q25" s="76">
        <f t="shared" si="2"/>
        <v>0</v>
      </c>
      <c r="R25" s="77">
        <f t="shared" si="2"/>
        <v>1069.6568290488676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3" ref="F26:R26">+F25+F20</f>
        <v>8178.62</v>
      </c>
      <c r="G26" s="74">
        <f t="shared" si="3"/>
        <v>7021.110000000001</v>
      </c>
      <c r="H26" s="189">
        <f t="shared" si="3"/>
        <v>9072.24</v>
      </c>
      <c r="I26" s="180">
        <f t="shared" si="3"/>
        <v>10203.92238350192</v>
      </c>
      <c r="J26" s="74">
        <f aca="true" t="shared" si="4" ref="J26:P26">+J25+J20</f>
        <v>9214.955744492538</v>
      </c>
      <c r="K26" s="189">
        <f t="shared" si="4"/>
        <v>9203.979243584592</v>
      </c>
      <c r="L26" s="180">
        <f t="shared" si="4"/>
        <v>8874.71</v>
      </c>
      <c r="M26" s="74">
        <f t="shared" si="4"/>
        <v>8566.35</v>
      </c>
      <c r="N26" s="189">
        <f t="shared" si="4"/>
        <v>9267.19</v>
      </c>
      <c r="O26" s="180">
        <f t="shared" si="4"/>
        <v>0</v>
      </c>
      <c r="P26" s="74">
        <f t="shared" si="4"/>
        <v>0</v>
      </c>
      <c r="Q26" s="74">
        <f t="shared" si="3"/>
        <v>0</v>
      </c>
      <c r="R26" s="75">
        <f t="shared" si="3"/>
        <v>8844.786374619895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389"/>
      <c r="F29" s="233"/>
      <c r="G29" s="234"/>
      <c r="H29" s="235"/>
      <c r="I29" s="372"/>
      <c r="J29" s="366"/>
      <c r="K29" s="238"/>
      <c r="L29" s="381"/>
      <c r="M29" s="297"/>
      <c r="N29" s="305"/>
      <c r="O29" s="304"/>
      <c r="P29" s="302"/>
      <c r="Q29" s="302"/>
      <c r="R29" s="14"/>
    </row>
    <row r="30" spans="1:18" ht="12.75">
      <c r="A30" s="19"/>
      <c r="B30" s="91" t="s">
        <v>75</v>
      </c>
      <c r="C30" s="92"/>
      <c r="D30" s="93"/>
      <c r="E30" s="209">
        <f>+'Sno-King Waste Stream Report'!E30+'SKC Waste Stream Report'!E30</f>
        <v>54089.3</v>
      </c>
      <c r="F30" s="205">
        <f>+'Sno-King Waste Stream Report'!F30+'SKC Waste Stream Report'!F30</f>
        <v>55778</v>
      </c>
      <c r="G30" s="94">
        <f>+'Sno-King Waste Stream Report'!G30+'SKC Waste Stream Report'!G30</f>
        <v>56154</v>
      </c>
      <c r="H30" s="214">
        <f>+'Sno-King Waste Stream Report'!H30+'SKC Waste Stream Report'!H30</f>
        <v>56238</v>
      </c>
      <c r="I30" s="373">
        <f>+'Sno-King Waste Stream Report'!I30+'SKC Waste Stream Report'!I30</f>
        <v>56720</v>
      </c>
      <c r="J30" s="127">
        <f>+'Sno-King Waste Stream Report'!J30+'SKC Waste Stream Report'!J30</f>
        <v>56738</v>
      </c>
      <c r="K30" s="214">
        <f>+'Sno-King Waste Stream Report'!K30+'SKC Waste Stream Report'!K30</f>
        <v>51017</v>
      </c>
      <c r="L30" s="373">
        <f>+'Sno-King Waste Stream Report'!L30+'SKC Waste Stream Report'!L30</f>
        <v>50371</v>
      </c>
      <c r="M30" s="127">
        <f>+'Sno-King Waste Stream Report'!M30+'SKC Waste Stream Report'!M30</f>
        <v>50674</v>
      </c>
      <c r="N30" s="214">
        <f>+'Sno-King Waste Stream Report'!N30+'SKC Waste Stream Report'!N30</f>
        <v>50789</v>
      </c>
      <c r="O30" s="373"/>
      <c r="P30" s="127"/>
      <c r="Q30" s="127"/>
      <c r="R30" s="87">
        <f aca="true" t="shared" si="5" ref="R30:R47">AVERAGE(F30:Q30)</f>
        <v>53831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375">
        <f>+'Sno-King Waste Stream Report'!F31+'SKC Waste Stream Report'!F31</f>
        <v>506</v>
      </c>
      <c r="G31" s="363">
        <f>+'Sno-King Waste Stream Report'!G31+'SKC Waste Stream Report'!G31</f>
        <v>506</v>
      </c>
      <c r="H31" s="378">
        <f>+'Sno-King Waste Stream Report'!H31+'SKC Waste Stream Report'!H31</f>
        <v>506</v>
      </c>
      <c r="I31" s="374">
        <f>+'Sno-King Waste Stream Report'!I31+'SKC Waste Stream Report'!I31</f>
        <v>521</v>
      </c>
      <c r="J31" s="364">
        <f>+'Sno-King Waste Stream Report'!J31+'SKC Waste Stream Report'!J31</f>
        <v>524</v>
      </c>
      <c r="K31" s="382">
        <f>+'Sno-King Waste Stream Report'!K31+'SKC Waste Stream Report'!K31</f>
        <v>409</v>
      </c>
      <c r="L31" s="374">
        <f>+'Sno-King Waste Stream Report'!L31+'SKC Waste Stream Report'!L31</f>
        <v>393</v>
      </c>
      <c r="M31" s="364">
        <f>+'Sno-King Waste Stream Report'!M31+'SKC Waste Stream Report'!M31</f>
        <v>396</v>
      </c>
      <c r="N31" s="382">
        <f>+'Sno-King Waste Stream Report'!N31+'SKC Waste Stream Report'!N31</f>
        <v>393</v>
      </c>
      <c r="O31" s="374"/>
      <c r="P31" s="364"/>
      <c r="Q31" s="364"/>
      <c r="R31" s="70">
        <f t="shared" si="5"/>
        <v>461.55555555555554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375">
        <f>+'Sno-King Waste Stream Report'!F32+'SKC Waste Stream Report'!F32</f>
        <v>239</v>
      </c>
      <c r="G32" s="363">
        <f>+'Sno-King Waste Stream Report'!G32+'SKC Waste Stream Report'!G32</f>
        <v>239</v>
      </c>
      <c r="H32" s="378">
        <f>+'Sno-King Waste Stream Report'!H32+'SKC Waste Stream Report'!H32</f>
        <v>239</v>
      </c>
      <c r="I32" s="375">
        <f>+'Sno-King Waste Stream Report'!I32+'SKC Waste Stream Report'!I32</f>
        <v>239</v>
      </c>
      <c r="J32" s="363">
        <f>+'Sno-King Waste Stream Report'!J32+'SKC Waste Stream Report'!J32</f>
        <v>239</v>
      </c>
      <c r="K32" s="378">
        <f>+'Sno-King Waste Stream Report'!K32+'SKC Waste Stream Report'!K32</f>
        <v>74</v>
      </c>
      <c r="L32" s="375">
        <f>+'Sno-King Waste Stream Report'!L32+'SKC Waste Stream Report'!L32</f>
        <v>73</v>
      </c>
      <c r="M32" s="363">
        <f>+'Sno-King Waste Stream Report'!M32+'SKC Waste Stream Report'!M32</f>
        <v>74</v>
      </c>
      <c r="N32" s="378">
        <f>+'Sno-King Waste Stream Report'!N32+'SKC Waste Stream Report'!N32</f>
        <v>76</v>
      </c>
      <c r="O32" s="375"/>
      <c r="P32" s="363"/>
      <c r="Q32" s="363"/>
      <c r="R32" s="70">
        <f t="shared" si="5"/>
        <v>165.77777777777777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375">
        <f>+'Sno-King Waste Stream Report'!F33+'SKC Waste Stream Report'!F33</f>
        <v>4237</v>
      </c>
      <c r="G33" s="363">
        <f>+'Sno-King Waste Stream Report'!G33+'SKC Waste Stream Report'!G33</f>
        <v>4303</v>
      </c>
      <c r="H33" s="378">
        <f>+'Sno-King Waste Stream Report'!H33+'SKC Waste Stream Report'!H33</f>
        <v>4303</v>
      </c>
      <c r="I33" s="375">
        <f>+'Sno-King Waste Stream Report'!I33+'SKC Waste Stream Report'!I33</f>
        <v>4397</v>
      </c>
      <c r="J33" s="363">
        <f>+'Sno-King Waste Stream Report'!J33+'SKC Waste Stream Report'!J33</f>
        <v>4412</v>
      </c>
      <c r="K33" s="378">
        <f>+'Sno-King Waste Stream Report'!K33+'SKC Waste Stream Report'!K33</f>
        <v>2084</v>
      </c>
      <c r="L33" s="375">
        <f>+'Sno-King Waste Stream Report'!L33+'SKC Waste Stream Report'!L33</f>
        <v>2031</v>
      </c>
      <c r="M33" s="363">
        <f>+'Sno-King Waste Stream Report'!M33+'SKC Waste Stream Report'!M33</f>
        <v>2034</v>
      </c>
      <c r="N33" s="378">
        <f>+'Sno-King Waste Stream Report'!N33+'SKC Waste Stream Report'!N33</f>
        <v>2043</v>
      </c>
      <c r="O33" s="375"/>
      <c r="P33" s="363"/>
      <c r="Q33" s="363"/>
      <c r="R33" s="70">
        <f t="shared" si="5"/>
        <v>3316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375">
        <f>+'Sno-King Waste Stream Report'!F34+'SKC Waste Stream Report'!F34</f>
        <v>28039</v>
      </c>
      <c r="G34" s="363">
        <f>+'Sno-King Waste Stream Report'!G34+'SKC Waste Stream Report'!G34</f>
        <v>28253</v>
      </c>
      <c r="H34" s="378">
        <f>+'Sno-King Waste Stream Report'!H34+'SKC Waste Stream Report'!H34</f>
        <v>28325</v>
      </c>
      <c r="I34" s="375">
        <f>+'Sno-King Waste Stream Report'!I34+'SKC Waste Stream Report'!I34</f>
        <v>28205</v>
      </c>
      <c r="J34" s="363">
        <f>+'Sno-King Waste Stream Report'!J34+'SKC Waste Stream Report'!J34</f>
        <v>28170</v>
      </c>
      <c r="K34" s="378">
        <f>+'Sno-King Waste Stream Report'!K34+'SKC Waste Stream Report'!K34</f>
        <v>22556</v>
      </c>
      <c r="L34" s="375">
        <f>+'Sno-King Waste Stream Report'!L34+'SKC Waste Stream Report'!L34</f>
        <v>22264</v>
      </c>
      <c r="M34" s="363">
        <f>+'Sno-King Waste Stream Report'!M34+'SKC Waste Stream Report'!M34</f>
        <v>22431</v>
      </c>
      <c r="N34" s="378">
        <f>+'Sno-King Waste Stream Report'!N34+'SKC Waste Stream Report'!N34</f>
        <v>22472</v>
      </c>
      <c r="O34" s="375"/>
      <c r="P34" s="363"/>
      <c r="Q34" s="363"/>
      <c r="R34" s="70">
        <f t="shared" si="5"/>
        <v>25635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375">
        <f>+'Sno-King Waste Stream Report'!F35+'SKC Waste Stream Report'!F35</f>
        <v>4599</v>
      </c>
      <c r="G35" s="363">
        <f>+'Sno-King Waste Stream Report'!G35+'SKC Waste Stream Report'!G35</f>
        <v>4613</v>
      </c>
      <c r="H35" s="378">
        <f>+'Sno-King Waste Stream Report'!H35+'SKC Waste Stream Report'!H35</f>
        <v>4613</v>
      </c>
      <c r="I35" s="375">
        <f>+'Sno-King Waste Stream Report'!I35+'SKC Waste Stream Report'!I35</f>
        <v>4437</v>
      </c>
      <c r="J35" s="363">
        <f>+'Sno-King Waste Stream Report'!J35+'SKC Waste Stream Report'!J35</f>
        <v>4410</v>
      </c>
      <c r="K35" s="378">
        <f>+'Sno-King Waste Stream Report'!K35+'SKC Waste Stream Report'!K35</f>
        <v>3437</v>
      </c>
      <c r="L35" s="375">
        <f>+'Sno-King Waste Stream Report'!L35+'SKC Waste Stream Report'!L35</f>
        <v>3351</v>
      </c>
      <c r="M35" s="363">
        <f>+'Sno-King Waste Stream Report'!M35+'SKC Waste Stream Report'!M35</f>
        <v>3355</v>
      </c>
      <c r="N35" s="378">
        <f>+'Sno-King Waste Stream Report'!N35+'SKC Waste Stream Report'!N35</f>
        <v>3361</v>
      </c>
      <c r="O35" s="375"/>
      <c r="P35" s="363"/>
      <c r="Q35" s="363"/>
      <c r="R35" s="70">
        <f t="shared" si="5"/>
        <v>4019.5555555555557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375">
        <f>+'Sno-King Waste Stream Report'!F36+'SKC Waste Stream Report'!F36</f>
        <v>238</v>
      </c>
      <c r="G36" s="363">
        <f>+'Sno-King Waste Stream Report'!G36+'SKC Waste Stream Report'!G36</f>
        <v>238</v>
      </c>
      <c r="H36" s="378">
        <f>+'Sno-King Waste Stream Report'!H36+'SKC Waste Stream Report'!H36</f>
        <v>238</v>
      </c>
      <c r="I36" s="375">
        <f>+'Sno-King Waste Stream Report'!I36+'SKC Waste Stream Report'!I36</f>
        <v>218</v>
      </c>
      <c r="J36" s="363">
        <f>+'Sno-King Waste Stream Report'!J36+'SKC Waste Stream Report'!J36</f>
        <v>216</v>
      </c>
      <c r="K36" s="378">
        <f>+'Sno-King Waste Stream Report'!K36+'SKC Waste Stream Report'!K36</f>
        <v>154</v>
      </c>
      <c r="L36" s="375">
        <f>+'Sno-King Waste Stream Report'!L36+'SKC Waste Stream Report'!L36</f>
        <v>150</v>
      </c>
      <c r="M36" s="363">
        <f>+'Sno-King Waste Stream Report'!M36+'SKC Waste Stream Report'!M36</f>
        <v>150</v>
      </c>
      <c r="N36" s="378">
        <f>+'Sno-King Waste Stream Report'!N36+'SKC Waste Stream Report'!N36</f>
        <v>149</v>
      </c>
      <c r="O36" s="375"/>
      <c r="P36" s="363"/>
      <c r="Q36" s="363"/>
      <c r="R36" s="70">
        <f t="shared" si="5"/>
        <v>194.55555555555554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375">
        <f>+'Sno-King Waste Stream Report'!F37+'SKC Waste Stream Report'!F37</f>
        <v>26</v>
      </c>
      <c r="G37" s="363">
        <f>+'Sno-King Waste Stream Report'!G37+'SKC Waste Stream Report'!G37</f>
        <v>26</v>
      </c>
      <c r="H37" s="378">
        <f>+'Sno-King Waste Stream Report'!H37+'SKC Waste Stream Report'!H37</f>
        <v>26</v>
      </c>
      <c r="I37" s="375">
        <f>+'Sno-King Waste Stream Report'!I37+'SKC Waste Stream Report'!I37</f>
        <v>26</v>
      </c>
      <c r="J37" s="363">
        <f>+'Sno-King Waste Stream Report'!J37+'SKC Waste Stream Report'!J37</f>
        <v>27</v>
      </c>
      <c r="K37" s="378">
        <f>+'Sno-King Waste Stream Report'!K37+'SKC Waste Stream Report'!K37</f>
        <v>17</v>
      </c>
      <c r="L37" s="375">
        <f>+'Sno-King Waste Stream Report'!L37+'SKC Waste Stream Report'!L37</f>
        <v>16</v>
      </c>
      <c r="M37" s="363">
        <f>+'Sno-King Waste Stream Report'!M37+'SKC Waste Stream Report'!M37</f>
        <v>70</v>
      </c>
      <c r="N37" s="378">
        <f>+'Sno-King Waste Stream Report'!N37+'SKC Waste Stream Report'!N37</f>
        <v>71</v>
      </c>
      <c r="O37" s="375"/>
      <c r="P37" s="363"/>
      <c r="Q37" s="363"/>
      <c r="R37" s="70">
        <f t="shared" si="5"/>
        <v>33.888888888888886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375">
        <f>+'Sno-King Waste Stream Report'!F38+'SKC Waste Stream Report'!F38</f>
        <v>3</v>
      </c>
      <c r="G38" s="363">
        <f>+'Sno-King Waste Stream Report'!G38+'SKC Waste Stream Report'!G38</f>
        <v>3</v>
      </c>
      <c r="H38" s="378">
        <f>+'Sno-King Waste Stream Report'!H38+'SKC Waste Stream Report'!H38</f>
        <v>3</v>
      </c>
      <c r="I38" s="375">
        <f>+'Sno-King Waste Stream Report'!I38+'SKC Waste Stream Report'!I38</f>
        <v>3</v>
      </c>
      <c r="J38" s="363">
        <f>+'Sno-King Waste Stream Report'!J38+'SKC Waste Stream Report'!J38</f>
        <v>3</v>
      </c>
      <c r="K38" s="378">
        <f>+'Sno-King Waste Stream Report'!K38+'SKC Waste Stream Report'!K38</f>
        <v>2</v>
      </c>
      <c r="L38" s="375">
        <f>+'Sno-King Waste Stream Report'!L38+'SKC Waste Stream Report'!L38</f>
        <v>2</v>
      </c>
      <c r="M38" s="363">
        <f>+'Sno-King Waste Stream Report'!M38+'SKC Waste Stream Report'!M38</f>
        <v>2</v>
      </c>
      <c r="N38" s="378">
        <f>+'Sno-King Waste Stream Report'!N38+'SKC Waste Stream Report'!N38</f>
        <v>2</v>
      </c>
      <c r="O38" s="375"/>
      <c r="P38" s="363"/>
      <c r="Q38" s="363"/>
      <c r="R38" s="70">
        <f t="shared" si="5"/>
        <v>2.5555555555555554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375">
        <f>+'Sno-King Waste Stream Report'!F39+'SKC Waste Stream Report'!F39</f>
        <v>2643</v>
      </c>
      <c r="G39" s="363">
        <f>+'Sno-King Waste Stream Report'!G39+'SKC Waste Stream Report'!G39</f>
        <v>2656</v>
      </c>
      <c r="H39" s="378">
        <f>+'Sno-King Waste Stream Report'!H39+'SKC Waste Stream Report'!H39</f>
        <v>2656</v>
      </c>
      <c r="I39" s="375">
        <f>+'Sno-King Waste Stream Report'!I39+'SKC Waste Stream Report'!I39</f>
        <v>2940</v>
      </c>
      <c r="J39" s="363">
        <f>+'Sno-King Waste Stream Report'!J39+'SKC Waste Stream Report'!J39</f>
        <v>3011</v>
      </c>
      <c r="K39" s="378">
        <f>+'Sno-King Waste Stream Report'!K39+'SKC Waste Stream Report'!K39</f>
        <v>6848</v>
      </c>
      <c r="L39" s="375">
        <f>+'Sno-King Waste Stream Report'!L39+'SKC Waste Stream Report'!L39</f>
        <v>6732</v>
      </c>
      <c r="M39" s="363">
        <f>+'Sno-King Waste Stream Report'!M39+'SKC Waste Stream Report'!M39</f>
        <v>6784</v>
      </c>
      <c r="N39" s="378">
        <f>+'Sno-King Waste Stream Report'!N39+'SKC Waste Stream Report'!N39</f>
        <v>6831</v>
      </c>
      <c r="O39" s="375"/>
      <c r="P39" s="363"/>
      <c r="Q39" s="363"/>
      <c r="R39" s="70">
        <f t="shared" si="5"/>
        <v>4566.777777777777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375">
        <f>+'Sno-King Waste Stream Report'!F40+'SKC Waste Stream Report'!F40</f>
        <v>11403</v>
      </c>
      <c r="G40" s="363">
        <f>+'Sno-King Waste Stream Report'!G40+'SKC Waste Stream Report'!G40</f>
        <v>11451</v>
      </c>
      <c r="H40" s="378">
        <f>+'Sno-King Waste Stream Report'!H40+'SKC Waste Stream Report'!H40</f>
        <v>11463</v>
      </c>
      <c r="I40" s="375">
        <f>+'Sno-King Waste Stream Report'!I40+'SKC Waste Stream Report'!I40</f>
        <v>11822</v>
      </c>
      <c r="J40" s="363">
        <f>+'Sno-King Waste Stream Report'!J40+'SKC Waste Stream Report'!J40</f>
        <v>11846</v>
      </c>
      <c r="K40" s="378">
        <f>+'Sno-King Waste Stream Report'!K40+'SKC Waste Stream Report'!K40</f>
        <v>11351</v>
      </c>
      <c r="L40" s="375">
        <f>+'Sno-King Waste Stream Report'!L40+'SKC Waste Stream Report'!L40</f>
        <v>11318</v>
      </c>
      <c r="M40" s="363">
        <f>+'Sno-King Waste Stream Report'!M40+'SKC Waste Stream Report'!M40</f>
        <v>11327</v>
      </c>
      <c r="N40" s="378">
        <f>+'Sno-King Waste Stream Report'!N40+'SKC Waste Stream Report'!N40</f>
        <v>11338</v>
      </c>
      <c r="O40" s="375"/>
      <c r="P40" s="363"/>
      <c r="Q40" s="363"/>
      <c r="R40" s="70">
        <f t="shared" si="5"/>
        <v>11479.888888888889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375">
        <f>+'Sno-King Waste Stream Report'!F41+'SKC Waste Stream Report'!F41</f>
        <v>3845</v>
      </c>
      <c r="G41" s="363">
        <f>+'Sno-King Waste Stream Report'!G41+'SKC Waste Stream Report'!G41</f>
        <v>3866</v>
      </c>
      <c r="H41" s="378">
        <f>+'Sno-King Waste Stream Report'!H41+'SKC Waste Stream Report'!H41</f>
        <v>3866</v>
      </c>
      <c r="I41" s="375">
        <f>+'Sno-King Waste Stream Report'!I41+'SKC Waste Stream Report'!I41</f>
        <v>3912</v>
      </c>
      <c r="J41" s="363">
        <f>+'Sno-King Waste Stream Report'!J41+'SKC Waste Stream Report'!J41</f>
        <v>3880</v>
      </c>
      <c r="K41" s="378">
        <f>+'Sno-King Waste Stream Report'!K41+'SKC Waste Stream Report'!K41</f>
        <v>3912</v>
      </c>
      <c r="L41" s="375">
        <f>+'Sno-King Waste Stream Report'!L41+'SKC Waste Stream Report'!L41</f>
        <v>3870</v>
      </c>
      <c r="M41" s="363">
        <f>+'Sno-King Waste Stream Report'!M41+'SKC Waste Stream Report'!M41</f>
        <v>3880</v>
      </c>
      <c r="N41" s="378">
        <f>+'Sno-King Waste Stream Report'!N41+'SKC Waste Stream Report'!N41</f>
        <v>3888</v>
      </c>
      <c r="O41" s="375"/>
      <c r="P41" s="363"/>
      <c r="Q41" s="363"/>
      <c r="R41" s="70">
        <f t="shared" si="5"/>
        <v>3879.8888888888887</v>
      </c>
    </row>
    <row r="42" spans="1:18" ht="12.75">
      <c r="A42" s="19"/>
      <c r="B42" s="270"/>
      <c r="C42" s="271" t="s">
        <v>117</v>
      </c>
      <c r="D42" s="93"/>
      <c r="E42" s="196" t="s">
        <v>82</v>
      </c>
      <c r="F42" s="397">
        <f>+'SKC Waste Stream Report'!F42</f>
        <v>0</v>
      </c>
      <c r="G42" s="363">
        <f>+'SKC Waste Stream Report'!G42</f>
        <v>0</v>
      </c>
      <c r="H42" s="378">
        <f>+'SKC Waste Stream Report'!H42</f>
        <v>0</v>
      </c>
      <c r="I42" s="375">
        <f>+'SKC Waste Stream Report'!I42</f>
        <v>0</v>
      </c>
      <c r="J42" s="398">
        <f>+'SKC Waste Stream Report'!J42</f>
        <v>0</v>
      </c>
      <c r="K42" s="378">
        <f>+'SKC Waste Stream Report'!K42</f>
        <v>87</v>
      </c>
      <c r="L42" s="375">
        <f>+'SKC Waste Stream Report'!L42</f>
        <v>85</v>
      </c>
      <c r="M42" s="363">
        <f>+'SKC Waste Stream Report'!M42</f>
        <v>85</v>
      </c>
      <c r="N42" s="378">
        <f>+'SKC Waste Stream Report'!N42</f>
        <v>81</v>
      </c>
      <c r="O42" s="375"/>
      <c r="P42" s="363"/>
      <c r="Q42" s="363"/>
      <c r="R42" s="70">
        <f t="shared" si="5"/>
        <v>37.55555555555556</v>
      </c>
    </row>
    <row r="43" spans="1:18" ht="12.75">
      <c r="A43" s="19"/>
      <c r="B43" s="270"/>
      <c r="C43" s="271" t="s">
        <v>118</v>
      </c>
      <c r="D43" s="93"/>
      <c r="E43" s="196" t="s">
        <v>82</v>
      </c>
      <c r="F43" s="375">
        <f>+'SKC Waste Stream Report'!F43</f>
        <v>0</v>
      </c>
      <c r="G43" s="363">
        <f>+'SKC Waste Stream Report'!G43</f>
        <v>0</v>
      </c>
      <c r="H43" s="378">
        <f>+'SKC Waste Stream Report'!H43</f>
        <v>0</v>
      </c>
      <c r="I43" s="375">
        <f>+'SKC Waste Stream Report'!I43</f>
        <v>0</v>
      </c>
      <c r="J43" s="398">
        <f>+'SKC Waste Stream Report'!J43</f>
        <v>0</v>
      </c>
      <c r="K43" s="378">
        <f>+'SKC Waste Stream Report'!K43</f>
        <v>82</v>
      </c>
      <c r="L43" s="375">
        <f>+'SKC Waste Stream Report'!L43</f>
        <v>82</v>
      </c>
      <c r="M43" s="363">
        <f>+'SKC Waste Stream Report'!M43</f>
        <v>82</v>
      </c>
      <c r="N43" s="378">
        <f>+'SKC Waste Stream Report'!N43</f>
        <v>80</v>
      </c>
      <c r="O43" s="375"/>
      <c r="P43" s="363"/>
      <c r="Q43" s="363"/>
      <c r="R43" s="70">
        <f t="shared" si="5"/>
        <v>36.22222222222222</v>
      </c>
    </row>
    <row r="44" spans="1:18" ht="12.75">
      <c r="A44" s="19"/>
      <c r="B44" s="270"/>
      <c r="C44" s="271" t="s">
        <v>119</v>
      </c>
      <c r="D44" s="93"/>
      <c r="E44" s="196" t="s">
        <v>82</v>
      </c>
      <c r="F44" s="375">
        <f>+'SKC Waste Stream Report'!F44</f>
        <v>0</v>
      </c>
      <c r="G44" s="363">
        <f>+'SKC Waste Stream Report'!G44</f>
        <v>0</v>
      </c>
      <c r="H44" s="378">
        <f>+'SKC Waste Stream Report'!H44</f>
        <v>0</v>
      </c>
      <c r="I44" s="375">
        <f>+'SKC Waste Stream Report'!I44</f>
        <v>0</v>
      </c>
      <c r="J44" s="398">
        <f>+'SKC Waste Stream Report'!J44</f>
        <v>0</v>
      </c>
      <c r="K44" s="378">
        <f>+'SKC Waste Stream Report'!K44</f>
        <v>3</v>
      </c>
      <c r="L44" s="375">
        <f>+'SKC Waste Stream Report'!L44</f>
        <v>3</v>
      </c>
      <c r="M44" s="363">
        <f>+'SKC Waste Stream Report'!M44</f>
        <v>3</v>
      </c>
      <c r="N44" s="378">
        <f>+'SKC Waste Stream Report'!N44</f>
        <v>3</v>
      </c>
      <c r="O44" s="375"/>
      <c r="P44" s="363"/>
      <c r="Q44" s="363"/>
      <c r="R44" s="70">
        <f t="shared" si="5"/>
        <v>1.3333333333333333</v>
      </c>
    </row>
    <row r="45" spans="1:18" ht="12.75">
      <c r="A45" s="19"/>
      <c r="B45" s="270"/>
      <c r="C45" s="271" t="s">
        <v>120</v>
      </c>
      <c r="D45" s="93"/>
      <c r="E45" s="196" t="s">
        <v>82</v>
      </c>
      <c r="F45" s="375">
        <f>+'SKC Waste Stream Report'!F45</f>
        <v>0</v>
      </c>
      <c r="G45" s="363">
        <f>+'SKC Waste Stream Report'!G45</f>
        <v>0</v>
      </c>
      <c r="H45" s="378">
        <f>+'SKC Waste Stream Report'!H45</f>
        <v>0</v>
      </c>
      <c r="I45" s="375">
        <f>+'SKC Waste Stream Report'!I45</f>
        <v>0</v>
      </c>
      <c r="J45" s="398">
        <f>+'SKC Waste Stream Report'!J45</f>
        <v>0</v>
      </c>
      <c r="K45" s="378">
        <f>+'SKC Waste Stream Report'!K45</f>
        <v>1</v>
      </c>
      <c r="L45" s="375">
        <f>+'SKC Waste Stream Report'!L45</f>
        <v>1</v>
      </c>
      <c r="M45" s="363">
        <f>+'SKC Waste Stream Report'!M45</f>
        <v>1</v>
      </c>
      <c r="N45" s="378">
        <f>+'SKC Waste Stream Report'!N45</f>
        <v>1</v>
      </c>
      <c r="O45" s="375"/>
      <c r="P45" s="363"/>
      <c r="Q45" s="363"/>
      <c r="R45" s="70">
        <f t="shared" si="5"/>
        <v>0.4444444444444444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376">
        <f>(+'Sno-King Waste Stream Report'!F42*'Sno-King Waste Stream Report'!F30+'SKC Waste Stream Report'!F46*'SKC Waste Stream Report'!F30)/'Total KC Waste Stream Report'!F30</f>
        <v>0.7770596184875758</v>
      </c>
      <c r="G46" s="109">
        <f>(+'Sno-King Waste Stream Report'!G42*'Sno-King Waste Stream Report'!G30+'SKC Waste Stream Report'!G46*'SKC Waste Stream Report'!G30)/'Total KC Waste Stream Report'!G30</f>
        <v>0.6843986038394415</v>
      </c>
      <c r="H46" s="379">
        <f>(+'Sno-King Waste Stream Report'!H42*'Sno-King Waste Stream Report'!H30+'SKC Waste Stream Report'!H46*'SKC Waste Stream Report'!H30)/'Total KC Waste Stream Report'!H30</f>
        <v>0.7299915964294604</v>
      </c>
      <c r="I46" s="376">
        <f>(+'Sno-King Waste Stream Report'!I42*'Sno-King Waste Stream Report'!I30+'SKC Waste Stream Report'!I46*'SKC Waste Stream Report'!I30)/'Total KC Waste Stream Report'!I30</f>
        <v>0.8143077060901294</v>
      </c>
      <c r="J46" s="109">
        <f>(+'Sno-King Waste Stream Report'!J42*'Sno-King Waste Stream Report'!J30+'SKC Waste Stream Report'!J46*'SKC Waste Stream Report'!J30)/'Total KC Waste Stream Report'!J30</f>
        <v>0.8045194014593395</v>
      </c>
      <c r="K46" s="379">
        <f>(+'Sno-King Waste Stream Report'!K42*'Sno-King Waste Stream Report'!K30+'SKC Waste Stream Report'!K46*'SKC Waste Stream Report'!K30)/'Total KC Waste Stream Report'!K30</f>
        <v>0.8599351314267792</v>
      </c>
      <c r="L46" s="376">
        <f>(+'Sno-King Waste Stream Report'!L42*'Sno-King Waste Stream Report'!L30+'SKC Waste Stream Report'!L46*'SKC Waste Stream Report'!L30)/'Total KC Waste Stream Report'!L30</f>
        <v>0.8416897341724404</v>
      </c>
      <c r="M46" s="109">
        <f>(+'Sno-King Waste Stream Report'!M42*'Sno-King Waste Stream Report'!M30+'SKC Waste Stream Report'!M46*'SKC Waste Stream Report'!M30)/'Total KC Waste Stream Report'!M30</f>
        <v>0.8415308106721396</v>
      </c>
      <c r="N46" s="379">
        <f>(+'Sno-King Waste Stream Report'!N42*'Sno-King Waste Stream Report'!N30+'SKC Waste Stream Report'!N46*'SKC Waste Stream Report'!N30)/'Total KC Waste Stream Report'!N30</f>
        <v>0.8188207919037588</v>
      </c>
      <c r="O46" s="376"/>
      <c r="P46" s="109"/>
      <c r="Q46" s="109"/>
      <c r="R46" s="140">
        <f t="shared" si="5"/>
        <v>0.7969170438312294</v>
      </c>
    </row>
    <row r="47" spans="1:18" ht="12.75">
      <c r="A47" s="24"/>
      <c r="B47" s="2" t="s">
        <v>77</v>
      </c>
      <c r="C47" s="2"/>
      <c r="D47" s="25"/>
      <c r="E47" s="210">
        <f>(+'Sno-King Waste Stream Report'!E43*'Sno-King Waste Stream Report'!E30+'SKC Waste Stream Report'!E47*'SKC Waste Stream Report'!E30)/'Total KC Waste Stream Report'!E30</f>
        <v>20.402025555335637</v>
      </c>
      <c r="F47" s="377">
        <f>(+'Sno-King Waste Stream Report'!F43*'Sno-King Waste Stream Report'!F30+'SKC Waste Stream Report'!F47*'SKC Waste Stream Report'!F30)/'Total KC Waste Stream Report'!F30</f>
        <v>34.66835217475281</v>
      </c>
      <c r="G47" s="110">
        <f>(+'Sno-King Waste Stream Report'!G43*'Sno-King Waste Stream Report'!G30+'SKC Waste Stream Report'!G47*'SKC Waste Stream Report'!G30)/'Total KC Waste Stream Report'!G30</f>
        <v>30.617300384094275</v>
      </c>
      <c r="H47" s="380">
        <f>(+'Sno-King Waste Stream Report'!H43*'Sno-King Waste Stream Report'!H30+'SKC Waste Stream Report'!H47*'SKC Waste Stream Report'!H30)/'Total KC Waste Stream Report'!H30</f>
        <v>33.05571053987774</v>
      </c>
      <c r="I47" s="377">
        <f>(+'Sno-King Waste Stream Report'!I43*'Sno-King Waste Stream Report'!I30+'SKC Waste Stream Report'!I47*'SKC Waste Stream Report'!I30)/'Total KC Waste Stream Report'!I30</f>
        <v>43.943100391461186</v>
      </c>
      <c r="J47" s="110">
        <f>(+'Sno-King Waste Stream Report'!J43*'Sno-King Waste Stream Report'!J30+'SKC Waste Stream Report'!J47*'SKC Waste Stream Report'!J30)/'Total KC Waste Stream Report'!J30</f>
        <v>39.93392723910206</v>
      </c>
      <c r="K47" s="380">
        <f>(+'Sno-King Waste Stream Report'!K43*'Sno-King Waste Stream Report'!K30+'SKC Waste Stream Report'!K47*'SKC Waste Stream Report'!K30)/'Total KC Waste Stream Report'!K30</f>
        <v>42.345146329742974</v>
      </c>
      <c r="L47" s="377">
        <f>(+'Sno-King Waste Stream Report'!L43*'Sno-King Waste Stream Report'!L30+'SKC Waste Stream Report'!L47*'SKC Waste Stream Report'!L30)/'Total KC Waste Stream Report'!L30</f>
        <v>45.09896460794052</v>
      </c>
      <c r="M47" s="110">
        <f>(+'Sno-King Waste Stream Report'!M43*'Sno-King Waste Stream Report'!M30+'SKC Waste Stream Report'!M47*'SKC Waste Stream Report'!M30)/'Total KC Waste Stream Report'!M30</f>
        <v>45.71105670034572</v>
      </c>
      <c r="N47" s="380">
        <f>(+'Sno-King Waste Stream Report'!N43*'Sno-King Waste Stream Report'!N30+'SKC Waste Stream Report'!N47*'SKC Waste Stream Report'!N30)/'Total KC Waste Stream Report'!N30</f>
        <v>44.579417820185625</v>
      </c>
      <c r="O47" s="377"/>
      <c r="P47" s="110"/>
      <c r="Q47" s="111"/>
      <c r="R47" s="27">
        <f t="shared" si="5"/>
        <v>39.99477513194477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47"/>
      <c r="J48" s="131"/>
      <c r="K48" s="217"/>
      <c r="L48" s="47"/>
      <c r="M48" s="131"/>
      <c r="N48" s="217"/>
      <c r="O48" s="47"/>
      <c r="P48" s="131"/>
      <c r="Q48" s="133"/>
      <c r="R48" s="147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f>+'Sno-King Waste Stream Report'!F45+'SKC Waste Stream Report'!F49</f>
        <v>20893</v>
      </c>
      <c r="G49" s="288">
        <f>+'Sno-King Waste Stream Report'!G45+'SKC Waste Stream Report'!G49</f>
        <v>20893</v>
      </c>
      <c r="H49" s="289">
        <f>+'Sno-King Waste Stream Report'!H45+'SKC Waste Stream Report'!H49</f>
        <v>20893</v>
      </c>
      <c r="I49" s="343">
        <f>+'Sno-King Waste Stream Report'!I45+'SKC Waste Stream Report'!I49</f>
        <v>20959</v>
      </c>
      <c r="J49" s="391">
        <f>+'Sno-King Waste Stream Report'!J45+'SKC Waste Stream Report'!J49</f>
        <v>20962</v>
      </c>
      <c r="K49" s="289">
        <f>+'Sno-King Waste Stream Report'!K45+'SKC Waste Stream Report'!K49</f>
        <v>20408</v>
      </c>
      <c r="L49" s="343">
        <f>+'Sno-King Waste Stream Report'!L45+'SKC Waste Stream Report'!L49</f>
        <v>20593</v>
      </c>
      <c r="M49" s="391">
        <f>+'Sno-King Waste Stream Report'!M45+'SKC Waste Stream Report'!M49</f>
        <v>20604</v>
      </c>
      <c r="N49" s="289">
        <f>+'Sno-King Waste Stream Report'!N45+'SKC Waste Stream Report'!N49</f>
        <v>20604</v>
      </c>
      <c r="O49" s="319"/>
      <c r="P49" s="290"/>
      <c r="Q49" s="342"/>
      <c r="R49" s="148">
        <f>AVERAGE(F49:Q49)</f>
        <v>20756.555555555555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376">
        <f>(+'Sno-King Waste Stream Report'!F46*'Sno-King Waste Stream Report'!F45+'SKC Waste Stream Report'!F50*'SKC Waste Stream Report'!F49)/'Total KC Waste Stream Report'!F49</f>
        <v>0.47618767051165467</v>
      </c>
      <c r="G50" s="109">
        <f>(+'Sno-King Waste Stream Report'!G46*'Sno-King Waste Stream Report'!G45+'SKC Waste Stream Report'!G50*'SKC Waste Stream Report'!G49)/'Total KC Waste Stream Report'!G49</f>
        <v>0.4259516249461542</v>
      </c>
      <c r="H50" s="379">
        <f>(+'Sno-King Waste Stream Report'!H46*'Sno-King Waste Stream Report'!H45+'SKC Waste Stream Report'!H50*'SKC Waste Stream Report'!H49)/'Total KC Waste Stream Report'!H49</f>
        <v>0.6345543770640885</v>
      </c>
      <c r="I50" s="376">
        <f>(+'Sno-King Waste Stream Report'!I46*'Sno-King Waste Stream Report'!I45+'SKC Waste Stream Report'!I50*'SKC Waste Stream Report'!I49)/'Total KC Waste Stream Report'!I49</f>
        <v>0.7473091042486952</v>
      </c>
      <c r="J50" s="109">
        <f>(+'Sno-King Waste Stream Report'!J46*'Sno-King Waste Stream Report'!J45+'SKC Waste Stream Report'!J50*'SKC Waste Stream Report'!J49)/'Total KC Waste Stream Report'!J49</f>
        <v>0.7893574181852877</v>
      </c>
      <c r="K50" s="379">
        <f>(+'Sno-King Waste Stream Report'!K46*'Sno-King Waste Stream Report'!K45+'SKC Waste Stream Report'!K50*'SKC Waste Stream Report'!K49)/'Total KC Waste Stream Report'!K49</f>
        <v>0.8058764406115247</v>
      </c>
      <c r="L50" s="376">
        <f>(+'Sno-King Waste Stream Report'!L46*'Sno-King Waste Stream Report'!L45+'SKC Waste Stream Report'!L50*'SKC Waste Stream Report'!L49)/'Total KC Waste Stream Report'!L49</f>
        <v>0.6709908901082893</v>
      </c>
      <c r="M50" s="109">
        <f>(+'Sno-King Waste Stream Report'!M46*'Sno-King Waste Stream Report'!M45+'SKC Waste Stream Report'!M50*'SKC Waste Stream Report'!M49)/'Total KC Waste Stream Report'!M49</f>
        <v>0.5239757716948166</v>
      </c>
      <c r="N50" s="379">
        <f>(+'Sno-King Waste Stream Report'!N46*'Sno-King Waste Stream Report'!N45+'SKC Waste Stream Report'!N50*'SKC Waste Stream Report'!N49)/'Total KC Waste Stream Report'!N49</f>
        <v>0.6746548971073578</v>
      </c>
      <c r="O50" s="376"/>
      <c r="P50" s="109"/>
      <c r="Q50" s="150"/>
      <c r="R50" s="149">
        <f>AVERAGE(F50:Q50)</f>
        <v>0.638762021608652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377">
        <f>(+'Sno-King Waste Stream Report'!F47*'Sno-King Waste Stream Report'!F45+'SKC Waste Stream Report'!F51*'SKC Waste Stream Report'!F49)/'Total KC Waste Stream Report'!F49</f>
        <v>71.21860091366963</v>
      </c>
      <c r="G51" s="110">
        <f>(+'Sno-King Waste Stream Report'!G47*'Sno-King Waste Stream Report'!G45+'SKC Waste Stream Report'!G51*'SKC Waste Stream Report'!G49)/'Total KC Waste Stream Report'!G49</f>
        <v>92.56717171151541</v>
      </c>
      <c r="H51" s="380">
        <f>(+'Sno-King Waste Stream Report'!H47*'Sno-King Waste Stream Report'!H45+'SKC Waste Stream Report'!H51*'SKC Waste Stream Report'!H49)/'Total KC Waste Stream Report'!H49</f>
        <v>79.55719503237515</v>
      </c>
      <c r="I51" s="377">
        <f>(+'Sno-King Waste Stream Report'!I47*'Sno-King Waste Stream Report'!I45+'SKC Waste Stream Report'!I51*'SKC Waste Stream Report'!I49)/'Total KC Waste Stream Report'!I49</f>
        <v>89.03961153141599</v>
      </c>
      <c r="J51" s="110">
        <f>(+'Sno-King Waste Stream Report'!J47*'Sno-King Waste Stream Report'!J45+'SKC Waste Stream Report'!J51*'SKC Waste Stream Report'!J49)/'Total KC Waste Stream Report'!J49</f>
        <v>68.48468643520224</v>
      </c>
      <c r="K51" s="380">
        <f>(+'Sno-King Waste Stream Report'!K47*'Sno-King Waste Stream Report'!K45+'SKC Waste Stream Report'!K51*'SKC Waste Stream Report'!K49)/'Total KC Waste Stream Report'!K49</f>
        <v>69.28451303361344</v>
      </c>
      <c r="L51" s="377">
        <f>(+'Sno-King Waste Stream Report'!L47*'Sno-King Waste Stream Report'!L45+'SKC Waste Stream Report'!L51*'SKC Waste Stream Report'!L49)/'Total KC Waste Stream Report'!L49</f>
        <v>61.400850821687925</v>
      </c>
      <c r="M51" s="110">
        <f>(+'Sno-King Waste Stream Report'!M47*'Sno-King Waste Stream Report'!M45+'SKC Waste Stream Report'!M51*'SKC Waste Stream Report'!M49)/'Total KC Waste Stream Report'!M49</f>
        <v>61.35150048033384</v>
      </c>
      <c r="N51" s="380">
        <f>(+'Sno-King Waste Stream Report'!N47*'Sno-King Waste Stream Report'!N45+'SKC Waste Stream Report'!N51*'SKC Waste Stream Report'!N49)/'Total KC Waste Stream Report'!N49</f>
        <v>69.79717888243127</v>
      </c>
      <c r="O51" s="377"/>
      <c r="P51" s="110"/>
      <c r="Q51" s="111"/>
      <c r="R51" s="27">
        <f>AVERAGE(F51:Q51)</f>
        <v>73.63347876024943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47"/>
      <c r="J52" s="131"/>
      <c r="K52" s="217"/>
      <c r="L52" s="47"/>
      <c r="M52" s="131"/>
      <c r="N52" s="217"/>
      <c r="O52" s="47"/>
      <c r="P52" s="131"/>
      <c r="Q52" s="133"/>
      <c r="R52" s="147"/>
    </row>
    <row r="53" spans="1:18" ht="12.75">
      <c r="A53" s="19"/>
      <c r="B53" s="91" t="s">
        <v>75</v>
      </c>
      <c r="C53" s="92"/>
      <c r="D53" s="93"/>
      <c r="E53" s="199" t="s">
        <v>82</v>
      </c>
      <c r="F53" s="205">
        <f>+'Sno-King Waste Stream Report'!F49+'SKC Waste Stream Report'!F53</f>
        <v>489.4461546326859</v>
      </c>
      <c r="G53" s="94">
        <f>+'Sno-King Waste Stream Report'!G49+'SKC Waste Stream Report'!G53</f>
        <v>489.45899492422046</v>
      </c>
      <c r="H53" s="214">
        <f>+'Sno-King Waste Stream Report'!H49+'SKC Waste Stream Report'!H53</f>
        <v>489.5463733822398</v>
      </c>
      <c r="I53" s="373">
        <f>+'Sno-King Waste Stream Report'!I49+'SKC Waste Stream Report'!I53</f>
        <v>485.5902602774181</v>
      </c>
      <c r="J53" s="127">
        <f>+'Sno-King Waste Stream Report'!J49+'SKC Waste Stream Report'!J53</f>
        <v>489.5625563595155</v>
      </c>
      <c r="K53" s="214">
        <f>+'Sno-King Waste Stream Report'!K49+'SKC Waste Stream Report'!K53</f>
        <v>372.5340556581393</v>
      </c>
      <c r="L53" s="373">
        <f>+'Sno-King Waste Stream Report'!L49+'SKC Waste Stream Report'!L53</f>
        <v>323.50399933934216</v>
      </c>
      <c r="M53" s="127">
        <f>+'Sno-King Waste Stream Report'!M49+'SKC Waste Stream Report'!M53</f>
        <v>328.46246377604024</v>
      </c>
      <c r="N53" s="214">
        <f>+'Sno-King Waste Stream Report'!N49+'SKC Waste Stream Report'!N53</f>
        <v>335.51286071334397</v>
      </c>
      <c r="O53" s="373"/>
      <c r="P53" s="127"/>
      <c r="Q53" s="127"/>
      <c r="R53" s="87">
        <f aca="true" t="shared" si="6" ref="R53:R67">AVERAGE(F53:Q53)</f>
        <v>422.62419100699395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f>+'Sno-King Waste Stream Report'!F50+'SKC Waste Stream Report'!F54</f>
        <v>29</v>
      </c>
      <c r="G54" s="275">
        <f>+'Sno-King Waste Stream Report'!G50+'SKC Waste Stream Report'!G54</f>
        <v>29</v>
      </c>
      <c r="H54" s="276">
        <f>+'Sno-King Waste Stream Report'!H50+'SKC Waste Stream Report'!H54</f>
        <v>29</v>
      </c>
      <c r="I54" s="274">
        <f>+'Sno-King Waste Stream Report'!I50+'SKC Waste Stream Report'!I54</f>
        <v>29</v>
      </c>
      <c r="J54" s="275">
        <f>+'Sno-King Waste Stream Report'!J50+'SKC Waste Stream Report'!J54</f>
        <v>29</v>
      </c>
      <c r="K54" s="276">
        <f>+'Sno-King Waste Stream Report'!K50+'SKC Waste Stream Report'!K54</f>
        <v>19</v>
      </c>
      <c r="L54" s="274">
        <f>+'Sno-King Waste Stream Report'!L50+'SKC Waste Stream Report'!L54</f>
        <v>10</v>
      </c>
      <c r="M54" s="275">
        <f>+'Sno-King Waste Stream Report'!M50+'SKC Waste Stream Report'!M54</f>
        <v>10</v>
      </c>
      <c r="N54" s="276">
        <f>+'Sno-King Waste Stream Report'!N50+'SKC Waste Stream Report'!N54</f>
        <v>10</v>
      </c>
      <c r="O54" s="274"/>
      <c r="P54" s="275"/>
      <c r="Q54" s="275"/>
      <c r="R54" s="70">
        <f t="shared" si="6"/>
        <v>21.555555555555557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f>+'SKC Waste Stream Report'!F55</f>
        <v>10</v>
      </c>
      <c r="G55" s="275">
        <f>+'SKC Waste Stream Report'!G55</f>
        <v>10</v>
      </c>
      <c r="H55" s="276">
        <f>+'SKC Waste Stream Report'!H55</f>
        <v>10</v>
      </c>
      <c r="I55" s="274">
        <f>+'SKC Waste Stream Report'!I55</f>
        <v>10</v>
      </c>
      <c r="J55" s="275">
        <f>+'SKC Waste Stream Report'!J55</f>
        <v>10</v>
      </c>
      <c r="K55" s="276">
        <f>+'SKC Waste Stream Report'!K55</f>
        <v>10</v>
      </c>
      <c r="L55" s="274">
        <f>+'SKC Waste Stream Report'!L55</f>
        <v>8</v>
      </c>
      <c r="M55" s="275">
        <f>+'SKC Waste Stream Report'!M55</f>
        <v>8</v>
      </c>
      <c r="N55" s="276">
        <f>+'SKC Waste Stream Report'!N55</f>
        <v>9</v>
      </c>
      <c r="O55" s="274"/>
      <c r="P55" s="275"/>
      <c r="Q55" s="275"/>
      <c r="R55" s="70">
        <f t="shared" si="6"/>
        <v>9.444444444444445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f>+'Sno-King Waste Stream Report'!F51+'SKC Waste Stream Report'!F56</f>
        <v>25</v>
      </c>
      <c r="G56" s="275">
        <f>+'Sno-King Waste Stream Report'!G51+'SKC Waste Stream Report'!G56</f>
        <v>25</v>
      </c>
      <c r="H56" s="276">
        <f>+'Sno-King Waste Stream Report'!H51+'SKC Waste Stream Report'!H56</f>
        <v>25</v>
      </c>
      <c r="I56" s="274">
        <f>+'Sno-King Waste Stream Report'!I51+'SKC Waste Stream Report'!I56</f>
        <v>26</v>
      </c>
      <c r="J56" s="275">
        <f>+'Sno-King Waste Stream Report'!J51+'SKC Waste Stream Report'!J56</f>
        <v>26</v>
      </c>
      <c r="K56" s="276">
        <f>+'Sno-King Waste Stream Report'!K51+'SKC Waste Stream Report'!K56</f>
        <v>18</v>
      </c>
      <c r="L56" s="274">
        <f>+'Sno-King Waste Stream Report'!L51+'SKC Waste Stream Report'!L56</f>
        <v>15</v>
      </c>
      <c r="M56" s="275">
        <f>+'Sno-King Waste Stream Report'!M51+'SKC Waste Stream Report'!M56</f>
        <v>17</v>
      </c>
      <c r="N56" s="276">
        <f>+'Sno-King Waste Stream Report'!N51+'SKC Waste Stream Report'!N56</f>
        <v>18</v>
      </c>
      <c r="O56" s="274"/>
      <c r="P56" s="275"/>
      <c r="Q56" s="275"/>
      <c r="R56" s="70">
        <f t="shared" si="6"/>
        <v>21.666666666666668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f>+'SKC Waste Stream Report'!F57</f>
        <v>60</v>
      </c>
      <c r="G57" s="275">
        <f>+'SKC Waste Stream Report'!G57</f>
        <v>60</v>
      </c>
      <c r="H57" s="276">
        <f>+'SKC Waste Stream Report'!H57</f>
        <v>60</v>
      </c>
      <c r="I57" s="274">
        <f>+'SKC Waste Stream Report'!I57</f>
        <v>60</v>
      </c>
      <c r="J57" s="275">
        <f>+'SKC Waste Stream Report'!J57</f>
        <v>60</v>
      </c>
      <c r="K57" s="276">
        <f>+'SKC Waste Stream Report'!K57</f>
        <v>50</v>
      </c>
      <c r="L57" s="274">
        <f>+'SKC Waste Stream Report'!L57</f>
        <v>49</v>
      </c>
      <c r="M57" s="275">
        <f>+'SKC Waste Stream Report'!M57</f>
        <v>50</v>
      </c>
      <c r="N57" s="276">
        <f>+'SKC Waste Stream Report'!N57</f>
        <v>53</v>
      </c>
      <c r="O57" s="274"/>
      <c r="P57" s="275"/>
      <c r="Q57" s="275"/>
      <c r="R57" s="70">
        <f t="shared" si="6"/>
        <v>55.77777777777778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f>+'SKC Waste Stream Report'!F58</f>
        <v>10</v>
      </c>
      <c r="G58" s="275">
        <f>+'SKC Waste Stream Report'!G58</f>
        <v>10</v>
      </c>
      <c r="H58" s="276">
        <f>+'SKC Waste Stream Report'!H58</f>
        <v>10</v>
      </c>
      <c r="I58" s="274">
        <f>+'SKC Waste Stream Report'!I58</f>
        <v>10</v>
      </c>
      <c r="J58" s="275">
        <f>+'SKC Waste Stream Report'!J58</f>
        <v>10</v>
      </c>
      <c r="K58" s="276">
        <f>+'SKC Waste Stream Report'!K58</f>
        <v>3</v>
      </c>
      <c r="L58" s="274">
        <f>+'SKC Waste Stream Report'!L58</f>
        <v>3</v>
      </c>
      <c r="M58" s="275">
        <f>+'SKC Waste Stream Report'!M58</f>
        <v>3</v>
      </c>
      <c r="N58" s="276">
        <f>+'SKC Waste Stream Report'!N58</f>
        <v>3</v>
      </c>
      <c r="O58" s="274"/>
      <c r="P58" s="275"/>
      <c r="Q58" s="275"/>
      <c r="R58" s="70">
        <f t="shared" si="6"/>
        <v>6.888888888888889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f>+'SKC Waste Stream Report'!F59</f>
        <v>20</v>
      </c>
      <c r="G59" s="275">
        <f>+'SKC Waste Stream Report'!G59</f>
        <v>20</v>
      </c>
      <c r="H59" s="276">
        <f>+'SKC Waste Stream Report'!H59</f>
        <v>20</v>
      </c>
      <c r="I59" s="274">
        <f>+'SKC Waste Stream Report'!I59</f>
        <v>20</v>
      </c>
      <c r="J59" s="275">
        <f>+'SKC Waste Stream Report'!J59</f>
        <v>20</v>
      </c>
      <c r="K59" s="276">
        <f>+'SKC Waste Stream Report'!K59</f>
        <v>8</v>
      </c>
      <c r="L59" s="274">
        <f>+'SKC Waste Stream Report'!L59</f>
        <v>8</v>
      </c>
      <c r="M59" s="275">
        <f>+'SKC Waste Stream Report'!M59</f>
        <v>8</v>
      </c>
      <c r="N59" s="276">
        <f>+'SKC Waste Stream Report'!N59</f>
        <v>8</v>
      </c>
      <c r="O59" s="274"/>
      <c r="P59" s="275"/>
      <c r="Q59" s="275"/>
      <c r="R59" s="70">
        <f t="shared" si="6"/>
        <v>14.666666666666666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f>+'Sno-King Waste Stream Report'!F52+'SKC Waste Stream Report'!F60</f>
        <v>78</v>
      </c>
      <c r="G60" s="275">
        <f>+'Sno-King Waste Stream Report'!G52+'SKC Waste Stream Report'!G60</f>
        <v>78</v>
      </c>
      <c r="H60" s="276">
        <f>+'Sno-King Waste Stream Report'!H52+'SKC Waste Stream Report'!H60</f>
        <v>78</v>
      </c>
      <c r="I60" s="274">
        <f>+'Sno-King Waste Stream Report'!I52+'SKC Waste Stream Report'!I60</f>
        <v>76</v>
      </c>
      <c r="J60" s="275">
        <f>+'Sno-King Waste Stream Report'!J52+'SKC Waste Stream Report'!J60</f>
        <v>76</v>
      </c>
      <c r="K60" s="276">
        <f>+'Sno-King Waste Stream Report'!K52+'SKC Waste Stream Report'!K60</f>
        <v>64</v>
      </c>
      <c r="L60" s="274">
        <f>+'Sno-King Waste Stream Report'!L52+'SKC Waste Stream Report'!L60</f>
        <v>58</v>
      </c>
      <c r="M60" s="275">
        <f>+'Sno-King Waste Stream Report'!M52+'SKC Waste Stream Report'!M60</f>
        <v>59</v>
      </c>
      <c r="N60" s="276">
        <f>+'Sno-King Waste Stream Report'!N52+'SKC Waste Stream Report'!N60</f>
        <v>60</v>
      </c>
      <c r="O60" s="274"/>
      <c r="P60" s="275"/>
      <c r="Q60" s="275"/>
      <c r="R60" s="70">
        <f t="shared" si="6"/>
        <v>69.66666666666667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f>+'Sno-King Waste Stream Report'!F53+'SKC Waste Stream Report'!F61</f>
        <v>50</v>
      </c>
      <c r="G61" s="275">
        <f>+'Sno-King Waste Stream Report'!G53+'SKC Waste Stream Report'!G61</f>
        <v>50</v>
      </c>
      <c r="H61" s="276">
        <f>+'Sno-King Waste Stream Report'!H53+'SKC Waste Stream Report'!H61</f>
        <v>50</v>
      </c>
      <c r="I61" s="274">
        <f>+'Sno-King Waste Stream Report'!I53+'SKC Waste Stream Report'!I61</f>
        <v>46</v>
      </c>
      <c r="J61" s="275">
        <f>+'Sno-King Waste Stream Report'!J53+'SKC Waste Stream Report'!J61</f>
        <v>48</v>
      </c>
      <c r="K61" s="276">
        <f>+'Sno-King Waste Stream Report'!K53+'SKC Waste Stream Report'!K61</f>
        <v>40</v>
      </c>
      <c r="L61" s="274">
        <f>+'Sno-King Waste Stream Report'!L53+'SKC Waste Stream Report'!L61</f>
        <v>37</v>
      </c>
      <c r="M61" s="275">
        <f>+'Sno-King Waste Stream Report'!M53+'SKC Waste Stream Report'!M61</f>
        <v>38</v>
      </c>
      <c r="N61" s="276">
        <f>+'Sno-King Waste Stream Report'!N53+'SKC Waste Stream Report'!N61</f>
        <v>38</v>
      </c>
      <c r="O61" s="274"/>
      <c r="P61" s="275"/>
      <c r="Q61" s="275"/>
      <c r="R61" s="70">
        <f t="shared" si="6"/>
        <v>44.111111111111114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f>+'Sno-King Waste Stream Report'!F54+'SKC Waste Stream Report'!F62</f>
        <v>80</v>
      </c>
      <c r="G62" s="275">
        <f>+'Sno-King Waste Stream Report'!G54+'SKC Waste Stream Report'!G62</f>
        <v>80</v>
      </c>
      <c r="H62" s="276">
        <f>+'Sno-King Waste Stream Report'!H54+'SKC Waste Stream Report'!H62</f>
        <v>80</v>
      </c>
      <c r="I62" s="274">
        <f>+'Sno-King Waste Stream Report'!I54+'SKC Waste Stream Report'!I62</f>
        <v>80</v>
      </c>
      <c r="J62" s="275">
        <f>+'Sno-King Waste Stream Report'!J54+'SKC Waste Stream Report'!J62</f>
        <v>82</v>
      </c>
      <c r="K62" s="276">
        <f>+'Sno-King Waste Stream Report'!K54+'SKC Waste Stream Report'!K62</f>
        <v>62</v>
      </c>
      <c r="L62" s="274">
        <f>+'Sno-King Waste Stream Report'!L54+'SKC Waste Stream Report'!L62</f>
        <v>57</v>
      </c>
      <c r="M62" s="275">
        <f>+'Sno-King Waste Stream Report'!M54+'SKC Waste Stream Report'!M62</f>
        <v>57</v>
      </c>
      <c r="N62" s="276">
        <f>+'Sno-King Waste Stream Report'!N54+'SKC Waste Stream Report'!N62</f>
        <v>57</v>
      </c>
      <c r="O62" s="274"/>
      <c r="P62" s="275"/>
      <c r="Q62" s="275"/>
      <c r="R62" s="70">
        <f t="shared" si="6"/>
        <v>70.55555555555556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f>+'Sno-King Waste Stream Report'!F55+'SKC Waste Stream Report'!F63</f>
        <v>66</v>
      </c>
      <c r="G63" s="275">
        <f>+'Sno-King Waste Stream Report'!G55+'SKC Waste Stream Report'!G63</f>
        <v>66</v>
      </c>
      <c r="H63" s="276">
        <f>+'Sno-King Waste Stream Report'!H55+'SKC Waste Stream Report'!H63</f>
        <v>66</v>
      </c>
      <c r="I63" s="274">
        <f>+'Sno-King Waste Stream Report'!I55+'SKC Waste Stream Report'!I63</f>
        <v>67</v>
      </c>
      <c r="J63" s="275">
        <f>+'Sno-King Waste Stream Report'!J55+'SKC Waste Stream Report'!J63</f>
        <v>67</v>
      </c>
      <c r="K63" s="276">
        <f>+'Sno-King Waste Stream Report'!K55+'SKC Waste Stream Report'!K63</f>
        <v>54</v>
      </c>
      <c r="L63" s="274">
        <f>+'Sno-King Waste Stream Report'!L55+'SKC Waste Stream Report'!L63</f>
        <v>45</v>
      </c>
      <c r="M63" s="275">
        <f>+'Sno-King Waste Stream Report'!M55+'SKC Waste Stream Report'!M63</f>
        <v>45</v>
      </c>
      <c r="N63" s="276">
        <f>+'Sno-King Waste Stream Report'!N55+'SKC Waste Stream Report'!N63</f>
        <v>46</v>
      </c>
      <c r="O63" s="274"/>
      <c r="P63" s="275"/>
      <c r="Q63" s="275"/>
      <c r="R63" s="70">
        <f t="shared" si="6"/>
        <v>58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f>+'Sno-King Waste Stream Report'!F56+'SKC Waste Stream Report'!F64</f>
        <v>50</v>
      </c>
      <c r="G64" s="275">
        <f>+'Sno-King Waste Stream Report'!G56+'SKC Waste Stream Report'!G64</f>
        <v>50</v>
      </c>
      <c r="H64" s="276">
        <f>+'Sno-King Waste Stream Report'!H56+'SKC Waste Stream Report'!H64</f>
        <v>50</v>
      </c>
      <c r="I64" s="274">
        <f>+'Sno-King Waste Stream Report'!I56+'SKC Waste Stream Report'!I64</f>
        <v>50</v>
      </c>
      <c r="J64" s="275">
        <f>+'Sno-King Waste Stream Report'!J56+'SKC Waste Stream Report'!J64</f>
        <v>50</v>
      </c>
      <c r="K64" s="276">
        <f>+'Sno-King Waste Stream Report'!K56+'SKC Waste Stream Report'!K64</f>
        <v>38</v>
      </c>
      <c r="L64" s="274">
        <f>+'Sno-King Waste Stream Report'!L56+'SKC Waste Stream Report'!L64</f>
        <v>27</v>
      </c>
      <c r="M64" s="275">
        <f>+'Sno-King Waste Stream Report'!M56+'SKC Waste Stream Report'!M64</f>
        <v>27</v>
      </c>
      <c r="N64" s="276">
        <f>+'Sno-King Waste Stream Report'!N56+'SKC Waste Stream Report'!N64</f>
        <v>27</v>
      </c>
      <c r="O64" s="274"/>
      <c r="P64" s="275"/>
      <c r="Q64" s="275"/>
      <c r="R64" s="70">
        <f t="shared" si="6"/>
        <v>41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f>+'SKC Waste Stream Report'!F65</f>
        <v>1</v>
      </c>
      <c r="G65" s="275">
        <f>+'SKC Waste Stream Report'!G65</f>
        <v>1</v>
      </c>
      <c r="H65" s="276">
        <f>+'SKC Waste Stream Report'!H65</f>
        <v>1</v>
      </c>
      <c r="I65" s="274">
        <f>+'SKC Waste Stream Report'!I65</f>
        <v>1</v>
      </c>
      <c r="J65" s="275">
        <f>+'SKC Waste Stream Report'!J65</f>
        <v>1</v>
      </c>
      <c r="K65" s="276">
        <f>+'SKC Waste Stream Report'!K65</f>
        <v>0</v>
      </c>
      <c r="L65" s="274">
        <f>+'SKC Waste Stream Report'!L65</f>
        <v>0</v>
      </c>
      <c r="M65" s="275">
        <f>+'SKC Waste Stream Report'!M65</f>
        <v>0</v>
      </c>
      <c r="N65" s="276">
        <f>+'SKC Waste Stream Report'!N65</f>
        <v>0</v>
      </c>
      <c r="O65" s="274"/>
      <c r="P65" s="275"/>
      <c r="Q65" s="275"/>
      <c r="R65" s="70">
        <f t="shared" si="6"/>
        <v>0.5555555555555556</v>
      </c>
    </row>
    <row r="66" spans="1:18" ht="12.75">
      <c r="A66" s="19"/>
      <c r="B66" s="270"/>
      <c r="C66" s="365" t="s">
        <v>93</v>
      </c>
      <c r="D66" s="93"/>
      <c r="E66" s="196" t="s">
        <v>82</v>
      </c>
      <c r="F66" s="274">
        <f>+'Sno-King Waste Stream Report'!F57</f>
        <v>1</v>
      </c>
      <c r="G66" s="275">
        <f>+'Sno-King Waste Stream Report'!G57</f>
        <v>1</v>
      </c>
      <c r="H66" s="276">
        <f>+'Sno-King Waste Stream Report'!H57</f>
        <v>1</v>
      </c>
      <c r="I66" s="274">
        <f>+'Sno-King Waste Stream Report'!I57</f>
        <v>1</v>
      </c>
      <c r="J66" s="275">
        <f>+'Sno-King Waste Stream Report'!J57</f>
        <v>1</v>
      </c>
      <c r="K66" s="276">
        <f>+'Sno-King Waste Stream Report'!K57</f>
        <v>1</v>
      </c>
      <c r="L66" s="274">
        <f>+'Sno-King Waste Stream Report'!L57</f>
        <v>1</v>
      </c>
      <c r="M66" s="275">
        <f>+'Sno-King Waste Stream Report'!M57</f>
        <v>1</v>
      </c>
      <c r="N66" s="276">
        <f>+'Sno-King Waste Stream Report'!N57</f>
        <v>1</v>
      </c>
      <c r="O66" s="274"/>
      <c r="P66" s="275"/>
      <c r="Q66" s="275"/>
      <c r="R66" s="70">
        <f t="shared" si="6"/>
        <v>1</v>
      </c>
    </row>
    <row r="67" spans="1:18" ht="13.5" thickBot="1">
      <c r="A67" s="19"/>
      <c r="B67" s="272"/>
      <c r="C67" s="273" t="s">
        <v>70</v>
      </c>
      <c r="D67" s="113"/>
      <c r="E67" s="193" t="s">
        <v>82</v>
      </c>
      <c r="F67" s="274">
        <f>+'SKC Waste Stream Report'!F66</f>
        <v>9</v>
      </c>
      <c r="G67" s="275">
        <f>+'SKC Waste Stream Report'!G66</f>
        <v>9</v>
      </c>
      <c r="H67" s="284">
        <f>+'SKC Waste Stream Report'!H66</f>
        <v>9</v>
      </c>
      <c r="I67" s="274">
        <f>+'SKC Waste Stream Report'!I66</f>
        <v>9</v>
      </c>
      <c r="J67" s="275">
        <f>+'SKC Waste Stream Report'!J66</f>
        <v>9</v>
      </c>
      <c r="K67" s="284">
        <f>+'SKC Waste Stream Report'!K66</f>
        <v>5</v>
      </c>
      <c r="L67" s="274">
        <f>+'SKC Waste Stream Report'!L66</f>
        <v>5</v>
      </c>
      <c r="M67" s="275">
        <f>+'SKC Waste Stream Report'!M66</f>
        <v>5</v>
      </c>
      <c r="N67" s="284">
        <f>+'SKC Waste Stream Report'!N66</f>
        <v>5</v>
      </c>
      <c r="O67" s="274"/>
      <c r="P67" s="275"/>
      <c r="Q67" s="275"/>
      <c r="R67" s="70">
        <f t="shared" si="6"/>
        <v>7.222222222222222</v>
      </c>
    </row>
    <row r="68" spans="1:18" ht="14.25" thickBot="1" thickTop="1">
      <c r="A68" s="37"/>
      <c r="B68" s="2"/>
      <c r="C68" s="2"/>
      <c r="D68" s="2"/>
      <c r="E68" s="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spans="1:18" ht="14.25" thickBot="1" thickTop="1">
      <c r="A69" s="40" t="s">
        <v>32</v>
      </c>
      <c r="B69" s="41"/>
      <c r="C69" s="41"/>
      <c r="D69" s="17"/>
      <c r="E69" s="7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0" spans="1:18" ht="13.5" thickTop="1">
      <c r="A70" s="19" t="s">
        <v>33</v>
      </c>
      <c r="B70" s="20"/>
      <c r="C70" s="20"/>
      <c r="D70" s="51"/>
      <c r="E70" s="390"/>
      <c r="F70" s="233"/>
      <c r="G70" s="234"/>
      <c r="H70" s="235"/>
      <c r="I70" s="236"/>
      <c r="J70" s="237"/>
      <c r="K70" s="238"/>
      <c r="L70" s="295"/>
      <c r="M70" s="346"/>
      <c r="N70" s="305"/>
      <c r="O70" s="347"/>
      <c r="P70" s="345"/>
      <c r="Q70" s="345"/>
      <c r="R70" s="14"/>
    </row>
    <row r="71" spans="1:18" ht="12.75">
      <c r="A71" s="24"/>
      <c r="B71" s="2" t="s">
        <v>34</v>
      </c>
      <c r="C71" s="2"/>
      <c r="D71" s="25"/>
      <c r="E71" s="225" t="s">
        <v>82</v>
      </c>
      <c r="F71" s="206">
        <f aca="true" t="shared" si="7" ref="F71:K71">+F7/F20</f>
        <v>0.3081840083371658</v>
      </c>
      <c r="G71" s="48">
        <f t="shared" si="7"/>
        <v>0.2805017559459878</v>
      </c>
      <c r="H71" s="215">
        <f t="shared" si="7"/>
        <v>0.24490897579162177</v>
      </c>
      <c r="I71" s="206">
        <f t="shared" si="7"/>
        <v>0.24088012942081832</v>
      </c>
      <c r="J71" s="48">
        <f t="shared" si="7"/>
        <v>0.24292273556906954</v>
      </c>
      <c r="K71" s="215">
        <f t="shared" si="7"/>
        <v>0.23921618160915395</v>
      </c>
      <c r="L71" s="206">
        <f>+L7/L20</f>
        <v>0.2686151650775119</v>
      </c>
      <c r="M71" s="48">
        <f>+M7/M20</f>
        <v>0.2850057199219018</v>
      </c>
      <c r="N71" s="215">
        <f>+N7/N20</f>
        <v>0.24777886488613945</v>
      </c>
      <c r="O71" s="206"/>
      <c r="P71" s="48"/>
      <c r="Q71" s="132"/>
      <c r="R71" s="156">
        <f>+R7/R20</f>
        <v>0.2601476838741621</v>
      </c>
    </row>
    <row r="72" spans="1:18" ht="12.75">
      <c r="A72" s="24"/>
      <c r="B72" s="2" t="s">
        <v>35</v>
      </c>
      <c r="C72" s="2"/>
      <c r="D72" s="25"/>
      <c r="E72" s="199" t="s">
        <v>82</v>
      </c>
      <c r="F72" s="220">
        <f aca="true" t="shared" si="8" ref="F72:K72">+F18/F20</f>
        <v>0.10467868579939327</v>
      </c>
      <c r="G72" s="52">
        <f t="shared" si="8"/>
        <v>0.14827377770672953</v>
      </c>
      <c r="H72" s="229">
        <f t="shared" si="8"/>
        <v>0.28819371747558853</v>
      </c>
      <c r="I72" s="220">
        <f t="shared" si="8"/>
        <v>0.3257404639934709</v>
      </c>
      <c r="J72" s="52">
        <f t="shared" si="8"/>
        <v>0.30065113635022017</v>
      </c>
      <c r="K72" s="229">
        <f t="shared" si="8"/>
        <v>0.2945957796531297</v>
      </c>
      <c r="L72" s="220">
        <f>+L18/L20</f>
        <v>0.2366076409158721</v>
      </c>
      <c r="M72" s="52">
        <f>+M18/M20</f>
        <v>0.19441266710054533</v>
      </c>
      <c r="N72" s="229">
        <f>+N18/N20</f>
        <v>0.258248828822382</v>
      </c>
      <c r="O72" s="220"/>
      <c r="P72" s="52"/>
      <c r="Q72" s="145"/>
      <c r="R72" s="157">
        <f>+R18/R20</f>
        <v>0.24556670209435794</v>
      </c>
    </row>
    <row r="73" spans="1:18" s="1" customFormat="1" ht="13.5" thickBot="1">
      <c r="A73" s="29"/>
      <c r="B73" s="95" t="s">
        <v>36</v>
      </c>
      <c r="C73" s="95"/>
      <c r="D73" s="142"/>
      <c r="E73" s="196" t="s">
        <v>82</v>
      </c>
      <c r="F73" s="221">
        <f aca="true" t="shared" si="9" ref="F73:K73">+F72+F71</f>
        <v>0.41286269413655907</v>
      </c>
      <c r="G73" s="143">
        <f t="shared" si="9"/>
        <v>0.42877553365271737</v>
      </c>
      <c r="H73" s="230">
        <f t="shared" si="9"/>
        <v>0.5331026932672103</v>
      </c>
      <c r="I73" s="221">
        <f t="shared" si="9"/>
        <v>0.5666205934142892</v>
      </c>
      <c r="J73" s="143">
        <f t="shared" si="9"/>
        <v>0.5435738719192897</v>
      </c>
      <c r="K73" s="230">
        <f t="shared" si="9"/>
        <v>0.5338119612622837</v>
      </c>
      <c r="L73" s="221">
        <f>+L72+L71</f>
        <v>0.505222805993384</v>
      </c>
      <c r="M73" s="143">
        <f>+M72+M71</f>
        <v>0.47941838702244716</v>
      </c>
      <c r="N73" s="230">
        <f>+N72+N71</f>
        <v>0.5060276937085214</v>
      </c>
      <c r="O73" s="221"/>
      <c r="P73" s="143"/>
      <c r="Q73" s="126"/>
      <c r="R73" s="53">
        <f>+R72+R71</f>
        <v>0.50571438596852</v>
      </c>
    </row>
    <row r="74" spans="1:18" ht="13.5" thickTop="1">
      <c r="A74" s="44" t="s">
        <v>37</v>
      </c>
      <c r="B74" s="54"/>
      <c r="C74" s="54"/>
      <c r="D74" s="51"/>
      <c r="E74" s="192"/>
      <c r="F74" s="56"/>
      <c r="G74" s="55"/>
      <c r="H74" s="253"/>
      <c r="I74" s="56"/>
      <c r="J74" s="55"/>
      <c r="K74" s="253"/>
      <c r="L74" s="56"/>
      <c r="M74" s="55"/>
      <c r="N74" s="253"/>
      <c r="O74" s="56"/>
      <c r="P74" s="55"/>
      <c r="Q74" s="132"/>
      <c r="R74" s="156"/>
    </row>
    <row r="75" spans="1:18" ht="12.75">
      <c r="A75" s="24"/>
      <c r="B75" s="2" t="s">
        <v>38</v>
      </c>
      <c r="C75" s="2"/>
      <c r="D75" s="25"/>
      <c r="E75" s="226" t="s">
        <v>82</v>
      </c>
      <c r="F75" s="206">
        <f aca="true" t="shared" si="10" ref="F75:K75">+F22/F25</f>
        <v>0.06904492225893717</v>
      </c>
      <c r="G75" s="48">
        <f t="shared" si="10"/>
        <v>0.07335105335696002</v>
      </c>
      <c r="H75" s="215">
        <f t="shared" si="10"/>
        <v>0.08284510047395022</v>
      </c>
      <c r="I75" s="206">
        <f t="shared" si="10"/>
        <v>0.08322809298062075</v>
      </c>
      <c r="J75" s="48">
        <f t="shared" si="10"/>
        <v>0.0879437975666872</v>
      </c>
      <c r="K75" s="215">
        <f t="shared" si="10"/>
        <v>0.09960205377448093</v>
      </c>
      <c r="L75" s="206">
        <f>+L22/L25</f>
        <v>0.0953944829833392</v>
      </c>
      <c r="M75" s="48">
        <f>+M22/M25</f>
        <v>0.10440904167976801</v>
      </c>
      <c r="N75" s="215">
        <f>+N22/N25</f>
        <v>0.10493933396437483</v>
      </c>
      <c r="O75" s="206"/>
      <c r="P75" s="48"/>
      <c r="Q75" s="132"/>
      <c r="R75" s="156">
        <f>+R22/R25</f>
        <v>0.08905735605490646</v>
      </c>
    </row>
    <row r="76" spans="1:18" ht="12.75">
      <c r="A76" s="24"/>
      <c r="B76" s="2" t="s">
        <v>39</v>
      </c>
      <c r="C76" s="2"/>
      <c r="D76" s="25"/>
      <c r="E76" s="199" t="s">
        <v>82</v>
      </c>
      <c r="F76" s="206">
        <f aca="true" t="shared" si="11" ref="F76:K76">+F23/F25</f>
        <v>0.004530604985537635</v>
      </c>
      <c r="G76" s="48">
        <f t="shared" si="11"/>
        <v>0.003898405197873597</v>
      </c>
      <c r="H76" s="215">
        <f t="shared" si="11"/>
        <v>0.01987617831721436</v>
      </c>
      <c r="I76" s="206">
        <f t="shared" si="11"/>
        <v>0.025756606981244556</v>
      </c>
      <c r="J76" s="48">
        <f t="shared" si="11"/>
        <v>0.020056991395480128</v>
      </c>
      <c r="K76" s="215">
        <f t="shared" si="11"/>
        <v>0.0020837320963651693</v>
      </c>
      <c r="L76" s="206">
        <f>+L23/L25</f>
        <v>0.0011661707582682366</v>
      </c>
      <c r="M76" s="48">
        <f>+M23/M25</f>
        <v>0.005685986793837123</v>
      </c>
      <c r="N76" s="215">
        <f>+N23/N25</f>
        <v>0.004706995955597624</v>
      </c>
      <c r="O76" s="206"/>
      <c r="P76" s="48"/>
      <c r="Q76" s="145"/>
      <c r="R76" s="157">
        <f>+R23/R25</f>
        <v>0.009899672895498451</v>
      </c>
    </row>
    <row r="77" spans="1:18" s="1" customFormat="1" ht="13.5" thickBot="1">
      <c r="A77" s="29"/>
      <c r="B77" s="95" t="s">
        <v>40</v>
      </c>
      <c r="C77" s="95"/>
      <c r="D77" s="142"/>
      <c r="E77" s="226" t="s">
        <v>82</v>
      </c>
      <c r="F77" s="221">
        <f aca="true" t="shared" si="12" ref="F77:K77">+F76+F75</f>
        <v>0.0735755272444748</v>
      </c>
      <c r="G77" s="143">
        <f t="shared" si="12"/>
        <v>0.07724945855483362</v>
      </c>
      <c r="H77" s="230">
        <f t="shared" si="12"/>
        <v>0.10272127879116458</v>
      </c>
      <c r="I77" s="221">
        <f t="shared" si="12"/>
        <v>0.10898469996186531</v>
      </c>
      <c r="J77" s="143">
        <f t="shared" si="12"/>
        <v>0.10800078896216733</v>
      </c>
      <c r="K77" s="230">
        <f t="shared" si="12"/>
        <v>0.1016857858708461</v>
      </c>
      <c r="L77" s="221">
        <f>+L76+L75</f>
        <v>0.09656065374160744</v>
      </c>
      <c r="M77" s="143">
        <f>+M76+M75</f>
        <v>0.11009502847360514</v>
      </c>
      <c r="N77" s="230">
        <f>+N76+N75</f>
        <v>0.10964632991997245</v>
      </c>
      <c r="O77" s="221"/>
      <c r="P77" s="143"/>
      <c r="Q77" s="126"/>
      <c r="R77" s="53">
        <f>+R76+R75</f>
        <v>0.09895702895040491</v>
      </c>
    </row>
    <row r="78" spans="1:18" ht="14.25" thickBot="1" thickTop="1">
      <c r="A78" s="58" t="s">
        <v>83</v>
      </c>
      <c r="B78" s="59"/>
      <c r="C78" s="59"/>
      <c r="D78" s="60"/>
      <c r="E78" s="201" t="s">
        <v>82</v>
      </c>
      <c r="F78" s="222">
        <f aca="true" t="shared" si="13" ref="F78:K78">+(F7+F18+F22+F23)/(F20+F25)</f>
        <v>0.36854506016907507</v>
      </c>
      <c r="G78" s="81">
        <f t="shared" si="13"/>
        <v>0.3779174517989321</v>
      </c>
      <c r="H78" s="231">
        <f t="shared" si="13"/>
        <v>0.47885197040642646</v>
      </c>
      <c r="I78" s="222">
        <f t="shared" si="13"/>
        <v>0.5190277064102629</v>
      </c>
      <c r="J78" s="81">
        <f t="shared" si="13"/>
        <v>0.49303997249889414</v>
      </c>
      <c r="K78" s="231">
        <f t="shared" si="13"/>
        <v>0.4964520511184884</v>
      </c>
      <c r="L78" s="222">
        <f>+(L7+L18+L22+L23)/(L20+L25)</f>
        <v>0.4515212328064805</v>
      </c>
      <c r="M78" s="81">
        <f>+(M7+M18+M22+M23)/(M20+M25)</f>
        <v>0.430057142190081</v>
      </c>
      <c r="N78" s="231">
        <f>+(N7+N18+N22+N23)/(N20+N25)</f>
        <v>0.45632171132781346</v>
      </c>
      <c r="O78" s="222"/>
      <c r="P78" s="81"/>
      <c r="Q78" s="155"/>
      <c r="R78" s="158">
        <f>+(R7+R18+R22+R23)/(R20+R25)</f>
        <v>0.45652260605749945</v>
      </c>
    </row>
    <row r="79" spans="1:18" ht="14.25" thickBot="1" thickTop="1">
      <c r="A79" s="58" t="s">
        <v>84</v>
      </c>
      <c r="B79" s="59"/>
      <c r="C79" s="59"/>
      <c r="D79" s="60"/>
      <c r="E79" s="227">
        <f>+E7/E20</f>
        <v>0.3130265127585496</v>
      </c>
      <c r="F79" s="223">
        <f aca="true" t="shared" si="14" ref="F79:K79">+(F7+F18)/(F20-F18+F25-F23)</f>
        <v>0.39512724982098346</v>
      </c>
      <c r="G79" s="78">
        <f t="shared" si="14"/>
        <v>0.420278713569414</v>
      </c>
      <c r="H79" s="232">
        <f t="shared" si="14"/>
        <v>0.6248469957957103</v>
      </c>
      <c r="I79" s="223">
        <f t="shared" si="14"/>
        <v>0.7196662096060802</v>
      </c>
      <c r="J79" s="78">
        <f t="shared" si="14"/>
        <v>0.6565218696492207</v>
      </c>
      <c r="K79" s="232">
        <f t="shared" si="14"/>
        <v>0.667394199548514</v>
      </c>
      <c r="L79" s="223">
        <f>+(L7+L18)/(L20-L18+L25-L23)</f>
        <v>0.5524550816658298</v>
      </c>
      <c r="M79" s="78">
        <f>+(M7+M18)/(M20-M18+M25-M23)</f>
        <v>0.49992412554692833</v>
      </c>
      <c r="N79" s="232">
        <f>+(N7+N18)/(N20-N18+N25-N23)</f>
        <v>0.5721348270719904</v>
      </c>
      <c r="O79" s="223"/>
      <c r="P79" s="78"/>
      <c r="Q79" s="79"/>
      <c r="R79" s="80">
        <f>+(R7+R18)/(R20-R18+R25-R23)</f>
        <v>0.5678065870579989</v>
      </c>
    </row>
    <row r="80" ht="13.5" thickTop="1"/>
  </sheetData>
  <printOptions/>
  <pageMargins left="0.5" right="0" top="0.5" bottom="0" header="0.5" footer="0"/>
  <pageSetup fitToHeight="2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30">
      <pane xSplit="3" topLeftCell="H1" activePane="topRight" state="frozen"/>
      <selection pane="topLeft" activeCell="A31" sqref="A31"/>
      <selection pane="topRight" activeCell="P33" sqref="P33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3" width="9.8515625" style="0" customWidth="1"/>
    <col min="14" max="14" width="10.8515625" style="0" customWidth="1"/>
    <col min="15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88</v>
      </c>
    </row>
    <row r="2" spans="1:5" ht="15">
      <c r="A2" s="9" t="s">
        <v>129</v>
      </c>
      <c r="B2" s="1"/>
      <c r="C2" s="1"/>
      <c r="D2" s="1"/>
      <c r="E2" s="1"/>
    </row>
    <row r="3" spans="1:18" ht="13.5" thickBot="1">
      <c r="A3" s="10"/>
      <c r="C3" s="11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1">
        <v>2004</v>
      </c>
      <c r="M4" s="292">
        <v>2004</v>
      </c>
      <c r="N4" s="314">
        <v>2004</v>
      </c>
      <c r="O4" s="306">
        <v>2004</v>
      </c>
      <c r="P4" s="298">
        <v>2004</v>
      </c>
      <c r="Q4" s="299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3" t="s">
        <v>12</v>
      </c>
      <c r="M5" s="294" t="s">
        <v>16</v>
      </c>
      <c r="N5" s="315" t="s">
        <v>17</v>
      </c>
      <c r="O5" s="307" t="s">
        <v>72</v>
      </c>
      <c r="P5" s="300" t="s">
        <v>73</v>
      </c>
      <c r="Q5" s="301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3"/>
      <c r="G6" s="22"/>
      <c r="H6" s="394"/>
      <c r="I6" s="393"/>
      <c r="J6" s="22"/>
      <c r="K6" s="183"/>
      <c r="L6" s="174"/>
      <c r="M6" s="22"/>
      <c r="N6" s="183"/>
      <c r="O6" s="174"/>
      <c r="P6" s="23"/>
      <c r="Q6" s="119"/>
      <c r="R6" s="14"/>
    </row>
    <row r="7" spans="1:26" ht="12.75">
      <c r="A7" s="24"/>
      <c r="B7" s="2" t="s">
        <v>79</v>
      </c>
      <c r="C7" s="2"/>
      <c r="D7" s="25"/>
      <c r="E7" s="195">
        <v>770.0464593581434</v>
      </c>
      <c r="F7" s="175">
        <f aca="true" t="shared" si="0" ref="F7:N7">SUM(F8:F17)</f>
        <v>1105.43</v>
      </c>
      <c r="G7" s="175">
        <f t="shared" si="0"/>
        <v>801.5300000000001</v>
      </c>
      <c r="H7" s="184">
        <f t="shared" si="0"/>
        <v>902.9799999999999</v>
      </c>
      <c r="I7" s="175">
        <f t="shared" si="0"/>
        <v>1011.7171917840053</v>
      </c>
      <c r="J7" s="175">
        <f t="shared" si="0"/>
        <v>921.2993429571119</v>
      </c>
      <c r="K7" s="184">
        <f t="shared" si="0"/>
        <v>924.4662773757348</v>
      </c>
      <c r="L7" s="175">
        <f t="shared" si="0"/>
        <v>897.59</v>
      </c>
      <c r="M7" s="175">
        <f t="shared" si="0"/>
        <v>903.41</v>
      </c>
      <c r="N7" s="184">
        <f t="shared" si="0"/>
        <v>969.9999999999998</v>
      </c>
      <c r="O7" s="175"/>
      <c r="P7" s="85"/>
      <c r="Q7" s="136"/>
      <c r="R7" s="28">
        <f>AVERAGE(F7:Q7)</f>
        <v>937.60253467965</v>
      </c>
      <c r="U7" s="5">
        <f>+F7</f>
        <v>1105.43</v>
      </c>
      <c r="V7" s="5">
        <f>+G7</f>
        <v>801.5300000000001</v>
      </c>
      <c r="W7" s="5">
        <f>+P7</f>
        <v>0</v>
      </c>
      <c r="X7" s="5"/>
      <c r="Y7" s="5"/>
      <c r="Z7" s="5"/>
    </row>
    <row r="8" spans="1:18" ht="12.75">
      <c r="A8" s="24"/>
      <c r="B8" s="2"/>
      <c r="C8" s="258" t="s">
        <v>5</v>
      </c>
      <c r="D8" s="25"/>
      <c r="E8" s="259">
        <v>375.9980351046724</v>
      </c>
      <c r="F8" s="260">
        <v>545.9865995057974</v>
      </c>
      <c r="G8" s="261">
        <v>373.57439296248026</v>
      </c>
      <c r="H8" s="262">
        <v>367.66968221098324</v>
      </c>
      <c r="I8" s="310">
        <v>422.74</v>
      </c>
      <c r="J8" s="263">
        <f>254.84+80.71</f>
        <v>335.55</v>
      </c>
      <c r="K8" s="262">
        <f>247.15+75.6</f>
        <v>322.75</v>
      </c>
      <c r="L8" s="310">
        <v>334.5</v>
      </c>
      <c r="M8" s="263">
        <v>300.91</v>
      </c>
      <c r="N8" s="262">
        <v>357.04</v>
      </c>
      <c r="O8" s="310"/>
      <c r="P8" s="263"/>
      <c r="Q8" s="264"/>
      <c r="R8" s="27">
        <f>AVERAGE(F8:Q8)</f>
        <v>373.41340829769564</v>
      </c>
    </row>
    <row r="9" spans="1:18" ht="12.75">
      <c r="A9" s="24"/>
      <c r="B9" s="2"/>
      <c r="C9" s="258" t="s">
        <v>2</v>
      </c>
      <c r="D9" s="25"/>
      <c r="E9" s="259">
        <v>153.56035356519848</v>
      </c>
      <c r="F9" s="260">
        <v>243.93618133434708</v>
      </c>
      <c r="G9" s="261">
        <v>192.85854196675584</v>
      </c>
      <c r="H9" s="262">
        <v>253.0085546174983</v>
      </c>
      <c r="I9" s="310">
        <v>288.73</v>
      </c>
      <c r="J9" s="263">
        <v>338.43301023391524</v>
      </c>
      <c r="K9" s="262">
        <v>312.66266045809436</v>
      </c>
      <c r="L9" s="310">
        <v>290.89</v>
      </c>
      <c r="M9" s="263">
        <v>315.34</v>
      </c>
      <c r="N9" s="262">
        <v>369.51</v>
      </c>
      <c r="O9" s="310"/>
      <c r="P9" s="263"/>
      <c r="Q9" s="264"/>
      <c r="R9" s="103">
        <f aca="true" t="shared" si="1" ref="R9:R19">AVERAGE(F9:Q9)</f>
        <v>289.4854387345123</v>
      </c>
    </row>
    <row r="10" spans="1:18" ht="12.75">
      <c r="A10" s="24"/>
      <c r="B10" s="2"/>
      <c r="C10" s="258" t="s">
        <v>0</v>
      </c>
      <c r="D10" s="25"/>
      <c r="E10" s="259">
        <v>9.930973436611865</v>
      </c>
      <c r="F10" s="260">
        <v>9.71849458277894</v>
      </c>
      <c r="G10" s="261">
        <v>7.268451768525505</v>
      </c>
      <c r="H10" s="262">
        <v>6.166648878977341</v>
      </c>
      <c r="I10" s="310">
        <v>9.72</v>
      </c>
      <c r="J10" s="263">
        <v>8.229104756208823</v>
      </c>
      <c r="K10" s="262">
        <v>9.308930972278986</v>
      </c>
      <c r="L10" s="310">
        <v>9.09</v>
      </c>
      <c r="M10" s="263">
        <v>7.62</v>
      </c>
      <c r="N10" s="262">
        <v>6.14</v>
      </c>
      <c r="O10" s="310"/>
      <c r="P10" s="263"/>
      <c r="Q10" s="264"/>
      <c r="R10" s="103">
        <f t="shared" si="1"/>
        <v>8.140181217641066</v>
      </c>
    </row>
    <row r="11" spans="1:18" ht="12.75">
      <c r="A11" s="24"/>
      <c r="B11" s="2"/>
      <c r="C11" s="258" t="s">
        <v>3</v>
      </c>
      <c r="D11" s="25"/>
      <c r="E11" s="259">
        <v>25.23454574845419</v>
      </c>
      <c r="F11" s="260">
        <v>20.29276753468922</v>
      </c>
      <c r="G11" s="261">
        <v>14.88015981891762</v>
      </c>
      <c r="H11" s="262">
        <v>12.316540559913982</v>
      </c>
      <c r="I11" s="310">
        <v>14.94</v>
      </c>
      <c r="J11" s="263">
        <f>14.625327559574+1.06</f>
        <v>15.685327559574</v>
      </c>
      <c r="K11" s="262">
        <f>15.18+1.44</f>
        <v>16.62</v>
      </c>
      <c r="L11" s="310">
        <v>13.19</v>
      </c>
      <c r="M11" s="263">
        <v>12.4</v>
      </c>
      <c r="N11" s="262">
        <v>15.29</v>
      </c>
      <c r="O11" s="310"/>
      <c r="P11" s="263"/>
      <c r="Q11" s="264"/>
      <c r="R11" s="103">
        <f t="shared" si="1"/>
        <v>15.068310608121648</v>
      </c>
    </row>
    <row r="12" spans="1:18" ht="12.75">
      <c r="A12" s="24"/>
      <c r="B12" s="2"/>
      <c r="C12" s="258" t="s">
        <v>1</v>
      </c>
      <c r="D12" s="25"/>
      <c r="E12" s="259">
        <v>191.62581122174555</v>
      </c>
      <c r="F12" s="260">
        <v>187.31709750997908</v>
      </c>
      <c r="G12" s="261">
        <v>137.20811726913138</v>
      </c>
      <c r="H12" s="262">
        <v>179.1260684560551</v>
      </c>
      <c r="I12" s="310">
        <v>190.62</v>
      </c>
      <c r="J12" s="263">
        <v>137.913618840461</v>
      </c>
      <c r="K12" s="262">
        <v>174.53838429436138</v>
      </c>
      <c r="L12" s="310">
        <v>183.12</v>
      </c>
      <c r="M12" s="263">
        <v>184.24</v>
      </c>
      <c r="N12" s="262">
        <v>157.19</v>
      </c>
      <c r="O12" s="310"/>
      <c r="P12" s="263"/>
      <c r="Q12" s="264"/>
      <c r="R12" s="103">
        <f t="shared" si="1"/>
        <v>170.14147626333204</v>
      </c>
    </row>
    <row r="13" spans="1:18" ht="12.75">
      <c r="A13" s="24"/>
      <c r="B13" s="2"/>
      <c r="C13" s="258" t="s">
        <v>6</v>
      </c>
      <c r="D13" s="25"/>
      <c r="E13" s="259">
        <v>6.282668526942625</v>
      </c>
      <c r="F13" s="260">
        <v>10.652965215738453</v>
      </c>
      <c r="G13" s="261">
        <v>7.431498502412145</v>
      </c>
      <c r="H13" s="262">
        <v>8.688607184102585</v>
      </c>
      <c r="I13" s="310">
        <v>10.42</v>
      </c>
      <c r="J13" s="263">
        <v>7.957989139440667</v>
      </c>
      <c r="K13" s="262">
        <v>7.353013180517778</v>
      </c>
      <c r="L13" s="310">
        <v>6</v>
      </c>
      <c r="M13" s="263">
        <v>6.28</v>
      </c>
      <c r="N13" s="262">
        <v>7.73</v>
      </c>
      <c r="O13" s="310"/>
      <c r="P13" s="263"/>
      <c r="Q13" s="264"/>
      <c r="R13" s="103">
        <f t="shared" si="1"/>
        <v>8.057119246912404</v>
      </c>
    </row>
    <row r="14" spans="1:18" ht="12.75">
      <c r="A14" s="24"/>
      <c r="B14" s="2"/>
      <c r="C14" s="258" t="s">
        <v>98</v>
      </c>
      <c r="D14" s="25"/>
      <c r="E14" s="259">
        <v>7.414071754518071</v>
      </c>
      <c r="F14" s="260">
        <v>8.026610910473293</v>
      </c>
      <c r="G14" s="261">
        <v>7.3628472460388235</v>
      </c>
      <c r="H14" s="262">
        <v>6.133134482895942</v>
      </c>
      <c r="I14" s="310">
        <v>9.08</v>
      </c>
      <c r="J14" s="263">
        <v>8.985420813341992</v>
      </c>
      <c r="K14" s="262">
        <v>8.273971974223826</v>
      </c>
      <c r="L14" s="310">
        <v>8.91</v>
      </c>
      <c r="M14" s="263">
        <v>6.31</v>
      </c>
      <c r="N14" s="262">
        <v>6.65</v>
      </c>
      <c r="O14" s="310"/>
      <c r="P14" s="263"/>
      <c r="Q14" s="264"/>
      <c r="R14" s="103">
        <f t="shared" si="1"/>
        <v>7.747998380774876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6.265871507318</v>
      </c>
      <c r="G15" s="261">
        <v>5.432030660539131</v>
      </c>
      <c r="H15" s="262">
        <v>5.94880530444825</v>
      </c>
      <c r="I15" s="310">
        <v>5.54</v>
      </c>
      <c r="J15" s="263">
        <v>4.752858563213903</v>
      </c>
      <c r="K15" s="262">
        <v>4.433793662006568</v>
      </c>
      <c r="L15" s="310">
        <v>3.71</v>
      </c>
      <c r="M15" s="263">
        <v>3.47</v>
      </c>
      <c r="N15" s="262">
        <v>4.33</v>
      </c>
      <c r="O15" s="310"/>
      <c r="P15" s="263"/>
      <c r="Q15" s="264"/>
      <c r="R15" s="103">
        <f t="shared" si="1"/>
        <v>4.87592885528065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2.80341189887854</v>
      </c>
      <c r="G16" s="261">
        <v>4.633959805199259</v>
      </c>
      <c r="H16" s="262">
        <v>2.521958305125244</v>
      </c>
      <c r="I16" s="310">
        <v>11.16</v>
      </c>
      <c r="J16" s="263">
        <v>6.18301537658637</v>
      </c>
      <c r="K16" s="262">
        <v>4.902823074185775</v>
      </c>
      <c r="L16" s="310">
        <v>5.29</v>
      </c>
      <c r="M16" s="263">
        <v>5.59</v>
      </c>
      <c r="N16" s="262">
        <v>5.56</v>
      </c>
      <c r="O16" s="310"/>
      <c r="P16" s="263"/>
      <c r="Q16" s="264"/>
      <c r="R16" s="103">
        <f t="shared" si="1"/>
        <v>5.405018717775022</v>
      </c>
    </row>
    <row r="17" spans="1:20" ht="12.75">
      <c r="A17" s="24"/>
      <c r="B17" s="2"/>
      <c r="C17" s="258" t="s">
        <v>4</v>
      </c>
      <c r="D17" s="25"/>
      <c r="E17" s="265" t="s">
        <v>82</v>
      </c>
      <c r="F17" s="260">
        <v>70.43</v>
      </c>
      <c r="G17" s="261">
        <v>50.88</v>
      </c>
      <c r="H17" s="262">
        <v>61.4</v>
      </c>
      <c r="I17" s="310">
        <v>48.76719178400526</v>
      </c>
      <c r="J17" s="263">
        <v>57.608997674369874</v>
      </c>
      <c r="K17" s="262">
        <v>63.62269976006596</v>
      </c>
      <c r="L17" s="310">
        <v>42.89</v>
      </c>
      <c r="M17" s="263">
        <v>61.25</v>
      </c>
      <c r="N17" s="262">
        <v>40.56</v>
      </c>
      <c r="O17" s="310"/>
      <c r="P17" s="263"/>
      <c r="Q17" s="264"/>
      <c r="R17" s="103">
        <f t="shared" si="1"/>
        <v>55.26765435760457</v>
      </c>
      <c r="T17" s="162">
        <f>+R17/R7</f>
        <v>0.05894571773580777</v>
      </c>
    </row>
    <row r="18" spans="1:26" ht="12.75">
      <c r="A18" s="24"/>
      <c r="B18" s="2" t="s">
        <v>20</v>
      </c>
      <c r="C18" s="2"/>
      <c r="D18" s="25"/>
      <c r="E18" s="196" t="s">
        <v>82</v>
      </c>
      <c r="F18" s="176">
        <v>290.86</v>
      </c>
      <c r="G18" s="26">
        <v>355.05</v>
      </c>
      <c r="H18" s="185">
        <v>985.8</v>
      </c>
      <c r="I18" s="176">
        <v>1312.4816314592733</v>
      </c>
      <c r="J18" s="26">
        <v>999.9020122550145</v>
      </c>
      <c r="K18" s="185">
        <v>987.6545520844946</v>
      </c>
      <c r="L18" s="176">
        <v>811.25</v>
      </c>
      <c r="M18" s="26">
        <v>534.45</v>
      </c>
      <c r="N18" s="185">
        <v>819.33</v>
      </c>
      <c r="O18" s="176"/>
      <c r="P18" s="26"/>
      <c r="Q18" s="86"/>
      <c r="R18" s="103">
        <f t="shared" si="1"/>
        <v>788.5309106443092</v>
      </c>
      <c r="U18" s="61">
        <f>+F18</f>
        <v>290.86</v>
      </c>
      <c r="V18" s="61">
        <f>+G18</f>
        <v>355.05</v>
      </c>
      <c r="W18" s="61">
        <f>+P18</f>
        <v>0</v>
      </c>
      <c r="X18" s="61"/>
      <c r="Y18" s="61"/>
      <c r="Z18" s="61"/>
    </row>
    <row r="19" spans="1:18" ht="12.75">
      <c r="A19" s="24"/>
      <c r="B19" s="2" t="s">
        <v>21</v>
      </c>
      <c r="C19" s="2"/>
      <c r="D19" s="25"/>
      <c r="E19" s="197">
        <v>1791.6345281597748</v>
      </c>
      <c r="F19" s="177">
        <v>1733.32</v>
      </c>
      <c r="G19" s="34">
        <v>1363.23</v>
      </c>
      <c r="H19" s="186">
        <v>1568.16</v>
      </c>
      <c r="I19" s="177">
        <v>1613.3841586401975</v>
      </c>
      <c r="J19" s="34">
        <v>1493.9255431253846</v>
      </c>
      <c r="K19" s="186">
        <v>1668.2566093296748</v>
      </c>
      <c r="L19" s="177">
        <v>1681.72</v>
      </c>
      <c r="M19" s="34">
        <v>1671.27</v>
      </c>
      <c r="N19" s="186">
        <v>1699.59</v>
      </c>
      <c r="O19" s="177"/>
      <c r="P19" s="34"/>
      <c r="Q19" s="71"/>
      <c r="R19" s="28">
        <f t="shared" si="1"/>
        <v>1610.317367899473</v>
      </c>
    </row>
    <row r="20" spans="1:18" s="1" customFormat="1" ht="13.5" thickBot="1">
      <c r="A20" s="29"/>
      <c r="B20" s="30" t="s">
        <v>22</v>
      </c>
      <c r="C20" s="30"/>
      <c r="D20" s="31"/>
      <c r="E20" s="198">
        <f>+E19+E7</f>
        <v>2561.6809875179183</v>
      </c>
      <c r="F20" s="178">
        <f aca="true" t="shared" si="2" ref="F20:R20">+F19+F18+F7</f>
        <v>3129.6099999999997</v>
      </c>
      <c r="G20" s="76">
        <f t="shared" si="2"/>
        <v>2519.81</v>
      </c>
      <c r="H20" s="187">
        <f t="shared" si="2"/>
        <v>3456.94</v>
      </c>
      <c r="I20" s="178">
        <f t="shared" si="2"/>
        <v>3937.5829818834764</v>
      </c>
      <c r="J20" s="76">
        <f t="shared" si="2"/>
        <v>3415.126898337511</v>
      </c>
      <c r="K20" s="187">
        <f t="shared" si="2"/>
        <v>3580.377438789904</v>
      </c>
      <c r="L20" s="178">
        <f t="shared" si="2"/>
        <v>3390.5600000000004</v>
      </c>
      <c r="M20" s="76">
        <f t="shared" si="2"/>
        <v>3109.13</v>
      </c>
      <c r="N20" s="187">
        <f t="shared" si="2"/>
        <v>3488.92</v>
      </c>
      <c r="O20" s="178">
        <f t="shared" si="2"/>
        <v>0</v>
      </c>
      <c r="P20" s="76">
        <f t="shared" si="2"/>
        <v>0</v>
      </c>
      <c r="Q20" s="137">
        <f t="shared" si="2"/>
        <v>0</v>
      </c>
      <c r="R20" s="138">
        <f t="shared" si="2"/>
        <v>3336.4508132234323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32"/>
      <c r="N21" s="188"/>
      <c r="O21" s="179"/>
      <c r="P21" s="32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20.97</v>
      </c>
      <c r="G22" s="26">
        <v>17.72</v>
      </c>
      <c r="H22" s="185">
        <v>22.87</v>
      </c>
      <c r="I22" s="176">
        <v>19.46</v>
      </c>
      <c r="J22" s="26">
        <v>24.52</v>
      </c>
      <c r="K22" s="185">
        <v>27.807281730504826</v>
      </c>
      <c r="L22" s="176">
        <v>29.96</v>
      </c>
      <c r="M22" s="26">
        <v>30.81</v>
      </c>
      <c r="N22" s="185">
        <v>27.67</v>
      </c>
      <c r="O22" s="176"/>
      <c r="P22" s="26"/>
      <c r="Q22" s="86"/>
      <c r="R22" s="103">
        <f>AVERAGE(F22:Q22)</f>
        <v>24.643031303389428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0</v>
      </c>
      <c r="G23" s="26">
        <v>0</v>
      </c>
      <c r="H23" s="185">
        <v>0</v>
      </c>
      <c r="I23" s="176">
        <v>0</v>
      </c>
      <c r="J23" s="26">
        <v>0</v>
      </c>
      <c r="K23" s="185">
        <v>0</v>
      </c>
      <c r="L23" s="176">
        <v>0</v>
      </c>
      <c r="M23" s="26">
        <v>0</v>
      </c>
      <c r="N23" s="185">
        <v>0</v>
      </c>
      <c r="O23" s="176"/>
      <c r="P23" s="26"/>
      <c r="Q23" s="86"/>
      <c r="R23" s="103">
        <f>AVERAGE(F23:Q23)</f>
        <v>0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129.48</v>
      </c>
      <c r="G24" s="34">
        <v>116.36</v>
      </c>
      <c r="H24" s="186">
        <v>143.52</v>
      </c>
      <c r="I24" s="177">
        <v>120.38094767639656</v>
      </c>
      <c r="J24" s="34">
        <v>137.50036475572975</v>
      </c>
      <c r="K24" s="186">
        <v>121.14177264829361</v>
      </c>
      <c r="L24" s="177">
        <v>139.92</v>
      </c>
      <c r="M24" s="34">
        <v>133.5</v>
      </c>
      <c r="N24" s="186">
        <v>144.09</v>
      </c>
      <c r="O24" s="177"/>
      <c r="P24" s="34"/>
      <c r="Q24" s="71"/>
      <c r="R24" s="28">
        <f>AVERAGE(F24:Q24)</f>
        <v>131.76589834226886</v>
      </c>
    </row>
    <row r="25" spans="1:1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R25">SUM(F22:F24)</f>
        <v>150.45</v>
      </c>
      <c r="G25" s="76">
        <f t="shared" si="3"/>
        <v>134.07999999999998</v>
      </c>
      <c r="H25" s="187">
        <f t="shared" si="3"/>
        <v>166.39000000000001</v>
      </c>
      <c r="I25" s="178">
        <f t="shared" si="3"/>
        <v>139.84094767639655</v>
      </c>
      <c r="J25" s="76">
        <f t="shared" si="3"/>
        <v>162.02036475572976</v>
      </c>
      <c r="K25" s="187">
        <f t="shared" si="3"/>
        <v>148.94905437879845</v>
      </c>
      <c r="L25" s="178">
        <f t="shared" si="3"/>
        <v>169.88</v>
      </c>
      <c r="M25" s="76">
        <f t="shared" si="3"/>
        <v>164.31</v>
      </c>
      <c r="N25" s="187">
        <f t="shared" si="3"/>
        <v>171.76</v>
      </c>
      <c r="O25" s="178">
        <f t="shared" si="3"/>
        <v>0</v>
      </c>
      <c r="P25" s="76">
        <f t="shared" si="3"/>
        <v>0</v>
      </c>
      <c r="Q25" s="76">
        <f t="shared" si="3"/>
        <v>0</v>
      </c>
      <c r="R25" s="77">
        <f t="shared" si="3"/>
        <v>156.40892964565828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3280.0599999999995</v>
      </c>
      <c r="G26" s="74">
        <f t="shared" si="4"/>
        <v>2653.89</v>
      </c>
      <c r="H26" s="189">
        <f t="shared" si="4"/>
        <v>3623.33</v>
      </c>
      <c r="I26" s="180">
        <f t="shared" si="4"/>
        <v>4077.4239295598727</v>
      </c>
      <c r="J26" s="74">
        <f t="shared" si="4"/>
        <v>3577.147263093241</v>
      </c>
      <c r="K26" s="189">
        <f t="shared" si="4"/>
        <v>3729.326493168702</v>
      </c>
      <c r="L26" s="180">
        <f t="shared" si="4"/>
        <v>3560.4400000000005</v>
      </c>
      <c r="M26" s="74">
        <f t="shared" si="4"/>
        <v>3273.44</v>
      </c>
      <c r="N26" s="189">
        <f t="shared" si="4"/>
        <v>3660.6800000000003</v>
      </c>
      <c r="O26" s="180">
        <f t="shared" si="4"/>
        <v>0</v>
      </c>
      <c r="P26" s="74">
        <f t="shared" si="4"/>
        <v>0</v>
      </c>
      <c r="Q26" s="139">
        <f t="shared" si="4"/>
        <v>0</v>
      </c>
      <c r="R26" s="75">
        <f t="shared" si="4"/>
        <v>3492.8597428690905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5"/>
      <c r="F29" s="426" t="s">
        <v>7</v>
      </c>
      <c r="G29" s="407" t="s">
        <v>8</v>
      </c>
      <c r="H29" s="415" t="s">
        <v>9</v>
      </c>
      <c r="I29" s="416" t="s">
        <v>108</v>
      </c>
      <c r="J29" s="417" t="s">
        <v>10</v>
      </c>
      <c r="K29" s="418" t="s">
        <v>109</v>
      </c>
      <c r="L29" s="419" t="s">
        <v>43</v>
      </c>
      <c r="M29" s="420" t="s">
        <v>13</v>
      </c>
      <c r="N29" s="421" t="s">
        <v>44</v>
      </c>
      <c r="O29" s="422" t="s">
        <v>112</v>
      </c>
      <c r="P29" s="423" t="s">
        <v>113</v>
      </c>
      <c r="Q29" s="424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22352</v>
      </c>
      <c r="F30" s="205">
        <f aca="true" t="shared" si="5" ref="F30:N30">SUM(F31:F41)</f>
        <v>23236</v>
      </c>
      <c r="G30" s="94">
        <f t="shared" si="5"/>
        <v>23275</v>
      </c>
      <c r="H30" s="214">
        <f t="shared" si="5"/>
        <v>23323</v>
      </c>
      <c r="I30" s="205">
        <f t="shared" si="5"/>
        <v>23500</v>
      </c>
      <c r="J30" s="94">
        <f t="shared" si="5"/>
        <v>23510</v>
      </c>
      <c r="K30" s="214">
        <f t="shared" si="5"/>
        <v>23822</v>
      </c>
      <c r="L30" s="205">
        <f t="shared" si="5"/>
        <v>23606</v>
      </c>
      <c r="M30" s="94">
        <f t="shared" si="5"/>
        <v>23757</v>
      </c>
      <c r="N30" s="214">
        <f t="shared" si="5"/>
        <v>23794</v>
      </c>
      <c r="O30" s="205"/>
      <c r="P30" s="94"/>
      <c r="Q30" s="94"/>
      <c r="R30" s="87">
        <f aca="true" t="shared" si="6" ref="R30:R43">AVERAGE(F30:Q30)</f>
        <v>23535.88888888889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274">
        <v>164</v>
      </c>
      <c r="G31" s="275">
        <v>164</v>
      </c>
      <c r="H31" s="276">
        <v>164</v>
      </c>
      <c r="I31" s="274">
        <v>168</v>
      </c>
      <c r="J31" s="275">
        <v>170</v>
      </c>
      <c r="K31" s="276">
        <v>172</v>
      </c>
      <c r="L31" s="274">
        <v>165</v>
      </c>
      <c r="M31" s="275">
        <v>168</v>
      </c>
      <c r="N31" s="276">
        <v>168</v>
      </c>
      <c r="O31" s="274"/>
      <c r="P31" s="275"/>
      <c r="Q31" s="279"/>
      <c r="R31" s="70">
        <f t="shared" si="6"/>
        <v>167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274">
        <v>0</v>
      </c>
      <c r="G32" s="275">
        <v>0</v>
      </c>
      <c r="H32" s="276">
        <v>0</v>
      </c>
      <c r="I32" s="274">
        <v>0</v>
      </c>
      <c r="J32" s="275">
        <v>0</v>
      </c>
      <c r="K32" s="276"/>
      <c r="L32" s="274">
        <v>0</v>
      </c>
      <c r="M32" s="275">
        <v>0</v>
      </c>
      <c r="N32" s="276">
        <v>0</v>
      </c>
      <c r="O32" s="274"/>
      <c r="P32" s="275"/>
      <c r="Q32" s="280"/>
      <c r="R32" s="70">
        <f t="shared" si="6"/>
        <v>0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274">
        <v>738</v>
      </c>
      <c r="G33" s="275">
        <v>739</v>
      </c>
      <c r="H33" s="276">
        <v>739</v>
      </c>
      <c r="I33" s="274">
        <v>756</v>
      </c>
      <c r="J33" s="275">
        <v>773</v>
      </c>
      <c r="K33" s="276">
        <v>784</v>
      </c>
      <c r="L33" s="274">
        <v>775</v>
      </c>
      <c r="M33" s="275">
        <v>776</v>
      </c>
      <c r="N33" s="276">
        <v>778</v>
      </c>
      <c r="O33" s="274"/>
      <c r="P33" s="275"/>
      <c r="Q33" s="275"/>
      <c r="R33" s="70">
        <f t="shared" si="6"/>
        <v>762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274">
        <v>8397</v>
      </c>
      <c r="G34" s="275">
        <v>8403</v>
      </c>
      <c r="H34" s="276">
        <v>8451</v>
      </c>
      <c r="I34" s="274">
        <v>8221</v>
      </c>
      <c r="J34" s="275">
        <v>8173</v>
      </c>
      <c r="K34" s="392">
        <v>8287</v>
      </c>
      <c r="L34" s="274">
        <v>8189</v>
      </c>
      <c r="M34" s="275">
        <v>8239</v>
      </c>
      <c r="N34" s="276">
        <v>8262</v>
      </c>
      <c r="O34" s="274"/>
      <c r="P34" s="275"/>
      <c r="Q34" s="275"/>
      <c r="R34" s="70">
        <f t="shared" si="6"/>
        <v>8291.333333333334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274">
        <v>1361</v>
      </c>
      <c r="G35" s="275">
        <v>1375</v>
      </c>
      <c r="H35" s="276">
        <v>1375</v>
      </c>
      <c r="I35" s="274">
        <v>1323</v>
      </c>
      <c r="J35" s="275">
        <v>1300</v>
      </c>
      <c r="K35" s="276">
        <v>1318</v>
      </c>
      <c r="L35" s="274">
        <v>1295</v>
      </c>
      <c r="M35" s="275">
        <v>1310</v>
      </c>
      <c r="N35" s="276">
        <v>1309</v>
      </c>
      <c r="O35" s="274"/>
      <c r="P35" s="275"/>
      <c r="Q35" s="275"/>
      <c r="R35" s="70">
        <f t="shared" si="6"/>
        <v>1329.5555555555557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274">
        <v>79</v>
      </c>
      <c r="G36" s="275">
        <v>79</v>
      </c>
      <c r="H36" s="276">
        <v>79</v>
      </c>
      <c r="I36" s="274">
        <v>72</v>
      </c>
      <c r="J36" s="275">
        <v>70</v>
      </c>
      <c r="K36" s="276">
        <v>71</v>
      </c>
      <c r="L36" s="274">
        <v>70</v>
      </c>
      <c r="M36" s="275">
        <v>70</v>
      </c>
      <c r="N36" s="276">
        <v>70</v>
      </c>
      <c r="O36" s="274"/>
      <c r="P36" s="275"/>
      <c r="Q36" s="275"/>
      <c r="R36" s="70">
        <f t="shared" si="6"/>
        <v>73.33333333333333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274">
        <v>5</v>
      </c>
      <c r="G37" s="275">
        <v>5</v>
      </c>
      <c r="H37" s="276">
        <v>5</v>
      </c>
      <c r="I37" s="274">
        <v>5</v>
      </c>
      <c r="J37" s="275">
        <v>6</v>
      </c>
      <c r="K37" s="276">
        <v>6</v>
      </c>
      <c r="L37" s="274">
        <v>6</v>
      </c>
      <c r="M37" s="275">
        <v>60</v>
      </c>
      <c r="N37" s="276">
        <v>60</v>
      </c>
      <c r="O37" s="274"/>
      <c r="P37" s="275"/>
      <c r="Q37" s="275"/>
      <c r="R37" s="70">
        <f t="shared" si="6"/>
        <v>17.555555555555557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274">
        <v>1</v>
      </c>
      <c r="G38" s="275">
        <v>1</v>
      </c>
      <c r="H38" s="276">
        <v>1</v>
      </c>
      <c r="I38" s="274">
        <v>1</v>
      </c>
      <c r="J38" s="275">
        <v>1</v>
      </c>
      <c r="K38" s="276">
        <v>1</v>
      </c>
      <c r="L38" s="274">
        <v>1</v>
      </c>
      <c r="M38" s="275">
        <v>1</v>
      </c>
      <c r="N38" s="276">
        <v>1</v>
      </c>
      <c r="O38" s="274"/>
      <c r="P38" s="275"/>
      <c r="Q38" s="275"/>
      <c r="R38" s="70">
        <f t="shared" si="6"/>
        <v>1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274">
        <v>2642</v>
      </c>
      <c r="G39" s="275">
        <v>2655</v>
      </c>
      <c r="H39" s="276">
        <v>2655</v>
      </c>
      <c r="I39" s="274">
        <v>2940</v>
      </c>
      <c r="J39" s="275">
        <v>3011</v>
      </c>
      <c r="K39" s="276">
        <v>3053</v>
      </c>
      <c r="L39" s="274">
        <v>3018</v>
      </c>
      <c r="M39" s="275">
        <v>3038</v>
      </c>
      <c r="N39" s="276">
        <v>3042</v>
      </c>
      <c r="O39" s="274"/>
      <c r="P39" s="275"/>
      <c r="Q39" s="275"/>
      <c r="R39" s="70">
        <f t="shared" si="6"/>
        <v>2894.8888888888887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274">
        <v>6579</v>
      </c>
      <c r="G40" s="275">
        <v>6583</v>
      </c>
      <c r="H40" s="276">
        <v>6583</v>
      </c>
      <c r="I40" s="274">
        <v>6731</v>
      </c>
      <c r="J40" s="275">
        <v>6751</v>
      </c>
      <c r="K40" s="276">
        <v>6845</v>
      </c>
      <c r="L40" s="274">
        <v>6832</v>
      </c>
      <c r="M40" s="275">
        <v>6835</v>
      </c>
      <c r="N40" s="276">
        <v>6839</v>
      </c>
      <c r="O40" s="274"/>
      <c r="P40" s="275"/>
      <c r="Q40" s="275"/>
      <c r="R40" s="70">
        <f t="shared" si="6"/>
        <v>6730.888888888889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274">
        <v>3270</v>
      </c>
      <c r="G41" s="275">
        <v>3271</v>
      </c>
      <c r="H41" s="276">
        <v>3271</v>
      </c>
      <c r="I41" s="274">
        <v>3283</v>
      </c>
      <c r="J41" s="275">
        <v>3255</v>
      </c>
      <c r="K41" s="276">
        <v>3285</v>
      </c>
      <c r="L41" s="274">
        <v>3255</v>
      </c>
      <c r="M41" s="275">
        <v>3260</v>
      </c>
      <c r="N41" s="276">
        <v>3265</v>
      </c>
      <c r="O41" s="274"/>
      <c r="P41" s="275"/>
      <c r="Q41" s="275"/>
      <c r="R41" s="70">
        <f t="shared" si="6"/>
        <v>3268.3333333333335</v>
      </c>
    </row>
    <row r="42" spans="1:18" ht="12.75">
      <c r="A42" s="24"/>
      <c r="B42" s="2" t="s">
        <v>76</v>
      </c>
      <c r="C42" s="2"/>
      <c r="D42" s="25"/>
      <c r="E42" s="196" t="s">
        <v>82</v>
      </c>
      <c r="F42" s="206">
        <v>0.7123</v>
      </c>
      <c r="G42" s="48">
        <v>0.5461</v>
      </c>
      <c r="H42" s="215">
        <v>0.6223</v>
      </c>
      <c r="I42" s="49">
        <v>0.8792036208268996</v>
      </c>
      <c r="J42" s="129">
        <v>0.8779</v>
      </c>
      <c r="K42" s="215">
        <v>0.8763</v>
      </c>
      <c r="L42" s="49">
        <v>0.8461</v>
      </c>
      <c r="M42" s="129">
        <v>0.8146</v>
      </c>
      <c r="N42" s="215">
        <v>0.8463</v>
      </c>
      <c r="O42" s="49"/>
      <c r="P42" s="129"/>
      <c r="Q42" s="159"/>
      <c r="R42" s="140">
        <f t="shared" si="6"/>
        <v>0.7801226245363222</v>
      </c>
    </row>
    <row r="43" spans="1:18" ht="12.75">
      <c r="A43" s="24"/>
      <c r="B43" s="2" t="s">
        <v>77</v>
      </c>
      <c r="C43" s="2"/>
      <c r="D43" s="25"/>
      <c r="E43" s="210">
        <f>68.9/4.33333/0.75</f>
        <v>21.200016307704853</v>
      </c>
      <c r="F43" s="207">
        <f>+F7*2000/(F30*4.3333*F42)</f>
        <v>30.826070923763073</v>
      </c>
      <c r="G43" s="69">
        <f>+G7*2000/(G30*4.3333*G42)</f>
        <v>29.105103940229785</v>
      </c>
      <c r="H43" s="216">
        <f>+H7*2000/(H30*4.3333*H42)</f>
        <v>28.714757756221058</v>
      </c>
      <c r="I43" s="207">
        <f aca="true" t="shared" si="7" ref="I43:N43">+I7*2000/(I30*2.166667*I42)</f>
        <v>45.200124033808585</v>
      </c>
      <c r="J43" s="69">
        <f t="shared" si="7"/>
        <v>41.20414532273408</v>
      </c>
      <c r="K43" s="216">
        <f t="shared" si="7"/>
        <v>40.87877458314323</v>
      </c>
      <c r="L43" s="207">
        <f t="shared" si="7"/>
        <v>41.48315073513823</v>
      </c>
      <c r="M43" s="69">
        <f t="shared" si="7"/>
        <v>43.09101431507639</v>
      </c>
      <c r="N43" s="216">
        <f t="shared" si="7"/>
        <v>44.46494536935139</v>
      </c>
      <c r="O43" s="207"/>
      <c r="P43" s="69"/>
      <c r="Q43" s="88"/>
      <c r="R43" s="27">
        <f t="shared" si="6"/>
        <v>38.32978744216287</v>
      </c>
    </row>
    <row r="44" spans="1:18" ht="12.75">
      <c r="A44" s="19" t="s">
        <v>31</v>
      </c>
      <c r="B44" s="20"/>
      <c r="C44" s="20"/>
      <c r="D44" s="21"/>
      <c r="E44" s="194"/>
      <c r="F44" s="204"/>
      <c r="G44" s="46"/>
      <c r="H44" s="217"/>
      <c r="I44" s="204"/>
      <c r="J44" s="46"/>
      <c r="K44" s="217"/>
      <c r="L44" s="204"/>
      <c r="M44" s="46"/>
      <c r="N44" s="217"/>
      <c r="O44" s="204"/>
      <c r="P44" s="47"/>
      <c r="Q44" s="133"/>
      <c r="R44" s="50"/>
    </row>
    <row r="45" spans="1:18" ht="12.75">
      <c r="A45" s="19"/>
      <c r="B45" s="95" t="s">
        <v>75</v>
      </c>
      <c r="C45" s="20"/>
      <c r="D45" s="21"/>
      <c r="E45" s="196" t="s">
        <v>82</v>
      </c>
      <c r="F45" s="287">
        <v>8931</v>
      </c>
      <c r="G45" s="288">
        <v>8931</v>
      </c>
      <c r="H45" s="289">
        <v>8931</v>
      </c>
      <c r="I45" s="339">
        <v>8893</v>
      </c>
      <c r="J45" s="340">
        <v>8893</v>
      </c>
      <c r="K45" s="341">
        <v>9328</v>
      </c>
      <c r="L45" s="339">
        <v>9535</v>
      </c>
      <c r="M45" s="340">
        <v>9540</v>
      </c>
      <c r="N45" s="341">
        <v>9533</v>
      </c>
      <c r="O45" s="339"/>
      <c r="P45" s="343"/>
      <c r="Q45" s="344"/>
      <c r="R45" s="70">
        <f>AVERAGE(F45:Q45)</f>
        <v>9168.333333333334</v>
      </c>
    </row>
    <row r="46" spans="1:18" ht="12.75">
      <c r="A46" s="24"/>
      <c r="B46" s="2" t="s">
        <v>78</v>
      </c>
      <c r="C46" s="2"/>
      <c r="D46" s="25"/>
      <c r="E46" s="196" t="s">
        <v>82</v>
      </c>
      <c r="F46" s="206">
        <v>0.5564</v>
      </c>
      <c r="G46" s="48">
        <v>0.3845</v>
      </c>
      <c r="H46" s="215">
        <v>0.6286</v>
      </c>
      <c r="I46" s="212">
        <v>0.6577728231135054</v>
      </c>
      <c r="J46" s="167">
        <v>0.7266</v>
      </c>
      <c r="K46" s="219">
        <v>0.7423</v>
      </c>
      <c r="L46" s="49">
        <v>0.7234</v>
      </c>
      <c r="M46" s="129">
        <v>0.504</v>
      </c>
      <c r="N46" s="215">
        <v>0.6933</v>
      </c>
      <c r="O46" s="49"/>
      <c r="P46" s="129"/>
      <c r="Q46" s="159"/>
      <c r="R46" s="140">
        <f>AVERAGE(F46:Q46)</f>
        <v>0.624096980345945</v>
      </c>
    </row>
    <row r="47" spans="1:18" ht="12.75">
      <c r="A47" s="24"/>
      <c r="B47" s="2" t="s">
        <v>77</v>
      </c>
      <c r="C47" s="2"/>
      <c r="D47" s="25"/>
      <c r="E47" s="196" t="s">
        <v>82</v>
      </c>
      <c r="F47" s="208">
        <f>+F18*2000/(F45*2.1666667*F46)</f>
        <v>54.02996374947722</v>
      </c>
      <c r="G47" s="96">
        <f>+G18*2000/(G45*2.1666667*G46)</f>
        <v>95.44011864296739</v>
      </c>
      <c r="H47" s="218">
        <f aca="true" t="shared" si="8" ref="H47:N47">+H18*2000/(H45*4.333333*H46)</f>
        <v>81.044263378345</v>
      </c>
      <c r="I47" s="208">
        <f t="shared" si="8"/>
        <v>103.55640068722076</v>
      </c>
      <c r="J47" s="96">
        <f t="shared" si="8"/>
        <v>71.42030294548957</v>
      </c>
      <c r="K47" s="218">
        <f t="shared" si="8"/>
        <v>65.83320569816921</v>
      </c>
      <c r="L47" s="208">
        <f t="shared" si="8"/>
        <v>54.28294977221187</v>
      </c>
      <c r="M47" s="96">
        <f t="shared" si="8"/>
        <v>51.30221326740134</v>
      </c>
      <c r="N47" s="218">
        <f t="shared" si="8"/>
        <v>57.215802705963014</v>
      </c>
      <c r="O47" s="208"/>
      <c r="P47" s="96"/>
      <c r="Q47" s="97"/>
      <c r="R47" s="27">
        <f>AVERAGE(F47:Q47)</f>
        <v>70.45835787191615</v>
      </c>
    </row>
    <row r="48" spans="1:18" ht="12.75">
      <c r="A48" s="19" t="s">
        <v>86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6"/>
      <c r="N48" s="217"/>
      <c r="O48" s="204"/>
      <c r="P48" s="47"/>
      <c r="Q48" s="133"/>
      <c r="R48" s="70"/>
    </row>
    <row r="49" spans="1:18" ht="12.75">
      <c r="A49" s="19"/>
      <c r="B49" s="91" t="s">
        <v>116</v>
      </c>
      <c r="C49" s="92"/>
      <c r="D49" s="93"/>
      <c r="E49" s="211" t="s">
        <v>82</v>
      </c>
      <c r="F49" s="205">
        <f aca="true" t="shared" si="9" ref="F49:N49">SUM(F50:F62)</f>
        <v>59.44615463268586</v>
      </c>
      <c r="G49" s="205">
        <f t="shared" si="9"/>
        <v>59.45899492422048</v>
      </c>
      <c r="H49" s="214">
        <f t="shared" si="9"/>
        <v>59.54637338223978</v>
      </c>
      <c r="I49" s="205">
        <f t="shared" si="9"/>
        <v>55.59026027741809</v>
      </c>
      <c r="J49" s="205">
        <f t="shared" si="9"/>
        <v>59.562556359515476</v>
      </c>
      <c r="K49" s="214">
        <f t="shared" si="9"/>
        <v>59.53405565813935</v>
      </c>
      <c r="L49" s="205">
        <f t="shared" si="9"/>
        <v>54.50399933934218</v>
      </c>
      <c r="M49" s="205">
        <f t="shared" si="9"/>
        <v>54.462463776040245</v>
      </c>
      <c r="N49" s="214">
        <f t="shared" si="9"/>
        <v>55.512860713343954</v>
      </c>
      <c r="O49" s="205"/>
      <c r="P49" s="94"/>
      <c r="Q49" s="108"/>
      <c r="R49" s="87">
        <f>AVERAGE(F49:Q49)</f>
        <v>57.513079895882825</v>
      </c>
    </row>
    <row r="50" spans="1:18" ht="12.75">
      <c r="A50" s="19"/>
      <c r="B50" s="270"/>
      <c r="C50" s="271" t="s">
        <v>59</v>
      </c>
      <c r="D50" s="93"/>
      <c r="E50" s="196" t="s">
        <v>82</v>
      </c>
      <c r="F50" s="274">
        <v>4</v>
      </c>
      <c r="G50" s="275">
        <v>4</v>
      </c>
      <c r="H50" s="276">
        <v>4</v>
      </c>
      <c r="I50" s="274">
        <v>4</v>
      </c>
      <c r="J50" s="275">
        <v>4</v>
      </c>
      <c r="K50" s="276">
        <v>4</v>
      </c>
      <c r="L50" s="274">
        <v>0</v>
      </c>
      <c r="M50" s="275">
        <v>0</v>
      </c>
      <c r="N50" s="276">
        <v>0</v>
      </c>
      <c r="O50" s="274"/>
      <c r="P50" s="275"/>
      <c r="Q50" s="279"/>
      <c r="R50" s="70">
        <f>AVERAGE(F50:Q50)</f>
        <v>2.6666666666666665</v>
      </c>
    </row>
    <row r="51" spans="1:18" ht="12.75">
      <c r="A51" s="19"/>
      <c r="B51" s="270"/>
      <c r="C51" s="271" t="s">
        <v>61</v>
      </c>
      <c r="D51" s="93"/>
      <c r="E51" s="196" t="s">
        <v>82</v>
      </c>
      <c r="F51" s="274">
        <v>2</v>
      </c>
      <c r="G51" s="275">
        <v>2</v>
      </c>
      <c r="H51" s="276">
        <v>2</v>
      </c>
      <c r="I51" s="274">
        <v>3</v>
      </c>
      <c r="J51" s="275">
        <v>3</v>
      </c>
      <c r="K51" s="276">
        <v>3</v>
      </c>
      <c r="L51" s="274">
        <v>3</v>
      </c>
      <c r="M51" s="275">
        <v>3</v>
      </c>
      <c r="N51" s="276">
        <v>3</v>
      </c>
      <c r="O51" s="274"/>
      <c r="P51" s="275"/>
      <c r="Q51" s="281"/>
      <c r="R51" s="70">
        <f aca="true" t="shared" si="10" ref="R51:R57">AVERAGE(F51:Q51)</f>
        <v>2.6666666666666665</v>
      </c>
    </row>
    <row r="52" spans="1:18" ht="12.75">
      <c r="A52" s="19"/>
      <c r="B52" s="270"/>
      <c r="C52" s="271" t="s">
        <v>64</v>
      </c>
      <c r="D52" s="93"/>
      <c r="E52" s="196" t="s">
        <v>82</v>
      </c>
      <c r="F52" s="274">
        <v>5</v>
      </c>
      <c r="G52" s="275">
        <v>5</v>
      </c>
      <c r="H52" s="276">
        <v>5</v>
      </c>
      <c r="I52" s="274">
        <v>3</v>
      </c>
      <c r="J52" s="275">
        <v>3</v>
      </c>
      <c r="K52" s="276">
        <v>3</v>
      </c>
      <c r="L52" s="274">
        <v>3</v>
      </c>
      <c r="M52" s="275">
        <v>3</v>
      </c>
      <c r="N52" s="276">
        <v>3</v>
      </c>
      <c r="O52" s="274"/>
      <c r="P52" s="275"/>
      <c r="Q52" s="281"/>
      <c r="R52" s="70">
        <f t="shared" si="10"/>
        <v>3.6666666666666665</v>
      </c>
    </row>
    <row r="53" spans="1:18" ht="12.75">
      <c r="A53" s="19"/>
      <c r="B53" s="270"/>
      <c r="C53" s="271" t="s">
        <v>65</v>
      </c>
      <c r="D53" s="93"/>
      <c r="E53" s="196" t="s">
        <v>82</v>
      </c>
      <c r="F53" s="274">
        <v>11</v>
      </c>
      <c r="G53" s="275">
        <v>11</v>
      </c>
      <c r="H53" s="276">
        <v>11</v>
      </c>
      <c r="I53" s="274">
        <v>7</v>
      </c>
      <c r="J53" s="275">
        <v>9</v>
      </c>
      <c r="K53" s="276">
        <v>8</v>
      </c>
      <c r="L53" s="274">
        <v>8</v>
      </c>
      <c r="M53" s="275">
        <v>8</v>
      </c>
      <c r="N53" s="276">
        <v>8</v>
      </c>
      <c r="O53" s="274"/>
      <c r="P53" s="275"/>
      <c r="Q53" s="281"/>
      <c r="R53" s="70">
        <f t="shared" si="10"/>
        <v>9</v>
      </c>
    </row>
    <row r="54" spans="1:18" ht="12.75">
      <c r="A54" s="19"/>
      <c r="B54" s="270"/>
      <c r="C54" s="271" t="s">
        <v>66</v>
      </c>
      <c r="D54" s="93"/>
      <c r="E54" s="196" t="s">
        <v>82</v>
      </c>
      <c r="F54" s="274">
        <v>8</v>
      </c>
      <c r="G54" s="275">
        <v>8</v>
      </c>
      <c r="H54" s="276">
        <v>8</v>
      </c>
      <c r="I54" s="274">
        <v>8</v>
      </c>
      <c r="J54" s="275">
        <v>10</v>
      </c>
      <c r="K54" s="276">
        <v>11</v>
      </c>
      <c r="L54" s="274">
        <v>10</v>
      </c>
      <c r="M54" s="275">
        <v>10</v>
      </c>
      <c r="N54" s="276">
        <v>10</v>
      </c>
      <c r="O54" s="274"/>
      <c r="P54" s="275"/>
      <c r="Q54" s="281"/>
      <c r="R54" s="70">
        <f t="shared" si="10"/>
        <v>9.222222222222221</v>
      </c>
    </row>
    <row r="55" spans="1:18" ht="12.75">
      <c r="A55" s="19"/>
      <c r="B55" s="270"/>
      <c r="C55" s="271" t="s">
        <v>67</v>
      </c>
      <c r="D55" s="93"/>
      <c r="E55" s="196" t="s">
        <v>82</v>
      </c>
      <c r="F55" s="274">
        <v>15</v>
      </c>
      <c r="G55" s="275">
        <v>15</v>
      </c>
      <c r="H55" s="276">
        <v>15</v>
      </c>
      <c r="I55" s="274">
        <v>16</v>
      </c>
      <c r="J55" s="275">
        <v>16</v>
      </c>
      <c r="K55" s="276">
        <v>16</v>
      </c>
      <c r="L55" s="274">
        <v>16</v>
      </c>
      <c r="M55" s="275">
        <v>16</v>
      </c>
      <c r="N55" s="276">
        <v>17</v>
      </c>
      <c r="O55" s="274"/>
      <c r="P55" s="275"/>
      <c r="Q55" s="281"/>
      <c r="R55" s="70">
        <f t="shared" si="10"/>
        <v>15.777777777777779</v>
      </c>
    </row>
    <row r="56" spans="1:18" ht="12.75">
      <c r="A56" s="19"/>
      <c r="B56" s="270"/>
      <c r="C56" s="271" t="s">
        <v>68</v>
      </c>
      <c r="D56" s="93"/>
      <c r="E56" s="196" t="s">
        <v>82</v>
      </c>
      <c r="F56" s="274">
        <v>13</v>
      </c>
      <c r="G56" s="275">
        <v>13</v>
      </c>
      <c r="H56" s="276">
        <v>13</v>
      </c>
      <c r="I56" s="274">
        <v>13</v>
      </c>
      <c r="J56" s="275">
        <v>13</v>
      </c>
      <c r="K56" s="276">
        <v>13</v>
      </c>
      <c r="L56" s="274">
        <v>13</v>
      </c>
      <c r="M56" s="275">
        <v>13</v>
      </c>
      <c r="N56" s="276">
        <v>13</v>
      </c>
      <c r="O56" s="274"/>
      <c r="P56" s="275"/>
      <c r="Q56" s="281"/>
      <c r="R56" s="70">
        <f t="shared" si="10"/>
        <v>13</v>
      </c>
    </row>
    <row r="57" spans="1:18" ht="13.5" thickBot="1">
      <c r="A57" s="19"/>
      <c r="B57" s="272"/>
      <c r="C57" s="273" t="s">
        <v>93</v>
      </c>
      <c r="D57" s="113"/>
      <c r="E57" s="193" t="s">
        <v>82</v>
      </c>
      <c r="F57" s="274">
        <v>1</v>
      </c>
      <c r="G57" s="275">
        <v>1</v>
      </c>
      <c r="H57" s="284">
        <v>1</v>
      </c>
      <c r="I57" s="274">
        <v>1</v>
      </c>
      <c r="J57" s="275">
        <v>1</v>
      </c>
      <c r="K57" s="284">
        <v>1</v>
      </c>
      <c r="L57" s="274">
        <v>1</v>
      </c>
      <c r="M57" s="275">
        <v>1</v>
      </c>
      <c r="N57" s="284">
        <v>1</v>
      </c>
      <c r="O57" s="274"/>
      <c r="P57" s="275"/>
      <c r="Q57" s="286"/>
      <c r="R57" s="70">
        <f t="shared" si="10"/>
        <v>1</v>
      </c>
    </row>
    <row r="58" spans="1:18" ht="14.25" thickBot="1" thickTop="1">
      <c r="A58" s="37"/>
      <c r="B58" s="2"/>
      <c r="C58" s="2"/>
      <c r="D58" s="2"/>
      <c r="E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</row>
    <row r="59" spans="1:18" ht="14.25" thickBot="1" thickTop="1">
      <c r="A59" s="40" t="s">
        <v>32</v>
      </c>
      <c r="B59" s="41"/>
      <c r="C59" s="41"/>
      <c r="D59" s="17"/>
      <c r="E59" s="73"/>
      <c r="F59" s="239"/>
      <c r="G59" s="239"/>
      <c r="H59" s="239"/>
      <c r="I59" s="240"/>
      <c r="J59" s="240"/>
      <c r="K59" s="240"/>
      <c r="L59" s="348"/>
      <c r="M59" s="348"/>
      <c r="N59" s="350"/>
      <c r="O59" s="349"/>
      <c r="P59" s="349"/>
      <c r="Q59" s="349"/>
      <c r="R59" s="43"/>
    </row>
    <row r="60" spans="1:18" ht="13.5" thickTop="1">
      <c r="A60" s="19" t="s">
        <v>33</v>
      </c>
      <c r="B60" s="20"/>
      <c r="C60" s="20"/>
      <c r="D60" s="51"/>
      <c r="E60" s="224"/>
      <c r="F60" s="204"/>
      <c r="G60" s="46"/>
      <c r="H60" s="213"/>
      <c r="I60" s="204"/>
      <c r="J60" s="46"/>
      <c r="K60" s="213"/>
      <c r="L60" s="204"/>
      <c r="M60" s="46"/>
      <c r="N60" s="217"/>
      <c r="O60" s="204"/>
      <c r="P60" s="47"/>
      <c r="Q60" s="128"/>
      <c r="R60" s="14"/>
    </row>
    <row r="61" spans="1:18" ht="12.75">
      <c r="A61" s="24"/>
      <c r="B61" s="2" t="s">
        <v>34</v>
      </c>
      <c r="C61" s="2"/>
      <c r="D61" s="25"/>
      <c r="E61" s="225" t="s">
        <v>82</v>
      </c>
      <c r="F61" s="206">
        <f aca="true" t="shared" si="11" ref="F61:K61">+F7/F20</f>
        <v>0.35321653496761585</v>
      </c>
      <c r="G61" s="48">
        <f t="shared" si="11"/>
        <v>0.3180914434024788</v>
      </c>
      <c r="H61" s="215">
        <f t="shared" si="11"/>
        <v>0.26120788905795295</v>
      </c>
      <c r="I61" s="206">
        <f t="shared" si="11"/>
        <v>0.25693863378596465</v>
      </c>
      <c r="J61" s="48">
        <f t="shared" si="11"/>
        <v>0.2697701638570449</v>
      </c>
      <c r="K61" s="215">
        <f t="shared" si="11"/>
        <v>0.2582035813766567</v>
      </c>
      <c r="L61" s="206">
        <f>+L7/L20</f>
        <v>0.2647320796564579</v>
      </c>
      <c r="M61" s="48">
        <f>+M7/M20</f>
        <v>0.2905668145108117</v>
      </c>
      <c r="N61" s="215">
        <f>+N7/N20</f>
        <v>0.27802299852103224</v>
      </c>
      <c r="O61" s="206"/>
      <c r="P61" s="49"/>
      <c r="Q61" s="132"/>
      <c r="R61" s="151">
        <f>+R7/R20</f>
        <v>0.28101794007081665</v>
      </c>
    </row>
    <row r="62" spans="1:18" ht="12.75">
      <c r="A62" s="24"/>
      <c r="B62" s="2" t="s">
        <v>35</v>
      </c>
      <c r="C62" s="2"/>
      <c r="D62" s="25"/>
      <c r="E62" s="199" t="s">
        <v>82</v>
      </c>
      <c r="F62" s="220">
        <f aca="true" t="shared" si="12" ref="F62:K62">+F18/F20</f>
        <v>0.09293809771824606</v>
      </c>
      <c r="G62" s="52">
        <f t="shared" si="12"/>
        <v>0.1409034808179982</v>
      </c>
      <c r="H62" s="229">
        <f t="shared" si="12"/>
        <v>0.2851654931818313</v>
      </c>
      <c r="I62" s="220">
        <f t="shared" si="12"/>
        <v>0.33332164363212224</v>
      </c>
      <c r="J62" s="52">
        <f t="shared" si="12"/>
        <v>0.2927861956584302</v>
      </c>
      <c r="K62" s="229">
        <f t="shared" si="12"/>
        <v>0.2758520767626952</v>
      </c>
      <c r="L62" s="220">
        <f>+L18/L20</f>
        <v>0.2392672596857156</v>
      </c>
      <c r="M62" s="52">
        <f>+M18/M20</f>
        <v>0.17189696152943107</v>
      </c>
      <c r="N62" s="229">
        <f>+N18/N20</f>
        <v>0.23483771482292515</v>
      </c>
      <c r="O62" s="220"/>
      <c r="P62" s="49"/>
      <c r="Q62" s="145"/>
      <c r="R62" s="152">
        <f>+R18/R20</f>
        <v>0.23633823928082695</v>
      </c>
    </row>
    <row r="63" spans="1:18" s="1" customFormat="1" ht="13.5" thickBot="1">
      <c r="A63" s="29"/>
      <c r="B63" s="95" t="s">
        <v>36</v>
      </c>
      <c r="C63" s="95"/>
      <c r="D63" s="142"/>
      <c r="E63" s="196" t="s">
        <v>82</v>
      </c>
      <c r="F63" s="221">
        <f aca="true" t="shared" si="13" ref="F63:R63">+F62+F61</f>
        <v>0.4461546326858619</v>
      </c>
      <c r="G63" s="141">
        <f t="shared" si="13"/>
        <v>0.458994924220477</v>
      </c>
      <c r="H63" s="230">
        <f t="shared" si="13"/>
        <v>0.5463733822397843</v>
      </c>
      <c r="I63" s="144">
        <f aca="true" t="shared" si="14" ref="I63:O63">+I62+I61</f>
        <v>0.590260277418087</v>
      </c>
      <c r="J63" s="141">
        <f t="shared" si="14"/>
        <v>0.5625563595154751</v>
      </c>
      <c r="K63" s="230">
        <f t="shared" si="14"/>
        <v>0.5340556581393519</v>
      </c>
      <c r="L63" s="144">
        <f t="shared" si="14"/>
        <v>0.5039993393421736</v>
      </c>
      <c r="M63" s="141">
        <f t="shared" si="14"/>
        <v>0.46246377604024275</v>
      </c>
      <c r="N63" s="230">
        <f t="shared" si="14"/>
        <v>0.5128607133439573</v>
      </c>
      <c r="O63" s="144">
        <f t="shared" si="14"/>
        <v>0</v>
      </c>
      <c r="P63" s="141">
        <f t="shared" si="13"/>
        <v>0</v>
      </c>
      <c r="Q63" s="126">
        <f t="shared" si="13"/>
        <v>0</v>
      </c>
      <c r="R63" s="53">
        <f t="shared" si="13"/>
        <v>0.5173561793516436</v>
      </c>
    </row>
    <row r="64" spans="1:18" ht="13.5" thickTop="1">
      <c r="A64" s="44" t="s">
        <v>37</v>
      </c>
      <c r="B64" s="54"/>
      <c r="C64" s="54"/>
      <c r="D64" s="51"/>
      <c r="E64" s="192"/>
      <c r="F64" s="56"/>
      <c r="G64" s="48"/>
      <c r="H64" s="215"/>
      <c r="I64" s="206"/>
      <c r="J64" s="48"/>
      <c r="K64" s="215"/>
      <c r="L64" s="206"/>
      <c r="M64" s="48"/>
      <c r="N64" s="215"/>
      <c r="O64" s="206"/>
      <c r="P64" s="48"/>
      <c r="Q64" s="134"/>
      <c r="R64" s="57"/>
    </row>
    <row r="65" spans="1:18" ht="12.75">
      <c r="A65" s="24"/>
      <c r="B65" s="2" t="s">
        <v>38</v>
      </c>
      <c r="C65" s="2"/>
      <c r="D65" s="25"/>
      <c r="E65" s="226" t="s">
        <v>82</v>
      </c>
      <c r="F65" s="206">
        <f aca="true" t="shared" si="15" ref="F65:K65">+F22/F25</f>
        <v>0.13938185443668993</v>
      </c>
      <c r="G65" s="48">
        <f t="shared" si="15"/>
        <v>0.13215990453460622</v>
      </c>
      <c r="H65" s="215">
        <f t="shared" si="15"/>
        <v>0.13744816395216058</v>
      </c>
      <c r="I65" s="206">
        <f t="shared" si="15"/>
        <v>0.1391580958463757</v>
      </c>
      <c r="J65" s="48">
        <f t="shared" si="15"/>
        <v>0.15133900011253285</v>
      </c>
      <c r="K65" s="215">
        <f t="shared" si="15"/>
        <v>0.18668988431297448</v>
      </c>
      <c r="L65" s="206">
        <f>+L22/L25</f>
        <v>0.17635978337650107</v>
      </c>
      <c r="M65" s="48">
        <f>+M22/M25</f>
        <v>0.18751141135658206</v>
      </c>
      <c r="N65" s="215">
        <f>+N22/N25</f>
        <v>0.161096879366558</v>
      </c>
      <c r="O65" s="206"/>
      <c r="P65" s="48"/>
      <c r="Q65" s="132"/>
      <c r="R65" s="151">
        <f>+R22/R25</f>
        <v>0.15755514317000818</v>
      </c>
    </row>
    <row r="66" spans="1:18" ht="12.75">
      <c r="A66" s="24"/>
      <c r="B66" s="2" t="s">
        <v>39</v>
      </c>
      <c r="C66" s="2"/>
      <c r="D66" s="25"/>
      <c r="E66" s="199" t="s">
        <v>82</v>
      </c>
      <c r="F66" s="206">
        <f aca="true" t="shared" si="16" ref="F66:K66">+F23/F25</f>
        <v>0</v>
      </c>
      <c r="G66" s="52">
        <f t="shared" si="16"/>
        <v>0</v>
      </c>
      <c r="H66" s="229">
        <f t="shared" si="16"/>
        <v>0</v>
      </c>
      <c r="I66" s="206">
        <f t="shared" si="16"/>
        <v>0</v>
      </c>
      <c r="J66" s="52">
        <f t="shared" si="16"/>
        <v>0</v>
      </c>
      <c r="K66" s="229">
        <f t="shared" si="16"/>
        <v>0</v>
      </c>
      <c r="L66" s="220">
        <f>+L23/L25</f>
        <v>0</v>
      </c>
      <c r="M66" s="52">
        <f>+M23/M25</f>
        <v>0</v>
      </c>
      <c r="N66" s="229">
        <f>+N23/N25</f>
        <v>0</v>
      </c>
      <c r="O66" s="220"/>
      <c r="P66" s="52"/>
      <c r="Q66" s="132"/>
      <c r="R66" s="151">
        <f>+R23/R25</f>
        <v>0</v>
      </c>
    </row>
    <row r="67" spans="1:18" s="1" customFormat="1" ht="13.5" thickBot="1">
      <c r="A67" s="29"/>
      <c r="B67" s="95" t="s">
        <v>40</v>
      </c>
      <c r="C67" s="95"/>
      <c r="D67" s="142"/>
      <c r="E67" s="226" t="s">
        <v>82</v>
      </c>
      <c r="F67" s="221">
        <f aca="true" t="shared" si="17" ref="F67:R67">+F66+F65</f>
        <v>0.13938185443668993</v>
      </c>
      <c r="G67" s="143">
        <f t="shared" si="17"/>
        <v>0.13215990453460622</v>
      </c>
      <c r="H67" s="230">
        <f t="shared" si="17"/>
        <v>0.13744816395216058</v>
      </c>
      <c r="I67" s="221">
        <f t="shared" si="17"/>
        <v>0.1391580958463757</v>
      </c>
      <c r="J67" s="143">
        <f t="shared" si="17"/>
        <v>0.15133900011253285</v>
      </c>
      <c r="K67" s="230">
        <f t="shared" si="17"/>
        <v>0.18668988431297448</v>
      </c>
      <c r="L67" s="221">
        <f t="shared" si="17"/>
        <v>0.17635978337650107</v>
      </c>
      <c r="M67" s="143">
        <f t="shared" si="17"/>
        <v>0.18751141135658206</v>
      </c>
      <c r="N67" s="230">
        <f t="shared" si="17"/>
        <v>0.161096879366558</v>
      </c>
      <c r="O67" s="221">
        <f t="shared" si="17"/>
        <v>0</v>
      </c>
      <c r="P67" s="143">
        <f t="shared" si="17"/>
        <v>0</v>
      </c>
      <c r="Q67" s="126">
        <f t="shared" si="17"/>
        <v>0</v>
      </c>
      <c r="R67" s="153">
        <f t="shared" si="17"/>
        <v>0.15755514317000818</v>
      </c>
    </row>
    <row r="68" spans="1:18" ht="14.25" thickBot="1" thickTop="1">
      <c r="A68" s="58" t="s">
        <v>83</v>
      </c>
      <c r="B68" s="59"/>
      <c r="C68" s="59"/>
      <c r="D68" s="60"/>
      <c r="E68" s="201" t="s">
        <v>82</v>
      </c>
      <c r="F68" s="222">
        <f aca="true" t="shared" si="18" ref="F68:K68">+(F7+F18+F22+F23)/(F20+F25)</f>
        <v>0.4320835594470834</v>
      </c>
      <c r="G68" s="82">
        <f t="shared" si="18"/>
        <v>0.442482544491294</v>
      </c>
      <c r="H68" s="231">
        <f t="shared" si="18"/>
        <v>0.5275947815959351</v>
      </c>
      <c r="I68" s="222">
        <f t="shared" si="18"/>
        <v>0.5747890981491</v>
      </c>
      <c r="J68" s="81">
        <f t="shared" si="18"/>
        <v>0.5439310188000527</v>
      </c>
      <c r="K68" s="231">
        <f t="shared" si="18"/>
        <v>0.5201818920237344</v>
      </c>
      <c r="L68" s="222">
        <f>+(L7+L18+L22+L23)/(L20+L25)</f>
        <v>0.48836660637449303</v>
      </c>
      <c r="M68" s="81">
        <f>+(M7+M18+M22+M23)/(M20+M25)</f>
        <v>0.4486625690405201</v>
      </c>
      <c r="N68" s="231">
        <f>+(N7+N18+N22+N23)/(N20+N25)</f>
        <v>0.4963558683086202</v>
      </c>
      <c r="O68" s="222"/>
      <c r="P68" s="83"/>
      <c r="Q68" s="83"/>
      <c r="R68" s="80">
        <f>+(R7+R18+R22+R23)/(R20+R25)</f>
        <v>0.50124442591824</v>
      </c>
    </row>
    <row r="69" spans="1:18" ht="14.25" thickBot="1" thickTop="1">
      <c r="A69" s="58" t="s">
        <v>84</v>
      </c>
      <c r="B69" s="59"/>
      <c r="C69" s="59"/>
      <c r="D69" s="60"/>
      <c r="E69" s="227">
        <f>+E7/E20</f>
        <v>0.3006020121593134</v>
      </c>
      <c r="F69" s="223">
        <f aca="true" t="shared" si="19" ref="F69:K69">+(F7+F18)/(F20-F18+F25-F23)</f>
        <v>0.46711160176635896</v>
      </c>
      <c r="G69" s="83">
        <f t="shared" si="19"/>
        <v>0.503114614327226</v>
      </c>
      <c r="H69" s="232">
        <f t="shared" si="19"/>
        <v>0.7161169730770833</v>
      </c>
      <c r="I69" s="228">
        <f t="shared" si="19"/>
        <v>0.8405957783784157</v>
      </c>
      <c r="J69" s="83">
        <f t="shared" si="19"/>
        <v>0.7454476265257537</v>
      </c>
      <c r="K69" s="232">
        <f t="shared" si="19"/>
        <v>0.6974287480595041</v>
      </c>
      <c r="L69" s="228">
        <f>+(L7+L18)/(L20-L18+L25-L23)</f>
        <v>0.6215794470371272</v>
      </c>
      <c r="M69" s="83">
        <f>+(M7+M18)/(M20-M18+M25-M23)</f>
        <v>0.5249599304853249</v>
      </c>
      <c r="N69" s="232">
        <f>+(N7+N18)/(N20-N18+N25-N23)</f>
        <v>0.6297464233550952</v>
      </c>
      <c r="O69" s="228"/>
      <c r="P69" s="83"/>
      <c r="Q69" s="83"/>
      <c r="R69" s="80">
        <f>+(R7+R18)/(R20-R18+R25-R23)</f>
        <v>0.6382853389555863</v>
      </c>
    </row>
    <row r="70" ht="13.5" thickTop="1"/>
    <row r="71" ht="12.75">
      <c r="A71" s="72"/>
    </row>
  </sheetData>
  <printOptions/>
  <pageMargins left="0.5" right="0.25" top="0.5" bottom="0.5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A52">
      <pane xSplit="3" topLeftCell="D1" activePane="topRight" state="frozen"/>
      <selection pane="topLeft" activeCell="A26" sqref="A26"/>
      <selection pane="topRight" activeCell="B57" sqref="B57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5.421875" style="0" bestFit="1" customWidth="1"/>
    <col min="14" max="17" width="11.00390625" style="0" customWidth="1"/>
    <col min="18" max="18" width="15.85156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14" t="s">
        <v>89</v>
      </c>
    </row>
    <row r="2" spans="1:8" ht="15">
      <c r="A2" s="9" t="s">
        <v>129</v>
      </c>
      <c r="B2" s="1"/>
      <c r="C2" s="1"/>
      <c r="D2" s="1"/>
      <c r="E2" s="1"/>
      <c r="H2" s="6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1">
        <v>2004</v>
      </c>
      <c r="M4" s="292">
        <v>2004</v>
      </c>
      <c r="N4" s="314">
        <v>2004</v>
      </c>
      <c r="O4" s="306">
        <v>2004</v>
      </c>
      <c r="P4" s="298">
        <v>2004</v>
      </c>
      <c r="Q4" s="299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3" t="s">
        <v>12</v>
      </c>
      <c r="M5" s="294" t="s">
        <v>16</v>
      </c>
      <c r="N5" s="315" t="s">
        <v>17</v>
      </c>
      <c r="O5" s="307" t="s">
        <v>72</v>
      </c>
      <c r="P5" s="300" t="s">
        <v>73</v>
      </c>
      <c r="Q5" s="301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3"/>
      <c r="G6" s="395"/>
      <c r="H6" s="394"/>
      <c r="I6" s="393"/>
      <c r="J6" s="22"/>
      <c r="K6" s="183"/>
      <c r="L6" s="174"/>
      <c r="M6" s="23"/>
      <c r="N6" s="316"/>
      <c r="O6" s="308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v>1023.152095484455</v>
      </c>
      <c r="F7" s="175">
        <f>SUM(F8:F17)</f>
        <v>1085.86</v>
      </c>
      <c r="G7" s="175">
        <f aca="true" t="shared" si="0" ref="G7:N7">SUM(G8:G17)</f>
        <v>882.97</v>
      </c>
      <c r="H7" s="184">
        <f t="shared" si="0"/>
        <v>1038.82</v>
      </c>
      <c r="I7" s="175">
        <f t="shared" si="0"/>
        <v>1190.5877412428288</v>
      </c>
      <c r="J7" s="175">
        <f t="shared" si="0"/>
        <v>1057.5161902331151</v>
      </c>
      <c r="K7" s="184">
        <f t="shared" si="0"/>
        <v>1086.920744324027</v>
      </c>
      <c r="L7" s="175">
        <f t="shared" si="0"/>
        <v>1173.03</v>
      </c>
      <c r="M7" s="175">
        <f t="shared" si="0"/>
        <v>1211.7400000000002</v>
      </c>
      <c r="N7" s="184">
        <f t="shared" si="0"/>
        <v>1038.2700000000002</v>
      </c>
      <c r="O7" s="309"/>
      <c r="P7" s="146"/>
      <c r="Q7" s="146"/>
      <c r="R7" s="28">
        <f>AVERAGE(F7:Q7)</f>
        <v>1085.0794084222189</v>
      </c>
    </row>
    <row r="8" spans="1:18" ht="12.75">
      <c r="A8" s="24"/>
      <c r="B8" s="2"/>
      <c r="C8" s="258" t="s">
        <v>5</v>
      </c>
      <c r="D8" s="25"/>
      <c r="E8" s="259">
        <v>499.5843729169858</v>
      </c>
      <c r="F8" s="260">
        <v>536.3193574316485</v>
      </c>
      <c r="G8" s="261">
        <v>411.52350083483884</v>
      </c>
      <c r="H8" s="262">
        <v>423.0713383960027</v>
      </c>
      <c r="I8" s="260">
        <v>497.17</v>
      </c>
      <c r="J8" s="261">
        <f>292.524624442163+92.64</f>
        <v>385.16462444216296</v>
      </c>
      <c r="K8" s="262">
        <f>290.58+88.88</f>
        <v>379.46</v>
      </c>
      <c r="L8" s="260">
        <v>437.14</v>
      </c>
      <c r="M8" s="263">
        <v>403.62</v>
      </c>
      <c r="N8" s="262">
        <v>382.18</v>
      </c>
      <c r="O8" s="310"/>
      <c r="P8" s="263"/>
      <c r="Q8" s="263"/>
      <c r="R8" s="27">
        <f>AVERAGE(F8:Q8)</f>
        <v>428.4054245671837</v>
      </c>
    </row>
    <row r="9" spans="1:18" ht="12.75">
      <c r="A9" s="24"/>
      <c r="B9" s="2"/>
      <c r="C9" s="258" t="s">
        <v>2</v>
      </c>
      <c r="D9" s="25"/>
      <c r="E9" s="259">
        <v>204.03391980339362</v>
      </c>
      <c r="F9" s="260">
        <v>239.6184672409867</v>
      </c>
      <c r="G9" s="261">
        <v>212.45343725101515</v>
      </c>
      <c r="H9" s="262">
        <v>291.1327550122271</v>
      </c>
      <c r="I9" s="260">
        <v>339.58</v>
      </c>
      <c r="J9" s="261">
        <v>388.4724595490829</v>
      </c>
      <c r="K9" s="262">
        <v>367.6044640768353</v>
      </c>
      <c r="L9" s="260">
        <v>380.15</v>
      </c>
      <c r="M9" s="263">
        <v>422.96</v>
      </c>
      <c r="N9" s="262">
        <v>395.52</v>
      </c>
      <c r="O9" s="310"/>
      <c r="P9" s="263"/>
      <c r="Q9" s="264"/>
      <c r="R9" s="103">
        <f aca="true" t="shared" si="1" ref="R9:R19">AVERAGE(F9:Q9)</f>
        <v>337.4990647922386</v>
      </c>
    </row>
    <row r="10" spans="1:18" ht="12.75">
      <c r="A10" s="24"/>
      <c r="B10" s="2"/>
      <c r="C10" s="258" t="s">
        <v>0</v>
      </c>
      <c r="D10" s="25"/>
      <c r="E10" s="259">
        <v>13.195173042337338</v>
      </c>
      <c r="F10" s="260">
        <v>9.550717893960936</v>
      </c>
      <c r="G10" s="261">
        <v>8.005021644200392</v>
      </c>
      <c r="H10" s="262">
        <v>7.09594498872449</v>
      </c>
      <c r="I10" s="260">
        <v>11.42</v>
      </c>
      <c r="J10" s="261">
        <v>9.445829655688652</v>
      </c>
      <c r="K10" s="262">
        <v>10.944717786828644</v>
      </c>
      <c r="L10" s="260">
        <v>11.88</v>
      </c>
      <c r="M10" s="263">
        <v>10.22</v>
      </c>
      <c r="N10" s="262">
        <v>6.57</v>
      </c>
      <c r="O10" s="310"/>
      <c r="P10" s="263"/>
      <c r="Q10" s="264"/>
      <c r="R10" s="103">
        <f t="shared" si="1"/>
        <v>9.459136885489235</v>
      </c>
    </row>
    <row r="11" spans="1:18" ht="12.75">
      <c r="A11" s="24"/>
      <c r="B11" s="2"/>
      <c r="C11" s="258" t="s">
        <v>3</v>
      </c>
      <c r="D11" s="25"/>
      <c r="E11" s="259">
        <v>33.52885796351816</v>
      </c>
      <c r="F11" s="260">
        <v>19.937779559542772</v>
      </c>
      <c r="G11" s="261">
        <v>16.39531497352277</v>
      </c>
      <c r="H11" s="262">
        <v>14.177197623587798</v>
      </c>
      <c r="I11" s="260">
        <v>17.57</v>
      </c>
      <c r="J11" s="261">
        <f>16.79+1.21</f>
        <v>18</v>
      </c>
      <c r="K11" s="262">
        <f>17.85+1.7</f>
        <v>19.55</v>
      </c>
      <c r="L11" s="260">
        <v>17.25</v>
      </c>
      <c r="M11" s="263">
        <v>16.63</v>
      </c>
      <c r="N11" s="262">
        <v>16.35</v>
      </c>
      <c r="O11" s="310"/>
      <c r="P11" s="263"/>
      <c r="Q11" s="264"/>
      <c r="R11" s="103">
        <f t="shared" si="1"/>
        <v>17.317810239628148</v>
      </c>
    </row>
    <row r="12" spans="1:18" ht="12.75">
      <c r="A12" s="24"/>
      <c r="B12" s="2"/>
      <c r="C12" s="258" t="s">
        <v>1</v>
      </c>
      <c r="D12" s="25"/>
      <c r="E12" s="259">
        <v>254.61106653728575</v>
      </c>
      <c r="F12" s="260">
        <v>184.00218931558948</v>
      </c>
      <c r="G12" s="261">
        <v>151.14776328162017</v>
      </c>
      <c r="H12" s="262">
        <v>206.11706147294328</v>
      </c>
      <c r="I12" s="260">
        <v>224.19</v>
      </c>
      <c r="J12" s="261">
        <v>158.30501486612863</v>
      </c>
      <c r="K12" s="262">
        <v>205.20867162506872</v>
      </c>
      <c r="L12" s="260">
        <v>239.32</v>
      </c>
      <c r="M12" s="263">
        <v>247.13</v>
      </c>
      <c r="N12" s="262">
        <v>168.25</v>
      </c>
      <c r="O12" s="310"/>
      <c r="P12" s="263"/>
      <c r="Q12" s="264"/>
      <c r="R12" s="103">
        <f t="shared" si="1"/>
        <v>198.1856333957056</v>
      </c>
    </row>
    <row r="13" spans="1:18" ht="12.75">
      <c r="A13" s="24"/>
      <c r="B13" s="2"/>
      <c r="C13" s="258" t="s">
        <v>6</v>
      </c>
      <c r="D13" s="25"/>
      <c r="E13" s="259">
        <v>8.347711219831613</v>
      </c>
      <c r="F13" s="260">
        <v>10.461403334170354</v>
      </c>
      <c r="G13" s="261">
        <v>8.190509554224345</v>
      </c>
      <c r="H13" s="262">
        <v>9.994148918555773</v>
      </c>
      <c r="I13" s="260">
        <v>12.26</v>
      </c>
      <c r="J13" s="261">
        <v>9.134627889657326</v>
      </c>
      <c r="K13" s="262">
        <v>8.64510161083473</v>
      </c>
      <c r="L13" s="260">
        <v>7.84</v>
      </c>
      <c r="M13" s="263">
        <v>8.42</v>
      </c>
      <c r="N13" s="262">
        <v>8.28</v>
      </c>
      <c r="O13" s="310"/>
      <c r="P13" s="263"/>
      <c r="Q13" s="264"/>
      <c r="R13" s="103">
        <f t="shared" si="1"/>
        <v>9.247310145271392</v>
      </c>
    </row>
    <row r="14" spans="1:18" ht="12.75">
      <c r="A14" s="24"/>
      <c r="B14" s="2"/>
      <c r="C14" s="258" t="s">
        <v>98</v>
      </c>
      <c r="D14" s="25"/>
      <c r="E14" s="259">
        <v>9.850994001102478</v>
      </c>
      <c r="F14" s="260">
        <v>7.88240339004789</v>
      </c>
      <c r="G14" s="261">
        <v>8.112903429536521</v>
      </c>
      <c r="H14" s="262">
        <v>7.052039892344844</v>
      </c>
      <c r="I14" s="260">
        <v>10.68</v>
      </c>
      <c r="J14" s="261">
        <v>10.31397179911584</v>
      </c>
      <c r="K14" s="262">
        <v>9.72789340727483</v>
      </c>
      <c r="L14" s="260">
        <v>11.64</v>
      </c>
      <c r="M14" s="263">
        <v>8.46</v>
      </c>
      <c r="N14" s="262">
        <v>7.11</v>
      </c>
      <c r="O14" s="310"/>
      <c r="P14" s="263"/>
      <c r="Q14" s="264"/>
      <c r="R14" s="103">
        <f t="shared" si="1"/>
        <v>8.99769021314666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6.150679815868159</v>
      </c>
      <c r="G15" s="261">
        <v>5.986904066377927</v>
      </c>
      <c r="H15" s="262">
        <v>6.840376482988899</v>
      </c>
      <c r="I15" s="260">
        <v>6.52</v>
      </c>
      <c r="J15" s="261">
        <v>5.455598597384094</v>
      </c>
      <c r="K15" s="262">
        <v>5.212910107529914</v>
      </c>
      <c r="L15" s="260">
        <v>4.85</v>
      </c>
      <c r="M15" s="263">
        <v>4.65</v>
      </c>
      <c r="N15" s="262">
        <v>4.63</v>
      </c>
      <c r="O15" s="310"/>
      <c r="P15" s="263"/>
      <c r="Q15" s="264"/>
      <c r="R15" s="103">
        <f t="shared" si="1"/>
        <v>5.588496563349889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2.7570020181851205</v>
      </c>
      <c r="G16" s="261">
        <v>5.104644964663696</v>
      </c>
      <c r="H16" s="262">
        <v>2.90913721262522</v>
      </c>
      <c r="I16" s="260">
        <v>13.13</v>
      </c>
      <c r="J16" s="261">
        <v>7.097213091335742</v>
      </c>
      <c r="K16" s="262">
        <v>5.764358449483491</v>
      </c>
      <c r="L16" s="260">
        <v>6.91</v>
      </c>
      <c r="M16" s="263">
        <v>7.5</v>
      </c>
      <c r="N16" s="262">
        <v>5.96</v>
      </c>
      <c r="O16" s="310"/>
      <c r="P16" s="263"/>
      <c r="Q16" s="264"/>
      <c r="R16" s="103">
        <f t="shared" si="1"/>
        <v>6.348039526254808</v>
      </c>
    </row>
    <row r="17" spans="1:18" ht="12.75">
      <c r="A17" s="24"/>
      <c r="B17" s="2"/>
      <c r="C17" s="258" t="s">
        <v>4</v>
      </c>
      <c r="D17" s="25"/>
      <c r="E17" s="265" t="s">
        <v>82</v>
      </c>
      <c r="F17" s="260">
        <v>69.18</v>
      </c>
      <c r="G17" s="261">
        <v>56.05</v>
      </c>
      <c r="H17" s="262">
        <v>70.43</v>
      </c>
      <c r="I17" s="260">
        <v>58.06774124282861</v>
      </c>
      <c r="J17" s="261">
        <v>66.12685034255902</v>
      </c>
      <c r="K17" s="262">
        <v>74.80262726017166</v>
      </c>
      <c r="L17" s="260">
        <v>56.05</v>
      </c>
      <c r="M17" s="263">
        <v>82.15</v>
      </c>
      <c r="N17" s="262">
        <v>43.42</v>
      </c>
      <c r="O17" s="310"/>
      <c r="P17" s="263"/>
      <c r="Q17" s="264"/>
      <c r="R17" s="103">
        <f t="shared" si="1"/>
        <v>64.03080209395104</v>
      </c>
    </row>
    <row r="18" spans="1:18" ht="12.75">
      <c r="A18" s="24"/>
      <c r="B18" s="2" t="s">
        <v>20</v>
      </c>
      <c r="C18" s="2"/>
      <c r="D18" s="25"/>
      <c r="E18" s="242" t="s">
        <v>82</v>
      </c>
      <c r="F18" s="176">
        <v>453.44</v>
      </c>
      <c r="G18" s="26">
        <v>535.38</v>
      </c>
      <c r="H18" s="185">
        <v>1299.19</v>
      </c>
      <c r="I18" s="176">
        <v>1665.6794666112364</v>
      </c>
      <c r="J18" s="26">
        <v>1449.1612147312178</v>
      </c>
      <c r="K18" s="185">
        <v>1489.377410619291</v>
      </c>
      <c r="L18" s="176">
        <v>1012.64</v>
      </c>
      <c r="M18" s="116">
        <v>908.37</v>
      </c>
      <c r="N18" s="185">
        <v>1273.8</v>
      </c>
      <c r="O18" s="311"/>
      <c r="P18" s="116"/>
      <c r="Q18" s="86"/>
      <c r="R18" s="103">
        <f t="shared" si="1"/>
        <v>1120.7820102179717</v>
      </c>
    </row>
    <row r="19" spans="1:18" ht="12.75">
      <c r="A19" s="24"/>
      <c r="B19" s="2" t="s">
        <v>21</v>
      </c>
      <c r="C19" s="2"/>
      <c r="D19" s="25"/>
      <c r="E19" s="243">
        <v>2143.7505409214164</v>
      </c>
      <c r="F19" s="177">
        <v>2441.42</v>
      </c>
      <c r="G19" s="34">
        <v>2067.15</v>
      </c>
      <c r="H19" s="186">
        <v>2133.71</v>
      </c>
      <c r="I19" s="177">
        <v>2348.892046087982</v>
      </c>
      <c r="J19" s="34">
        <v>2224.059559768297</v>
      </c>
      <c r="K19" s="186">
        <v>2251.5642175103535</v>
      </c>
      <c r="L19" s="177">
        <v>2132.27</v>
      </c>
      <c r="M19" s="117">
        <v>2192.19</v>
      </c>
      <c r="N19" s="186">
        <v>2304.1</v>
      </c>
      <c r="O19" s="177"/>
      <c r="P19" s="34"/>
      <c r="Q19" s="34"/>
      <c r="R19" s="28">
        <f t="shared" si="1"/>
        <v>2232.817313707403</v>
      </c>
    </row>
    <row r="20" spans="1:28" s="1" customFormat="1" ht="13.5" thickBot="1">
      <c r="A20" s="29"/>
      <c r="B20" s="30" t="s">
        <v>22</v>
      </c>
      <c r="C20" s="30"/>
      <c r="D20" s="31"/>
      <c r="E20" s="198">
        <f>+E19+E7</f>
        <v>3166.9026364058714</v>
      </c>
      <c r="F20" s="178">
        <f aca="true" t="shared" si="2" ref="F20:R20">+F19+F18+F7</f>
        <v>3980.7200000000003</v>
      </c>
      <c r="G20" s="76">
        <f t="shared" si="2"/>
        <v>3485.5</v>
      </c>
      <c r="H20" s="187">
        <f t="shared" si="2"/>
        <v>4471.72</v>
      </c>
      <c r="I20" s="178">
        <f t="shared" si="2"/>
        <v>5205.159253942047</v>
      </c>
      <c r="J20" s="76">
        <f t="shared" si="2"/>
        <v>4730.73696473263</v>
      </c>
      <c r="K20" s="256">
        <f t="shared" si="2"/>
        <v>4827.862372453672</v>
      </c>
      <c r="L20" s="178">
        <f t="shared" si="2"/>
        <v>4317.94</v>
      </c>
      <c r="M20" s="76">
        <f t="shared" si="2"/>
        <v>4312.3</v>
      </c>
      <c r="N20" s="187">
        <f t="shared" si="2"/>
        <v>4616.17</v>
      </c>
      <c r="O20" s="178">
        <f t="shared" si="2"/>
        <v>0</v>
      </c>
      <c r="P20" s="76">
        <f t="shared" si="2"/>
        <v>0</v>
      </c>
      <c r="Q20" s="121">
        <f t="shared" si="2"/>
        <v>0</v>
      </c>
      <c r="R20" s="138">
        <f t="shared" si="2"/>
        <v>4438.678732347594</v>
      </c>
      <c r="T20"/>
      <c r="U20"/>
      <c r="V20"/>
      <c r="W20"/>
      <c r="X20"/>
      <c r="Y20"/>
      <c r="Z20"/>
      <c r="AA20"/>
      <c r="AB20"/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118"/>
      <c r="N21" s="188"/>
      <c r="O21" s="312"/>
      <c r="P21" s="118"/>
      <c r="Q21" s="122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52.79</v>
      </c>
      <c r="G22" s="26">
        <v>56.79</v>
      </c>
      <c r="H22" s="185">
        <v>71.87</v>
      </c>
      <c r="I22" s="176">
        <v>68.86</v>
      </c>
      <c r="J22" s="26">
        <v>69.5</v>
      </c>
      <c r="K22" s="185">
        <v>51.45</v>
      </c>
      <c r="L22" s="176">
        <v>81.29</v>
      </c>
      <c r="M22" s="116">
        <v>88.73</v>
      </c>
      <c r="N22" s="185">
        <v>94.28</v>
      </c>
      <c r="O22" s="311"/>
      <c r="P22" s="116"/>
      <c r="Q22" s="86"/>
      <c r="R22" s="103">
        <f>AVERAGE(F22:Q22)</f>
        <v>70.61777777777777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4.84</v>
      </c>
      <c r="G23" s="26">
        <v>3.96</v>
      </c>
      <c r="H23" s="185">
        <v>22.73</v>
      </c>
      <c r="I23" s="176">
        <v>27.332400000000003</v>
      </c>
      <c r="J23" s="26">
        <v>21.442766666666667</v>
      </c>
      <c r="K23" s="185">
        <v>1.6581077955123757</v>
      </c>
      <c r="L23" s="176">
        <v>1.36</v>
      </c>
      <c r="M23" s="116">
        <v>6.51</v>
      </c>
      <c r="N23" s="185">
        <v>5.47</v>
      </c>
      <c r="O23" s="311"/>
      <c r="P23" s="116"/>
      <c r="Q23" s="86"/>
      <c r="R23" s="103">
        <f>AVERAGE(F23:Q23)</f>
        <v>10.589252718019896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860.21</v>
      </c>
      <c r="G24" s="34">
        <v>820.97</v>
      </c>
      <c r="H24" s="186">
        <v>882.59</v>
      </c>
      <c r="I24" s="177">
        <v>825.1468</v>
      </c>
      <c r="J24" s="34">
        <v>816.1287500000001</v>
      </c>
      <c r="K24" s="186">
        <v>593.6822701667055</v>
      </c>
      <c r="L24" s="177">
        <v>913.68</v>
      </c>
      <c r="M24" s="117">
        <v>885.37</v>
      </c>
      <c r="N24" s="186">
        <v>890.59</v>
      </c>
      <c r="O24" s="313"/>
      <c r="P24" s="117"/>
      <c r="Q24" s="71"/>
      <c r="R24" s="28">
        <f>AVERAGE(F24:Q24)</f>
        <v>832.0408689074117</v>
      </c>
    </row>
    <row r="25" spans="1:2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Q25">SUM(F22:F24)</f>
        <v>917.84</v>
      </c>
      <c r="G25" s="76">
        <f t="shared" si="3"/>
        <v>881.72</v>
      </c>
      <c r="H25" s="187">
        <f t="shared" si="3"/>
        <v>977.19</v>
      </c>
      <c r="I25" s="178">
        <f t="shared" si="3"/>
        <v>921.3392</v>
      </c>
      <c r="J25" s="76">
        <f t="shared" si="3"/>
        <v>907.0715166666668</v>
      </c>
      <c r="K25" s="255">
        <f t="shared" si="3"/>
        <v>646.7903779622179</v>
      </c>
      <c r="L25" s="178">
        <f t="shared" si="3"/>
        <v>996.3299999999999</v>
      </c>
      <c r="M25" s="76">
        <f t="shared" si="3"/>
        <v>980.61</v>
      </c>
      <c r="N25" s="187">
        <f t="shared" si="3"/>
        <v>990.34</v>
      </c>
      <c r="O25" s="178">
        <f t="shared" si="3"/>
        <v>0</v>
      </c>
      <c r="P25" s="76">
        <f t="shared" si="3"/>
        <v>0</v>
      </c>
      <c r="Q25" s="76">
        <f t="shared" si="3"/>
        <v>0</v>
      </c>
      <c r="R25" s="77">
        <f>+R24+R23+R22</f>
        <v>913.2478994032093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4898.56</v>
      </c>
      <c r="G26" s="74">
        <f t="shared" si="4"/>
        <v>4367.22</v>
      </c>
      <c r="H26" s="189">
        <f t="shared" si="4"/>
        <v>5448.91</v>
      </c>
      <c r="I26" s="180">
        <f t="shared" si="4"/>
        <v>6126.4984539420475</v>
      </c>
      <c r="J26" s="74">
        <f t="shared" si="4"/>
        <v>5637.808481399297</v>
      </c>
      <c r="K26" s="257">
        <f t="shared" si="4"/>
        <v>5474.652750415889</v>
      </c>
      <c r="L26" s="180">
        <f t="shared" si="4"/>
        <v>5314.2699999999995</v>
      </c>
      <c r="M26" s="74">
        <f t="shared" si="4"/>
        <v>5292.91</v>
      </c>
      <c r="N26" s="189">
        <f t="shared" si="4"/>
        <v>5606.51</v>
      </c>
      <c r="O26" s="180">
        <f t="shared" si="4"/>
        <v>0</v>
      </c>
      <c r="P26" s="74">
        <f t="shared" si="4"/>
        <v>0</v>
      </c>
      <c r="Q26" s="74">
        <f t="shared" si="4"/>
        <v>0</v>
      </c>
      <c r="R26" s="75">
        <f t="shared" si="4"/>
        <v>5351.926631750803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5"/>
      <c r="F29" s="426" t="s">
        <v>7</v>
      </c>
      <c r="G29" s="407" t="s">
        <v>8</v>
      </c>
      <c r="H29" s="415" t="s">
        <v>9</v>
      </c>
      <c r="I29" s="427" t="s">
        <v>108</v>
      </c>
      <c r="J29" s="417" t="s">
        <v>10</v>
      </c>
      <c r="K29" s="418" t="s">
        <v>109</v>
      </c>
      <c r="L29" s="419" t="s">
        <v>43</v>
      </c>
      <c r="M29" s="428" t="s">
        <v>13</v>
      </c>
      <c r="N29" s="421" t="s">
        <v>44</v>
      </c>
      <c r="O29" s="429" t="s">
        <v>112</v>
      </c>
      <c r="P29" s="430" t="s">
        <v>113</v>
      </c>
      <c r="Q29" s="424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31737.3</v>
      </c>
      <c r="F30" s="245">
        <f aca="true" t="shared" si="5" ref="F30:N30">SUM(F31:F45)</f>
        <v>32542</v>
      </c>
      <c r="G30" s="125">
        <f t="shared" si="5"/>
        <v>32879</v>
      </c>
      <c r="H30" s="249">
        <f t="shared" si="5"/>
        <v>32915</v>
      </c>
      <c r="I30" s="245">
        <f t="shared" si="5"/>
        <v>33220</v>
      </c>
      <c r="J30" s="125">
        <f t="shared" si="5"/>
        <v>33228</v>
      </c>
      <c r="K30" s="249">
        <f t="shared" si="5"/>
        <v>27195</v>
      </c>
      <c r="L30" s="245">
        <f t="shared" si="5"/>
        <v>26765</v>
      </c>
      <c r="M30" s="125">
        <f t="shared" si="5"/>
        <v>26917</v>
      </c>
      <c r="N30" s="249">
        <f t="shared" si="5"/>
        <v>26995</v>
      </c>
      <c r="O30" s="245"/>
      <c r="P30" s="125"/>
      <c r="Q30" s="124"/>
      <c r="R30" s="87">
        <f aca="true" t="shared" si="6" ref="R30:R45">AVERAGE(F30:Q30)</f>
        <v>30295.11111111111</v>
      </c>
    </row>
    <row r="31" spans="1:18" ht="12.75">
      <c r="A31" s="19"/>
      <c r="B31" s="270"/>
      <c r="C31" s="271" t="s">
        <v>48</v>
      </c>
      <c r="D31" s="93"/>
      <c r="E31" s="226" t="s">
        <v>82</v>
      </c>
      <c r="F31" s="274">
        <v>342</v>
      </c>
      <c r="G31" s="275">
        <v>342</v>
      </c>
      <c r="H31" s="276">
        <v>342</v>
      </c>
      <c r="I31" s="274">
        <v>353</v>
      </c>
      <c r="J31" s="275">
        <v>354</v>
      </c>
      <c r="K31" s="276">
        <v>237</v>
      </c>
      <c r="L31" s="274">
        <v>228</v>
      </c>
      <c r="M31" s="277">
        <v>228</v>
      </c>
      <c r="N31" s="322">
        <v>225</v>
      </c>
      <c r="O31" s="317"/>
      <c r="P31" s="278"/>
      <c r="Q31" s="279"/>
      <c r="R31" s="70">
        <f t="shared" si="6"/>
        <v>294.55555555555554</v>
      </c>
    </row>
    <row r="32" spans="1:18" ht="12.75">
      <c r="A32" s="19"/>
      <c r="B32" s="270"/>
      <c r="C32" s="271" t="s">
        <v>49</v>
      </c>
      <c r="D32" s="93"/>
      <c r="E32" s="226" t="s">
        <v>82</v>
      </c>
      <c r="F32" s="274">
        <v>239</v>
      </c>
      <c r="G32" s="275">
        <v>239</v>
      </c>
      <c r="H32" s="276">
        <v>239</v>
      </c>
      <c r="I32" s="274">
        <v>239</v>
      </c>
      <c r="J32" s="275">
        <v>239</v>
      </c>
      <c r="K32" s="276">
        <v>74</v>
      </c>
      <c r="L32" s="274">
        <v>73</v>
      </c>
      <c r="M32" s="277">
        <v>74</v>
      </c>
      <c r="N32" s="276">
        <v>76</v>
      </c>
      <c r="O32" s="277"/>
      <c r="P32" s="280"/>
      <c r="Q32" s="281"/>
      <c r="R32" s="70">
        <f t="shared" si="6"/>
        <v>165.77777777777777</v>
      </c>
    </row>
    <row r="33" spans="1:18" ht="12.75">
      <c r="A33" s="19"/>
      <c r="B33" s="270"/>
      <c r="C33" s="271" t="s">
        <v>50</v>
      </c>
      <c r="D33" s="93"/>
      <c r="E33" s="226" t="s">
        <v>82</v>
      </c>
      <c r="F33" s="274">
        <v>3499</v>
      </c>
      <c r="G33" s="275">
        <v>3564</v>
      </c>
      <c r="H33" s="276">
        <v>3564</v>
      </c>
      <c r="I33" s="274">
        <v>3641</v>
      </c>
      <c r="J33" s="275">
        <v>3639</v>
      </c>
      <c r="K33" s="276">
        <v>1300</v>
      </c>
      <c r="L33" s="274">
        <v>1256</v>
      </c>
      <c r="M33" s="277">
        <v>1258</v>
      </c>
      <c r="N33" s="276">
        <v>1265</v>
      </c>
      <c r="O33" s="277"/>
      <c r="P33" s="280"/>
      <c r="Q33" s="281"/>
      <c r="R33" s="70">
        <f t="shared" si="6"/>
        <v>2554</v>
      </c>
    </row>
    <row r="34" spans="1:18" ht="12.75">
      <c r="A34" s="19"/>
      <c r="B34" s="270"/>
      <c r="C34" s="271" t="s">
        <v>51</v>
      </c>
      <c r="D34" s="93"/>
      <c r="E34" s="226" t="s">
        <v>82</v>
      </c>
      <c r="F34" s="274">
        <v>19642</v>
      </c>
      <c r="G34" s="275">
        <v>19850</v>
      </c>
      <c r="H34" s="276">
        <v>19874</v>
      </c>
      <c r="I34" s="274">
        <v>19984</v>
      </c>
      <c r="J34" s="275">
        <v>19997</v>
      </c>
      <c r="K34" s="276">
        <v>14269</v>
      </c>
      <c r="L34" s="274">
        <v>14075</v>
      </c>
      <c r="M34" s="277">
        <v>14192</v>
      </c>
      <c r="N34" s="276">
        <v>14210</v>
      </c>
      <c r="O34" s="277"/>
      <c r="P34" s="280"/>
      <c r="Q34" s="281"/>
      <c r="R34" s="70">
        <f t="shared" si="6"/>
        <v>17343.666666666668</v>
      </c>
    </row>
    <row r="35" spans="1:18" ht="12.75">
      <c r="A35" s="19"/>
      <c r="B35" s="270"/>
      <c r="C35" s="271" t="s">
        <v>52</v>
      </c>
      <c r="D35" s="93"/>
      <c r="E35" s="226" t="s">
        <v>82</v>
      </c>
      <c r="F35" s="274">
        <v>3238</v>
      </c>
      <c r="G35" s="275">
        <v>3238</v>
      </c>
      <c r="H35" s="276">
        <v>3238</v>
      </c>
      <c r="I35" s="274">
        <v>3114</v>
      </c>
      <c r="J35" s="275">
        <v>3110</v>
      </c>
      <c r="K35" s="276">
        <v>2119</v>
      </c>
      <c r="L35" s="274">
        <v>2056</v>
      </c>
      <c r="M35" s="277">
        <v>2045</v>
      </c>
      <c r="N35" s="276">
        <v>2052</v>
      </c>
      <c r="O35" s="277"/>
      <c r="P35" s="280"/>
      <c r="Q35" s="281"/>
      <c r="R35" s="70">
        <f t="shared" si="6"/>
        <v>2690</v>
      </c>
    </row>
    <row r="36" spans="1:18" ht="12.75">
      <c r="A36" s="19"/>
      <c r="B36" s="270"/>
      <c r="C36" s="271" t="s">
        <v>53</v>
      </c>
      <c r="D36" s="93"/>
      <c r="E36" s="226" t="s">
        <v>82</v>
      </c>
      <c r="F36" s="274">
        <v>159</v>
      </c>
      <c r="G36" s="275">
        <v>159</v>
      </c>
      <c r="H36" s="276">
        <v>159</v>
      </c>
      <c r="I36" s="274">
        <v>146</v>
      </c>
      <c r="J36" s="275">
        <v>146</v>
      </c>
      <c r="K36" s="276">
        <v>83</v>
      </c>
      <c r="L36" s="274">
        <v>80</v>
      </c>
      <c r="M36" s="277">
        <v>80</v>
      </c>
      <c r="N36" s="276">
        <v>79</v>
      </c>
      <c r="O36" s="277"/>
      <c r="P36" s="280"/>
      <c r="Q36" s="281"/>
      <c r="R36" s="70">
        <f t="shared" si="6"/>
        <v>121.22222222222223</v>
      </c>
    </row>
    <row r="37" spans="1:18" ht="12.75">
      <c r="A37" s="19"/>
      <c r="B37" s="270"/>
      <c r="C37" s="271" t="s">
        <v>54</v>
      </c>
      <c r="D37" s="93"/>
      <c r="E37" s="226" t="s">
        <v>82</v>
      </c>
      <c r="F37" s="274">
        <v>21</v>
      </c>
      <c r="G37" s="275">
        <v>21</v>
      </c>
      <c r="H37" s="276">
        <v>21</v>
      </c>
      <c r="I37" s="274">
        <v>21</v>
      </c>
      <c r="J37" s="275">
        <v>21</v>
      </c>
      <c r="K37" s="276">
        <v>11</v>
      </c>
      <c r="L37" s="274">
        <v>10</v>
      </c>
      <c r="M37" s="277">
        <v>10</v>
      </c>
      <c r="N37" s="276">
        <v>11</v>
      </c>
      <c r="O37" s="277"/>
      <c r="P37" s="280"/>
      <c r="Q37" s="281"/>
      <c r="R37" s="70">
        <f t="shared" si="6"/>
        <v>16.333333333333332</v>
      </c>
    </row>
    <row r="38" spans="1:18" ht="12.75">
      <c r="A38" s="19"/>
      <c r="B38" s="270"/>
      <c r="C38" s="271" t="s">
        <v>55</v>
      </c>
      <c r="D38" s="93"/>
      <c r="E38" s="226" t="s">
        <v>82</v>
      </c>
      <c r="F38" s="274">
        <v>2</v>
      </c>
      <c r="G38" s="275">
        <v>2</v>
      </c>
      <c r="H38" s="276">
        <v>2</v>
      </c>
      <c r="I38" s="274">
        <v>2</v>
      </c>
      <c r="J38" s="275">
        <v>2</v>
      </c>
      <c r="K38" s="276">
        <v>1</v>
      </c>
      <c r="L38" s="274">
        <v>1</v>
      </c>
      <c r="M38" s="277">
        <v>1</v>
      </c>
      <c r="N38" s="276">
        <v>1</v>
      </c>
      <c r="O38" s="277"/>
      <c r="P38" s="280"/>
      <c r="Q38" s="281"/>
      <c r="R38" s="70">
        <f t="shared" si="6"/>
        <v>1.5555555555555556</v>
      </c>
    </row>
    <row r="39" spans="1:18" ht="12.75">
      <c r="A39" s="19"/>
      <c r="B39" s="270"/>
      <c r="C39" s="271" t="s">
        <v>56</v>
      </c>
      <c r="D39" s="93"/>
      <c r="E39" s="226" t="s">
        <v>82</v>
      </c>
      <c r="F39" s="274">
        <v>1</v>
      </c>
      <c r="G39" s="275">
        <v>1</v>
      </c>
      <c r="H39" s="276">
        <v>1</v>
      </c>
      <c r="I39" s="274">
        <v>0</v>
      </c>
      <c r="J39" s="275">
        <v>0</v>
      </c>
      <c r="K39" s="276">
        <v>3795</v>
      </c>
      <c r="L39" s="274">
        <v>3714</v>
      </c>
      <c r="M39" s="277">
        <v>3746</v>
      </c>
      <c r="N39" s="276">
        <v>3789</v>
      </c>
      <c r="O39" s="277"/>
      <c r="P39" s="280"/>
      <c r="Q39" s="281"/>
      <c r="R39" s="70">
        <f t="shared" si="6"/>
        <v>1671.888888888889</v>
      </c>
    </row>
    <row r="40" spans="1:18" ht="12.75">
      <c r="A40" s="19"/>
      <c r="B40" s="270"/>
      <c r="C40" s="271" t="s">
        <v>57</v>
      </c>
      <c r="D40" s="93"/>
      <c r="E40" s="226" t="s">
        <v>82</v>
      </c>
      <c r="F40" s="274">
        <v>4824</v>
      </c>
      <c r="G40" s="275">
        <v>4868</v>
      </c>
      <c r="H40" s="276">
        <v>4880</v>
      </c>
      <c r="I40" s="274">
        <v>5091</v>
      </c>
      <c r="J40" s="275">
        <v>5095</v>
      </c>
      <c r="K40" s="276">
        <v>4506</v>
      </c>
      <c r="L40" s="274">
        <v>4486</v>
      </c>
      <c r="M40" s="277">
        <v>4492</v>
      </c>
      <c r="N40" s="276">
        <v>4499</v>
      </c>
      <c r="O40" s="277"/>
      <c r="P40" s="280"/>
      <c r="Q40" s="281"/>
      <c r="R40" s="70">
        <f t="shared" si="6"/>
        <v>4749</v>
      </c>
    </row>
    <row r="41" spans="1:18" ht="12.75">
      <c r="A41" s="19"/>
      <c r="B41" s="270"/>
      <c r="C41" s="271" t="s">
        <v>58</v>
      </c>
      <c r="D41" s="93"/>
      <c r="E41" s="226" t="s">
        <v>82</v>
      </c>
      <c r="F41" s="274">
        <v>575</v>
      </c>
      <c r="G41" s="275">
        <v>595</v>
      </c>
      <c r="H41" s="276">
        <v>595</v>
      </c>
      <c r="I41" s="274">
        <v>629</v>
      </c>
      <c r="J41" s="275">
        <v>625</v>
      </c>
      <c r="K41" s="276">
        <v>627</v>
      </c>
      <c r="L41" s="274">
        <v>615</v>
      </c>
      <c r="M41" s="277">
        <v>620</v>
      </c>
      <c r="N41" s="276">
        <v>623</v>
      </c>
      <c r="O41" s="277"/>
      <c r="P41" s="280"/>
      <c r="Q41" s="281"/>
      <c r="R41" s="70">
        <f t="shared" si="6"/>
        <v>611.5555555555555</v>
      </c>
    </row>
    <row r="42" spans="1:18" ht="12.75">
      <c r="A42" s="19"/>
      <c r="B42" s="270"/>
      <c r="C42" s="271" t="s">
        <v>117</v>
      </c>
      <c r="D42" s="93"/>
      <c r="E42" s="226"/>
      <c r="F42" s="274">
        <v>0</v>
      </c>
      <c r="G42" s="275">
        <v>0</v>
      </c>
      <c r="H42" s="276">
        <v>0</v>
      </c>
      <c r="I42" s="274">
        <v>0</v>
      </c>
      <c r="J42" s="275">
        <v>0</v>
      </c>
      <c r="K42" s="276">
        <v>87</v>
      </c>
      <c r="L42" s="274">
        <v>85</v>
      </c>
      <c r="M42" s="277">
        <v>85</v>
      </c>
      <c r="N42" s="276">
        <v>81</v>
      </c>
      <c r="O42" s="277"/>
      <c r="P42" s="280"/>
      <c r="Q42" s="280"/>
      <c r="R42" s="70">
        <f t="shared" si="6"/>
        <v>37.55555555555556</v>
      </c>
    </row>
    <row r="43" spans="1:18" ht="12.75">
      <c r="A43" s="19"/>
      <c r="B43" s="270"/>
      <c r="C43" s="271" t="s">
        <v>118</v>
      </c>
      <c r="D43" s="93"/>
      <c r="E43" s="226"/>
      <c r="F43" s="274">
        <v>0</v>
      </c>
      <c r="G43" s="275">
        <v>0</v>
      </c>
      <c r="H43" s="276">
        <v>0</v>
      </c>
      <c r="I43" s="274">
        <v>0</v>
      </c>
      <c r="J43" s="275">
        <v>0</v>
      </c>
      <c r="K43" s="276">
        <v>82</v>
      </c>
      <c r="L43" s="274">
        <v>82</v>
      </c>
      <c r="M43" s="277">
        <v>82</v>
      </c>
      <c r="N43" s="276">
        <v>80</v>
      </c>
      <c r="O43" s="277"/>
      <c r="P43" s="280"/>
      <c r="Q43" s="280"/>
      <c r="R43" s="70">
        <f t="shared" si="6"/>
        <v>36.22222222222222</v>
      </c>
    </row>
    <row r="44" spans="1:18" ht="12.75">
      <c r="A44" s="19"/>
      <c r="B44" s="270"/>
      <c r="C44" s="271" t="s">
        <v>119</v>
      </c>
      <c r="D44" s="93"/>
      <c r="E44" s="226"/>
      <c r="F44" s="274">
        <v>0</v>
      </c>
      <c r="G44" s="275">
        <v>0</v>
      </c>
      <c r="H44" s="276">
        <v>0</v>
      </c>
      <c r="I44" s="274">
        <v>0</v>
      </c>
      <c r="J44" s="275">
        <v>0</v>
      </c>
      <c r="K44" s="276">
        <v>3</v>
      </c>
      <c r="L44" s="274">
        <v>3</v>
      </c>
      <c r="M44" s="277">
        <v>3</v>
      </c>
      <c r="N44" s="276">
        <v>3</v>
      </c>
      <c r="O44" s="277"/>
      <c r="P44" s="280"/>
      <c r="Q44" s="280"/>
      <c r="R44" s="70">
        <f t="shared" si="6"/>
        <v>1.3333333333333333</v>
      </c>
    </row>
    <row r="45" spans="1:18" ht="12.75">
      <c r="A45" s="19"/>
      <c r="B45" s="270"/>
      <c r="C45" s="271" t="s">
        <v>120</v>
      </c>
      <c r="D45" s="93"/>
      <c r="E45" s="226"/>
      <c r="F45" s="274">
        <v>0</v>
      </c>
      <c r="G45" s="275">
        <v>0</v>
      </c>
      <c r="H45" s="276">
        <v>0</v>
      </c>
      <c r="I45" s="274">
        <v>0</v>
      </c>
      <c r="J45" s="275">
        <v>0</v>
      </c>
      <c r="K45" s="276">
        <v>1</v>
      </c>
      <c r="L45" s="274">
        <v>1</v>
      </c>
      <c r="M45" s="277">
        <v>1</v>
      </c>
      <c r="N45" s="276">
        <v>1</v>
      </c>
      <c r="O45" s="277"/>
      <c r="P45" s="280"/>
      <c r="Q45" s="280"/>
      <c r="R45" s="70">
        <f t="shared" si="6"/>
        <v>0.4444444444444444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246">
        <v>0.8233</v>
      </c>
      <c r="G46" s="163">
        <v>0.7823</v>
      </c>
      <c r="H46" s="250">
        <v>0.8063</v>
      </c>
      <c r="I46" s="206">
        <v>0.7684</v>
      </c>
      <c r="J46" s="48">
        <v>0.7526</v>
      </c>
      <c r="K46" s="215">
        <v>0.8456</v>
      </c>
      <c r="L46" s="206">
        <v>0.8378</v>
      </c>
      <c r="M46" s="129">
        <v>0.8653</v>
      </c>
      <c r="N46" s="252">
        <v>0.7946</v>
      </c>
      <c r="O46" s="318"/>
      <c r="P46" s="161"/>
      <c r="Q46" s="130"/>
      <c r="R46" s="140">
        <f>AVERAGE(F46:Q46)</f>
        <v>0.8084666666666667</v>
      </c>
    </row>
    <row r="47" spans="1:18" ht="12.75">
      <c r="A47" s="24"/>
      <c r="B47" s="2" t="s">
        <v>77</v>
      </c>
      <c r="C47" s="2"/>
      <c r="D47" s="25"/>
      <c r="E47" s="210">
        <f>64.48/4.33333/0.75</f>
        <v>19.840015261550203</v>
      </c>
      <c r="F47" s="207">
        <f aca="true" t="shared" si="7" ref="F47:K47">+F7*2000/(F30*2.166667*F46)</f>
        <v>37.411860476270775</v>
      </c>
      <c r="G47" s="69">
        <f t="shared" si="7"/>
        <v>31.687782218424577</v>
      </c>
      <c r="H47" s="216">
        <f t="shared" si="7"/>
        <v>36.13163464053776</v>
      </c>
      <c r="I47" s="207">
        <f t="shared" si="7"/>
        <v>43.053875358494174</v>
      </c>
      <c r="J47" s="69">
        <f t="shared" si="7"/>
        <v>39.035202454396725</v>
      </c>
      <c r="K47" s="216">
        <f t="shared" si="7"/>
        <v>43.629643764841305</v>
      </c>
      <c r="L47" s="207">
        <f>+L7*2000/(L30*2.166667*L46)</f>
        <v>48.288013824505846</v>
      </c>
      <c r="M47" s="69">
        <f>+M7*2000/(M30*2.166667*M46)</f>
        <v>48.02351154103537</v>
      </c>
      <c r="N47" s="216">
        <f>+N7*2000/(N30*2.166667*N46)</f>
        <v>44.68031641233786</v>
      </c>
      <c r="O47" s="207"/>
      <c r="P47" s="69"/>
      <c r="Q47" s="88"/>
      <c r="R47" s="27">
        <f>AVERAGE(F47:Q47)</f>
        <v>41.3268711878716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7"/>
      <c r="N48" s="217"/>
      <c r="O48" s="47"/>
      <c r="P48" s="131"/>
      <c r="Q48" s="133"/>
      <c r="R48" s="50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v>11962</v>
      </c>
      <c r="G49" s="288">
        <v>11962</v>
      </c>
      <c r="H49" s="289">
        <v>11962</v>
      </c>
      <c r="I49" s="287">
        <v>12066</v>
      </c>
      <c r="J49" s="288">
        <v>12069</v>
      </c>
      <c r="K49" s="289">
        <v>11080</v>
      </c>
      <c r="L49" s="287">
        <v>11058</v>
      </c>
      <c r="M49" s="391">
        <v>11064</v>
      </c>
      <c r="N49" s="289">
        <v>11071</v>
      </c>
      <c r="O49" s="319"/>
      <c r="P49" s="290"/>
      <c r="Q49" s="290"/>
      <c r="R49" s="70">
        <f>AVERAGE(F49:Q49)</f>
        <v>11588.222222222223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247">
        <v>0.4163</v>
      </c>
      <c r="G50" s="164">
        <v>0.4569</v>
      </c>
      <c r="H50" s="251">
        <v>0.639</v>
      </c>
      <c r="I50" s="248">
        <v>0.8133</v>
      </c>
      <c r="J50" s="123">
        <v>0.8356</v>
      </c>
      <c r="K50" s="252">
        <v>0.8594</v>
      </c>
      <c r="L50" s="248">
        <v>0.6258</v>
      </c>
      <c r="M50" s="130">
        <v>0.5412</v>
      </c>
      <c r="N50" s="252">
        <v>0.6586</v>
      </c>
      <c r="O50" s="320"/>
      <c r="P50" s="130"/>
      <c r="Q50" s="130"/>
      <c r="R50" s="140">
        <f>AVERAGE(F50:Q50)</f>
        <v>0.6495666666666666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208">
        <f>+F18*2000/(F49*2.166667*F50)</f>
        <v>84.05188284924917</v>
      </c>
      <c r="G51" s="96">
        <f>+G18*2000/(G49*2.166667*G50)</f>
        <v>90.42218851098058</v>
      </c>
      <c r="H51" s="218">
        <f aca="true" t="shared" si="8" ref="H51:N51">+H18*2000/(H49*4.333333*H50)</f>
        <v>78.44692857209621</v>
      </c>
      <c r="I51" s="96">
        <f t="shared" si="8"/>
        <v>78.34030720831208</v>
      </c>
      <c r="J51" s="96">
        <f t="shared" si="8"/>
        <v>66.32158778361672</v>
      </c>
      <c r="K51" s="218">
        <f t="shared" si="8"/>
        <v>72.19009018388634</v>
      </c>
      <c r="L51" s="208">
        <f t="shared" si="8"/>
        <v>67.53841516485615</v>
      </c>
      <c r="M51" s="96">
        <f t="shared" si="8"/>
        <v>70.01655832662595</v>
      </c>
      <c r="N51" s="218">
        <f t="shared" si="8"/>
        <v>80.63073132487295</v>
      </c>
      <c r="O51" s="208"/>
      <c r="P51" s="96"/>
      <c r="Q51" s="97"/>
      <c r="R51" s="27">
        <f aca="true" t="shared" si="9" ref="R51:R66">AVERAGE(F51:Q51)</f>
        <v>76.43985443605513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204"/>
      <c r="J52" s="46"/>
      <c r="K52" s="217"/>
      <c r="L52" s="204"/>
      <c r="M52" s="47"/>
      <c r="N52" s="217"/>
      <c r="O52" s="47"/>
      <c r="P52" s="131"/>
      <c r="Q52" s="133"/>
      <c r="R52" s="50"/>
    </row>
    <row r="53" spans="1:18" ht="12.75">
      <c r="A53" s="19"/>
      <c r="B53" s="91" t="s">
        <v>116</v>
      </c>
      <c r="C53" s="92"/>
      <c r="D53" s="93"/>
      <c r="E53" s="211" t="s">
        <v>82</v>
      </c>
      <c r="F53" s="205">
        <f aca="true" t="shared" si="10" ref="F53:N53">SUM(F54:F66)</f>
        <v>430</v>
      </c>
      <c r="G53" s="205">
        <f t="shared" si="10"/>
        <v>430</v>
      </c>
      <c r="H53" s="214">
        <f t="shared" si="10"/>
        <v>430</v>
      </c>
      <c r="I53" s="396">
        <f t="shared" si="10"/>
        <v>430</v>
      </c>
      <c r="J53" s="205">
        <f t="shared" si="10"/>
        <v>430</v>
      </c>
      <c r="K53" s="214">
        <f t="shared" si="10"/>
        <v>313</v>
      </c>
      <c r="L53" s="396">
        <f t="shared" si="10"/>
        <v>269</v>
      </c>
      <c r="M53" s="205">
        <f t="shared" si="10"/>
        <v>274</v>
      </c>
      <c r="N53" s="214">
        <f t="shared" si="10"/>
        <v>280</v>
      </c>
      <c r="O53" s="205"/>
      <c r="P53" s="127"/>
      <c r="Q53" s="108"/>
      <c r="R53" s="87">
        <f t="shared" si="9"/>
        <v>365.1111111111111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v>25</v>
      </c>
      <c r="G54" s="275">
        <v>25</v>
      </c>
      <c r="H54" s="276">
        <v>25</v>
      </c>
      <c r="I54" s="274">
        <v>25</v>
      </c>
      <c r="J54" s="275">
        <v>25</v>
      </c>
      <c r="K54" s="276">
        <v>15</v>
      </c>
      <c r="L54" s="274">
        <v>10</v>
      </c>
      <c r="M54" s="275">
        <v>10</v>
      </c>
      <c r="N54" s="276">
        <v>10</v>
      </c>
      <c r="O54" s="277"/>
      <c r="P54" s="280"/>
      <c r="Q54" s="279"/>
      <c r="R54" s="70">
        <f t="shared" si="9"/>
        <v>18.88888888888889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v>10</v>
      </c>
      <c r="G55" s="275">
        <v>10</v>
      </c>
      <c r="H55" s="276">
        <v>10</v>
      </c>
      <c r="I55" s="274">
        <v>10</v>
      </c>
      <c r="J55" s="275">
        <v>10</v>
      </c>
      <c r="K55" s="276">
        <v>10</v>
      </c>
      <c r="L55" s="274">
        <v>8</v>
      </c>
      <c r="M55" s="275">
        <v>8</v>
      </c>
      <c r="N55" s="276">
        <v>9</v>
      </c>
      <c r="O55" s="277"/>
      <c r="P55" s="280"/>
      <c r="Q55" s="281"/>
      <c r="R55" s="70">
        <f t="shared" si="9"/>
        <v>9.444444444444445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v>23</v>
      </c>
      <c r="G56" s="275">
        <v>23</v>
      </c>
      <c r="H56" s="276">
        <v>23</v>
      </c>
      <c r="I56" s="274">
        <v>23</v>
      </c>
      <c r="J56" s="275">
        <v>23</v>
      </c>
      <c r="K56" s="276">
        <v>15</v>
      </c>
      <c r="L56" s="274">
        <v>12</v>
      </c>
      <c r="M56" s="275">
        <v>14</v>
      </c>
      <c r="N56" s="276">
        <v>15</v>
      </c>
      <c r="O56" s="277"/>
      <c r="P56" s="280"/>
      <c r="Q56" s="281"/>
      <c r="R56" s="70">
        <f t="shared" si="9"/>
        <v>19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v>60</v>
      </c>
      <c r="G57" s="275">
        <v>60</v>
      </c>
      <c r="H57" s="276">
        <v>60</v>
      </c>
      <c r="I57" s="274">
        <v>60</v>
      </c>
      <c r="J57" s="275">
        <v>60</v>
      </c>
      <c r="K57" s="276">
        <v>50</v>
      </c>
      <c r="L57" s="274">
        <v>49</v>
      </c>
      <c r="M57" s="275">
        <v>50</v>
      </c>
      <c r="N57" s="276">
        <v>53</v>
      </c>
      <c r="O57" s="277"/>
      <c r="P57" s="280"/>
      <c r="Q57" s="281"/>
      <c r="R57" s="70">
        <f t="shared" si="9"/>
        <v>55.77777777777778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v>10</v>
      </c>
      <c r="G58" s="275">
        <v>10</v>
      </c>
      <c r="H58" s="276">
        <v>10</v>
      </c>
      <c r="I58" s="274">
        <v>10</v>
      </c>
      <c r="J58" s="275">
        <v>10</v>
      </c>
      <c r="K58" s="276">
        <v>3</v>
      </c>
      <c r="L58" s="274">
        <v>3</v>
      </c>
      <c r="M58" s="275">
        <v>3</v>
      </c>
      <c r="N58" s="276">
        <v>3</v>
      </c>
      <c r="O58" s="277"/>
      <c r="P58" s="280"/>
      <c r="Q58" s="281"/>
      <c r="R58" s="70">
        <f t="shared" si="9"/>
        <v>6.888888888888889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v>20</v>
      </c>
      <c r="G59" s="275">
        <v>20</v>
      </c>
      <c r="H59" s="276">
        <v>20</v>
      </c>
      <c r="I59" s="274">
        <v>20</v>
      </c>
      <c r="J59" s="275">
        <v>20</v>
      </c>
      <c r="K59" s="276">
        <v>8</v>
      </c>
      <c r="L59" s="274">
        <v>8</v>
      </c>
      <c r="M59" s="275">
        <v>8</v>
      </c>
      <c r="N59" s="276">
        <v>8</v>
      </c>
      <c r="O59" s="277"/>
      <c r="P59" s="280"/>
      <c r="Q59" s="281"/>
      <c r="R59" s="70">
        <f t="shared" si="9"/>
        <v>14.666666666666666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v>73</v>
      </c>
      <c r="G60" s="275">
        <v>73</v>
      </c>
      <c r="H60" s="276">
        <v>73</v>
      </c>
      <c r="I60" s="274">
        <v>73</v>
      </c>
      <c r="J60" s="275">
        <v>73</v>
      </c>
      <c r="K60" s="276">
        <v>61</v>
      </c>
      <c r="L60" s="274">
        <v>55</v>
      </c>
      <c r="M60" s="275">
        <v>56</v>
      </c>
      <c r="N60" s="276">
        <v>57</v>
      </c>
      <c r="O60" s="277"/>
      <c r="P60" s="280"/>
      <c r="Q60" s="281"/>
      <c r="R60" s="70">
        <f t="shared" si="9"/>
        <v>66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v>39</v>
      </c>
      <c r="G61" s="275">
        <v>39</v>
      </c>
      <c r="H61" s="276">
        <v>39</v>
      </c>
      <c r="I61" s="274">
        <v>39</v>
      </c>
      <c r="J61" s="275">
        <v>39</v>
      </c>
      <c r="K61" s="276">
        <v>32</v>
      </c>
      <c r="L61" s="274">
        <v>29</v>
      </c>
      <c r="M61" s="275">
        <v>30</v>
      </c>
      <c r="N61" s="276">
        <v>30</v>
      </c>
      <c r="O61" s="277"/>
      <c r="P61" s="280"/>
      <c r="Q61" s="281"/>
      <c r="R61" s="70">
        <f t="shared" si="9"/>
        <v>35.111111111111114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v>72</v>
      </c>
      <c r="G62" s="275">
        <v>72</v>
      </c>
      <c r="H62" s="276">
        <v>72</v>
      </c>
      <c r="I62" s="274">
        <v>72</v>
      </c>
      <c r="J62" s="275">
        <v>72</v>
      </c>
      <c r="K62" s="276">
        <v>51</v>
      </c>
      <c r="L62" s="274">
        <v>47</v>
      </c>
      <c r="M62" s="275">
        <v>47</v>
      </c>
      <c r="N62" s="276">
        <v>47</v>
      </c>
      <c r="O62" s="277"/>
      <c r="P62" s="280"/>
      <c r="Q62" s="281"/>
      <c r="R62" s="70">
        <f t="shared" si="9"/>
        <v>61.333333333333336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v>51</v>
      </c>
      <c r="G63" s="275">
        <v>51</v>
      </c>
      <c r="H63" s="276">
        <v>51</v>
      </c>
      <c r="I63" s="274">
        <v>51</v>
      </c>
      <c r="J63" s="275">
        <v>51</v>
      </c>
      <c r="K63" s="276">
        <v>38</v>
      </c>
      <c r="L63" s="274">
        <v>29</v>
      </c>
      <c r="M63" s="275">
        <v>29</v>
      </c>
      <c r="N63" s="276">
        <v>29</v>
      </c>
      <c r="O63" s="277"/>
      <c r="P63" s="280"/>
      <c r="Q63" s="281"/>
      <c r="R63" s="70">
        <f t="shared" si="9"/>
        <v>42.22222222222222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v>37</v>
      </c>
      <c r="G64" s="275">
        <v>37</v>
      </c>
      <c r="H64" s="276">
        <v>37</v>
      </c>
      <c r="I64" s="274">
        <v>37</v>
      </c>
      <c r="J64" s="275">
        <v>37</v>
      </c>
      <c r="K64" s="276">
        <v>25</v>
      </c>
      <c r="L64" s="274">
        <v>14</v>
      </c>
      <c r="M64" s="275">
        <v>14</v>
      </c>
      <c r="N64" s="276">
        <v>14</v>
      </c>
      <c r="O64" s="277"/>
      <c r="P64" s="280"/>
      <c r="Q64" s="281"/>
      <c r="R64" s="70">
        <f t="shared" si="9"/>
        <v>28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v>1</v>
      </c>
      <c r="G65" s="275">
        <v>1</v>
      </c>
      <c r="H65" s="276">
        <v>1</v>
      </c>
      <c r="I65" s="274">
        <v>1</v>
      </c>
      <c r="J65" s="275">
        <v>1</v>
      </c>
      <c r="K65" s="276">
        <v>0</v>
      </c>
      <c r="L65" s="274">
        <v>0</v>
      </c>
      <c r="M65" s="275">
        <v>0</v>
      </c>
      <c r="N65" s="276">
        <v>0</v>
      </c>
      <c r="O65" s="277"/>
      <c r="P65" s="280"/>
      <c r="Q65" s="281"/>
      <c r="R65" s="70">
        <f t="shared" si="9"/>
        <v>0.5555555555555556</v>
      </c>
    </row>
    <row r="66" spans="1:18" ht="13.5" thickBot="1">
      <c r="A66" s="19"/>
      <c r="B66" s="272"/>
      <c r="C66" s="273" t="s">
        <v>70</v>
      </c>
      <c r="D66" s="113"/>
      <c r="E66" s="193" t="s">
        <v>82</v>
      </c>
      <c r="F66" s="282">
        <v>9</v>
      </c>
      <c r="G66" s="283">
        <v>9</v>
      </c>
      <c r="H66" s="284">
        <v>9</v>
      </c>
      <c r="I66" s="282">
        <v>9</v>
      </c>
      <c r="J66" s="283">
        <v>9</v>
      </c>
      <c r="K66" s="284">
        <v>5</v>
      </c>
      <c r="L66" s="282">
        <v>5</v>
      </c>
      <c r="M66" s="283">
        <v>5</v>
      </c>
      <c r="N66" s="284">
        <v>5</v>
      </c>
      <c r="O66" s="321"/>
      <c r="P66" s="285"/>
      <c r="Q66" s="286"/>
      <c r="R66" s="160">
        <f t="shared" si="9"/>
        <v>7.222222222222222</v>
      </c>
    </row>
    <row r="67" spans="1:18" ht="14.25" thickBot="1" thickTop="1">
      <c r="A67" s="37"/>
      <c r="B67" s="2"/>
      <c r="C67" s="2"/>
      <c r="D67" s="2"/>
      <c r="E67" s="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4"/>
    </row>
    <row r="68" spans="1:18" ht="14.25" thickBot="1" thickTop="1">
      <c r="A68" s="40" t="s">
        <v>32</v>
      </c>
      <c r="B68" s="41"/>
      <c r="C68" s="41"/>
      <c r="D68" s="17"/>
      <c r="E68" s="7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</row>
    <row r="69" spans="1:18" ht="13.5" thickTop="1">
      <c r="A69" s="19" t="s">
        <v>33</v>
      </c>
      <c r="B69" s="20"/>
      <c r="C69" s="20"/>
      <c r="D69" s="51"/>
      <c r="E69" s="224"/>
      <c r="F69" s="233"/>
      <c r="G69" s="234"/>
      <c r="H69" s="235"/>
      <c r="I69" s="236"/>
      <c r="J69" s="237"/>
      <c r="K69" s="238"/>
      <c r="L69" s="295"/>
      <c r="M69" s="296"/>
      <c r="N69" s="305"/>
      <c r="O69" s="304"/>
      <c r="P69" s="302"/>
      <c r="Q69" s="303"/>
      <c r="R69" s="14"/>
    </row>
    <row r="70" spans="1:18" ht="12.75">
      <c r="A70" s="24"/>
      <c r="B70" s="2" t="s">
        <v>34</v>
      </c>
      <c r="C70" s="2"/>
      <c r="D70" s="25"/>
      <c r="E70" s="225" t="s">
        <v>82</v>
      </c>
      <c r="F70" s="206">
        <f aca="true" t="shared" si="11" ref="F70:K70">+F7/F20</f>
        <v>0.2727797986293936</v>
      </c>
      <c r="G70" s="48">
        <f t="shared" si="11"/>
        <v>0.2533266389327213</v>
      </c>
      <c r="H70" s="215">
        <f t="shared" si="11"/>
        <v>0.23230882076695317</v>
      </c>
      <c r="I70" s="206">
        <f t="shared" si="11"/>
        <v>0.22873224106277928</v>
      </c>
      <c r="J70" s="48">
        <f t="shared" si="11"/>
        <v>0.22354153234830787</v>
      </c>
      <c r="K70" s="215">
        <f t="shared" si="11"/>
        <v>0.22513498945737753</v>
      </c>
      <c r="L70" s="206">
        <f>+L7/L20</f>
        <v>0.2716642658304655</v>
      </c>
      <c r="M70" s="49">
        <f>+M7/M20</f>
        <v>0.2809962201145561</v>
      </c>
      <c r="N70" s="215">
        <f>+N7/N20</f>
        <v>0.22492022607486298</v>
      </c>
      <c r="O70" s="49"/>
      <c r="P70" s="129"/>
      <c r="Q70" s="132"/>
      <c r="R70" s="151">
        <f>+R7/R20</f>
        <v>0.24446000124192951</v>
      </c>
    </row>
    <row r="71" spans="1:18" ht="12.75">
      <c r="A71" s="24"/>
      <c r="B71" s="2" t="s">
        <v>35</v>
      </c>
      <c r="C71" s="2"/>
      <c r="D71" s="25"/>
      <c r="E71" s="199" t="s">
        <v>82</v>
      </c>
      <c r="F71" s="220">
        <f aca="true" t="shared" si="12" ref="F71:K71">+F18/F20</f>
        <v>0.1139090415804176</v>
      </c>
      <c r="G71" s="52">
        <f t="shared" si="12"/>
        <v>0.1536020657007603</v>
      </c>
      <c r="H71" s="229">
        <f t="shared" si="12"/>
        <v>0.2905347383109855</v>
      </c>
      <c r="I71" s="220">
        <f t="shared" si="12"/>
        <v>0.3200054763645819</v>
      </c>
      <c r="J71" s="52">
        <f t="shared" si="12"/>
        <v>0.30632885014208794</v>
      </c>
      <c r="K71" s="229">
        <f t="shared" si="12"/>
        <v>0.3084962444491437</v>
      </c>
      <c r="L71" s="220">
        <f>+L18/L20</f>
        <v>0.23451923834050498</v>
      </c>
      <c r="M71" s="49">
        <f>+M18/M20</f>
        <v>0.21064629084247385</v>
      </c>
      <c r="N71" s="215">
        <f>+N18/N20</f>
        <v>0.27594304369206507</v>
      </c>
      <c r="O71" s="49"/>
      <c r="P71" s="129"/>
      <c r="Q71" s="132"/>
      <c r="R71" s="151">
        <f>+R18/R20</f>
        <v>0.2525035213857877</v>
      </c>
    </row>
    <row r="72" spans="1:28" s="1" customFormat="1" ht="13.5" thickBot="1">
      <c r="A72" s="29"/>
      <c r="B72" s="95" t="s">
        <v>36</v>
      </c>
      <c r="C72" s="95"/>
      <c r="D72" s="142"/>
      <c r="E72" s="196" t="s">
        <v>82</v>
      </c>
      <c r="F72" s="221">
        <f aca="true" t="shared" si="13" ref="F72:K72">+F71+F70</f>
        <v>0.3866888402098112</v>
      </c>
      <c r="G72" s="143">
        <f t="shared" si="13"/>
        <v>0.4069287046334816</v>
      </c>
      <c r="H72" s="230">
        <f t="shared" si="13"/>
        <v>0.5228435590779387</v>
      </c>
      <c r="I72" s="144">
        <f t="shared" si="13"/>
        <v>0.5487377174273611</v>
      </c>
      <c r="J72" s="141">
        <f t="shared" si="13"/>
        <v>0.5298703824903959</v>
      </c>
      <c r="K72" s="230">
        <f t="shared" si="13"/>
        <v>0.5336312339065212</v>
      </c>
      <c r="L72" s="144">
        <f>+L71+L70</f>
        <v>0.5061835041709705</v>
      </c>
      <c r="M72" s="141">
        <f>+M71+M70</f>
        <v>0.49164251095702993</v>
      </c>
      <c r="N72" s="230">
        <f>+N71+N70</f>
        <v>0.5008632697669281</v>
      </c>
      <c r="O72" s="144"/>
      <c r="P72" s="141"/>
      <c r="Q72" s="126"/>
      <c r="R72" s="153">
        <f>+R71+R70</f>
        <v>0.4969635226277172</v>
      </c>
      <c r="T72"/>
      <c r="U72"/>
      <c r="V72"/>
      <c r="W72"/>
      <c r="X72"/>
      <c r="Y72"/>
      <c r="Z72"/>
      <c r="AA72"/>
      <c r="AB72"/>
    </row>
    <row r="73" spans="1:18" ht="13.5" thickTop="1">
      <c r="A73" s="44" t="s">
        <v>37</v>
      </c>
      <c r="B73" s="54"/>
      <c r="C73" s="54"/>
      <c r="D73" s="51"/>
      <c r="E73" s="192"/>
      <c r="F73" s="56"/>
      <c r="G73" s="55"/>
      <c r="H73" s="253"/>
      <c r="I73" s="49"/>
      <c r="J73" s="129"/>
      <c r="K73" s="215"/>
      <c r="L73" s="206"/>
      <c r="M73" s="56"/>
      <c r="N73" s="253"/>
      <c r="O73" s="56"/>
      <c r="P73" s="55"/>
      <c r="Q73" s="134"/>
      <c r="R73" s="154"/>
    </row>
    <row r="74" spans="1:18" ht="12.75">
      <c r="A74" s="24"/>
      <c r="B74" s="2" t="s">
        <v>38</v>
      </c>
      <c r="C74" s="2"/>
      <c r="D74" s="25"/>
      <c r="E74" s="226" t="s">
        <v>82</v>
      </c>
      <c r="F74" s="206">
        <f aca="true" t="shared" si="14" ref="F74:K74">+F22/F25</f>
        <v>0.05751547110607513</v>
      </c>
      <c r="G74" s="48">
        <f t="shared" si="14"/>
        <v>0.06440820215034251</v>
      </c>
      <c r="H74" s="215">
        <f t="shared" si="14"/>
        <v>0.07354762124049571</v>
      </c>
      <c r="I74" s="206">
        <f t="shared" si="14"/>
        <v>0.07473903205247318</v>
      </c>
      <c r="J74" s="48">
        <f t="shared" si="14"/>
        <v>0.07662019887406525</v>
      </c>
      <c r="K74" s="215">
        <f t="shared" si="14"/>
        <v>0.07954663791087727</v>
      </c>
      <c r="L74" s="206">
        <f>+L22/L25</f>
        <v>0.0815894332199171</v>
      </c>
      <c r="M74" s="49">
        <f>+M22/M25</f>
        <v>0.09048449434535646</v>
      </c>
      <c r="N74" s="215">
        <f>+N22/N25</f>
        <v>0.0951996284104449</v>
      </c>
      <c r="O74" s="49"/>
      <c r="P74" s="129"/>
      <c r="Q74" s="132"/>
      <c r="R74" s="151">
        <f>+R22/R25</f>
        <v>0.07732596792604197</v>
      </c>
    </row>
    <row r="75" spans="1:18" ht="12.75">
      <c r="A75" s="24"/>
      <c r="B75" s="2" t="s">
        <v>39</v>
      </c>
      <c r="C75" s="2"/>
      <c r="D75" s="25"/>
      <c r="E75" s="199" t="s">
        <v>82</v>
      </c>
      <c r="F75" s="206">
        <f aca="true" t="shared" si="15" ref="F75:K75">+F23/F25</f>
        <v>0.0052732502396931925</v>
      </c>
      <c r="G75" s="48">
        <f t="shared" si="15"/>
        <v>0.004491221703034977</v>
      </c>
      <c r="H75" s="215">
        <f t="shared" si="15"/>
        <v>0.02326057368577247</v>
      </c>
      <c r="I75" s="206">
        <f t="shared" si="15"/>
        <v>0.029665947134345314</v>
      </c>
      <c r="J75" s="48">
        <f t="shared" si="15"/>
        <v>0.023639554624606866</v>
      </c>
      <c r="K75" s="215">
        <f t="shared" si="15"/>
        <v>0.002563593788665226</v>
      </c>
      <c r="L75" s="220">
        <f>+L23/L25</f>
        <v>0.001365009585177602</v>
      </c>
      <c r="M75" s="49">
        <f>+M23/M25</f>
        <v>0.006638724875332701</v>
      </c>
      <c r="N75" s="215">
        <f>+N23/N25</f>
        <v>0.005523355615243249</v>
      </c>
      <c r="O75" s="49"/>
      <c r="P75" s="129"/>
      <c r="Q75" s="132"/>
      <c r="R75" s="151">
        <f>+R23/R25</f>
        <v>0.01159515693924922</v>
      </c>
    </row>
    <row r="76" spans="1:28" s="1" customFormat="1" ht="13.5" thickBot="1">
      <c r="A76" s="29"/>
      <c r="B76" s="95" t="s">
        <v>40</v>
      </c>
      <c r="C76" s="95"/>
      <c r="D76" s="142"/>
      <c r="E76" s="226" t="s">
        <v>82</v>
      </c>
      <c r="F76" s="221">
        <f aca="true" t="shared" si="16" ref="F76:K76">+F75+F74</f>
        <v>0.06278872134576832</v>
      </c>
      <c r="G76" s="143">
        <f t="shared" si="16"/>
        <v>0.0688994238533775</v>
      </c>
      <c r="H76" s="230">
        <f t="shared" si="16"/>
        <v>0.09680819492626819</v>
      </c>
      <c r="I76" s="221">
        <f t="shared" si="16"/>
        <v>0.10440497918681849</v>
      </c>
      <c r="J76" s="143">
        <f t="shared" si="16"/>
        <v>0.10025975349867211</v>
      </c>
      <c r="K76" s="230">
        <f t="shared" si="16"/>
        <v>0.08211023169954249</v>
      </c>
      <c r="L76" s="221">
        <f>+L75+L74</f>
        <v>0.0829544428050947</v>
      </c>
      <c r="M76" s="144">
        <f>+M75+M74</f>
        <v>0.09712321922068917</v>
      </c>
      <c r="N76" s="230">
        <f>+N75+N74</f>
        <v>0.10072298402568815</v>
      </c>
      <c r="O76" s="144"/>
      <c r="P76" s="141"/>
      <c r="Q76" s="126"/>
      <c r="R76" s="153">
        <f>+R75+R74</f>
        <v>0.08892112486529119</v>
      </c>
      <c r="T76"/>
      <c r="U76"/>
      <c r="V76"/>
      <c r="W76"/>
      <c r="X76"/>
      <c r="Y76"/>
      <c r="Z76"/>
      <c r="AA76"/>
      <c r="AB76"/>
    </row>
    <row r="77" spans="1:18" ht="14.25" thickBot="1" thickTop="1">
      <c r="A77" s="58" t="s">
        <v>83</v>
      </c>
      <c r="B77" s="59"/>
      <c r="C77" s="59"/>
      <c r="D77" s="60"/>
      <c r="E77" s="201" t="s">
        <v>82</v>
      </c>
      <c r="F77" s="222">
        <f aca="true" t="shared" si="17" ref="F77:K77">+(F7+F18+F22+F23)/(F20+F25)</f>
        <v>0.32599988568068977</v>
      </c>
      <c r="G77" s="81">
        <f t="shared" si="17"/>
        <v>0.3386822738492679</v>
      </c>
      <c r="H77" s="231">
        <f t="shared" si="17"/>
        <v>0.44643974666492936</v>
      </c>
      <c r="I77" s="222">
        <f t="shared" si="17"/>
        <v>0.4819163230106307</v>
      </c>
      <c r="J77" s="81">
        <f t="shared" si="17"/>
        <v>0.46074998471503115</v>
      </c>
      <c r="K77" s="231">
        <f t="shared" si="17"/>
        <v>0.4802873136636993</v>
      </c>
      <c r="L77" s="254">
        <f>+(L7+L18+L22+L23)/(L20+L25)</f>
        <v>0.4268356707506394</v>
      </c>
      <c r="M77" s="83">
        <f>+(M7+M18+M22+M23)/(M20+M25)</f>
        <v>0.41855047601413975</v>
      </c>
      <c r="N77" s="232">
        <f>+(N7+N18+N22+N23)/(N20+N25)</f>
        <v>0.43018205621679084</v>
      </c>
      <c r="O77" s="228"/>
      <c r="P77" s="83"/>
      <c r="Q77" s="79"/>
      <c r="R77" s="80">
        <f>+(R7+R18+R22+R23)/(R20+R25)</f>
        <v>0.42733553848958655</v>
      </c>
    </row>
    <row r="78" spans="1:18" ht="14.25" thickBot="1" thickTop="1">
      <c r="A78" s="58" t="s">
        <v>84</v>
      </c>
      <c r="B78" s="59"/>
      <c r="C78" s="59"/>
      <c r="D78" s="60"/>
      <c r="E78" s="227">
        <f>+E7/E20</f>
        <v>0.3230765871115109</v>
      </c>
      <c r="F78" s="223">
        <f aca="true" t="shared" si="18" ref="F78:K78">+(F7+F18)/(F20-F18+F25-F23)</f>
        <v>0.3466673272856667</v>
      </c>
      <c r="G78" s="78">
        <f t="shared" si="18"/>
        <v>0.3705314691160642</v>
      </c>
      <c r="H78" s="232">
        <f t="shared" si="18"/>
        <v>0.5665170014950363</v>
      </c>
      <c r="I78" s="228">
        <f t="shared" si="18"/>
        <v>0.6442485280131831</v>
      </c>
      <c r="J78" s="83">
        <f t="shared" si="18"/>
        <v>0.6015249323529679</v>
      </c>
      <c r="K78" s="232">
        <f t="shared" si="18"/>
        <v>0.6467233182564502</v>
      </c>
      <c r="L78" s="228">
        <f>+(L7+L18)/(L20-L18+L25-L23)</f>
        <v>0.5082634346215471</v>
      </c>
      <c r="M78" s="83">
        <f>+(M7+M18)/(M20-M18+M25-M23)</f>
        <v>0.48426118596720447</v>
      </c>
      <c r="N78" s="232">
        <f>+(N7+N18)/(N20-N18+N25-N23)</f>
        <v>0.5343059317255341</v>
      </c>
      <c r="O78" s="228"/>
      <c r="P78" s="83"/>
      <c r="Q78" s="79"/>
      <c r="R78" s="80">
        <f>+(R7+R18)/(R20-R18+R25-R23)</f>
        <v>0.5226471935279043</v>
      </c>
    </row>
    <row r="79" ht="13.5" thickTop="1"/>
    <row r="80" ht="12.75">
      <c r="A80" s="72"/>
    </row>
  </sheetData>
  <printOptions/>
  <pageMargins left="0.5" right="0.25" top="0.5" bottom="0.5" header="0.5" footer="0.5"/>
  <pageSetup fitToHeight="2" horizontalDpi="600" verticalDpi="600" orientation="landscape" scale="60" r:id="rId1"/>
  <rowBreaks count="1" manualBreakCount="1">
    <brk id="6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9.421875" style="0" bestFit="1" customWidth="1"/>
    <col min="3" max="3" width="2.57421875" style="0" customWidth="1"/>
    <col min="4" max="4" width="12.7109375" style="0" bestFit="1" customWidth="1"/>
    <col min="5" max="5" width="12.28125" style="0" bestFit="1" customWidth="1"/>
    <col min="6" max="6" width="13.421875" style="0" bestFit="1" customWidth="1"/>
    <col min="7" max="7" width="11.00390625" style="0" customWidth="1"/>
    <col min="8" max="8" width="3.00390625" style="0" customWidth="1"/>
    <col min="9" max="9" width="11.28125" style="0" bestFit="1" customWidth="1"/>
    <col min="10" max="10" width="12.57421875" style="0" bestFit="1" customWidth="1"/>
    <col min="11" max="11" width="3.140625" style="0" customWidth="1"/>
    <col min="12" max="12" width="10.57421875" style="0" bestFit="1" customWidth="1"/>
    <col min="13" max="13" width="12.00390625" style="0" bestFit="1" customWidth="1"/>
    <col min="14" max="14" width="3.421875" style="0" customWidth="1"/>
    <col min="15" max="15" width="10.421875" style="0" bestFit="1" customWidth="1"/>
    <col min="16" max="16" width="11.42187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12" t="s">
        <v>91</v>
      </c>
    </row>
    <row r="2" s="1" customFormat="1" ht="12.75"/>
    <row r="3" s="1" customFormat="1" ht="12.75"/>
    <row r="4" s="1" customFormat="1" ht="12.75"/>
    <row r="5" spans="1:7" s="1" customFormat="1" ht="14.25">
      <c r="A5" s="325" t="s">
        <v>103</v>
      </c>
      <c r="B5" s="326"/>
      <c r="C5" s="326"/>
      <c r="D5" s="326"/>
      <c r="E5" s="326"/>
      <c r="F5" s="326"/>
      <c r="G5" s="326"/>
    </row>
    <row r="6" s="1" customFormat="1" ht="12.75"/>
    <row r="7" spans="2:19" s="4" customFormat="1" ht="12.75">
      <c r="B7" s="4" t="s">
        <v>41</v>
      </c>
      <c r="D7" s="432" t="s">
        <v>45</v>
      </c>
      <c r="E7" s="432"/>
      <c r="F7" s="432"/>
      <c r="G7" s="432"/>
      <c r="I7" s="433" t="s">
        <v>7</v>
      </c>
      <c r="J7" s="433"/>
      <c r="L7" s="433" t="s">
        <v>8</v>
      </c>
      <c r="M7" s="433"/>
      <c r="O7" s="433" t="s">
        <v>9</v>
      </c>
      <c r="P7" s="433"/>
      <c r="R7" s="432" t="s">
        <v>107</v>
      </c>
      <c r="S7" s="432"/>
    </row>
    <row r="8" spans="1:19" s="6" customFormat="1" ht="12.75">
      <c r="A8" s="6" t="s">
        <v>92</v>
      </c>
      <c r="B8" s="6" t="s">
        <v>42</v>
      </c>
      <c r="D8" s="327" t="s">
        <v>7</v>
      </c>
      <c r="E8" s="327" t="s">
        <v>8</v>
      </c>
      <c r="F8" s="327" t="s">
        <v>9</v>
      </c>
      <c r="G8" s="328" t="s">
        <v>14</v>
      </c>
      <c r="I8" s="6" t="s">
        <v>46</v>
      </c>
      <c r="J8" s="328" t="s">
        <v>47</v>
      </c>
      <c r="L8" s="6" t="s">
        <v>46</v>
      </c>
      <c r="M8" s="328" t="s">
        <v>47</v>
      </c>
      <c r="O8" s="6" t="s">
        <v>46</v>
      </c>
      <c r="P8" s="328" t="s">
        <v>47</v>
      </c>
      <c r="R8" s="6" t="s">
        <v>46</v>
      </c>
      <c r="S8" s="328" t="s">
        <v>47</v>
      </c>
    </row>
    <row r="9" spans="8:19" ht="12.75">
      <c r="H9" s="431"/>
      <c r="J9" s="329"/>
      <c r="M9" s="329"/>
      <c r="P9" s="329"/>
      <c r="S9" s="329"/>
    </row>
    <row r="10" spans="1:19" ht="12.75">
      <c r="A10" s="135" t="s">
        <v>5</v>
      </c>
      <c r="B10" s="3">
        <f>+G10/$G$20</f>
        <v>0.45580908571891365</v>
      </c>
      <c r="D10" s="61">
        <f>+'SKC Waste Stream Report'!F8</f>
        <v>536.3193574316485</v>
      </c>
      <c r="E10" s="61">
        <f>+'SKC Waste Stream Report'!G8</f>
        <v>411.52350083483884</v>
      </c>
      <c r="F10" s="61">
        <f>+'SKC Waste Stream Report'!H8</f>
        <v>423.0713383960027</v>
      </c>
      <c r="G10" s="330">
        <f>SUM(D10:F10)</f>
        <v>1370.9141966624902</v>
      </c>
      <c r="I10" s="67">
        <v>70.65</v>
      </c>
      <c r="J10" s="332">
        <f aca="true" t="shared" si="0" ref="J10:J19">+I10*D10</f>
        <v>37890.96260254597</v>
      </c>
      <c r="L10" s="67">
        <v>74.2</v>
      </c>
      <c r="M10" s="332">
        <f aca="true" t="shared" si="1" ref="M10:M19">+L10*E10</f>
        <v>30535.043761945042</v>
      </c>
      <c r="O10" s="67">
        <v>75.27</v>
      </c>
      <c r="P10" s="332">
        <f aca="true" t="shared" si="2" ref="P10:P19">+O10*F10</f>
        <v>31844.57964106712</v>
      </c>
      <c r="R10" s="67">
        <f>+S10/G10</f>
        <v>73.14140173737225</v>
      </c>
      <c r="S10" s="332">
        <f>+P10+M10+J10</f>
        <v>100270.58600555814</v>
      </c>
    </row>
    <row r="11" spans="1:19" ht="12.75">
      <c r="A11" s="135" t="s">
        <v>2</v>
      </c>
      <c r="B11" s="3">
        <f aca="true" t="shared" si="3" ref="B11:B19">+G11/$G$20</f>
        <v>0.24710476933959377</v>
      </c>
      <c r="D11" s="61">
        <f>+'SKC Waste Stream Report'!F9</f>
        <v>239.6184672409867</v>
      </c>
      <c r="E11" s="61">
        <f>+'SKC Waste Stream Report'!G9</f>
        <v>212.45343725101515</v>
      </c>
      <c r="F11" s="61">
        <f>+'SKC Waste Stream Report'!H9</f>
        <v>291.1327550122271</v>
      </c>
      <c r="G11" s="330">
        <f aca="true" t="shared" si="4" ref="G11:G19">SUM(D11:F11)</f>
        <v>743.204659504229</v>
      </c>
      <c r="I11" s="67">
        <v>86.42</v>
      </c>
      <c r="J11" s="333">
        <f t="shared" si="0"/>
        <v>20707.82793896607</v>
      </c>
      <c r="L11" s="67">
        <v>88.89</v>
      </c>
      <c r="M11" s="336">
        <f t="shared" si="1"/>
        <v>18884.986037242736</v>
      </c>
      <c r="O11" s="67">
        <v>86.45</v>
      </c>
      <c r="P11" s="336">
        <f t="shared" si="2"/>
        <v>25168.426670807035</v>
      </c>
      <c r="R11" s="67">
        <f aca="true" t="shared" si="5" ref="R11:R17">+S11/G11</f>
        <v>87.13782915491441</v>
      </c>
      <c r="S11" s="336">
        <f aca="true" t="shared" si="6" ref="S11:S17">+P11+M11+J11</f>
        <v>64761.240647015846</v>
      </c>
    </row>
    <row r="12" spans="1:19" ht="12.75">
      <c r="A12" s="135" t="s">
        <v>0</v>
      </c>
      <c r="B12" s="3">
        <f t="shared" si="3"/>
        <v>0.008196327540400587</v>
      </c>
      <c r="D12" s="61">
        <f>+'SKC Waste Stream Report'!F10</f>
        <v>9.550717893960936</v>
      </c>
      <c r="E12" s="61">
        <f>+'SKC Waste Stream Report'!G10</f>
        <v>8.005021644200392</v>
      </c>
      <c r="F12" s="61">
        <f>+'SKC Waste Stream Report'!H10</f>
        <v>7.09594498872449</v>
      </c>
      <c r="G12" s="330">
        <f t="shared" si="4"/>
        <v>24.651684526885816</v>
      </c>
      <c r="I12" s="67">
        <v>1210.7</v>
      </c>
      <c r="J12" s="333">
        <f t="shared" si="0"/>
        <v>11563.054154218506</v>
      </c>
      <c r="L12" s="67">
        <v>1128.22</v>
      </c>
      <c r="M12" s="336">
        <f t="shared" si="1"/>
        <v>9031.425519419767</v>
      </c>
      <c r="O12" s="67">
        <v>1034.97</v>
      </c>
      <c r="P12" s="336">
        <f t="shared" si="2"/>
        <v>7344.090184980186</v>
      </c>
      <c r="R12" s="67">
        <f t="shared" si="5"/>
        <v>1133.3330924362542</v>
      </c>
      <c r="S12" s="336">
        <f t="shared" si="6"/>
        <v>27938.56985861846</v>
      </c>
    </row>
    <row r="13" spans="1:19" ht="12.75">
      <c r="A13" s="135" t="s">
        <v>3</v>
      </c>
      <c r="B13" s="3">
        <f t="shared" si="3"/>
        <v>0.016793939506476268</v>
      </c>
      <c r="D13" s="61">
        <f>+'SKC Waste Stream Report'!F11</f>
        <v>19.937779559542772</v>
      </c>
      <c r="E13" s="61">
        <f>+'SKC Waste Stream Report'!G11</f>
        <v>16.39531497352277</v>
      </c>
      <c r="F13" s="61">
        <f>+'SKC Waste Stream Report'!H11</f>
        <v>14.177197623587798</v>
      </c>
      <c r="G13" s="330">
        <f t="shared" si="4"/>
        <v>50.510292156653335</v>
      </c>
      <c r="I13" s="67">
        <v>48.45</v>
      </c>
      <c r="J13" s="333">
        <f t="shared" si="0"/>
        <v>965.9854196598474</v>
      </c>
      <c r="L13" s="67">
        <v>69.7</v>
      </c>
      <c r="M13" s="336">
        <f t="shared" si="1"/>
        <v>1142.753453654537</v>
      </c>
      <c r="O13" s="67">
        <v>59.74</v>
      </c>
      <c r="P13" s="336">
        <f t="shared" si="2"/>
        <v>846.945786033135</v>
      </c>
      <c r="R13" s="67">
        <f t="shared" si="5"/>
        <v>58.516483139331626</v>
      </c>
      <c r="S13" s="336">
        <f t="shared" si="6"/>
        <v>2955.6846593475193</v>
      </c>
    </row>
    <row r="14" spans="1:19" ht="12.75">
      <c r="A14" s="135" t="s">
        <v>1</v>
      </c>
      <c r="B14" s="3">
        <f t="shared" si="3"/>
        <v>0.1799634312736366</v>
      </c>
      <c r="D14" s="61">
        <f>+'SKC Waste Stream Report'!F12</f>
        <v>184.00218931558948</v>
      </c>
      <c r="E14" s="61">
        <f>+'SKC Waste Stream Report'!G12</f>
        <v>151.14776328162017</v>
      </c>
      <c r="F14" s="61">
        <f>+'SKC Waste Stream Report'!H12</f>
        <v>206.11706147294328</v>
      </c>
      <c r="G14" s="330">
        <f t="shared" si="4"/>
        <v>541.267014070153</v>
      </c>
      <c r="I14" s="67">
        <v>-43.35</v>
      </c>
      <c r="J14" s="333">
        <f t="shared" si="0"/>
        <v>-7976.494906830804</v>
      </c>
      <c r="L14" s="67">
        <v>-43.35</v>
      </c>
      <c r="M14" s="336">
        <f t="shared" si="1"/>
        <v>-6552.255538258235</v>
      </c>
      <c r="O14" s="67">
        <v>-43.35</v>
      </c>
      <c r="P14" s="336">
        <f t="shared" si="2"/>
        <v>-8935.17461485209</v>
      </c>
      <c r="R14" s="67">
        <f t="shared" si="5"/>
        <v>-43.35</v>
      </c>
      <c r="S14" s="336">
        <f t="shared" si="6"/>
        <v>-23463.92505994113</v>
      </c>
    </row>
    <row r="15" spans="1:19" ht="12.75">
      <c r="A15" s="135" t="s">
        <v>6</v>
      </c>
      <c r="B15" s="3">
        <f t="shared" si="3"/>
        <v>0.009524400048858902</v>
      </c>
      <c r="D15" s="61">
        <f>+'SKC Waste Stream Report'!F13</f>
        <v>10.461403334170354</v>
      </c>
      <c r="E15" s="61">
        <f>+'SKC Waste Stream Report'!G13</f>
        <v>8.190509554224345</v>
      </c>
      <c r="F15" s="61">
        <f>+'SKC Waste Stream Report'!H13</f>
        <v>9.994148918555773</v>
      </c>
      <c r="G15" s="330">
        <f t="shared" si="4"/>
        <v>28.64606180695047</v>
      </c>
      <c r="I15" s="67">
        <v>242.58</v>
      </c>
      <c r="J15" s="333">
        <f t="shared" si="0"/>
        <v>2537.7272208030445</v>
      </c>
      <c r="L15" s="67">
        <v>278.4</v>
      </c>
      <c r="M15" s="336">
        <f t="shared" si="1"/>
        <v>2280.2378598960577</v>
      </c>
      <c r="O15" s="67">
        <v>226.21</v>
      </c>
      <c r="P15" s="336">
        <f t="shared" si="2"/>
        <v>2260.7764268665014</v>
      </c>
      <c r="R15" s="67">
        <f t="shared" si="5"/>
        <v>247.11045990440715</v>
      </c>
      <c r="S15" s="336">
        <f t="shared" si="6"/>
        <v>7078.741507565604</v>
      </c>
    </row>
    <row r="16" spans="1:19" ht="12.75">
      <c r="A16" s="135" t="s">
        <v>98</v>
      </c>
      <c r="B16" s="3">
        <f t="shared" si="3"/>
        <v>0.007662908487333719</v>
      </c>
      <c r="D16" s="61">
        <f>+'SKC Waste Stream Report'!F14</f>
        <v>7.88240339004789</v>
      </c>
      <c r="E16" s="61">
        <f>+'SKC Waste Stream Report'!G14</f>
        <v>8.112903429536521</v>
      </c>
      <c r="F16" s="61">
        <f>+'SKC Waste Stream Report'!H14</f>
        <v>7.052039892344844</v>
      </c>
      <c r="G16" s="330">
        <f t="shared" si="4"/>
        <v>23.047346711929254</v>
      </c>
      <c r="I16" s="67">
        <v>83.92</v>
      </c>
      <c r="J16" s="333">
        <f t="shared" si="0"/>
        <v>661.491292492819</v>
      </c>
      <c r="L16" s="67">
        <v>37.16</v>
      </c>
      <c r="M16" s="336">
        <f t="shared" si="1"/>
        <v>301.4754914415771</v>
      </c>
      <c r="O16" s="67">
        <v>312.08</v>
      </c>
      <c r="P16" s="336">
        <f t="shared" si="2"/>
        <v>2200.800609602979</v>
      </c>
      <c r="R16" s="67">
        <f t="shared" si="5"/>
        <v>137.2725213484039</v>
      </c>
      <c r="S16" s="336">
        <f t="shared" si="6"/>
        <v>3163.767393537375</v>
      </c>
    </row>
    <row r="17" spans="1:19" ht="12.75">
      <c r="A17" s="135" t="s">
        <v>99</v>
      </c>
      <c r="B17" s="3">
        <f t="shared" si="3"/>
        <v>0.006309896552203544</v>
      </c>
      <c r="D17" s="61">
        <f>+'SKC Waste Stream Report'!F15</f>
        <v>6.150679815868159</v>
      </c>
      <c r="E17" s="61">
        <f>+'SKC Waste Stream Report'!G15</f>
        <v>5.986904066377927</v>
      </c>
      <c r="F17" s="61">
        <f>+'SKC Waste Stream Report'!H15</f>
        <v>6.840376482988899</v>
      </c>
      <c r="G17" s="330">
        <f t="shared" si="4"/>
        <v>18.977960365234985</v>
      </c>
      <c r="I17" s="67">
        <v>287.55</v>
      </c>
      <c r="J17" s="333">
        <f t="shared" si="0"/>
        <v>1768.6279810528893</v>
      </c>
      <c r="L17" s="67">
        <v>307.09</v>
      </c>
      <c r="M17" s="336">
        <f t="shared" si="1"/>
        <v>1838.5183697439975</v>
      </c>
      <c r="O17" s="67">
        <v>252.63</v>
      </c>
      <c r="P17" s="336">
        <f t="shared" si="2"/>
        <v>1728.0843108974855</v>
      </c>
      <c r="R17" s="67">
        <f t="shared" si="5"/>
        <v>281.1277165204635</v>
      </c>
      <c r="S17" s="336">
        <f t="shared" si="6"/>
        <v>5335.230661694372</v>
      </c>
    </row>
    <row r="18" spans="1:19" ht="12.75">
      <c r="A18" s="135" t="s">
        <v>100</v>
      </c>
      <c r="B18" s="3">
        <f t="shared" si="3"/>
        <v>0.0035811295182198856</v>
      </c>
      <c r="D18" s="61">
        <f>+'SKC Waste Stream Report'!F16</f>
        <v>2.7570020181851205</v>
      </c>
      <c r="E18" s="61">
        <f>+'SKC Waste Stream Report'!G16</f>
        <v>5.104644964663696</v>
      </c>
      <c r="F18" s="61">
        <f>+'SKC Waste Stream Report'!H16</f>
        <v>2.90913721262522</v>
      </c>
      <c r="G18" s="330">
        <f t="shared" si="4"/>
        <v>10.770784195474036</v>
      </c>
      <c r="I18" s="67">
        <v>-3.16</v>
      </c>
      <c r="J18" s="333">
        <f t="shared" si="0"/>
        <v>-8.712126377464982</v>
      </c>
      <c r="L18" s="67">
        <v>-2.18</v>
      </c>
      <c r="M18" s="336">
        <f t="shared" si="1"/>
        <v>-11.128126022966859</v>
      </c>
      <c r="O18" s="67">
        <v>30.34</v>
      </c>
      <c r="P18" s="336">
        <f t="shared" si="2"/>
        <v>88.26322303104918</v>
      </c>
      <c r="R18" s="67">
        <f>+S18/G18</f>
        <v>6.352645210305967</v>
      </c>
      <c r="S18" s="336">
        <f>+P18+M18+J18</f>
        <v>68.42297063061734</v>
      </c>
    </row>
    <row r="19" spans="1:19" ht="15">
      <c r="A19" s="2" t="s">
        <v>4</v>
      </c>
      <c r="B19" s="63">
        <f t="shared" si="3"/>
        <v>0.0650541120143634</v>
      </c>
      <c r="D19" s="62">
        <f>+'SKC Waste Stream Report'!F17</f>
        <v>69.18</v>
      </c>
      <c r="E19" s="62">
        <f>+'SKC Waste Stream Report'!G17</f>
        <v>56.05</v>
      </c>
      <c r="F19" s="62">
        <f>+'SKC Waste Stream Report'!H17</f>
        <v>70.43</v>
      </c>
      <c r="G19" s="331">
        <f t="shared" si="4"/>
        <v>195.66000000000003</v>
      </c>
      <c r="I19" s="399">
        <v>-69.5</v>
      </c>
      <c r="J19" s="403">
        <f t="shared" si="0"/>
        <v>-4808.01</v>
      </c>
      <c r="K19" s="401"/>
      <c r="L19" s="399">
        <v>-69.5</v>
      </c>
      <c r="M19" s="402">
        <f t="shared" si="1"/>
        <v>-3895.475</v>
      </c>
      <c r="N19" s="401"/>
      <c r="O19" s="399">
        <v>-69.5</v>
      </c>
      <c r="P19" s="337">
        <f t="shared" si="2"/>
        <v>-4894.885</v>
      </c>
      <c r="R19" s="67">
        <f>+S19/G19</f>
        <v>-69.5</v>
      </c>
      <c r="S19" s="337">
        <f>+P19+M19+J19</f>
        <v>-13598.37</v>
      </c>
    </row>
    <row r="20" spans="2:19" ht="12.75">
      <c r="B20" s="64">
        <f>SUM(B10:B19)</f>
        <v>1.0000000000000004</v>
      </c>
      <c r="C20" s="65"/>
      <c r="D20" s="66">
        <f>SUM(D10:D19)</f>
        <v>1085.86</v>
      </c>
      <c r="E20" s="66">
        <f>SUM(E10:E19)</f>
        <v>882.97</v>
      </c>
      <c r="F20" s="66">
        <f>SUM(F10:F19)</f>
        <v>1038.82</v>
      </c>
      <c r="G20" s="66">
        <f>SUM(G10:G19)</f>
        <v>3007.649999999999</v>
      </c>
      <c r="H20" s="66"/>
      <c r="I20" s="66"/>
      <c r="J20" s="99">
        <f>SUM(J10:J19)</f>
        <v>63302.4595765309</v>
      </c>
      <c r="L20" s="66"/>
      <c r="M20" s="99">
        <f>SUM(M10:M19)</f>
        <v>53555.58182906251</v>
      </c>
      <c r="O20" s="66"/>
      <c r="P20" s="99">
        <f>SUM(P10:P19)</f>
        <v>57651.9072384334</v>
      </c>
      <c r="R20" s="66"/>
      <c r="S20" s="99">
        <f>SUM(S10:S19)</f>
        <v>174509.9486440268</v>
      </c>
    </row>
    <row r="22" spans="1:9" s="1" customFormat="1" ht="14.25">
      <c r="A22" s="325" t="s">
        <v>102</v>
      </c>
      <c r="B22" s="326"/>
      <c r="C22" s="326"/>
      <c r="D22" s="326"/>
      <c r="E22" s="326"/>
      <c r="F22" s="326"/>
      <c r="G22" s="326"/>
      <c r="H22"/>
      <c r="I22"/>
    </row>
    <row r="24" spans="2:19" s="4" customFormat="1" ht="12.75">
      <c r="B24" s="4" t="s">
        <v>41</v>
      </c>
      <c r="D24" s="432" t="s">
        <v>45</v>
      </c>
      <c r="E24" s="432"/>
      <c r="F24" s="432"/>
      <c r="G24" s="432"/>
      <c r="I24" s="433" t="s">
        <v>71</v>
      </c>
      <c r="J24" s="433"/>
      <c r="L24" s="433" t="s">
        <v>10</v>
      </c>
      <c r="M24" s="433"/>
      <c r="O24" s="433" t="s">
        <v>11</v>
      </c>
      <c r="P24" s="433"/>
      <c r="R24" s="432" t="s">
        <v>106</v>
      </c>
      <c r="S24" s="432"/>
    </row>
    <row r="25" spans="1:19" s="6" customFormat="1" ht="12.75">
      <c r="A25" s="6" t="s">
        <v>92</v>
      </c>
      <c r="B25" s="6" t="s">
        <v>42</v>
      </c>
      <c r="D25" s="327" t="s">
        <v>71</v>
      </c>
      <c r="E25" s="327" t="s">
        <v>10</v>
      </c>
      <c r="F25" s="327" t="s">
        <v>11</v>
      </c>
      <c r="G25" s="328" t="s">
        <v>14</v>
      </c>
      <c r="I25" s="6" t="s">
        <v>46</v>
      </c>
      <c r="J25" s="328" t="s">
        <v>47</v>
      </c>
      <c r="L25" s="6" t="s">
        <v>46</v>
      </c>
      <c r="M25" s="328" t="s">
        <v>47</v>
      </c>
      <c r="O25" s="6" t="s">
        <v>46</v>
      </c>
      <c r="P25" s="328" t="s">
        <v>47</v>
      </c>
      <c r="R25" s="6" t="s">
        <v>46</v>
      </c>
      <c r="S25" s="328" t="s">
        <v>47</v>
      </c>
    </row>
    <row r="26" spans="7:19" ht="12.75">
      <c r="G26" s="329"/>
      <c r="J26" s="329"/>
      <c r="M26" s="329"/>
      <c r="P26" s="329"/>
      <c r="S26" s="329"/>
    </row>
    <row r="27" spans="1:19" ht="12.75">
      <c r="A27" s="135" t="s">
        <v>5</v>
      </c>
      <c r="B27" s="3">
        <f aca="true" t="shared" si="7" ref="B27:B36">+G27/$G$37</f>
        <v>0.37834641332586144</v>
      </c>
      <c r="D27" s="61">
        <f>+'SKC Waste Stream Report'!I8</f>
        <v>497.17</v>
      </c>
      <c r="E27" s="61">
        <f>+'SKC Waste Stream Report'!J8</f>
        <v>385.16462444216296</v>
      </c>
      <c r="F27" s="61">
        <f>+'SKC Waste Stream Report'!K8</f>
        <v>379.46</v>
      </c>
      <c r="G27" s="330">
        <f>SUM(D27:F27)</f>
        <v>1261.794624442163</v>
      </c>
      <c r="I27" s="67">
        <v>76.23</v>
      </c>
      <c r="J27" s="338">
        <f aca="true" t="shared" si="8" ref="J27:J36">+I27*D27</f>
        <v>37899.269100000005</v>
      </c>
      <c r="L27" s="67">
        <v>77.77</v>
      </c>
      <c r="M27" s="338">
        <f>+L27*E27</f>
        <v>29954.252842867012</v>
      </c>
      <c r="O27" s="67">
        <v>76.62</v>
      </c>
      <c r="P27" s="338">
        <f aca="true" t="shared" si="9" ref="P27:P36">+O27*F27</f>
        <v>29074.2252</v>
      </c>
      <c r="R27" s="67">
        <f>+S27/G27</f>
        <v>76.81737207092523</v>
      </c>
      <c r="S27" s="338">
        <f>+P27+M27+J27</f>
        <v>96927.74714286701</v>
      </c>
    </row>
    <row r="28" spans="1:19" ht="12.75">
      <c r="A28" s="135" t="s">
        <v>2</v>
      </c>
      <c r="B28" s="3">
        <f t="shared" si="7"/>
        <v>0.32853037987285755</v>
      </c>
      <c r="D28" s="61">
        <f>+'SKC Waste Stream Report'!I9</f>
        <v>339.58</v>
      </c>
      <c r="E28" s="61">
        <f>+'SKC Waste Stream Report'!J9</f>
        <v>388.4724595490829</v>
      </c>
      <c r="F28" s="61">
        <f>+'SKC Waste Stream Report'!K9</f>
        <v>367.6044640768353</v>
      </c>
      <c r="G28" s="330">
        <f aca="true" t="shared" si="10" ref="G28:G36">SUM(D28:F28)</f>
        <v>1095.6569236259181</v>
      </c>
      <c r="I28" s="67">
        <v>98.55</v>
      </c>
      <c r="J28" s="333">
        <f t="shared" si="8"/>
        <v>33465.609</v>
      </c>
      <c r="L28" s="67">
        <v>101.07</v>
      </c>
      <c r="M28" s="336">
        <f aca="true" t="shared" si="11" ref="M28:M36">+L28*E28</f>
        <v>39262.9114866258</v>
      </c>
      <c r="O28" s="67">
        <v>100.22</v>
      </c>
      <c r="P28" s="336">
        <f t="shared" si="9"/>
        <v>36841.31938978044</v>
      </c>
      <c r="R28" s="67">
        <f aca="true" t="shared" si="12" ref="R28:R34">+S28/G28</f>
        <v>100.0037854128651</v>
      </c>
      <c r="S28" s="336">
        <f aca="true" t="shared" si="13" ref="S28:S34">+P28+M28+J28</f>
        <v>109569.83987640624</v>
      </c>
    </row>
    <row r="29" spans="1:19" ht="12.75">
      <c r="A29" s="135" t="s">
        <v>0</v>
      </c>
      <c r="B29" s="3">
        <f t="shared" si="7"/>
        <v>0.009538324460788858</v>
      </c>
      <c r="D29" s="61">
        <f>+'SKC Waste Stream Report'!I10</f>
        <v>11.42</v>
      </c>
      <c r="E29" s="61">
        <f>+'SKC Waste Stream Report'!J10</f>
        <v>9.445829655688652</v>
      </c>
      <c r="F29" s="61">
        <f>+'SKC Waste Stream Report'!K10</f>
        <v>10.944717786828644</v>
      </c>
      <c r="G29" s="330">
        <f t="shared" si="10"/>
        <v>31.810547442517294</v>
      </c>
      <c r="I29" s="67">
        <v>1176.82</v>
      </c>
      <c r="J29" s="333">
        <f t="shared" si="8"/>
        <v>13439.284399999999</v>
      </c>
      <c r="L29" s="67">
        <v>1146.77</v>
      </c>
      <c r="M29" s="336">
        <f t="shared" si="11"/>
        <v>10832.194074254076</v>
      </c>
      <c r="O29" s="67">
        <v>1152.56</v>
      </c>
      <c r="P29" s="336">
        <f t="shared" si="9"/>
        <v>12614.443932387221</v>
      </c>
      <c r="R29" s="67">
        <f t="shared" si="12"/>
        <v>1159.5500666341995</v>
      </c>
      <c r="S29" s="336">
        <f t="shared" si="13"/>
        <v>36885.92240664129</v>
      </c>
    </row>
    <row r="30" spans="1:19" ht="12.75">
      <c r="A30" s="135" t="s">
        <v>3</v>
      </c>
      <c r="B30" s="3">
        <f t="shared" si="7"/>
        <v>0.016527613843450317</v>
      </c>
      <c r="D30" s="61">
        <f>+'SKC Waste Stream Report'!I11</f>
        <v>17.57</v>
      </c>
      <c r="E30" s="61">
        <f>+'SKC Waste Stream Report'!J11</f>
        <v>18</v>
      </c>
      <c r="F30" s="61">
        <f>+'SKC Waste Stream Report'!K11</f>
        <v>19.55</v>
      </c>
      <c r="G30" s="330">
        <f t="shared" si="10"/>
        <v>55.120000000000005</v>
      </c>
      <c r="I30" s="67">
        <v>48.27</v>
      </c>
      <c r="J30" s="333">
        <f t="shared" si="8"/>
        <v>848.1039000000001</v>
      </c>
      <c r="L30" s="67">
        <v>43.75</v>
      </c>
      <c r="M30" s="336">
        <f t="shared" si="11"/>
        <v>787.5</v>
      </c>
      <c r="O30" s="67">
        <v>45.54</v>
      </c>
      <c r="P30" s="336">
        <f t="shared" si="9"/>
        <v>890.307</v>
      </c>
      <c r="R30" s="67">
        <f t="shared" si="12"/>
        <v>45.82566944847605</v>
      </c>
      <c r="S30" s="336">
        <f t="shared" si="13"/>
        <v>2525.9109</v>
      </c>
    </row>
    <row r="31" spans="1:19" ht="12.75">
      <c r="A31" s="135" t="s">
        <v>1</v>
      </c>
      <c r="B31" s="3">
        <f t="shared" si="7"/>
        <v>0.17622169057871365</v>
      </c>
      <c r="D31" s="61">
        <f>+'SKC Waste Stream Report'!I12</f>
        <v>224.19</v>
      </c>
      <c r="E31" s="61">
        <f>+'SKC Waste Stream Report'!J12</f>
        <v>158.30501486612863</v>
      </c>
      <c r="F31" s="61">
        <f>+'SKC Waste Stream Report'!K12</f>
        <v>205.20867162506872</v>
      </c>
      <c r="G31" s="330">
        <f t="shared" si="10"/>
        <v>587.7036864911973</v>
      </c>
      <c r="I31" s="399">
        <v>-43.35</v>
      </c>
      <c r="J31" s="334">
        <f t="shared" si="8"/>
        <v>-9718.6365</v>
      </c>
      <c r="K31" s="401"/>
      <c r="L31" s="399">
        <v>-43.35</v>
      </c>
      <c r="M31" s="400">
        <f t="shared" si="11"/>
        <v>-6862.522394446676</v>
      </c>
      <c r="N31" s="401"/>
      <c r="O31" s="399">
        <v>-43.35</v>
      </c>
      <c r="P31" s="400">
        <f t="shared" si="9"/>
        <v>-8895.79591494673</v>
      </c>
      <c r="Q31" s="401"/>
      <c r="R31" s="399">
        <f t="shared" si="12"/>
        <v>-43.35</v>
      </c>
      <c r="S31" s="336">
        <f t="shared" si="13"/>
        <v>-25476.954809393406</v>
      </c>
    </row>
    <row r="32" spans="1:19" ht="12.75">
      <c r="A32" s="135" t="s">
        <v>6</v>
      </c>
      <c r="B32" s="3">
        <f t="shared" si="7"/>
        <v>0.009007348496840263</v>
      </c>
      <c r="D32" s="61">
        <f>+'SKC Waste Stream Report'!I13</f>
        <v>12.26</v>
      </c>
      <c r="E32" s="61">
        <f>+'SKC Waste Stream Report'!J13</f>
        <v>9.134627889657326</v>
      </c>
      <c r="F32" s="61">
        <f>+'SKC Waste Stream Report'!K13</f>
        <v>8.64510161083473</v>
      </c>
      <c r="G32" s="330">
        <f t="shared" si="10"/>
        <v>30.039729500492058</v>
      </c>
      <c r="I32" s="399">
        <v>130.5</v>
      </c>
      <c r="J32" s="334">
        <f t="shared" si="8"/>
        <v>1599.93</v>
      </c>
      <c r="K32" s="401"/>
      <c r="L32" s="399">
        <v>290</v>
      </c>
      <c r="M32" s="400">
        <f t="shared" si="11"/>
        <v>2649.0420880006245</v>
      </c>
      <c r="N32" s="401"/>
      <c r="O32" s="399">
        <v>301.07</v>
      </c>
      <c r="P32" s="400">
        <f t="shared" si="9"/>
        <v>2602.7807419740125</v>
      </c>
      <c r="Q32" s="401"/>
      <c r="R32" s="399">
        <f t="shared" si="12"/>
        <v>228.08969800684804</v>
      </c>
      <c r="S32" s="336">
        <f t="shared" si="13"/>
        <v>6851.752829974637</v>
      </c>
    </row>
    <row r="33" spans="1:19" ht="12.75">
      <c r="A33" s="135" t="s">
        <v>98</v>
      </c>
      <c r="B33" s="3">
        <f t="shared" si="7"/>
        <v>0.009211885426011557</v>
      </c>
      <c r="D33" s="61">
        <f>+'SKC Waste Stream Report'!I14</f>
        <v>10.68</v>
      </c>
      <c r="E33" s="61">
        <f>+'SKC Waste Stream Report'!J14</f>
        <v>10.31397179911584</v>
      </c>
      <c r="F33" s="61">
        <f>+'SKC Waste Stream Report'!K14</f>
        <v>9.72789340727483</v>
      </c>
      <c r="G33" s="330">
        <f t="shared" si="10"/>
        <v>30.72186520639067</v>
      </c>
      <c r="I33" s="399">
        <v>97.34</v>
      </c>
      <c r="J33" s="334">
        <f t="shared" si="8"/>
        <v>1039.5912</v>
      </c>
      <c r="K33" s="401"/>
      <c r="L33" s="399">
        <v>130</v>
      </c>
      <c r="M33" s="400">
        <f t="shared" si="11"/>
        <v>1340.8163338850593</v>
      </c>
      <c r="N33" s="401"/>
      <c r="O33" s="399">
        <v>140</v>
      </c>
      <c r="P33" s="400">
        <f t="shared" si="9"/>
        <v>1361.9050770184763</v>
      </c>
      <c r="Q33" s="401"/>
      <c r="R33" s="399">
        <f t="shared" si="12"/>
        <v>121.81267594797828</v>
      </c>
      <c r="S33" s="336">
        <f t="shared" si="13"/>
        <v>3742.3126109035356</v>
      </c>
    </row>
    <row r="34" spans="1:19" ht="12.75">
      <c r="A34" s="135" t="s">
        <v>99</v>
      </c>
      <c r="B34" s="3">
        <f t="shared" si="7"/>
        <v>0.005153937489470301</v>
      </c>
      <c r="D34" s="61">
        <f>+'SKC Waste Stream Report'!I15</f>
        <v>6.52</v>
      </c>
      <c r="E34" s="61">
        <f>+'SKC Waste Stream Report'!J15</f>
        <v>5.455598597384094</v>
      </c>
      <c r="F34" s="61">
        <f>+'SKC Waste Stream Report'!K15</f>
        <v>5.212910107529914</v>
      </c>
      <c r="G34" s="330">
        <f t="shared" si="10"/>
        <v>17.188508704914007</v>
      </c>
      <c r="I34" s="399">
        <v>252.7</v>
      </c>
      <c r="J34" s="334">
        <f t="shared" si="8"/>
        <v>1647.6039999999998</v>
      </c>
      <c r="K34" s="401"/>
      <c r="L34" s="399">
        <v>330</v>
      </c>
      <c r="M34" s="400">
        <f t="shared" si="11"/>
        <v>1800.347537136751</v>
      </c>
      <c r="N34" s="401"/>
      <c r="O34" s="399">
        <v>330</v>
      </c>
      <c r="P34" s="400">
        <f t="shared" si="9"/>
        <v>1720.2603354848716</v>
      </c>
      <c r="Q34" s="401"/>
      <c r="R34" s="399">
        <f t="shared" si="12"/>
        <v>300.67831720293964</v>
      </c>
      <c r="S34" s="336">
        <f t="shared" si="13"/>
        <v>5168.211872621623</v>
      </c>
    </row>
    <row r="35" spans="1:19" ht="12.75">
      <c r="A35" s="135" t="s">
        <v>100</v>
      </c>
      <c r="B35" s="3">
        <f t="shared" si="7"/>
        <v>0.007793517010360544</v>
      </c>
      <c r="D35" s="61">
        <f>+'SKC Waste Stream Report'!I16</f>
        <v>13.13</v>
      </c>
      <c r="E35" s="61">
        <f>+'SKC Waste Stream Report'!J16</f>
        <v>7.097213091335742</v>
      </c>
      <c r="F35" s="61">
        <f>+'SKC Waste Stream Report'!K16</f>
        <v>5.764358449483491</v>
      </c>
      <c r="G35" s="330">
        <f t="shared" si="10"/>
        <v>25.991571540819233</v>
      </c>
      <c r="I35" s="399">
        <v>7.17</v>
      </c>
      <c r="J35" s="334">
        <f t="shared" si="8"/>
        <v>94.1421</v>
      </c>
      <c r="K35" s="401"/>
      <c r="L35" s="399">
        <v>0</v>
      </c>
      <c r="M35" s="400">
        <f t="shared" si="11"/>
        <v>0</v>
      </c>
      <c r="N35" s="401"/>
      <c r="O35" s="399">
        <v>0</v>
      </c>
      <c r="P35" s="400">
        <f t="shared" si="9"/>
        <v>0</v>
      </c>
      <c r="Q35" s="401"/>
      <c r="R35" s="399">
        <f>+S35/G35</f>
        <v>3.6220241570292027</v>
      </c>
      <c r="S35" s="336">
        <f>+P35+M35+J35</f>
        <v>94.1421</v>
      </c>
    </row>
    <row r="36" spans="1:19" ht="15">
      <c r="A36" s="2" t="s">
        <v>4</v>
      </c>
      <c r="B36" s="63">
        <f t="shared" si="7"/>
        <v>0.05966888949564546</v>
      </c>
      <c r="D36" s="62">
        <f>+'SKC Waste Stream Report'!I17</f>
        <v>58.06774124282861</v>
      </c>
      <c r="E36" s="62">
        <f>+'SKC Waste Stream Report'!J17</f>
        <v>66.12685034255902</v>
      </c>
      <c r="F36" s="62">
        <f>+'SKC Waste Stream Report'!K17</f>
        <v>74.80262726017166</v>
      </c>
      <c r="G36" s="331">
        <f t="shared" si="10"/>
        <v>198.9972188455593</v>
      </c>
      <c r="I36" s="404">
        <v>-69.5</v>
      </c>
      <c r="J36" s="403">
        <f t="shared" si="8"/>
        <v>-4035.7080163765886</v>
      </c>
      <c r="K36" s="401"/>
      <c r="L36" s="404">
        <v>-69.5</v>
      </c>
      <c r="M36" s="402">
        <f t="shared" si="11"/>
        <v>-4595.8160988078525</v>
      </c>
      <c r="N36" s="401"/>
      <c r="O36" s="399">
        <v>-69.5</v>
      </c>
      <c r="P36" s="402">
        <f t="shared" si="9"/>
        <v>-5198.78259458193</v>
      </c>
      <c r="Q36" s="401"/>
      <c r="R36" s="399">
        <f>+S36/G36</f>
        <v>-69.50000000000001</v>
      </c>
      <c r="S36" s="337">
        <f>+P36+M36+J36</f>
        <v>-13830.306709766373</v>
      </c>
    </row>
    <row r="37" spans="2:19" ht="12.75">
      <c r="B37" s="64">
        <f>SUM(B27:B36)</f>
        <v>1</v>
      </c>
      <c r="C37" s="65"/>
      <c r="D37" s="66">
        <f>SUM(D27:D36)</f>
        <v>1190.5877412428288</v>
      </c>
      <c r="E37" s="66">
        <f>SUM(E27:E36)</f>
        <v>1057.5161902331151</v>
      </c>
      <c r="F37" s="66">
        <f>SUM(F27:F36)</f>
        <v>1086.920744324027</v>
      </c>
      <c r="G37" s="66">
        <f>SUM(G27:G36)</f>
        <v>3335.024675799971</v>
      </c>
      <c r="H37" s="66"/>
      <c r="I37" s="66"/>
      <c r="J37" s="99">
        <f>SUM(J27:J36)</f>
        <v>76279.1891836234</v>
      </c>
      <c r="L37" s="66"/>
      <c r="M37" s="99">
        <f>SUM(M27:M36)</f>
        <v>75168.7258695148</v>
      </c>
      <c r="O37" s="66"/>
      <c r="P37" s="99">
        <f>SUM(P27:P36)</f>
        <v>71010.66316711635</v>
      </c>
      <c r="R37" s="66"/>
      <c r="S37" s="99">
        <f>SUM(S27:S36)</f>
        <v>222458.5782202545</v>
      </c>
    </row>
    <row r="38" spans="2:19" ht="12.75">
      <c r="B38" s="64"/>
      <c r="C38" s="65"/>
      <c r="D38" s="66"/>
      <c r="E38" s="66"/>
      <c r="F38" s="66"/>
      <c r="G38" s="66"/>
      <c r="H38" s="66"/>
      <c r="I38" s="66"/>
      <c r="J38" s="99"/>
      <c r="L38" s="66"/>
      <c r="M38" s="99"/>
      <c r="O38" s="66"/>
      <c r="P38" s="99"/>
      <c r="R38" s="66"/>
      <c r="S38" s="99"/>
    </row>
    <row r="39" spans="1:9" s="1" customFormat="1" ht="14.25">
      <c r="A39" s="325" t="s">
        <v>127</v>
      </c>
      <c r="B39" s="326"/>
      <c r="C39" s="326"/>
      <c r="D39" s="326"/>
      <c r="E39" s="326"/>
      <c r="F39" s="326"/>
      <c r="G39" s="326"/>
      <c r="H39" s="66"/>
      <c r="I39" s="66"/>
    </row>
    <row r="40" spans="8:9" ht="12.75">
      <c r="H40" s="66"/>
      <c r="I40" s="66"/>
    </row>
    <row r="41" spans="2:19" s="4" customFormat="1" ht="12.75">
      <c r="B41" s="4" t="s">
        <v>41</v>
      </c>
      <c r="D41" s="432" t="s">
        <v>45</v>
      </c>
      <c r="E41" s="432"/>
      <c r="F41" s="432"/>
      <c r="G41" s="432"/>
      <c r="I41" s="433" t="s">
        <v>12</v>
      </c>
      <c r="J41" s="433"/>
      <c r="L41" s="433" t="s">
        <v>16</v>
      </c>
      <c r="M41" s="433"/>
      <c r="O41" s="433" t="s">
        <v>124</v>
      </c>
      <c r="P41" s="433"/>
      <c r="R41" s="432" t="s">
        <v>125</v>
      </c>
      <c r="S41" s="432"/>
    </row>
    <row r="42" spans="1:19" s="6" customFormat="1" ht="12.75">
      <c r="A42" s="6" t="s">
        <v>92</v>
      </c>
      <c r="B42" s="6" t="s">
        <v>42</v>
      </c>
      <c r="D42" s="327" t="s">
        <v>12</v>
      </c>
      <c r="E42" s="327" t="s">
        <v>16</v>
      </c>
      <c r="F42" s="327" t="s">
        <v>123</v>
      </c>
      <c r="G42" s="328" t="s">
        <v>14</v>
      </c>
      <c r="I42" s="6" t="s">
        <v>46</v>
      </c>
      <c r="J42" s="328" t="s">
        <v>47</v>
      </c>
      <c r="L42" s="6" t="s">
        <v>46</v>
      </c>
      <c r="M42" s="328" t="s">
        <v>47</v>
      </c>
      <c r="O42" s="6" t="s">
        <v>46</v>
      </c>
      <c r="P42" s="328" t="s">
        <v>47</v>
      </c>
      <c r="R42" s="6" t="s">
        <v>46</v>
      </c>
      <c r="S42" s="328" t="s">
        <v>47</v>
      </c>
    </row>
    <row r="43" spans="7:19" ht="12.75">
      <c r="G43" s="329"/>
      <c r="J43" s="329"/>
      <c r="M43" s="329"/>
      <c r="P43" s="329"/>
      <c r="S43" s="329"/>
    </row>
    <row r="44" spans="1:19" ht="12.75">
      <c r="A44" s="135" t="s">
        <v>5</v>
      </c>
      <c r="B44" s="3">
        <f aca="true" t="shared" si="14" ref="B44:B53">+G44/$G$54</f>
        <v>0.35726722445545483</v>
      </c>
      <c r="D44" s="61">
        <f>+'SKC Waste Stream Report'!L8</f>
        <v>437.14</v>
      </c>
      <c r="E44" s="61">
        <f>+'SKC Waste Stream Report'!M8</f>
        <v>403.62</v>
      </c>
      <c r="F44" s="61">
        <f>+'SKC Waste Stream Report'!N8</f>
        <v>382.18</v>
      </c>
      <c r="G44" s="330">
        <f>SUM(D44:F44)</f>
        <v>1222.94</v>
      </c>
      <c r="I44" s="67">
        <v>76.07</v>
      </c>
      <c r="J44" s="338">
        <f aca="true" t="shared" si="15" ref="J44:J53">+I44*D44</f>
        <v>33253.239799999996</v>
      </c>
      <c r="L44" s="67">
        <v>73.4</v>
      </c>
      <c r="M44" s="338">
        <f>+L44*E44</f>
        <v>29625.708000000002</v>
      </c>
      <c r="O44" s="67">
        <v>71.47</v>
      </c>
      <c r="P44" s="338">
        <f aca="true" t="shared" si="16" ref="P44:P53">+O44*F44</f>
        <v>27314.4046</v>
      </c>
      <c r="R44" s="67">
        <f>+S44/G44</f>
        <v>73.75124895743045</v>
      </c>
      <c r="S44" s="338">
        <f>+P44+M44+J44</f>
        <v>90193.3524</v>
      </c>
    </row>
    <row r="45" spans="1:19" ht="12.75">
      <c r="A45" s="135" t="s">
        <v>2</v>
      </c>
      <c r="B45" s="3">
        <f t="shared" si="14"/>
        <v>0.35016535009815836</v>
      </c>
      <c r="D45" s="61">
        <f>+'SKC Waste Stream Report'!L9</f>
        <v>380.15</v>
      </c>
      <c r="E45" s="61">
        <f>+'SKC Waste Stream Report'!M9</f>
        <v>422.96</v>
      </c>
      <c r="F45" s="61">
        <f>+'SKC Waste Stream Report'!N9</f>
        <v>395.52</v>
      </c>
      <c r="G45" s="330">
        <f aca="true" t="shared" si="17" ref="G45:G53">SUM(D45:F45)</f>
        <v>1198.6299999999999</v>
      </c>
      <c r="I45" s="67">
        <v>101.06</v>
      </c>
      <c r="J45" s="333">
        <f t="shared" si="15"/>
        <v>38417.958999999995</v>
      </c>
      <c r="L45" s="67">
        <v>98.97</v>
      </c>
      <c r="M45" s="336">
        <f aca="true" t="shared" si="18" ref="M45:M53">+L45*E45</f>
        <v>41860.3512</v>
      </c>
      <c r="O45" s="67">
        <v>96.62</v>
      </c>
      <c r="P45" s="336">
        <f t="shared" si="16"/>
        <v>38215.1424</v>
      </c>
      <c r="R45" s="67">
        <f aca="true" t="shared" si="19" ref="R45:R51">+S45/G45</f>
        <v>98.8574060385607</v>
      </c>
      <c r="S45" s="336">
        <f aca="true" t="shared" si="20" ref="S45:S51">+P45+M45+J45</f>
        <v>118493.45259999999</v>
      </c>
    </row>
    <row r="46" spans="1:19" ht="12.75">
      <c r="A46" s="135" t="s">
        <v>0</v>
      </c>
      <c r="B46" s="3">
        <f t="shared" si="14"/>
        <v>0.008375595961484529</v>
      </c>
      <c r="D46" s="61">
        <f>+'SKC Waste Stream Report'!L10</f>
        <v>11.88</v>
      </c>
      <c r="E46" s="61">
        <f>+'SKC Waste Stream Report'!M10</f>
        <v>10.22</v>
      </c>
      <c r="F46" s="61">
        <f>+'SKC Waste Stream Report'!N10</f>
        <v>6.57</v>
      </c>
      <c r="G46" s="330">
        <f t="shared" si="17"/>
        <v>28.67</v>
      </c>
      <c r="I46" s="67">
        <v>1225.08</v>
      </c>
      <c r="J46" s="333">
        <f t="shared" si="15"/>
        <v>14553.9504</v>
      </c>
      <c r="L46" s="67">
        <v>1191.3</v>
      </c>
      <c r="M46" s="336">
        <f t="shared" si="18"/>
        <v>12175.086000000001</v>
      </c>
      <c r="O46" s="67">
        <v>959.82</v>
      </c>
      <c r="P46" s="336">
        <f t="shared" si="16"/>
        <v>6306.017400000001</v>
      </c>
      <c r="R46" s="67">
        <f t="shared" si="19"/>
        <v>1152.2516149284966</v>
      </c>
      <c r="S46" s="336">
        <f t="shared" si="20"/>
        <v>33035.0538</v>
      </c>
    </row>
    <row r="47" spans="1:19" ht="12.75">
      <c r="A47" s="135" t="s">
        <v>3</v>
      </c>
      <c r="B47" s="3">
        <f t="shared" si="14"/>
        <v>0.014674090866598112</v>
      </c>
      <c r="D47" s="61">
        <f>+'SKC Waste Stream Report'!L11</f>
        <v>17.25</v>
      </c>
      <c r="E47" s="61">
        <f>+'SKC Waste Stream Report'!M11</f>
        <v>16.63</v>
      </c>
      <c r="F47" s="61">
        <f>+'SKC Waste Stream Report'!N11</f>
        <v>16.35</v>
      </c>
      <c r="G47" s="330">
        <f t="shared" si="17"/>
        <v>50.23</v>
      </c>
      <c r="I47" s="67">
        <v>67.86</v>
      </c>
      <c r="J47" s="333">
        <f t="shared" si="15"/>
        <v>1170.585</v>
      </c>
      <c r="L47" s="67">
        <v>90.18</v>
      </c>
      <c r="M47" s="336">
        <f t="shared" si="18"/>
        <v>1499.6934</v>
      </c>
      <c r="O47" s="67">
        <v>72.32</v>
      </c>
      <c r="P47" s="336">
        <f t="shared" si="16"/>
        <v>1182.432</v>
      </c>
      <c r="R47" s="67">
        <f t="shared" si="19"/>
        <v>76.7013816444356</v>
      </c>
      <c r="S47" s="336">
        <f t="shared" si="20"/>
        <v>3852.7104</v>
      </c>
    </row>
    <row r="48" spans="1:19" ht="12.75">
      <c r="A48" s="135" t="s">
        <v>1</v>
      </c>
      <c r="B48" s="3">
        <f t="shared" si="14"/>
        <v>0.1912627372160419</v>
      </c>
      <c r="D48" s="61">
        <f>+'SKC Waste Stream Report'!L12</f>
        <v>239.32</v>
      </c>
      <c r="E48" s="61">
        <f>+'SKC Waste Stream Report'!M12</f>
        <v>247.13</v>
      </c>
      <c r="F48" s="61">
        <f>+'SKC Waste Stream Report'!N12</f>
        <v>168.25</v>
      </c>
      <c r="G48" s="330">
        <f t="shared" si="17"/>
        <v>654.7</v>
      </c>
      <c r="I48" s="399">
        <v>-43.35</v>
      </c>
      <c r="J48" s="334">
        <f t="shared" si="15"/>
        <v>-10374.522</v>
      </c>
      <c r="K48" s="401"/>
      <c r="L48" s="399">
        <v>-53.04</v>
      </c>
      <c r="M48" s="400">
        <f t="shared" si="18"/>
        <v>-13107.7752</v>
      </c>
      <c r="N48" s="401"/>
      <c r="O48" s="399">
        <v>-53.04</v>
      </c>
      <c r="P48" s="336">
        <f t="shared" si="16"/>
        <v>-8923.98</v>
      </c>
      <c r="R48" s="399">
        <f t="shared" si="19"/>
        <v>-49.49790316175347</v>
      </c>
      <c r="S48" s="336">
        <f t="shared" si="20"/>
        <v>-32406.2772</v>
      </c>
    </row>
    <row r="49" spans="1:19" ht="12.75">
      <c r="A49" s="135" t="s">
        <v>6</v>
      </c>
      <c r="B49" s="3">
        <f t="shared" si="14"/>
        <v>0.007169066093297186</v>
      </c>
      <c r="D49" s="61">
        <f>+'SKC Waste Stream Report'!L13</f>
        <v>7.84</v>
      </c>
      <c r="E49" s="61">
        <f>+'SKC Waste Stream Report'!M13</f>
        <v>8.42</v>
      </c>
      <c r="F49" s="61">
        <f>+'SKC Waste Stream Report'!N13</f>
        <v>8.28</v>
      </c>
      <c r="G49" s="330">
        <f t="shared" si="17"/>
        <v>24.54</v>
      </c>
      <c r="I49" s="399">
        <v>316.84</v>
      </c>
      <c r="J49" s="334">
        <f t="shared" si="15"/>
        <v>2484.0256</v>
      </c>
      <c r="K49" s="401"/>
      <c r="L49" s="399">
        <v>296.58</v>
      </c>
      <c r="M49" s="400">
        <f t="shared" si="18"/>
        <v>2497.2036</v>
      </c>
      <c r="N49" s="401"/>
      <c r="O49" s="399">
        <v>335.46</v>
      </c>
      <c r="P49" s="336">
        <f t="shared" si="16"/>
        <v>2777.6087999999995</v>
      </c>
      <c r="R49" s="399">
        <f t="shared" si="19"/>
        <v>316.1710676446617</v>
      </c>
      <c r="S49" s="336">
        <f t="shared" si="20"/>
        <v>7758.837999999999</v>
      </c>
    </row>
    <row r="50" spans="1:19" ht="12.75">
      <c r="A50" s="135" t="s">
        <v>98</v>
      </c>
      <c r="B50" s="3">
        <f t="shared" si="14"/>
        <v>0.007949074506871085</v>
      </c>
      <c r="D50" s="61">
        <f>+'SKC Waste Stream Report'!L14</f>
        <v>11.64</v>
      </c>
      <c r="E50" s="61">
        <f>+'SKC Waste Stream Report'!M14</f>
        <v>8.46</v>
      </c>
      <c r="F50" s="61">
        <f>+'SKC Waste Stream Report'!N14</f>
        <v>7.11</v>
      </c>
      <c r="G50" s="330">
        <f t="shared" si="17"/>
        <v>27.21</v>
      </c>
      <c r="I50" s="399">
        <v>120</v>
      </c>
      <c r="J50" s="334">
        <f t="shared" si="15"/>
        <v>1396.8000000000002</v>
      </c>
      <c r="K50" s="401"/>
      <c r="L50" s="399">
        <v>126.03</v>
      </c>
      <c r="M50" s="400">
        <f t="shared" si="18"/>
        <v>1066.2138000000002</v>
      </c>
      <c r="N50" s="401"/>
      <c r="O50" s="399">
        <v>162.6</v>
      </c>
      <c r="P50" s="336">
        <f t="shared" si="16"/>
        <v>1156.086</v>
      </c>
      <c r="R50" s="399">
        <f t="shared" si="19"/>
        <v>133.0062403528115</v>
      </c>
      <c r="S50" s="336">
        <f t="shared" si="20"/>
        <v>3619.0998000000004</v>
      </c>
    </row>
    <row r="51" spans="1:19" ht="12.75">
      <c r="A51" s="135" t="s">
        <v>99</v>
      </c>
      <c r="B51" s="3">
        <f t="shared" si="14"/>
        <v>0.004127909694306815</v>
      </c>
      <c r="D51" s="61">
        <f>+'SKC Waste Stream Report'!L15</f>
        <v>4.85</v>
      </c>
      <c r="E51" s="61">
        <f>+'SKC Waste Stream Report'!M15</f>
        <v>4.65</v>
      </c>
      <c r="F51" s="61">
        <f>+'SKC Waste Stream Report'!N15</f>
        <v>4.63</v>
      </c>
      <c r="G51" s="330">
        <f t="shared" si="17"/>
        <v>14.129999999999999</v>
      </c>
      <c r="I51" s="399">
        <v>330</v>
      </c>
      <c r="J51" s="334">
        <f t="shared" si="15"/>
        <v>1600.4999999999998</v>
      </c>
      <c r="K51" s="401"/>
      <c r="L51" s="399">
        <v>354.95</v>
      </c>
      <c r="M51" s="400">
        <f t="shared" si="18"/>
        <v>1650.5175000000002</v>
      </c>
      <c r="N51" s="401"/>
      <c r="O51" s="399">
        <v>353.39</v>
      </c>
      <c r="P51" s="336">
        <f t="shared" si="16"/>
        <v>1636.1957</v>
      </c>
      <c r="R51" s="399">
        <f t="shared" si="19"/>
        <v>345.8749610757254</v>
      </c>
      <c r="S51" s="336">
        <f t="shared" si="20"/>
        <v>4887.2132</v>
      </c>
    </row>
    <row r="52" spans="1:19" ht="12.75">
      <c r="A52" s="135" t="s">
        <v>100</v>
      </c>
      <c r="B52" s="3">
        <f t="shared" si="14"/>
        <v>0.005950850705805366</v>
      </c>
      <c r="D52" s="61">
        <f>+'SKC Waste Stream Report'!L16</f>
        <v>6.91</v>
      </c>
      <c r="E52" s="61">
        <f>+'SKC Waste Stream Report'!M16</f>
        <v>7.5</v>
      </c>
      <c r="F52" s="61">
        <f>+'SKC Waste Stream Report'!N16</f>
        <v>5.96</v>
      </c>
      <c r="G52" s="330">
        <f t="shared" si="17"/>
        <v>20.37</v>
      </c>
      <c r="I52" s="399">
        <v>0</v>
      </c>
      <c r="J52" s="334">
        <f t="shared" si="15"/>
        <v>0</v>
      </c>
      <c r="K52" s="401"/>
      <c r="L52" s="399">
        <v>0</v>
      </c>
      <c r="M52" s="400">
        <f t="shared" si="18"/>
        <v>0</v>
      </c>
      <c r="N52" s="401"/>
      <c r="O52" s="399">
        <v>0</v>
      </c>
      <c r="P52" s="336">
        <f t="shared" si="16"/>
        <v>0</v>
      </c>
      <c r="R52" s="399">
        <f>+S52/G52</f>
        <v>0</v>
      </c>
      <c r="S52" s="336">
        <f>+P52+M52+J52</f>
        <v>0</v>
      </c>
    </row>
    <row r="53" spans="1:19" ht="15">
      <c r="A53" s="2" t="s">
        <v>4</v>
      </c>
      <c r="B53" s="63">
        <f t="shared" si="14"/>
        <v>0.05305810040198187</v>
      </c>
      <c r="D53" s="62">
        <f>+'SKC Waste Stream Report'!L17</f>
        <v>56.05</v>
      </c>
      <c r="E53" s="62">
        <f>+'SKC Waste Stream Report'!M17</f>
        <v>82.15</v>
      </c>
      <c r="F53" s="62">
        <f>+'SKC Waste Stream Report'!N17</f>
        <v>43.42</v>
      </c>
      <c r="G53" s="331">
        <f t="shared" si="17"/>
        <v>181.62</v>
      </c>
      <c r="I53" s="399">
        <v>-69.5</v>
      </c>
      <c r="J53" s="403">
        <f t="shared" si="15"/>
        <v>-3895.475</v>
      </c>
      <c r="K53" s="401"/>
      <c r="L53" s="399">
        <v>-69.5</v>
      </c>
      <c r="M53" s="402">
        <f t="shared" si="18"/>
        <v>-5709.425</v>
      </c>
      <c r="N53" s="401"/>
      <c r="O53" s="399">
        <v>-69.5</v>
      </c>
      <c r="P53" s="337">
        <f t="shared" si="16"/>
        <v>-3017.69</v>
      </c>
      <c r="R53" s="399">
        <f>+S53/G53</f>
        <v>-69.5</v>
      </c>
      <c r="S53" s="337">
        <f>+P53+M53+J53</f>
        <v>-12622.59</v>
      </c>
    </row>
    <row r="54" spans="2:19" ht="12.75">
      <c r="B54" s="64">
        <f>SUM(B44:B53)</f>
        <v>1</v>
      </c>
      <c r="C54" s="65"/>
      <c r="D54" s="66">
        <f>SUM(D44:D53)</f>
        <v>1173.03</v>
      </c>
      <c r="E54" s="66">
        <f>SUM(E44:E53)</f>
        <v>1211.7400000000002</v>
      </c>
      <c r="F54" s="66">
        <f>SUM(F44:F53)</f>
        <v>1038.2700000000002</v>
      </c>
      <c r="G54" s="66">
        <f>SUM(G44:G53)</f>
        <v>3423.04</v>
      </c>
      <c r="H54" s="66"/>
      <c r="I54" s="66"/>
      <c r="J54" s="99">
        <f>SUM(J44:J53)</f>
        <v>78607.06279999999</v>
      </c>
      <c r="L54" s="66"/>
      <c r="M54" s="99">
        <f>SUM(M44:M53)</f>
        <v>71557.57329999999</v>
      </c>
      <c r="O54" s="66"/>
      <c r="P54" s="99">
        <f>SUM(P44:P53)</f>
        <v>66646.2169</v>
      </c>
      <c r="R54" s="66"/>
      <c r="S54" s="99">
        <f>SUM(S44:S53)</f>
        <v>216810.85299999997</v>
      </c>
    </row>
    <row r="55" spans="2:19" ht="12.75">
      <c r="B55" s="64"/>
      <c r="C55" s="65"/>
      <c r="D55" s="66"/>
      <c r="E55" s="66"/>
      <c r="F55" s="66"/>
      <c r="G55" s="66"/>
      <c r="H55" s="66"/>
      <c r="I55" s="66"/>
      <c r="J55" s="99"/>
      <c r="L55" s="66"/>
      <c r="M55" s="99"/>
      <c r="O55" s="66"/>
      <c r="P55" s="99"/>
      <c r="R55" s="66"/>
      <c r="S55" s="99"/>
    </row>
    <row r="56" spans="2:19" s="406" customFormat="1" ht="12.75">
      <c r="B56" s="408"/>
      <c r="C56" s="409"/>
      <c r="D56" s="410"/>
      <c r="E56" s="410"/>
      <c r="F56" s="410"/>
      <c r="G56" s="410"/>
      <c r="H56" s="410"/>
      <c r="I56" s="410"/>
      <c r="J56" s="411"/>
      <c r="L56" s="410"/>
      <c r="M56" s="411"/>
      <c r="O56" s="410"/>
      <c r="P56" s="411"/>
      <c r="R56" s="410"/>
      <c r="S56" s="411"/>
    </row>
    <row r="58" spans="1:16" ht="14.25">
      <c r="A58" s="323" t="s">
        <v>105</v>
      </c>
      <c r="B58" s="324"/>
      <c r="C58" s="324"/>
      <c r="D58" s="324"/>
      <c r="E58" s="324"/>
      <c r="F58" s="324"/>
      <c r="G58" s="324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9" ht="12.75">
      <c r="A60" s="4"/>
      <c r="B60" s="4" t="s">
        <v>41</v>
      </c>
      <c r="C60" s="4"/>
      <c r="D60" s="432" t="s">
        <v>45</v>
      </c>
      <c r="E60" s="432"/>
      <c r="F60" s="432"/>
      <c r="G60" s="432"/>
      <c r="H60" s="4"/>
      <c r="I60" s="433" t="s">
        <v>7</v>
      </c>
      <c r="J60" s="433"/>
      <c r="K60" s="4"/>
      <c r="L60" s="433" t="s">
        <v>8</v>
      </c>
      <c r="M60" s="433"/>
      <c r="N60" s="4"/>
      <c r="O60" s="433" t="s">
        <v>9</v>
      </c>
      <c r="P60" s="433"/>
      <c r="R60" s="432" t="s">
        <v>107</v>
      </c>
      <c r="S60" s="432"/>
    </row>
    <row r="61" spans="1:19" ht="12.75">
      <c r="A61" s="6" t="s">
        <v>92</v>
      </c>
      <c r="B61" s="6" t="s">
        <v>42</v>
      </c>
      <c r="C61" s="6"/>
      <c r="D61" s="327" t="s">
        <v>7</v>
      </c>
      <c r="E61" s="327" t="s">
        <v>8</v>
      </c>
      <c r="F61" s="327" t="s">
        <v>9</v>
      </c>
      <c r="G61" s="328" t="s">
        <v>14</v>
      </c>
      <c r="H61" s="6"/>
      <c r="I61" s="6" t="s">
        <v>46</v>
      </c>
      <c r="J61" s="328" t="s">
        <v>47</v>
      </c>
      <c r="K61" s="6"/>
      <c r="L61" s="6" t="s">
        <v>46</v>
      </c>
      <c r="M61" s="328" t="s">
        <v>47</v>
      </c>
      <c r="N61" s="6"/>
      <c r="O61" s="6" t="s">
        <v>46</v>
      </c>
      <c r="P61" s="328" t="s">
        <v>47</v>
      </c>
      <c r="R61" s="6" t="s">
        <v>46</v>
      </c>
      <c r="S61" s="328" t="s">
        <v>47</v>
      </c>
    </row>
    <row r="62" spans="7:19" ht="12.75">
      <c r="G62" s="329"/>
      <c r="J62" s="329"/>
      <c r="M62" s="329"/>
      <c r="P62" s="329"/>
      <c r="S62" s="329"/>
    </row>
    <row r="63" spans="1:19" ht="12.75">
      <c r="A63" s="135" t="s">
        <v>5</v>
      </c>
      <c r="B63" s="3">
        <f>+G63/$G$73</f>
        <v>0.45809898954399764</v>
      </c>
      <c r="D63" s="61">
        <f>+'Sno-King Waste Stream Report'!F8</f>
        <v>545.9865995057974</v>
      </c>
      <c r="E63" s="61">
        <f>+'Sno-King Waste Stream Report'!G8</f>
        <v>373.57439296248026</v>
      </c>
      <c r="F63" s="61">
        <f>+'Sno-King Waste Stream Report'!H8</f>
        <v>367.66968221098324</v>
      </c>
      <c r="G63" s="330">
        <f>SUM(D63:F63)</f>
        <v>1287.2306746792608</v>
      </c>
      <c r="I63" s="67">
        <f>+I10</f>
        <v>70.65</v>
      </c>
      <c r="J63" s="332">
        <f aca="true" t="shared" si="21" ref="J63:J72">+I63*D63</f>
        <v>38573.95325508458</v>
      </c>
      <c r="L63" s="67">
        <f>+L10</f>
        <v>74.2</v>
      </c>
      <c r="M63" s="332">
        <f aca="true" t="shared" si="22" ref="M63:M72">+L63*E63</f>
        <v>27719.219957816036</v>
      </c>
      <c r="O63" s="67">
        <f>+O10</f>
        <v>75.27</v>
      </c>
      <c r="P63" s="332">
        <f aca="true" t="shared" si="23" ref="P63:P72">+O63*F63</f>
        <v>27674.496980020707</v>
      </c>
      <c r="R63" s="67">
        <f>+S63/G63</f>
        <v>72.99986866482594</v>
      </c>
      <c r="S63" s="332">
        <f>+P63+M63+J63</f>
        <v>93967.67019292133</v>
      </c>
    </row>
    <row r="64" spans="1:19" ht="12.75">
      <c r="A64" s="135" t="s">
        <v>2</v>
      </c>
      <c r="B64" s="3">
        <f aca="true" t="shared" si="24" ref="B64:B72">+G64/$G$73</f>
        <v>0.24548683527712378</v>
      </c>
      <c r="D64" s="61">
        <f>+'Sno-King Waste Stream Report'!F9</f>
        <v>243.93618133434708</v>
      </c>
      <c r="E64" s="61">
        <f>+'Sno-King Waste Stream Report'!G9</f>
        <v>192.85854196675584</v>
      </c>
      <c r="F64" s="61">
        <f>+'Sno-King Waste Stream Report'!H9</f>
        <v>253.0085546174983</v>
      </c>
      <c r="G64" s="330">
        <f aca="true" t="shared" si="25" ref="G64:G71">SUM(D64:F64)</f>
        <v>689.8032779186012</v>
      </c>
      <c r="I64" s="67">
        <f aca="true" t="shared" si="26" ref="I64:I72">+I11</f>
        <v>86.42</v>
      </c>
      <c r="J64" s="333">
        <f t="shared" si="21"/>
        <v>21080.964790914277</v>
      </c>
      <c r="L64" s="67">
        <f aca="true" t="shared" si="27" ref="L64:L72">+L11</f>
        <v>88.89</v>
      </c>
      <c r="M64" s="336">
        <f t="shared" si="22"/>
        <v>17143.195795424926</v>
      </c>
      <c r="O64" s="67">
        <f aca="true" t="shared" si="28" ref="O64:O72">+O11</f>
        <v>86.45</v>
      </c>
      <c r="P64" s="336">
        <f t="shared" si="23"/>
        <v>21872.589546682728</v>
      </c>
      <c r="R64" s="67">
        <f aca="true" t="shared" si="29" ref="R64:R72">+S64/G64</f>
        <v>87.1215780741963</v>
      </c>
      <c r="S64" s="336">
        <f>+P64+M64+J64</f>
        <v>60096.75013302194</v>
      </c>
    </row>
    <row r="65" spans="1:19" ht="12.75">
      <c r="A65" s="135" t="s">
        <v>0</v>
      </c>
      <c r="B65" s="3">
        <f t="shared" si="24"/>
        <v>0.008239889545784532</v>
      </c>
      <c r="D65" s="61">
        <f>+'Sno-King Waste Stream Report'!F10</f>
        <v>9.71849458277894</v>
      </c>
      <c r="E65" s="61">
        <f>+'Sno-King Waste Stream Report'!G10</f>
        <v>7.268451768525505</v>
      </c>
      <c r="F65" s="61">
        <f>+'Sno-King Waste Stream Report'!H10</f>
        <v>6.166648878977341</v>
      </c>
      <c r="G65" s="330">
        <f t="shared" si="25"/>
        <v>23.153595230281788</v>
      </c>
      <c r="I65" s="67">
        <f t="shared" si="26"/>
        <v>1210.7</v>
      </c>
      <c r="J65" s="333">
        <f t="shared" si="21"/>
        <v>11766.181391370463</v>
      </c>
      <c r="L65" s="67">
        <f t="shared" si="27"/>
        <v>1128.22</v>
      </c>
      <c r="M65" s="336">
        <f t="shared" si="22"/>
        <v>8200.412654285845</v>
      </c>
      <c r="O65" s="67">
        <f t="shared" si="28"/>
        <v>1034.97</v>
      </c>
      <c r="P65" s="336">
        <f t="shared" si="23"/>
        <v>6382.2965902751785</v>
      </c>
      <c r="R65" s="67">
        <f t="shared" si="29"/>
        <v>1138.0042871903834</v>
      </c>
      <c r="S65" s="336">
        <f>+P65+M65+J65</f>
        <v>26348.890635931486</v>
      </c>
    </row>
    <row r="66" spans="1:19" ht="12.75">
      <c r="A66" s="135" t="s">
        <v>3</v>
      </c>
      <c r="B66" s="3">
        <f t="shared" si="24"/>
        <v>0.016900527382620562</v>
      </c>
      <c r="D66" s="61">
        <f>+'Sno-King Waste Stream Report'!F11</f>
        <v>20.29276753468922</v>
      </c>
      <c r="E66" s="61">
        <f>+'Sno-King Waste Stream Report'!G11</f>
        <v>14.88015981891762</v>
      </c>
      <c r="F66" s="61">
        <f>+'Sno-King Waste Stream Report'!H11</f>
        <v>12.316540559913982</v>
      </c>
      <c r="G66" s="330">
        <f t="shared" si="25"/>
        <v>47.48946791352082</v>
      </c>
      <c r="I66" s="67">
        <f t="shared" si="26"/>
        <v>48.45</v>
      </c>
      <c r="J66" s="333">
        <f t="shared" si="21"/>
        <v>983.1845870556928</v>
      </c>
      <c r="L66" s="67">
        <f t="shared" si="27"/>
        <v>69.7</v>
      </c>
      <c r="M66" s="336">
        <f t="shared" si="22"/>
        <v>1037.1471393785582</v>
      </c>
      <c r="O66" s="67">
        <f t="shared" si="28"/>
        <v>59.74</v>
      </c>
      <c r="P66" s="336">
        <f t="shared" si="23"/>
        <v>735.7901330492613</v>
      </c>
      <c r="R66" s="67">
        <f t="shared" si="29"/>
        <v>58.03648641636626</v>
      </c>
      <c r="S66" s="336">
        <f>+P66+M66+J66</f>
        <v>2756.1218594835123</v>
      </c>
    </row>
    <row r="67" spans="1:19" ht="12.75">
      <c r="A67" s="135" t="s">
        <v>1</v>
      </c>
      <c r="B67" s="3">
        <f t="shared" si="24"/>
        <v>0.17923915928281942</v>
      </c>
      <c r="D67" s="61">
        <f>+'Sno-King Waste Stream Report'!F12</f>
        <v>187.31709750997908</v>
      </c>
      <c r="E67" s="61">
        <f>+'Sno-King Waste Stream Report'!G12</f>
        <v>137.20811726913138</v>
      </c>
      <c r="F67" s="61">
        <f>+'Sno-King Waste Stream Report'!H12</f>
        <v>179.1260684560551</v>
      </c>
      <c r="G67" s="330">
        <f t="shared" si="25"/>
        <v>503.6512832351656</v>
      </c>
      <c r="I67" s="67">
        <f t="shared" si="26"/>
        <v>-43.35</v>
      </c>
      <c r="J67" s="333">
        <f t="shared" si="21"/>
        <v>-8120.196177057594</v>
      </c>
      <c r="L67" s="67">
        <f t="shared" si="27"/>
        <v>-43.35</v>
      </c>
      <c r="M67" s="336">
        <f t="shared" si="22"/>
        <v>-5947.971883616846</v>
      </c>
      <c r="O67" s="67">
        <f t="shared" si="28"/>
        <v>-43.35</v>
      </c>
      <c r="P67" s="336">
        <f t="shared" si="23"/>
        <v>-7765.115067569988</v>
      </c>
      <c r="R67" s="67">
        <f t="shared" si="29"/>
        <v>-43.35</v>
      </c>
      <c r="S67" s="336">
        <f aca="true" t="shared" si="30" ref="S67:S72">+P67+M67+J67</f>
        <v>-21833.283128244428</v>
      </c>
    </row>
    <row r="68" spans="1:19" ht="12.75">
      <c r="A68" s="135" t="s">
        <v>6</v>
      </c>
      <c r="B68" s="3">
        <f t="shared" si="24"/>
        <v>0.009527986683791533</v>
      </c>
      <c r="D68" s="61">
        <f>+'Sno-King Waste Stream Report'!F13</f>
        <v>10.652965215738453</v>
      </c>
      <c r="E68" s="61">
        <f>+'Sno-King Waste Stream Report'!G13</f>
        <v>7.431498502412145</v>
      </c>
      <c r="F68" s="61">
        <f>+'Sno-King Waste Stream Report'!H13</f>
        <v>8.688607184102585</v>
      </c>
      <c r="G68" s="330">
        <f t="shared" si="25"/>
        <v>26.77307090225318</v>
      </c>
      <c r="I68" s="67">
        <f t="shared" si="26"/>
        <v>242.58</v>
      </c>
      <c r="J68" s="333">
        <f t="shared" si="21"/>
        <v>2584.196302033834</v>
      </c>
      <c r="L68" s="67">
        <f t="shared" si="27"/>
        <v>278.4</v>
      </c>
      <c r="M68" s="336">
        <f t="shared" si="22"/>
        <v>2068.929183071541</v>
      </c>
      <c r="O68" s="67">
        <f t="shared" si="28"/>
        <v>226.21</v>
      </c>
      <c r="P68" s="336">
        <f t="shared" si="23"/>
        <v>1965.4498311158459</v>
      </c>
      <c r="R68" s="67">
        <f t="shared" si="29"/>
        <v>247.2101665283459</v>
      </c>
      <c r="S68" s="336">
        <f t="shared" si="30"/>
        <v>6618.57531622122</v>
      </c>
    </row>
    <row r="69" spans="1:19" ht="12.75">
      <c r="A69" s="135" t="s">
        <v>98</v>
      </c>
      <c r="B69" s="3">
        <f t="shared" si="24"/>
        <v>0.007659449183757681</v>
      </c>
      <c r="D69" s="61">
        <f>+'Sno-King Waste Stream Report'!F14</f>
        <v>8.026610910473293</v>
      </c>
      <c r="E69" s="61">
        <f>+'Sno-King Waste Stream Report'!G14</f>
        <v>7.3628472460388235</v>
      </c>
      <c r="F69" s="61">
        <f>+'Sno-King Waste Stream Report'!H14</f>
        <v>6.133134482895942</v>
      </c>
      <c r="G69" s="330">
        <f t="shared" si="25"/>
        <v>21.52259263940806</v>
      </c>
      <c r="I69" s="67">
        <f t="shared" si="26"/>
        <v>83.92</v>
      </c>
      <c r="J69" s="333">
        <f t="shared" si="21"/>
        <v>673.5931876069187</v>
      </c>
      <c r="L69" s="67">
        <f t="shared" si="27"/>
        <v>37.16</v>
      </c>
      <c r="M69" s="336">
        <f t="shared" si="22"/>
        <v>273.60340366280263</v>
      </c>
      <c r="O69" s="67">
        <f t="shared" si="28"/>
        <v>312.08</v>
      </c>
      <c r="P69" s="336">
        <f t="shared" si="23"/>
        <v>1914.0286094221656</v>
      </c>
      <c r="R69" s="67">
        <f t="shared" si="29"/>
        <v>132.9405452507129</v>
      </c>
      <c r="S69" s="336">
        <f t="shared" si="30"/>
        <v>2861.225200691887</v>
      </c>
    </row>
    <row r="70" spans="1:19" ht="12.75">
      <c r="A70" s="135" t="s">
        <v>99</v>
      </c>
      <c r="B70" s="3">
        <f t="shared" si="24"/>
        <v>0.00628010116668163</v>
      </c>
      <c r="D70" s="61">
        <f>+'Sno-King Waste Stream Report'!F15</f>
        <v>6.265871507318</v>
      </c>
      <c r="E70" s="61">
        <f>+'Sno-King Waste Stream Report'!G15</f>
        <v>5.432030660539131</v>
      </c>
      <c r="F70" s="61">
        <f>+'Sno-King Waste Stream Report'!H15</f>
        <v>5.94880530444825</v>
      </c>
      <c r="G70" s="330">
        <f t="shared" si="25"/>
        <v>17.64670747230538</v>
      </c>
      <c r="I70" s="67">
        <f t="shared" si="26"/>
        <v>287.55</v>
      </c>
      <c r="J70" s="333">
        <f t="shared" si="21"/>
        <v>1801.7513519292909</v>
      </c>
      <c r="L70" s="67">
        <f t="shared" si="27"/>
        <v>307.09</v>
      </c>
      <c r="M70" s="336">
        <f t="shared" si="22"/>
        <v>1668.1222955449616</v>
      </c>
      <c r="O70" s="67">
        <f t="shared" si="28"/>
        <v>252.63</v>
      </c>
      <c r="P70" s="336">
        <f t="shared" si="23"/>
        <v>1502.8466840627614</v>
      </c>
      <c r="R70" s="67">
        <f t="shared" si="29"/>
        <v>281.7930959268842</v>
      </c>
      <c r="S70" s="336">
        <f t="shared" si="30"/>
        <v>4972.720331537013</v>
      </c>
    </row>
    <row r="71" spans="1:19" ht="12.75">
      <c r="A71" s="135" t="s">
        <v>100</v>
      </c>
      <c r="B71" s="3">
        <f t="shared" si="24"/>
        <v>0.003544321234333489</v>
      </c>
      <c r="D71" s="61">
        <f>+'Sno-King Waste Stream Report'!F16</f>
        <v>2.80341189887854</v>
      </c>
      <c r="E71" s="61">
        <f>+'Sno-King Waste Stream Report'!G16</f>
        <v>4.633959805199259</v>
      </c>
      <c r="F71" s="61">
        <f>+'Sno-King Waste Stream Report'!H16</f>
        <v>2.521958305125244</v>
      </c>
      <c r="G71" s="330">
        <f t="shared" si="25"/>
        <v>9.959330009203043</v>
      </c>
      <c r="I71" s="67">
        <f t="shared" si="26"/>
        <v>-3.16</v>
      </c>
      <c r="J71" s="333">
        <f t="shared" si="21"/>
        <v>-8.858781600456187</v>
      </c>
      <c r="L71" s="67">
        <f t="shared" si="27"/>
        <v>-2.18</v>
      </c>
      <c r="M71" s="336">
        <f t="shared" si="22"/>
        <v>-10.102032375334385</v>
      </c>
      <c r="O71" s="67">
        <f t="shared" si="28"/>
        <v>30.34</v>
      </c>
      <c r="P71" s="336">
        <f t="shared" si="23"/>
        <v>76.5162149774999</v>
      </c>
      <c r="R71" s="67">
        <f t="shared" si="29"/>
        <v>5.779043464623076</v>
      </c>
      <c r="S71" s="336">
        <f t="shared" si="30"/>
        <v>57.55540100170933</v>
      </c>
    </row>
    <row r="72" spans="1:19" ht="15">
      <c r="A72" s="2" t="s">
        <v>4</v>
      </c>
      <c r="B72" s="63">
        <f t="shared" si="24"/>
        <v>0.06502274069908966</v>
      </c>
      <c r="D72" s="62">
        <f>+'Sno-King Waste Stream Report'!F17</f>
        <v>70.43</v>
      </c>
      <c r="E72" s="62">
        <f>+'Sno-King Waste Stream Report'!G17</f>
        <v>50.88</v>
      </c>
      <c r="F72" s="62">
        <f>+'Sno-King Waste Stream Report'!H17</f>
        <v>61.4</v>
      </c>
      <c r="G72" s="331">
        <f>SUM(D72:F72)</f>
        <v>182.71</v>
      </c>
      <c r="I72" s="67">
        <f t="shared" si="26"/>
        <v>-69.5</v>
      </c>
      <c r="J72" s="335">
        <f t="shared" si="21"/>
        <v>-4894.885</v>
      </c>
      <c r="L72" s="67">
        <f t="shared" si="27"/>
        <v>-69.5</v>
      </c>
      <c r="M72" s="337">
        <f t="shared" si="22"/>
        <v>-3536.1600000000003</v>
      </c>
      <c r="O72" s="67">
        <f t="shared" si="28"/>
        <v>-69.5</v>
      </c>
      <c r="P72" s="337">
        <f t="shared" si="23"/>
        <v>-4267.3</v>
      </c>
      <c r="R72" s="67">
        <f t="shared" si="29"/>
        <v>-69.5</v>
      </c>
      <c r="S72" s="337">
        <f t="shared" si="30"/>
        <v>-12698.345000000001</v>
      </c>
    </row>
    <row r="73" spans="2:19" ht="12.75">
      <c r="B73" s="64">
        <f>SUM(B63:B72)</f>
        <v>1</v>
      </c>
      <c r="C73" s="65"/>
      <c r="D73" s="66">
        <f>SUM(D63:D72)</f>
        <v>1105.43</v>
      </c>
      <c r="E73" s="66">
        <f>SUM(E63:E72)</f>
        <v>801.5300000000001</v>
      </c>
      <c r="F73" s="66">
        <f>SUM(F63:F72)</f>
        <v>902.9799999999999</v>
      </c>
      <c r="G73" s="66">
        <f>SUM(G63:G72)</f>
        <v>2809.94</v>
      </c>
      <c r="H73" s="66"/>
      <c r="I73" s="66"/>
      <c r="J73" s="99">
        <f>SUM(J63:J72)</f>
        <v>64439.884907337</v>
      </c>
      <c r="L73" s="66"/>
      <c r="M73" s="99">
        <f>SUM(M63:M72)</f>
        <v>48616.396513192485</v>
      </c>
      <c r="O73" s="66"/>
      <c r="P73" s="99">
        <f>SUM(P63:P72)</f>
        <v>50091.59952203615</v>
      </c>
      <c r="R73" s="66"/>
      <c r="S73" s="99">
        <f>SUM(S63:S72)</f>
        <v>163147.88094256568</v>
      </c>
    </row>
    <row r="75" spans="1:16" ht="14.25">
      <c r="A75" s="323" t="s">
        <v>104</v>
      </c>
      <c r="B75" s="324"/>
      <c r="C75" s="324"/>
      <c r="D75" s="324"/>
      <c r="E75" s="324"/>
      <c r="F75" s="324"/>
      <c r="G75" s="324"/>
      <c r="I75" s="1"/>
      <c r="J75" s="1"/>
      <c r="K75" s="1"/>
      <c r="L75" s="1"/>
      <c r="M75" s="1"/>
      <c r="N75" s="1"/>
      <c r="O75" s="1"/>
      <c r="P75" s="1"/>
    </row>
    <row r="77" spans="2:19" s="4" customFormat="1" ht="12.75">
      <c r="B77" s="4" t="s">
        <v>41</v>
      </c>
      <c r="D77" s="432" t="s">
        <v>45</v>
      </c>
      <c r="E77" s="432"/>
      <c r="F77" s="432"/>
      <c r="G77" s="432"/>
      <c r="I77" s="433" t="s">
        <v>71</v>
      </c>
      <c r="J77" s="433"/>
      <c r="L77" s="433" t="s">
        <v>10</v>
      </c>
      <c r="M77" s="433"/>
      <c r="O77" s="433" t="s">
        <v>11</v>
      </c>
      <c r="P77" s="433"/>
      <c r="R77" s="432" t="s">
        <v>106</v>
      </c>
      <c r="S77" s="432"/>
    </row>
    <row r="78" spans="1:19" s="6" customFormat="1" ht="12.75">
      <c r="A78" s="6" t="s">
        <v>92</v>
      </c>
      <c r="B78" s="6" t="s">
        <v>42</v>
      </c>
      <c r="D78" s="327" t="s">
        <v>71</v>
      </c>
      <c r="E78" s="327" t="s">
        <v>10</v>
      </c>
      <c r="F78" s="327" t="s">
        <v>11</v>
      </c>
      <c r="G78" s="328" t="s">
        <v>14</v>
      </c>
      <c r="I78" s="6" t="s">
        <v>46</v>
      </c>
      <c r="J78" s="328" t="s">
        <v>47</v>
      </c>
      <c r="L78" s="6" t="s">
        <v>46</v>
      </c>
      <c r="M78" s="328" t="s">
        <v>47</v>
      </c>
      <c r="O78" s="6" t="s">
        <v>46</v>
      </c>
      <c r="P78" s="328" t="s">
        <v>47</v>
      </c>
      <c r="R78" s="6" t="s">
        <v>46</v>
      </c>
      <c r="S78" s="328" t="s">
        <v>47</v>
      </c>
    </row>
    <row r="79" spans="7:19" ht="12.75">
      <c r="G79" s="329"/>
      <c r="J79" s="329"/>
      <c r="M79" s="329"/>
      <c r="P79" s="329"/>
      <c r="S79" s="329"/>
    </row>
    <row r="80" spans="1:19" ht="12.75">
      <c r="A80" s="135" t="s">
        <v>5</v>
      </c>
      <c r="B80" s="3">
        <f aca="true" t="shared" si="31" ref="B80:B89">+G80/$G$90</f>
        <v>0.37831898600263314</v>
      </c>
      <c r="D80" s="61">
        <f>+'Sno-King Waste Stream Report'!I8</f>
        <v>422.74</v>
      </c>
      <c r="E80" s="61">
        <f>+'Sno-King Waste Stream Report'!J8</f>
        <v>335.55</v>
      </c>
      <c r="F80" s="61">
        <f>+'Sno-King Waste Stream Report'!K8</f>
        <v>322.75</v>
      </c>
      <c r="G80" s="330">
        <f>SUM(D80:F80)</f>
        <v>1081.04</v>
      </c>
      <c r="I80" s="67">
        <f>+I27</f>
        <v>76.23</v>
      </c>
      <c r="J80" s="338">
        <f aca="true" t="shared" si="32" ref="J80:J89">+I80*D80</f>
        <v>32225.470200000003</v>
      </c>
      <c r="L80" s="67">
        <f>+L27</f>
        <v>77.77</v>
      </c>
      <c r="M80" s="338">
        <f>+L80*E80</f>
        <v>26095.7235</v>
      </c>
      <c r="O80" s="67">
        <f>+O27</f>
        <v>76.62</v>
      </c>
      <c r="P80" s="338">
        <f aca="true" t="shared" si="33" ref="P80:P89">+O80*F80</f>
        <v>24729.105000000003</v>
      </c>
      <c r="R80" s="67">
        <f>+S80/G80</f>
        <v>76.82444562643381</v>
      </c>
      <c r="S80" s="338">
        <f>+P80+M80+J80</f>
        <v>83050.29870000001</v>
      </c>
    </row>
    <row r="81" spans="1:19" ht="12.75">
      <c r="A81" s="135" t="s">
        <v>2</v>
      </c>
      <c r="B81" s="3">
        <f t="shared" si="31"/>
        <v>0.3288998508431193</v>
      </c>
      <c r="D81" s="61">
        <f>+'Sno-King Waste Stream Report'!I9</f>
        <v>288.73</v>
      </c>
      <c r="E81" s="61">
        <f>+'Sno-King Waste Stream Report'!J9</f>
        <v>338.43301023391524</v>
      </c>
      <c r="F81" s="61">
        <f>+'Sno-King Waste Stream Report'!K9</f>
        <v>312.66266045809436</v>
      </c>
      <c r="G81" s="330">
        <f aca="true" t="shared" si="34" ref="G81:G88">SUM(D81:F81)</f>
        <v>939.8256706920096</v>
      </c>
      <c r="I81" s="67">
        <f aca="true" t="shared" si="35" ref="I81:I89">+I28</f>
        <v>98.55</v>
      </c>
      <c r="J81" s="333">
        <f t="shared" si="32"/>
        <v>28454.341500000002</v>
      </c>
      <c r="L81" s="67">
        <f aca="true" t="shared" si="36" ref="L81:L89">+L28</f>
        <v>101.07</v>
      </c>
      <c r="M81" s="336">
        <f aca="true" t="shared" si="37" ref="M81:M89">+L81*E81</f>
        <v>34205.42434434181</v>
      </c>
      <c r="O81" s="67">
        <f aca="true" t="shared" si="38" ref="O81:O89">+O28</f>
        <v>100.22</v>
      </c>
      <c r="P81" s="336">
        <f t="shared" si="33"/>
        <v>31335.051831110217</v>
      </c>
      <c r="R81" s="67">
        <f aca="true" t="shared" si="39" ref="R81:R87">+S81/G81</f>
        <v>100.01303497726559</v>
      </c>
      <c r="S81" s="336">
        <f aca="true" t="shared" si="40" ref="S81:S87">+P81+M81+J81</f>
        <v>93994.81767545204</v>
      </c>
    </row>
    <row r="82" spans="1:19" ht="12.75">
      <c r="A82" s="135" t="s">
        <v>0</v>
      </c>
      <c r="B82" s="3">
        <f t="shared" si="31"/>
        <v>0.009539177493177916</v>
      </c>
      <c r="D82" s="61">
        <f>+'Sno-King Waste Stream Report'!I10</f>
        <v>9.72</v>
      </c>
      <c r="E82" s="61">
        <f>+'Sno-King Waste Stream Report'!J10</f>
        <v>8.229104756208823</v>
      </c>
      <c r="F82" s="61">
        <f>+'Sno-King Waste Stream Report'!K10</f>
        <v>9.308930972278986</v>
      </c>
      <c r="G82" s="330">
        <f t="shared" si="34"/>
        <v>27.258035728487812</v>
      </c>
      <c r="I82" s="67">
        <f t="shared" si="35"/>
        <v>1176.82</v>
      </c>
      <c r="J82" s="333">
        <f t="shared" si="32"/>
        <v>11438.6904</v>
      </c>
      <c r="L82" s="67">
        <f t="shared" si="36"/>
        <v>1146.77</v>
      </c>
      <c r="M82" s="336">
        <f t="shared" si="37"/>
        <v>9436.890461277591</v>
      </c>
      <c r="O82" s="67">
        <f t="shared" si="38"/>
        <v>1152.56</v>
      </c>
      <c r="P82" s="336">
        <f t="shared" si="33"/>
        <v>10729.101481409867</v>
      </c>
      <c r="R82" s="67">
        <f t="shared" si="39"/>
        <v>1159.4629436066407</v>
      </c>
      <c r="S82" s="336">
        <f t="shared" si="40"/>
        <v>31604.682342687458</v>
      </c>
    </row>
    <row r="83" spans="1:19" ht="12.75">
      <c r="A83" s="135" t="s">
        <v>3</v>
      </c>
      <c r="B83" s="3">
        <f t="shared" si="31"/>
        <v>0.01653389737262293</v>
      </c>
      <c r="D83" s="61">
        <f>+'Sno-King Waste Stream Report'!I11</f>
        <v>14.94</v>
      </c>
      <c r="E83" s="61">
        <f>+'Sno-King Waste Stream Report'!J11</f>
        <v>15.685327559574</v>
      </c>
      <c r="F83" s="61">
        <f>+'Sno-King Waste Stream Report'!K11</f>
        <v>16.62</v>
      </c>
      <c r="G83" s="330">
        <f t="shared" si="34"/>
        <v>47.245327559574</v>
      </c>
      <c r="I83" s="67">
        <f t="shared" si="35"/>
        <v>48.27</v>
      </c>
      <c r="J83" s="333">
        <f t="shared" si="32"/>
        <v>721.1538</v>
      </c>
      <c r="L83" s="67">
        <f t="shared" si="36"/>
        <v>43.75</v>
      </c>
      <c r="M83" s="336">
        <f t="shared" si="37"/>
        <v>686.2330807313625</v>
      </c>
      <c r="O83" s="67">
        <f t="shared" si="38"/>
        <v>45.54</v>
      </c>
      <c r="P83" s="336">
        <f t="shared" si="33"/>
        <v>756.8748</v>
      </c>
      <c r="R83" s="67">
        <f t="shared" si="39"/>
        <v>45.80900995981743</v>
      </c>
      <c r="S83" s="336">
        <f t="shared" si="40"/>
        <v>2164.2616807313625</v>
      </c>
    </row>
    <row r="84" spans="1:19" ht="12.75">
      <c r="A84" s="135" t="s">
        <v>1</v>
      </c>
      <c r="B84" s="3">
        <f t="shared" si="31"/>
        <v>0.17605425341548833</v>
      </c>
      <c r="D84" s="61">
        <f>+'Sno-King Waste Stream Report'!I12</f>
        <v>190.62</v>
      </c>
      <c r="E84" s="61">
        <f>+'Sno-King Waste Stream Report'!J12</f>
        <v>137.913618840461</v>
      </c>
      <c r="F84" s="61">
        <f>+'Sno-King Waste Stream Report'!K12</f>
        <v>174.53838429436138</v>
      </c>
      <c r="G84" s="330">
        <f t="shared" si="34"/>
        <v>503.0720031348224</v>
      </c>
      <c r="I84" s="67">
        <f t="shared" si="35"/>
        <v>-43.35</v>
      </c>
      <c r="J84" s="334">
        <f t="shared" si="32"/>
        <v>-8263.377</v>
      </c>
      <c r="L84" s="67">
        <f t="shared" si="36"/>
        <v>-43.35</v>
      </c>
      <c r="M84" s="336">
        <f t="shared" si="37"/>
        <v>-5978.555376733984</v>
      </c>
      <c r="O84" s="67">
        <f t="shared" si="38"/>
        <v>-43.35</v>
      </c>
      <c r="P84" s="336">
        <f t="shared" si="33"/>
        <v>-7566.238959160566</v>
      </c>
      <c r="R84" s="399">
        <f t="shared" si="39"/>
        <v>-43.349999999999994</v>
      </c>
      <c r="S84" s="336">
        <f t="shared" si="40"/>
        <v>-21808.17133589455</v>
      </c>
    </row>
    <row r="85" spans="1:19" ht="12.75">
      <c r="A85" s="135" t="s">
        <v>6</v>
      </c>
      <c r="B85" s="3">
        <f t="shared" si="31"/>
        <v>0.00900477938514586</v>
      </c>
      <c r="D85" s="61">
        <f>+'Sno-King Waste Stream Report'!I13</f>
        <v>10.42</v>
      </c>
      <c r="E85" s="61">
        <f>+'Sno-King Waste Stream Report'!J13</f>
        <v>7.957989139440667</v>
      </c>
      <c r="F85" s="61">
        <f>+'Sno-King Waste Stream Report'!K13</f>
        <v>7.353013180517778</v>
      </c>
      <c r="G85" s="330">
        <f t="shared" si="34"/>
        <v>25.731002319958446</v>
      </c>
      <c r="I85" s="67">
        <f t="shared" si="35"/>
        <v>130.5</v>
      </c>
      <c r="J85" s="333">
        <f t="shared" si="32"/>
        <v>1359.81</v>
      </c>
      <c r="L85" s="67">
        <f t="shared" si="36"/>
        <v>290</v>
      </c>
      <c r="M85" s="336">
        <f t="shared" si="37"/>
        <v>2307.8168504377936</v>
      </c>
      <c r="O85" s="67">
        <f t="shared" si="38"/>
        <v>301.07</v>
      </c>
      <c r="P85" s="336">
        <f t="shared" si="33"/>
        <v>2213.7716782584876</v>
      </c>
      <c r="R85" s="399">
        <f t="shared" si="39"/>
        <v>228.57246117203644</v>
      </c>
      <c r="S85" s="336">
        <f t="shared" si="40"/>
        <v>5881.398528696282</v>
      </c>
    </row>
    <row r="86" spans="1:19" ht="12.75">
      <c r="A86" s="135" t="s">
        <v>98</v>
      </c>
      <c r="B86" s="3">
        <f t="shared" si="31"/>
        <v>0.009217690715715396</v>
      </c>
      <c r="D86" s="61">
        <f>+'Sno-King Waste Stream Report'!I14</f>
        <v>9.08</v>
      </c>
      <c r="E86" s="61">
        <f>+'Sno-King Waste Stream Report'!J14</f>
        <v>8.985420813341992</v>
      </c>
      <c r="F86" s="61">
        <f>+'Sno-King Waste Stream Report'!K14</f>
        <v>8.273971974223826</v>
      </c>
      <c r="G86" s="330">
        <f t="shared" si="34"/>
        <v>26.33939278756582</v>
      </c>
      <c r="I86" s="67">
        <f t="shared" si="35"/>
        <v>97.34</v>
      </c>
      <c r="J86" s="333">
        <f t="shared" si="32"/>
        <v>883.8472</v>
      </c>
      <c r="L86" s="67">
        <f t="shared" si="36"/>
        <v>130</v>
      </c>
      <c r="M86" s="336">
        <f t="shared" si="37"/>
        <v>1168.104705734459</v>
      </c>
      <c r="O86" s="67">
        <f t="shared" si="38"/>
        <v>140</v>
      </c>
      <c r="P86" s="336">
        <f t="shared" si="33"/>
        <v>1158.3560763913356</v>
      </c>
      <c r="R86" s="399">
        <f t="shared" si="39"/>
        <v>121.88238385059894</v>
      </c>
      <c r="S86" s="336">
        <f t="shared" si="40"/>
        <v>3210.3079821257948</v>
      </c>
    </row>
    <row r="87" spans="1:19" ht="12.75">
      <c r="A87" s="135" t="s">
        <v>99</v>
      </c>
      <c r="B87" s="3">
        <f t="shared" si="31"/>
        <v>0.005153715067952</v>
      </c>
      <c r="D87" s="61">
        <f>+'Sno-King Waste Stream Report'!I15</f>
        <v>5.54</v>
      </c>
      <c r="E87" s="61">
        <f>+'Sno-King Waste Stream Report'!J15</f>
        <v>4.752858563213903</v>
      </c>
      <c r="F87" s="61">
        <f>+'Sno-King Waste Stream Report'!K15</f>
        <v>4.433793662006568</v>
      </c>
      <c r="G87" s="330">
        <f t="shared" si="34"/>
        <v>14.726652225220471</v>
      </c>
      <c r="I87" s="67">
        <f t="shared" si="35"/>
        <v>252.7</v>
      </c>
      <c r="J87" s="333">
        <f t="shared" si="32"/>
        <v>1399.9579999999999</v>
      </c>
      <c r="L87" s="67">
        <f t="shared" si="36"/>
        <v>330</v>
      </c>
      <c r="M87" s="336">
        <f t="shared" si="37"/>
        <v>1568.443325860588</v>
      </c>
      <c r="O87" s="67">
        <f t="shared" si="38"/>
        <v>330</v>
      </c>
      <c r="P87" s="336">
        <f t="shared" si="33"/>
        <v>1463.1519084621675</v>
      </c>
      <c r="R87" s="399">
        <f t="shared" si="39"/>
        <v>300.9206143086204</v>
      </c>
      <c r="S87" s="336">
        <f t="shared" si="40"/>
        <v>4431.553234322755</v>
      </c>
    </row>
    <row r="88" spans="1:19" ht="12.75">
      <c r="A88" s="135" t="s">
        <v>100</v>
      </c>
      <c r="B88" s="3">
        <f t="shared" si="31"/>
        <v>0.007785117151515676</v>
      </c>
      <c r="D88" s="61">
        <f>+'Sno-King Waste Stream Report'!I16</f>
        <v>11.16</v>
      </c>
      <c r="E88" s="61">
        <f>+'Sno-King Waste Stream Report'!J16</f>
        <v>6.18301537658637</v>
      </c>
      <c r="F88" s="61">
        <f>+'Sno-King Waste Stream Report'!K16</f>
        <v>4.902823074185775</v>
      </c>
      <c r="G88" s="330">
        <f t="shared" si="34"/>
        <v>22.245838450772148</v>
      </c>
      <c r="I88" s="67">
        <f t="shared" si="35"/>
        <v>7.17</v>
      </c>
      <c r="J88" s="333">
        <f t="shared" si="32"/>
        <v>80.0172</v>
      </c>
      <c r="L88" s="67">
        <f t="shared" si="36"/>
        <v>0</v>
      </c>
      <c r="M88" s="336">
        <f t="shared" si="37"/>
        <v>0</v>
      </c>
      <c r="O88" s="67">
        <f t="shared" si="38"/>
        <v>0</v>
      </c>
      <c r="P88" s="336">
        <f t="shared" si="33"/>
        <v>0</v>
      </c>
      <c r="R88" s="399">
        <f>+S88/G88</f>
        <v>3.5969514108029776</v>
      </c>
      <c r="S88" s="336">
        <f>+P88+M88+J88</f>
        <v>80.0172</v>
      </c>
    </row>
    <row r="89" spans="1:19" ht="15">
      <c r="A89" s="2" t="s">
        <v>4</v>
      </c>
      <c r="B89" s="63">
        <f t="shared" si="31"/>
        <v>0.059492532552629505</v>
      </c>
      <c r="D89" s="62">
        <f>+'Sno-King Waste Stream Report'!I17</f>
        <v>48.76719178400526</v>
      </c>
      <c r="E89" s="62">
        <f>+'Sno-King Waste Stream Report'!J17</f>
        <v>57.608997674369874</v>
      </c>
      <c r="F89" s="62">
        <f>+'Sno-King Waste Stream Report'!K17</f>
        <v>63.62269976006596</v>
      </c>
      <c r="G89" s="331">
        <f>SUM(D89:F89)</f>
        <v>169.9988892184411</v>
      </c>
      <c r="I89" s="67">
        <f t="shared" si="35"/>
        <v>-69.5</v>
      </c>
      <c r="J89" s="335">
        <f t="shared" si="32"/>
        <v>-3389.3198289883658</v>
      </c>
      <c r="L89" s="67">
        <f t="shared" si="36"/>
        <v>-69.5</v>
      </c>
      <c r="M89" s="337">
        <f t="shared" si="37"/>
        <v>-4003.825338368706</v>
      </c>
      <c r="O89" s="67">
        <f t="shared" si="38"/>
        <v>-69.5</v>
      </c>
      <c r="P89" s="337">
        <f t="shared" si="33"/>
        <v>-4421.777633324585</v>
      </c>
      <c r="R89" s="399">
        <f>+S89/G89</f>
        <v>-69.5</v>
      </c>
      <c r="S89" s="337">
        <f>+P89+M89+J89</f>
        <v>-11814.922800681656</v>
      </c>
    </row>
    <row r="90" spans="2:19" ht="12.75">
      <c r="B90" s="64">
        <f>SUM(B80:B89)</f>
        <v>1</v>
      </c>
      <c r="C90" s="65"/>
      <c r="D90" s="66">
        <f>SUM(D80:D89)</f>
        <v>1011.7171917840053</v>
      </c>
      <c r="E90" s="66">
        <f>SUM(E80:E89)</f>
        <v>921.2993429571119</v>
      </c>
      <c r="F90" s="66">
        <f>SUM(F80:F89)</f>
        <v>924.4662773757348</v>
      </c>
      <c r="G90" s="66">
        <f>SUM(G80:G89)</f>
        <v>2857.4828121168516</v>
      </c>
      <c r="H90" s="66"/>
      <c r="I90" s="66"/>
      <c r="J90" s="99">
        <f>SUM(J80:J89)</f>
        <v>64910.591471011656</v>
      </c>
      <c r="L90" s="66"/>
      <c r="M90" s="99">
        <f>SUM(M80:M89)</f>
        <v>65486.2555532809</v>
      </c>
      <c r="O90" s="66"/>
      <c r="P90" s="99">
        <f>SUM(P80:P89)</f>
        <v>60397.39618314692</v>
      </c>
      <c r="R90" s="66"/>
      <c r="S90" s="99">
        <f>SUM(S80:S89)</f>
        <v>190794.2432074395</v>
      </c>
    </row>
    <row r="92" spans="1:16" ht="14.25">
      <c r="A92" s="323" t="s">
        <v>122</v>
      </c>
      <c r="B92" s="324"/>
      <c r="C92" s="324"/>
      <c r="D92" s="324"/>
      <c r="E92" s="324"/>
      <c r="F92" s="324"/>
      <c r="G92" s="324"/>
      <c r="I92" s="1"/>
      <c r="J92" s="1"/>
      <c r="K92" s="1"/>
      <c r="L92" s="1"/>
      <c r="M92" s="1"/>
      <c r="N92" s="1"/>
      <c r="O92" s="1"/>
      <c r="P92" s="1"/>
    </row>
    <row r="94" spans="2:19" s="4" customFormat="1" ht="12.75">
      <c r="B94" s="4" t="s">
        <v>41</v>
      </c>
      <c r="D94" s="432" t="s">
        <v>45</v>
      </c>
      <c r="E94" s="432"/>
      <c r="F94" s="432"/>
      <c r="G94" s="432"/>
      <c r="I94" s="433" t="s">
        <v>12</v>
      </c>
      <c r="J94" s="433"/>
      <c r="L94" s="433" t="s">
        <v>16</v>
      </c>
      <c r="M94" s="433"/>
      <c r="O94" s="433" t="s">
        <v>124</v>
      </c>
      <c r="P94" s="433"/>
      <c r="R94" s="432" t="s">
        <v>125</v>
      </c>
      <c r="S94" s="432"/>
    </row>
    <row r="95" spans="1:19" s="6" customFormat="1" ht="12.75">
      <c r="A95" s="6" t="s">
        <v>92</v>
      </c>
      <c r="B95" s="6" t="s">
        <v>42</v>
      </c>
      <c r="D95" s="327" t="s">
        <v>12</v>
      </c>
      <c r="E95" s="327" t="s">
        <v>16</v>
      </c>
      <c r="F95" s="327" t="s">
        <v>123</v>
      </c>
      <c r="G95" s="328" t="s">
        <v>14</v>
      </c>
      <c r="I95" s="6" t="s">
        <v>46</v>
      </c>
      <c r="J95" s="328" t="s">
        <v>47</v>
      </c>
      <c r="L95" s="6" t="s">
        <v>46</v>
      </c>
      <c r="M95" s="328" t="s">
        <v>47</v>
      </c>
      <c r="O95" s="6" t="s">
        <v>46</v>
      </c>
      <c r="P95" s="328" t="s">
        <v>47</v>
      </c>
      <c r="R95" s="6" t="s">
        <v>46</v>
      </c>
      <c r="S95" s="328" t="s">
        <v>47</v>
      </c>
    </row>
    <row r="96" spans="7:19" ht="12.75">
      <c r="G96" s="329"/>
      <c r="J96" s="329"/>
      <c r="M96" s="329"/>
      <c r="P96" s="329"/>
      <c r="S96" s="329"/>
    </row>
    <row r="97" spans="1:19" ht="12.75">
      <c r="A97" s="135" t="s">
        <v>5</v>
      </c>
      <c r="B97" s="3">
        <f aca="true" t="shared" si="41" ref="B97:B106">+G97/$G$107</f>
        <v>0.35815590039696854</v>
      </c>
      <c r="D97" s="61">
        <f>+'Sno-King Waste Stream Report'!L8</f>
        <v>334.5</v>
      </c>
      <c r="E97" s="61">
        <f>+'Sno-King Waste Stream Report'!M8</f>
        <v>300.91</v>
      </c>
      <c r="F97" s="61">
        <f>+'Sno-King Waste Stream Report'!N8</f>
        <v>357.04</v>
      </c>
      <c r="G97" s="330">
        <f>SUM(D97:F97)</f>
        <v>992.45</v>
      </c>
      <c r="I97" s="67">
        <f>+I44</f>
        <v>76.07</v>
      </c>
      <c r="J97" s="338">
        <f aca="true" t="shared" si="42" ref="J97:J106">+I97*D97</f>
        <v>25445.414999999997</v>
      </c>
      <c r="L97" s="67">
        <f>+L44</f>
        <v>73.4</v>
      </c>
      <c r="M97" s="338">
        <f>+L97*E97</f>
        <v>22086.794000000005</v>
      </c>
      <c r="O97" s="67">
        <f>+O44</f>
        <v>71.47</v>
      </c>
      <c r="P97" s="338">
        <f aca="true" t="shared" si="43" ref="P97:P106">+O97*F97</f>
        <v>25517.648800000003</v>
      </c>
      <c r="R97" s="67">
        <f>+S97/G97</f>
        <v>73.60557992845986</v>
      </c>
      <c r="S97" s="338">
        <f>+P97+M97+J97</f>
        <v>73049.8578</v>
      </c>
    </row>
    <row r="98" spans="1:19" ht="12.75">
      <c r="A98" s="135" t="s">
        <v>2</v>
      </c>
      <c r="B98" s="3">
        <f t="shared" si="41"/>
        <v>0.3521255864308913</v>
      </c>
      <c r="D98" s="61">
        <f>+'Sno-King Waste Stream Report'!L9</f>
        <v>290.89</v>
      </c>
      <c r="E98" s="61">
        <f>+'Sno-King Waste Stream Report'!M9</f>
        <v>315.34</v>
      </c>
      <c r="F98" s="61">
        <f>+'Sno-King Waste Stream Report'!N9</f>
        <v>369.51</v>
      </c>
      <c r="G98" s="330">
        <f aca="true" t="shared" si="44" ref="G98:G105">SUM(D98:F98)</f>
        <v>975.74</v>
      </c>
      <c r="I98" s="67">
        <f aca="true" t="shared" si="45" ref="I98:I106">+I45</f>
        <v>101.06</v>
      </c>
      <c r="J98" s="333">
        <f t="shared" si="42"/>
        <v>29397.343399999998</v>
      </c>
      <c r="L98" s="67">
        <f aca="true" t="shared" si="46" ref="L98:L106">+L45</f>
        <v>98.97</v>
      </c>
      <c r="M98" s="336">
        <f aca="true" t="shared" si="47" ref="M98:M106">+L98*E98</f>
        <v>31209.1998</v>
      </c>
      <c r="O98" s="67">
        <f aca="true" t="shared" si="48" ref="O98:O106">+O45</f>
        <v>96.62</v>
      </c>
      <c r="P98" s="336">
        <f t="shared" si="43"/>
        <v>35702.0562</v>
      </c>
      <c r="R98" s="67">
        <f aca="true" t="shared" si="49" ref="R98:R104">+S98/G98</f>
        <v>98.70313751614158</v>
      </c>
      <c r="S98" s="336">
        <f aca="true" t="shared" si="50" ref="S98:S104">+P98+M98+J98</f>
        <v>96308.59939999999</v>
      </c>
    </row>
    <row r="99" spans="1:19" ht="12.75">
      <c r="A99" s="135" t="s">
        <v>0</v>
      </c>
      <c r="B99" s="3">
        <f t="shared" si="41"/>
        <v>0.00824612053410321</v>
      </c>
      <c r="D99" s="61">
        <f>+'Sno-King Waste Stream Report'!L10</f>
        <v>9.09</v>
      </c>
      <c r="E99" s="61">
        <f>+'Sno-King Waste Stream Report'!M10</f>
        <v>7.62</v>
      </c>
      <c r="F99" s="61">
        <f>+'Sno-King Waste Stream Report'!N10</f>
        <v>6.14</v>
      </c>
      <c r="G99" s="330">
        <f t="shared" si="44"/>
        <v>22.85</v>
      </c>
      <c r="I99" s="67">
        <f t="shared" si="45"/>
        <v>1225.08</v>
      </c>
      <c r="J99" s="333">
        <f t="shared" si="42"/>
        <v>11135.9772</v>
      </c>
      <c r="L99" s="67">
        <f t="shared" si="46"/>
        <v>1191.3</v>
      </c>
      <c r="M99" s="336">
        <f t="shared" si="47"/>
        <v>9077.706</v>
      </c>
      <c r="O99" s="67">
        <f t="shared" si="48"/>
        <v>959.82</v>
      </c>
      <c r="P99" s="336">
        <f t="shared" si="43"/>
        <v>5893.2948</v>
      </c>
      <c r="R99" s="67">
        <f t="shared" si="49"/>
        <v>1142.537330415755</v>
      </c>
      <c r="S99" s="336">
        <f t="shared" si="50"/>
        <v>26106.978</v>
      </c>
    </row>
    <row r="100" spans="1:19" ht="12.75">
      <c r="A100" s="135" t="s">
        <v>3</v>
      </c>
      <c r="B100" s="3">
        <f t="shared" si="41"/>
        <v>0.01475279682425117</v>
      </c>
      <c r="D100" s="61">
        <f>+'Sno-King Waste Stream Report'!L11</f>
        <v>13.19</v>
      </c>
      <c r="E100" s="61">
        <f>+'Sno-King Waste Stream Report'!M11</f>
        <v>12.4</v>
      </c>
      <c r="F100" s="61">
        <f>+'Sno-King Waste Stream Report'!N11</f>
        <v>15.29</v>
      </c>
      <c r="G100" s="330">
        <f t="shared" si="44"/>
        <v>40.879999999999995</v>
      </c>
      <c r="I100" s="67">
        <f t="shared" si="45"/>
        <v>67.86</v>
      </c>
      <c r="J100" s="333">
        <f t="shared" si="42"/>
        <v>895.0734</v>
      </c>
      <c r="L100" s="67">
        <f t="shared" si="46"/>
        <v>90.18</v>
      </c>
      <c r="M100" s="336">
        <f t="shared" si="47"/>
        <v>1118.2320000000002</v>
      </c>
      <c r="O100" s="67">
        <f t="shared" si="48"/>
        <v>72.32</v>
      </c>
      <c r="P100" s="336">
        <f t="shared" si="43"/>
        <v>1105.7727999999997</v>
      </c>
      <c r="R100" s="67">
        <f t="shared" si="49"/>
        <v>76.29839041095892</v>
      </c>
      <c r="S100" s="336">
        <f t="shared" si="50"/>
        <v>3119.0782</v>
      </c>
    </row>
    <row r="101" spans="1:19" ht="12.75">
      <c r="A101" s="135" t="s">
        <v>1</v>
      </c>
      <c r="B101" s="3">
        <f t="shared" si="41"/>
        <v>0.1892998917358354</v>
      </c>
      <c r="D101" s="61">
        <f>+'Sno-King Waste Stream Report'!L12</f>
        <v>183.12</v>
      </c>
      <c r="E101" s="61">
        <f>+'Sno-King Waste Stream Report'!M12</f>
        <v>184.24</v>
      </c>
      <c r="F101" s="61">
        <f>+'Sno-King Waste Stream Report'!N12</f>
        <v>157.19</v>
      </c>
      <c r="G101" s="330">
        <f t="shared" si="44"/>
        <v>524.55</v>
      </c>
      <c r="I101" s="67">
        <f t="shared" si="45"/>
        <v>-43.35</v>
      </c>
      <c r="J101" s="334">
        <f t="shared" si="42"/>
        <v>-7938.252</v>
      </c>
      <c r="L101" s="67">
        <f t="shared" si="46"/>
        <v>-53.04</v>
      </c>
      <c r="M101" s="400">
        <f t="shared" si="47"/>
        <v>-9772.089600000001</v>
      </c>
      <c r="N101" s="401"/>
      <c r="O101" s="67">
        <f t="shared" si="48"/>
        <v>-53.04</v>
      </c>
      <c r="P101" s="336">
        <f t="shared" si="43"/>
        <v>-8337.3576</v>
      </c>
      <c r="R101" s="399">
        <f t="shared" si="49"/>
        <v>-49.65722848155563</v>
      </c>
      <c r="S101" s="336">
        <f t="shared" si="50"/>
        <v>-26047.699200000003</v>
      </c>
    </row>
    <row r="102" spans="1:19" ht="12.75">
      <c r="A102" s="135" t="s">
        <v>6</v>
      </c>
      <c r="B102" s="3">
        <f t="shared" si="41"/>
        <v>0.007221219776254059</v>
      </c>
      <c r="D102" s="61">
        <f>+'Sno-King Waste Stream Report'!L13</f>
        <v>6</v>
      </c>
      <c r="E102" s="61">
        <f>+'Sno-King Waste Stream Report'!M13</f>
        <v>6.28</v>
      </c>
      <c r="F102" s="61">
        <f>+'Sno-King Waste Stream Report'!N13</f>
        <v>7.73</v>
      </c>
      <c r="G102" s="330">
        <f t="shared" si="44"/>
        <v>20.01</v>
      </c>
      <c r="I102" s="67">
        <f t="shared" si="45"/>
        <v>316.84</v>
      </c>
      <c r="J102" s="333">
        <f t="shared" si="42"/>
        <v>1901.04</v>
      </c>
      <c r="L102" s="67">
        <f t="shared" si="46"/>
        <v>296.58</v>
      </c>
      <c r="M102" s="400">
        <f t="shared" si="47"/>
        <v>1862.5224</v>
      </c>
      <c r="N102" s="401"/>
      <c r="O102" s="67">
        <f t="shared" si="48"/>
        <v>335.46</v>
      </c>
      <c r="P102" s="336">
        <f t="shared" si="43"/>
        <v>2593.1058</v>
      </c>
      <c r="R102" s="399">
        <f t="shared" si="49"/>
        <v>317.67457271364316</v>
      </c>
      <c r="S102" s="336">
        <f t="shared" si="50"/>
        <v>6356.6682</v>
      </c>
    </row>
    <row r="103" spans="1:19" ht="12.75">
      <c r="A103" s="135" t="s">
        <v>98</v>
      </c>
      <c r="B103" s="3">
        <f t="shared" si="41"/>
        <v>0.007892457596535545</v>
      </c>
      <c r="D103" s="61">
        <f>+'Sno-King Waste Stream Report'!L14</f>
        <v>8.91</v>
      </c>
      <c r="E103" s="61">
        <f>+'Sno-King Waste Stream Report'!M14</f>
        <v>6.31</v>
      </c>
      <c r="F103" s="61">
        <f>+'Sno-King Waste Stream Report'!N14</f>
        <v>6.65</v>
      </c>
      <c r="G103" s="330">
        <f t="shared" si="44"/>
        <v>21.869999999999997</v>
      </c>
      <c r="I103" s="67">
        <f t="shared" si="45"/>
        <v>120</v>
      </c>
      <c r="J103" s="333">
        <f t="shared" si="42"/>
        <v>1069.2</v>
      </c>
      <c r="L103" s="67">
        <f t="shared" si="46"/>
        <v>126.03</v>
      </c>
      <c r="M103" s="400">
        <f t="shared" si="47"/>
        <v>795.2493</v>
      </c>
      <c r="N103" s="401"/>
      <c r="O103" s="67">
        <f t="shared" si="48"/>
        <v>162.6</v>
      </c>
      <c r="P103" s="336">
        <f t="shared" si="43"/>
        <v>1081.29</v>
      </c>
      <c r="R103" s="399">
        <f t="shared" si="49"/>
        <v>134.69315500685875</v>
      </c>
      <c r="S103" s="336">
        <f t="shared" si="50"/>
        <v>2945.7393</v>
      </c>
    </row>
    <row r="104" spans="1:19" ht="12.75">
      <c r="A104" s="135" t="s">
        <v>99</v>
      </c>
      <c r="B104" s="3">
        <f t="shared" si="41"/>
        <v>0.004153735113677372</v>
      </c>
      <c r="D104" s="61">
        <f>+'Sno-King Waste Stream Report'!L15</f>
        <v>3.71</v>
      </c>
      <c r="E104" s="61">
        <f>+'Sno-King Waste Stream Report'!M15</f>
        <v>3.47</v>
      </c>
      <c r="F104" s="61">
        <f>+'Sno-King Waste Stream Report'!N15</f>
        <v>4.33</v>
      </c>
      <c r="G104" s="330">
        <f t="shared" si="44"/>
        <v>11.51</v>
      </c>
      <c r="I104" s="67">
        <f t="shared" si="45"/>
        <v>330</v>
      </c>
      <c r="J104" s="333">
        <f t="shared" si="42"/>
        <v>1224.3</v>
      </c>
      <c r="L104" s="67">
        <f t="shared" si="46"/>
        <v>354.95</v>
      </c>
      <c r="M104" s="400">
        <f t="shared" si="47"/>
        <v>1231.6765</v>
      </c>
      <c r="N104" s="401"/>
      <c r="O104" s="67">
        <f t="shared" si="48"/>
        <v>353.39</v>
      </c>
      <c r="P104" s="336">
        <f t="shared" si="43"/>
        <v>1530.1787</v>
      </c>
      <c r="R104" s="399">
        <f t="shared" si="49"/>
        <v>346.3210425716768</v>
      </c>
      <c r="S104" s="336">
        <f t="shared" si="50"/>
        <v>3986.1552</v>
      </c>
    </row>
    <row r="105" spans="1:19" ht="12.75">
      <c r="A105" s="135" t="s">
        <v>100</v>
      </c>
      <c r="B105" s="3">
        <f t="shared" si="41"/>
        <v>0.00593287621797185</v>
      </c>
      <c r="D105" s="61">
        <f>+'Sno-King Waste Stream Report'!L16</f>
        <v>5.29</v>
      </c>
      <c r="E105" s="61">
        <f>+'Sno-King Waste Stream Report'!M16</f>
        <v>5.59</v>
      </c>
      <c r="F105" s="61">
        <f>+'Sno-King Waste Stream Report'!N16</f>
        <v>5.56</v>
      </c>
      <c r="G105" s="330">
        <f t="shared" si="44"/>
        <v>16.439999999999998</v>
      </c>
      <c r="I105" s="67">
        <f t="shared" si="45"/>
        <v>0</v>
      </c>
      <c r="J105" s="333">
        <f t="shared" si="42"/>
        <v>0</v>
      </c>
      <c r="L105" s="67">
        <f t="shared" si="46"/>
        <v>0</v>
      </c>
      <c r="M105" s="400">
        <f t="shared" si="47"/>
        <v>0</v>
      </c>
      <c r="N105" s="401"/>
      <c r="O105" s="67">
        <f t="shared" si="48"/>
        <v>0</v>
      </c>
      <c r="P105" s="336">
        <f t="shared" si="43"/>
        <v>0</v>
      </c>
      <c r="R105" s="399">
        <f>+S105/G105</f>
        <v>0</v>
      </c>
      <c r="S105" s="336">
        <f>+P105+M105+J105</f>
        <v>0</v>
      </c>
    </row>
    <row r="106" spans="1:19" ht="15">
      <c r="A106" s="2" t="s">
        <v>4</v>
      </c>
      <c r="B106" s="63">
        <f t="shared" si="41"/>
        <v>0.05221941537351135</v>
      </c>
      <c r="D106" s="62">
        <f>+'Sno-King Waste Stream Report'!L17</f>
        <v>42.89</v>
      </c>
      <c r="E106" s="62">
        <f>+'Sno-King Waste Stream Report'!M17</f>
        <v>61.25</v>
      </c>
      <c r="F106" s="62">
        <f>+'Sno-King Waste Stream Report'!N17</f>
        <v>40.56</v>
      </c>
      <c r="G106" s="331">
        <f>SUM(D106:F106)</f>
        <v>144.7</v>
      </c>
      <c r="I106" s="67">
        <f t="shared" si="45"/>
        <v>-69.5</v>
      </c>
      <c r="J106" s="335">
        <f t="shared" si="42"/>
        <v>-2980.855</v>
      </c>
      <c r="L106" s="67">
        <f t="shared" si="46"/>
        <v>-69.5</v>
      </c>
      <c r="M106" s="402">
        <f t="shared" si="47"/>
        <v>-4256.875</v>
      </c>
      <c r="N106" s="401"/>
      <c r="O106" s="67">
        <f t="shared" si="48"/>
        <v>-69.5</v>
      </c>
      <c r="P106" s="337">
        <f t="shared" si="43"/>
        <v>-2818.92</v>
      </c>
      <c r="R106" s="399">
        <f>+S106/G106</f>
        <v>-69.5</v>
      </c>
      <c r="S106" s="337">
        <f>+P106+M106+J106</f>
        <v>-10056.65</v>
      </c>
    </row>
    <row r="107" spans="2:19" ht="12.75">
      <c r="B107" s="64">
        <f>SUM(B97:B106)</f>
        <v>0.9999999999999998</v>
      </c>
      <c r="C107" s="65"/>
      <c r="D107" s="66">
        <f>SUM(D97:D106)</f>
        <v>897.59</v>
      </c>
      <c r="E107" s="66">
        <f>SUM(E97:E106)</f>
        <v>903.41</v>
      </c>
      <c r="F107" s="66">
        <f>SUM(F97:F106)</f>
        <v>969.9999999999998</v>
      </c>
      <c r="G107" s="66">
        <f>SUM(G97:G106)</f>
        <v>2771.0000000000005</v>
      </c>
      <c r="H107" s="66"/>
      <c r="I107" s="66"/>
      <c r="J107" s="99">
        <f>SUM(J97:J106)</f>
        <v>60149.24199999998</v>
      </c>
      <c r="L107" s="66"/>
      <c r="M107" s="99">
        <f>SUM(M97:M106)</f>
        <v>53352.41540000001</v>
      </c>
      <c r="O107" s="66"/>
      <c r="P107" s="99">
        <f>SUM(P97:P106)</f>
        <v>62267.069500000005</v>
      </c>
      <c r="R107" s="66"/>
      <c r="S107" s="99">
        <f>SUM(S97:S106)</f>
        <v>175768.72689999998</v>
      </c>
    </row>
  </sheetData>
  <mergeCells count="30">
    <mergeCell ref="R7:S7"/>
    <mergeCell ref="R60:S60"/>
    <mergeCell ref="D7:G7"/>
    <mergeCell ref="D60:G60"/>
    <mergeCell ref="I7:J7"/>
    <mergeCell ref="L7:M7"/>
    <mergeCell ref="O7:P7"/>
    <mergeCell ref="I60:J60"/>
    <mergeCell ref="L60:M60"/>
    <mergeCell ref="O60:P60"/>
    <mergeCell ref="R24:S24"/>
    <mergeCell ref="D77:G77"/>
    <mergeCell ref="I77:J77"/>
    <mergeCell ref="L77:M77"/>
    <mergeCell ref="O77:P77"/>
    <mergeCell ref="R77:S77"/>
    <mergeCell ref="D24:G24"/>
    <mergeCell ref="I24:J24"/>
    <mergeCell ref="L24:M24"/>
    <mergeCell ref="O24:P24"/>
    <mergeCell ref="R94:S94"/>
    <mergeCell ref="D41:G41"/>
    <mergeCell ref="I41:J41"/>
    <mergeCell ref="L41:M41"/>
    <mergeCell ref="O41:P41"/>
    <mergeCell ref="R41:S41"/>
    <mergeCell ref="D94:G94"/>
    <mergeCell ref="I94:J94"/>
    <mergeCell ref="L94:M94"/>
    <mergeCell ref="O94:P94"/>
  </mergeCells>
  <printOptions/>
  <pageMargins left="0.75" right="0" top="0.5" bottom="0" header="0.5" footer="0"/>
  <pageSetup fitToHeight="2" horizontalDpi="600" verticalDpi="600" orientation="landscape" scale="72" r:id="rId1"/>
  <rowBreaks count="1" manualBreakCount="1">
    <brk id="5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workbookViewId="0" topLeftCell="A1">
      <selection activeCell="G7" sqref="G7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9" width="11.421875" style="0" customWidth="1"/>
    <col min="10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9" width="10.28125" style="0" bestFit="1" customWidth="1"/>
  </cols>
  <sheetData>
    <row r="1" ht="20.25">
      <c r="A1" s="112" t="s">
        <v>90</v>
      </c>
    </row>
    <row r="4" spans="1:9" ht="14.25">
      <c r="A4" s="325" t="s">
        <v>103</v>
      </c>
      <c r="B4" s="351"/>
      <c r="C4" s="351"/>
      <c r="D4" s="351"/>
      <c r="E4" s="351"/>
      <c r="F4" s="351"/>
      <c r="G4" s="351"/>
      <c r="H4" s="351"/>
      <c r="I4" s="351"/>
    </row>
    <row r="6" spans="1:19" ht="12.75">
      <c r="A6" s="4"/>
      <c r="B6" s="4" t="s">
        <v>41</v>
      </c>
      <c r="C6" s="4"/>
      <c r="D6" s="432" t="s">
        <v>45</v>
      </c>
      <c r="E6" s="432"/>
      <c r="F6" s="432"/>
      <c r="G6" s="432"/>
      <c r="H6" s="4"/>
      <c r="I6" s="433" t="s">
        <v>7</v>
      </c>
      <c r="J6" s="433"/>
      <c r="K6" s="4"/>
      <c r="L6" s="433" t="s">
        <v>8</v>
      </c>
      <c r="M6" s="433"/>
      <c r="N6" s="4"/>
      <c r="O6" s="433" t="s">
        <v>9</v>
      </c>
      <c r="P6" s="433"/>
      <c r="R6" s="432" t="s">
        <v>128</v>
      </c>
      <c r="S6" s="432"/>
    </row>
    <row r="7" spans="1:19" ht="12.75">
      <c r="A7" s="6" t="s">
        <v>92</v>
      </c>
      <c r="B7" s="6" t="s">
        <v>42</v>
      </c>
      <c r="C7" s="6"/>
      <c r="D7" s="327" t="s">
        <v>7</v>
      </c>
      <c r="E7" s="327" t="s">
        <v>8</v>
      </c>
      <c r="F7" s="327" t="s">
        <v>9</v>
      </c>
      <c r="G7" s="328" t="s">
        <v>14</v>
      </c>
      <c r="H7" s="6"/>
      <c r="I7" s="6" t="s">
        <v>46</v>
      </c>
      <c r="J7" s="328" t="s">
        <v>47</v>
      </c>
      <c r="K7" s="6"/>
      <c r="L7" s="6" t="s">
        <v>46</v>
      </c>
      <c r="M7" s="328" t="s">
        <v>47</v>
      </c>
      <c r="N7" s="6"/>
      <c r="O7" s="6" t="s">
        <v>46</v>
      </c>
      <c r="P7" s="328" t="s">
        <v>47</v>
      </c>
      <c r="R7" s="6" t="s">
        <v>46</v>
      </c>
      <c r="S7" s="6" t="s">
        <v>47</v>
      </c>
    </row>
    <row r="8" spans="7:16" ht="12.75">
      <c r="G8" s="329"/>
      <c r="J8" s="329"/>
      <c r="M8" s="329"/>
      <c r="P8" s="329"/>
    </row>
    <row r="9" spans="1:19" ht="12.75">
      <c r="A9" s="135" t="s">
        <v>5</v>
      </c>
      <c r="B9" s="3">
        <f>+'Residential Commodity Revenue'!B10</f>
        <v>0.45580908571891365</v>
      </c>
      <c r="D9" s="61">
        <f aca="true" t="shared" si="0" ref="D9:F18">+$B9*D$19</f>
        <v>24.06216163510145</v>
      </c>
      <c r="E9" s="61">
        <f t="shared" si="0"/>
        <v>25.885397977977107</v>
      </c>
      <c r="F9" s="61">
        <f t="shared" si="0"/>
        <v>32.75899899061832</v>
      </c>
      <c r="G9" s="330">
        <f>SUM(D9:F9)</f>
        <v>82.70655860369688</v>
      </c>
      <c r="I9" s="67">
        <f>+'Residential Commodity Revenue'!I10</f>
        <v>70.65</v>
      </c>
      <c r="J9" s="332">
        <f aca="true" t="shared" si="1" ref="J9:J18">+I9*D9</f>
        <v>1699.9917195199175</v>
      </c>
      <c r="L9" s="67">
        <f>+'Residential Commodity Revenue'!L10</f>
        <v>74.2</v>
      </c>
      <c r="M9" s="332">
        <f aca="true" t="shared" si="2" ref="M9:M18">+L9*E9</f>
        <v>1920.6965299659014</v>
      </c>
      <c r="N9" s="67"/>
      <c r="O9" s="67">
        <f>+'Residential Commodity Revenue'!O10</f>
        <v>75.27</v>
      </c>
      <c r="P9" s="332">
        <f aca="true" t="shared" si="3" ref="P9:P18">+O9*F9</f>
        <v>2465.769854023841</v>
      </c>
      <c r="R9" s="67">
        <f>+S9/G9</f>
        <v>73.59099696886194</v>
      </c>
      <c r="S9" s="98">
        <f>+P9+M9+J9</f>
        <v>6086.45810350966</v>
      </c>
    </row>
    <row r="10" spans="1:19" ht="12.75">
      <c r="A10" s="135" t="s">
        <v>2</v>
      </c>
      <c r="B10" s="3">
        <f>+'Residential Commodity Revenue'!B11</f>
        <v>0.24710476933959377</v>
      </c>
      <c r="D10" s="61">
        <f t="shared" si="0"/>
        <v>13.044660773437155</v>
      </c>
      <c r="E10" s="61">
        <f t="shared" si="0"/>
        <v>14.03307985079553</v>
      </c>
      <c r="F10" s="61">
        <f t="shared" si="0"/>
        <v>17.759419772436605</v>
      </c>
      <c r="G10" s="330">
        <f aca="true" t="shared" si="4" ref="G10:G18">SUM(D10:F10)</f>
        <v>44.83716039666929</v>
      </c>
      <c r="I10" s="67">
        <f>+'Residential Commodity Revenue'!I11</f>
        <v>86.42</v>
      </c>
      <c r="J10" s="333">
        <f t="shared" si="1"/>
        <v>1127.319584040439</v>
      </c>
      <c r="L10" s="67">
        <f>+'Residential Commodity Revenue'!L11</f>
        <v>88.89</v>
      </c>
      <c r="M10" s="336">
        <f t="shared" si="2"/>
        <v>1247.4004679372147</v>
      </c>
      <c r="O10" s="67">
        <f>+'Residential Commodity Revenue'!O11</f>
        <v>86.45</v>
      </c>
      <c r="P10" s="336">
        <f t="shared" si="3"/>
        <v>1535.3018393271445</v>
      </c>
      <c r="R10" s="67">
        <f aca="true" t="shared" si="5" ref="R10:R19">+S10/G10</f>
        <v>87.20494020391293</v>
      </c>
      <c r="S10" s="7">
        <f aca="true" t="shared" si="6" ref="S10:S18">+P10+M10+J10</f>
        <v>3910.0218913047984</v>
      </c>
    </row>
    <row r="11" spans="1:19" ht="12.75">
      <c r="A11" s="135" t="s">
        <v>0</v>
      </c>
      <c r="B11" s="3">
        <f>+'Residential Commodity Revenue'!B12</f>
        <v>0.008196327540400587</v>
      </c>
      <c r="D11" s="61">
        <f t="shared" si="0"/>
        <v>0.432684130857747</v>
      </c>
      <c r="E11" s="61">
        <f t="shared" si="0"/>
        <v>0.46546944101934934</v>
      </c>
      <c r="F11" s="61">
        <f t="shared" si="0"/>
        <v>0.5890700603285902</v>
      </c>
      <c r="G11" s="330">
        <f t="shared" si="4"/>
        <v>1.4872236322056867</v>
      </c>
      <c r="I11" s="67">
        <f>+'Residential Commodity Revenue'!I12</f>
        <v>1210.7</v>
      </c>
      <c r="J11" s="333">
        <f t="shared" si="1"/>
        <v>523.8506772294743</v>
      </c>
      <c r="L11" s="67">
        <f>+'Residential Commodity Revenue'!L12</f>
        <v>1128.22</v>
      </c>
      <c r="M11" s="336">
        <f t="shared" si="2"/>
        <v>525.1519327468503</v>
      </c>
      <c r="O11" s="67">
        <f>+'Residential Commodity Revenue'!O12</f>
        <v>1034.97</v>
      </c>
      <c r="P11" s="336">
        <f t="shared" si="3"/>
        <v>609.669840338281</v>
      </c>
      <c r="R11" s="67">
        <f t="shared" si="5"/>
        <v>1115.2811281344723</v>
      </c>
      <c r="S11" s="7">
        <f t="shared" si="6"/>
        <v>1658.6724503146056</v>
      </c>
    </row>
    <row r="12" spans="1:19" ht="12.75">
      <c r="A12" s="135" t="s">
        <v>3</v>
      </c>
      <c r="B12" s="3">
        <f>+'Residential Commodity Revenue'!B13</f>
        <v>0.016793939506476268</v>
      </c>
      <c r="D12" s="61">
        <f t="shared" si="0"/>
        <v>0.8865520665468821</v>
      </c>
      <c r="E12" s="61">
        <f t="shared" si="0"/>
        <v>0.9537278245727873</v>
      </c>
      <c r="F12" s="61">
        <f t="shared" si="0"/>
        <v>1.2069804323304494</v>
      </c>
      <c r="G12" s="330">
        <f t="shared" si="4"/>
        <v>3.0472603234501188</v>
      </c>
      <c r="I12" s="67">
        <f>+'Residential Commodity Revenue'!I13</f>
        <v>48.45</v>
      </c>
      <c r="J12" s="333">
        <f t="shared" si="1"/>
        <v>42.95344762419644</v>
      </c>
      <c r="L12" s="67">
        <f>+'Residential Commodity Revenue'!L13</f>
        <v>69.7</v>
      </c>
      <c r="M12" s="336">
        <f t="shared" si="2"/>
        <v>66.47482937272328</v>
      </c>
      <c r="O12" s="67">
        <f>+'Residential Commodity Revenue'!O13</f>
        <v>59.74</v>
      </c>
      <c r="P12" s="336">
        <f t="shared" si="3"/>
        <v>72.10501102742104</v>
      </c>
      <c r="R12" s="67">
        <f t="shared" si="5"/>
        <v>59.57262220997521</v>
      </c>
      <c r="S12" s="7">
        <f t="shared" si="6"/>
        <v>181.53328802434078</v>
      </c>
    </row>
    <row r="13" spans="1:19" ht="12.75">
      <c r="A13" s="135" t="s">
        <v>1</v>
      </c>
      <c r="B13" s="3">
        <f>+'Residential Commodity Revenue'!B14</f>
        <v>0.1799634312736366</v>
      </c>
      <c r="D13" s="61">
        <f t="shared" si="0"/>
        <v>9.500269536935276</v>
      </c>
      <c r="E13" s="61">
        <f t="shared" si="0"/>
        <v>10.220123262029823</v>
      </c>
      <c r="F13" s="61">
        <f t="shared" si="0"/>
        <v>12.933971805636263</v>
      </c>
      <c r="G13" s="330">
        <f t="shared" si="4"/>
        <v>32.65436460460136</v>
      </c>
      <c r="I13" s="399">
        <f>+'Residential Commodity Revenue'!I14</f>
        <v>-43.35</v>
      </c>
      <c r="J13" s="334">
        <f t="shared" si="1"/>
        <v>-411.83668442614425</v>
      </c>
      <c r="K13" s="401"/>
      <c r="L13" s="399">
        <f>+'Residential Commodity Revenue'!L14</f>
        <v>-43.35</v>
      </c>
      <c r="M13" s="400">
        <f t="shared" si="2"/>
        <v>-443.04234340899285</v>
      </c>
      <c r="N13" s="401"/>
      <c r="O13" s="399">
        <f>+'Residential Commodity Revenue'!O14</f>
        <v>-43.35</v>
      </c>
      <c r="P13" s="400">
        <f t="shared" si="3"/>
        <v>-560.687677774332</v>
      </c>
      <c r="Q13" s="401"/>
      <c r="R13" s="399">
        <f t="shared" si="5"/>
        <v>-43.35</v>
      </c>
      <c r="S13" s="7">
        <f t="shared" si="6"/>
        <v>-1415.5667056094692</v>
      </c>
    </row>
    <row r="14" spans="1:19" ht="12.75">
      <c r="A14" s="135" t="s">
        <v>6</v>
      </c>
      <c r="B14" s="3">
        <f>+'Residential Commodity Revenue'!B15</f>
        <v>0.009524400048858902</v>
      </c>
      <c r="D14" s="61">
        <f t="shared" si="0"/>
        <v>0.5027930785792615</v>
      </c>
      <c r="E14" s="61">
        <f t="shared" si="0"/>
        <v>0.540890678774697</v>
      </c>
      <c r="F14" s="61">
        <f t="shared" si="0"/>
        <v>0.6845186315114893</v>
      </c>
      <c r="G14" s="330">
        <f t="shared" si="4"/>
        <v>1.7282023888654476</v>
      </c>
      <c r="I14" s="399">
        <f>+'Residential Commodity Revenue'!I15</f>
        <v>242.58</v>
      </c>
      <c r="J14" s="334">
        <f t="shared" si="1"/>
        <v>121.96754500175726</v>
      </c>
      <c r="K14" s="401"/>
      <c r="L14" s="399">
        <f>+'Residential Commodity Revenue'!L15</f>
        <v>278.4</v>
      </c>
      <c r="M14" s="400">
        <f t="shared" si="2"/>
        <v>150.58396497087563</v>
      </c>
      <c r="N14" s="401"/>
      <c r="O14" s="399">
        <f>+'Residential Commodity Revenue'!O15</f>
        <v>226.21</v>
      </c>
      <c r="P14" s="400">
        <f t="shared" si="3"/>
        <v>154.844959634214</v>
      </c>
      <c r="Q14" s="401"/>
      <c r="R14" s="399">
        <f t="shared" si="5"/>
        <v>247.30695453292918</v>
      </c>
      <c r="S14" s="7">
        <f t="shared" si="6"/>
        <v>427.39646960684684</v>
      </c>
    </row>
    <row r="15" spans="1:19" ht="12.75">
      <c r="A15" s="135" t="s">
        <v>98</v>
      </c>
      <c r="B15" s="3">
        <f>+'Residential Commodity Revenue'!B16</f>
        <v>0.007662908487333719</v>
      </c>
      <c r="D15" s="61">
        <f t="shared" si="0"/>
        <v>0.404524939046347</v>
      </c>
      <c r="E15" s="61">
        <f t="shared" si="0"/>
        <v>0.4351765729956819</v>
      </c>
      <c r="F15" s="61">
        <f t="shared" si="0"/>
        <v>0.5507332329846744</v>
      </c>
      <c r="G15" s="330">
        <f t="shared" si="4"/>
        <v>1.3904347450267034</v>
      </c>
      <c r="I15" s="399">
        <f>+'Residential Commodity Revenue'!I16</f>
        <v>83.92</v>
      </c>
      <c r="J15" s="334">
        <f t="shared" si="1"/>
        <v>33.947732884769444</v>
      </c>
      <c r="K15" s="401"/>
      <c r="L15" s="399">
        <f>+'Residential Commodity Revenue'!L16</f>
        <v>37.16</v>
      </c>
      <c r="M15" s="400">
        <f t="shared" si="2"/>
        <v>16.171161452519538</v>
      </c>
      <c r="N15" s="401"/>
      <c r="O15" s="399">
        <f>+'Residential Commodity Revenue'!O16</f>
        <v>312.08</v>
      </c>
      <c r="P15" s="400">
        <f t="shared" si="3"/>
        <v>171.87282734985718</v>
      </c>
      <c r="Q15" s="401"/>
      <c r="R15" s="399">
        <f t="shared" si="5"/>
        <v>159.65633948746208</v>
      </c>
      <c r="S15" s="7">
        <f t="shared" si="6"/>
        <v>221.99172168714614</v>
      </c>
    </row>
    <row r="16" spans="1:19" ht="12.75">
      <c r="A16" s="135" t="s">
        <v>99</v>
      </c>
      <c r="B16" s="3">
        <f>+'Residential Commodity Revenue'!B17</f>
        <v>0.006309896552203544</v>
      </c>
      <c r="D16" s="61">
        <f t="shared" si="0"/>
        <v>0.33309943899082506</v>
      </c>
      <c r="E16" s="61">
        <f t="shared" si="0"/>
        <v>0.3583390251996392</v>
      </c>
      <c r="F16" s="61">
        <f t="shared" si="0"/>
        <v>0.45349226520686875</v>
      </c>
      <c r="G16" s="330">
        <f t="shared" si="4"/>
        <v>1.144930729397333</v>
      </c>
      <c r="I16" s="399">
        <f>+'Residential Commodity Revenue'!I17</f>
        <v>287.55</v>
      </c>
      <c r="J16" s="334">
        <f t="shared" si="1"/>
        <v>95.78274368181175</v>
      </c>
      <c r="K16" s="401"/>
      <c r="L16" s="399">
        <f>+'Residential Commodity Revenue'!L17</f>
        <v>307.09</v>
      </c>
      <c r="M16" s="400">
        <f t="shared" si="2"/>
        <v>110.0423312485572</v>
      </c>
      <c r="N16" s="401"/>
      <c r="O16" s="399">
        <f>+'Residential Commodity Revenue'!O17</f>
        <v>252.63</v>
      </c>
      <c r="P16" s="400">
        <f t="shared" si="3"/>
        <v>114.56575095921124</v>
      </c>
      <c r="Q16" s="401"/>
      <c r="R16" s="399">
        <f t="shared" si="5"/>
        <v>279.83424469550846</v>
      </c>
      <c r="S16" s="7">
        <f t="shared" si="6"/>
        <v>320.39082588958024</v>
      </c>
    </row>
    <row r="17" spans="1:19" ht="12.75">
      <c r="A17" s="135" t="s">
        <v>100</v>
      </c>
      <c r="B17" s="3">
        <f>+'Residential Commodity Revenue'!B18</f>
        <v>0.0035811295182198856</v>
      </c>
      <c r="D17" s="61">
        <f t="shared" si="0"/>
        <v>0.18904782726682776</v>
      </c>
      <c r="E17" s="61">
        <f t="shared" si="0"/>
        <v>0.2033723453397073</v>
      </c>
      <c r="F17" s="61">
        <f t="shared" si="0"/>
        <v>0.2573757784744632</v>
      </c>
      <c r="G17" s="330">
        <f t="shared" si="4"/>
        <v>0.6497959510809983</v>
      </c>
      <c r="I17" s="399">
        <f>+'Residential Commodity Revenue'!I18</f>
        <v>-3.16</v>
      </c>
      <c r="J17" s="334">
        <f t="shared" si="1"/>
        <v>-0.5973911341631757</v>
      </c>
      <c r="K17" s="401"/>
      <c r="L17" s="399">
        <f>+'Residential Commodity Revenue'!L18</f>
        <v>-2.18</v>
      </c>
      <c r="M17" s="400">
        <f t="shared" si="2"/>
        <v>-0.44335171284056196</v>
      </c>
      <c r="N17" s="401"/>
      <c r="O17" s="399">
        <f>+'Residential Commodity Revenue'!O18</f>
        <v>30.34</v>
      </c>
      <c r="P17" s="400">
        <f t="shared" si="3"/>
        <v>7.808781118915213</v>
      </c>
      <c r="Q17" s="401"/>
      <c r="R17" s="399">
        <f t="shared" si="5"/>
        <v>10.415636263433454</v>
      </c>
      <c r="S17" s="7">
        <f t="shared" si="6"/>
        <v>6.768038271911476</v>
      </c>
    </row>
    <row r="18" spans="1:19" ht="15">
      <c r="A18" s="2" t="s">
        <v>4</v>
      </c>
      <c r="B18" s="63">
        <f>+'Residential Commodity Revenue'!B19</f>
        <v>0.0650541120143634</v>
      </c>
      <c r="D18" s="62">
        <f t="shared" si="0"/>
        <v>3.4342065732382436</v>
      </c>
      <c r="E18" s="62">
        <f t="shared" si="0"/>
        <v>3.694423021295697</v>
      </c>
      <c r="F18" s="62">
        <f t="shared" si="0"/>
        <v>4.6754390304722975</v>
      </c>
      <c r="G18" s="331">
        <f t="shared" si="4"/>
        <v>11.804068625006238</v>
      </c>
      <c r="I18" s="399">
        <f>+'Residential Commodity Revenue'!I19</f>
        <v>-69.5</v>
      </c>
      <c r="J18" s="403">
        <f t="shared" si="1"/>
        <v>-238.67735684005794</v>
      </c>
      <c r="K18" s="401"/>
      <c r="L18" s="399">
        <f>+'Residential Commodity Revenue'!L19</f>
        <v>-69.5</v>
      </c>
      <c r="M18" s="402">
        <f t="shared" si="2"/>
        <v>-256.76239998005093</v>
      </c>
      <c r="N18" s="401"/>
      <c r="O18" s="399">
        <f>+'Residential Commodity Revenue'!O19</f>
        <v>-69.5</v>
      </c>
      <c r="P18" s="402">
        <f t="shared" si="3"/>
        <v>-324.94301261782465</v>
      </c>
      <c r="Q18" s="401"/>
      <c r="R18" s="405">
        <f t="shared" si="5"/>
        <v>-69.5</v>
      </c>
      <c r="S18" s="90">
        <f t="shared" si="6"/>
        <v>-820.3827694379336</v>
      </c>
    </row>
    <row r="19" spans="2:19" ht="12.75">
      <c r="B19" s="64">
        <f>SUM(B9:B18)</f>
        <v>1.0000000000000004</v>
      </c>
      <c r="C19" s="65"/>
      <c r="D19" s="66">
        <f>+'SKC Waste Stream Report'!F22</f>
        <v>52.79</v>
      </c>
      <c r="E19" s="66">
        <f>+'SKC Waste Stream Report'!G22</f>
        <v>56.79</v>
      </c>
      <c r="F19" s="66">
        <f>+'SKC Waste Stream Report'!H22</f>
        <v>71.87</v>
      </c>
      <c r="G19" s="66">
        <f>SUM(G9:G18)</f>
        <v>181.45000000000007</v>
      </c>
      <c r="H19" s="66"/>
      <c r="I19" s="66"/>
      <c r="J19" s="99">
        <f>SUM(J9:J18)</f>
        <v>2994.702017582</v>
      </c>
      <c r="K19" s="89"/>
      <c r="L19" s="100"/>
      <c r="M19" s="99">
        <f>SUM(M9:M18)</f>
        <v>3336.273122592758</v>
      </c>
      <c r="N19" s="89"/>
      <c r="O19" s="100"/>
      <c r="P19" s="99">
        <f>SUM(P9:P18)</f>
        <v>4246.308173386728</v>
      </c>
      <c r="R19" s="68">
        <f t="shared" si="5"/>
        <v>58.29310175564331</v>
      </c>
      <c r="S19" s="99">
        <f>SUM(S9:S18)</f>
        <v>10577.283313561484</v>
      </c>
    </row>
    <row r="20" spans="2:19" ht="12.75">
      <c r="B20" s="64"/>
      <c r="C20" s="65"/>
      <c r="D20" s="66"/>
      <c r="E20" s="66"/>
      <c r="F20" s="66"/>
      <c r="G20" s="66"/>
      <c r="H20" s="66"/>
      <c r="I20" s="66"/>
      <c r="J20" s="99"/>
      <c r="K20" s="89"/>
      <c r="L20" s="100"/>
      <c r="M20" s="99"/>
      <c r="N20" s="89"/>
      <c r="O20" s="100"/>
      <c r="P20" s="99"/>
      <c r="R20" s="68"/>
      <c r="S20" s="99"/>
    </row>
    <row r="21" spans="1:9" ht="14.25">
      <c r="A21" s="325" t="s">
        <v>102</v>
      </c>
      <c r="B21" s="351"/>
      <c r="C21" s="351"/>
      <c r="D21" s="351"/>
      <c r="E21" s="351"/>
      <c r="F21" s="351"/>
      <c r="G21" s="351"/>
      <c r="H21" s="351"/>
      <c r="I21" s="351"/>
    </row>
    <row r="22" spans="2:19" ht="12.75">
      <c r="B22" s="64"/>
      <c r="C22" s="65"/>
      <c r="D22" s="66"/>
      <c r="E22" s="66"/>
      <c r="F22" s="66"/>
      <c r="G22" s="66"/>
      <c r="H22" s="66"/>
      <c r="I22" s="66"/>
      <c r="J22" s="99"/>
      <c r="K22" s="89"/>
      <c r="L22" s="100"/>
      <c r="M22" s="99"/>
      <c r="N22" s="89"/>
      <c r="O22" s="100"/>
      <c r="P22" s="99"/>
      <c r="R22" s="68"/>
      <c r="S22" s="99"/>
    </row>
    <row r="23" spans="1:19" ht="12.75">
      <c r="A23" s="4"/>
      <c r="B23" s="4" t="s">
        <v>41</v>
      </c>
      <c r="C23" s="4"/>
      <c r="D23" s="432" t="s">
        <v>45</v>
      </c>
      <c r="E23" s="432"/>
      <c r="F23" s="432"/>
      <c r="G23" s="432"/>
      <c r="H23" s="4"/>
      <c r="I23" s="433" t="s">
        <v>108</v>
      </c>
      <c r="J23" s="433"/>
      <c r="K23" s="4"/>
      <c r="L23" s="433" t="s">
        <v>10</v>
      </c>
      <c r="M23" s="433"/>
      <c r="N23" s="4"/>
      <c r="O23" s="433" t="s">
        <v>109</v>
      </c>
      <c r="P23" s="433"/>
      <c r="R23" s="432" t="s">
        <v>106</v>
      </c>
      <c r="S23" s="432"/>
    </row>
    <row r="24" spans="1:19" ht="12.75">
      <c r="A24" s="6" t="s">
        <v>92</v>
      </c>
      <c r="B24" s="6" t="s">
        <v>42</v>
      </c>
      <c r="C24" s="6"/>
      <c r="D24" s="327" t="s">
        <v>108</v>
      </c>
      <c r="E24" s="327" t="s">
        <v>10</v>
      </c>
      <c r="F24" s="327" t="s">
        <v>109</v>
      </c>
      <c r="G24" s="328" t="s">
        <v>14</v>
      </c>
      <c r="H24" s="6"/>
      <c r="I24" s="6" t="s">
        <v>46</v>
      </c>
      <c r="J24" s="328" t="s">
        <v>47</v>
      </c>
      <c r="K24" s="6"/>
      <c r="L24" s="6" t="s">
        <v>46</v>
      </c>
      <c r="M24" s="328" t="s">
        <v>47</v>
      </c>
      <c r="N24" s="6"/>
      <c r="O24" s="6" t="s">
        <v>46</v>
      </c>
      <c r="P24" s="328" t="s">
        <v>47</v>
      </c>
      <c r="R24" s="6" t="s">
        <v>46</v>
      </c>
      <c r="S24" s="6" t="s">
        <v>47</v>
      </c>
    </row>
    <row r="25" spans="7:16" ht="12.75">
      <c r="G25" s="329"/>
      <c r="J25" s="329"/>
      <c r="M25" s="329"/>
      <c r="P25" s="329"/>
    </row>
    <row r="26" spans="1:19" ht="12.75">
      <c r="A26" s="135" t="s">
        <v>5</v>
      </c>
      <c r="B26" s="3">
        <f>+'Residential Commodity Revenue'!B27</f>
        <v>0.37834641332586144</v>
      </c>
      <c r="D26" s="61">
        <f aca="true" t="shared" si="7" ref="D26:F35">+$B26*D$36</f>
        <v>26.052934021618817</v>
      </c>
      <c r="E26" s="61">
        <f t="shared" si="7"/>
        <v>26.29507572614737</v>
      </c>
      <c r="F26" s="61">
        <f t="shared" si="7"/>
        <v>19.465922965615572</v>
      </c>
      <c r="G26" s="330">
        <f>SUM(D26:F26)</f>
        <v>71.81393271338176</v>
      </c>
      <c r="I26" s="67">
        <f>+'Residential Commodity Revenue'!I27</f>
        <v>76.23</v>
      </c>
      <c r="J26" s="338">
        <f aca="true" t="shared" si="8" ref="J26:J35">+I26*D26</f>
        <v>1986.0151604680025</v>
      </c>
      <c r="L26" s="67">
        <f>+'Residential Commodity Revenue'!L27</f>
        <v>77.77</v>
      </c>
      <c r="M26" s="338">
        <f aca="true" t="shared" si="9" ref="M26:M35">+L26*E26</f>
        <v>2044.968039222481</v>
      </c>
      <c r="N26" s="67"/>
      <c r="O26" s="67">
        <f>+'Residential Commodity Revenue'!O27</f>
        <v>76.62</v>
      </c>
      <c r="P26" s="338">
        <f aca="true" t="shared" si="10" ref="P26:P35">+O26*F26</f>
        <v>1491.4790176254653</v>
      </c>
      <c r="R26" s="67">
        <f>+S26/G26</f>
        <v>76.89959327748801</v>
      </c>
      <c r="S26" s="98">
        <f>+P26+M26+J26</f>
        <v>5522.462217315949</v>
      </c>
    </row>
    <row r="27" spans="1:19" ht="12.75">
      <c r="A27" s="135" t="s">
        <v>2</v>
      </c>
      <c r="B27" s="3">
        <f>+'Residential Commodity Revenue'!B28</f>
        <v>0.32853037987285755</v>
      </c>
      <c r="D27" s="61">
        <f t="shared" si="7"/>
        <v>22.62260195804497</v>
      </c>
      <c r="E27" s="61">
        <f t="shared" si="7"/>
        <v>22.8328614011636</v>
      </c>
      <c r="F27" s="61">
        <f t="shared" si="7"/>
        <v>16.90288804445852</v>
      </c>
      <c r="G27" s="330">
        <f aca="true" t="shared" si="11" ref="G27:G35">SUM(D27:F27)</f>
        <v>62.35835140366709</v>
      </c>
      <c r="I27" s="67">
        <f>+'Residential Commodity Revenue'!I28</f>
        <v>98.55</v>
      </c>
      <c r="J27" s="333">
        <f t="shared" si="8"/>
        <v>2229.4574229653317</v>
      </c>
      <c r="L27" s="67">
        <f>+'Residential Commodity Revenue'!L28</f>
        <v>101.07</v>
      </c>
      <c r="M27" s="336">
        <f t="shared" si="9"/>
        <v>2307.717301815605</v>
      </c>
      <c r="O27" s="67">
        <f>+'Residential Commodity Revenue'!O28</f>
        <v>100.22</v>
      </c>
      <c r="P27" s="336">
        <f t="shared" si="10"/>
        <v>1694.007439815633</v>
      </c>
      <c r="R27" s="67">
        <f aca="true" t="shared" si="12" ref="R27:R36">+S27/G27</f>
        <v>99.92538327801486</v>
      </c>
      <c r="S27" s="7">
        <f aca="true" t="shared" si="13" ref="S27:S35">+P27+M27+J27</f>
        <v>6231.18216459657</v>
      </c>
    </row>
    <row r="28" spans="1:19" ht="12.75">
      <c r="A28" s="135" t="s">
        <v>0</v>
      </c>
      <c r="B28" s="3">
        <f>+'Residential Commodity Revenue'!B29</f>
        <v>0.009538324460788858</v>
      </c>
      <c r="D28" s="61">
        <f t="shared" si="7"/>
        <v>0.6568090223699207</v>
      </c>
      <c r="E28" s="61">
        <f t="shared" si="7"/>
        <v>0.6629135500248255</v>
      </c>
      <c r="F28" s="61">
        <f t="shared" si="7"/>
        <v>0.49074679350758676</v>
      </c>
      <c r="G28" s="330">
        <f t="shared" si="11"/>
        <v>1.8104693659023332</v>
      </c>
      <c r="I28" s="67">
        <f>+'Residential Commodity Revenue'!I29</f>
        <v>1176.82</v>
      </c>
      <c r="J28" s="333">
        <f t="shared" si="8"/>
        <v>772.94599370537</v>
      </c>
      <c r="L28" s="67">
        <f>+'Residential Commodity Revenue'!L29</f>
        <v>1146.77</v>
      </c>
      <c r="M28" s="336">
        <f t="shared" si="9"/>
        <v>760.2093717619692</v>
      </c>
      <c r="O28" s="67">
        <f>+'Residential Commodity Revenue'!O29</f>
        <v>1152.56</v>
      </c>
      <c r="P28" s="336">
        <f t="shared" si="10"/>
        <v>565.6151243251041</v>
      </c>
      <c r="R28" s="67">
        <f t="shared" si="12"/>
        <v>1159.2410947789892</v>
      </c>
      <c r="S28" s="7">
        <f t="shared" si="13"/>
        <v>2098.770489792443</v>
      </c>
    </row>
    <row r="29" spans="1:19" ht="12.75">
      <c r="A29" s="135" t="s">
        <v>3</v>
      </c>
      <c r="B29" s="3">
        <f>+'Residential Commodity Revenue'!B30</f>
        <v>0.016527613843450317</v>
      </c>
      <c r="D29" s="61">
        <f t="shared" si="7"/>
        <v>1.1380914892599887</v>
      </c>
      <c r="E29" s="61">
        <f t="shared" si="7"/>
        <v>1.148669162119797</v>
      </c>
      <c r="F29" s="61">
        <f t="shared" si="7"/>
        <v>0.8503457322455188</v>
      </c>
      <c r="G29" s="330">
        <f t="shared" si="11"/>
        <v>3.1371063836253046</v>
      </c>
      <c r="I29" s="67">
        <f>+'Residential Commodity Revenue'!I30</f>
        <v>48.27</v>
      </c>
      <c r="J29" s="333">
        <f t="shared" si="8"/>
        <v>54.935676186579656</v>
      </c>
      <c r="L29" s="67">
        <f>+'Residential Commodity Revenue'!L30</f>
        <v>43.75</v>
      </c>
      <c r="M29" s="336">
        <f t="shared" si="9"/>
        <v>50.25427584274112</v>
      </c>
      <c r="O29" s="67">
        <f>+'Residential Commodity Revenue'!O30</f>
        <v>45.54</v>
      </c>
      <c r="P29" s="336">
        <f t="shared" si="10"/>
        <v>38.72474464646093</v>
      </c>
      <c r="R29" s="67">
        <f t="shared" si="12"/>
        <v>45.874981297086556</v>
      </c>
      <c r="S29" s="7">
        <f t="shared" si="13"/>
        <v>143.9146966757817</v>
      </c>
    </row>
    <row r="30" spans="1:19" ht="12.75">
      <c r="A30" s="135" t="s">
        <v>1</v>
      </c>
      <c r="B30" s="3">
        <f>+'Residential Commodity Revenue'!B31</f>
        <v>0.17622169057871365</v>
      </c>
      <c r="D30" s="61">
        <f t="shared" si="7"/>
        <v>12.134625613250222</v>
      </c>
      <c r="E30" s="61">
        <f t="shared" si="7"/>
        <v>12.247407495220598</v>
      </c>
      <c r="F30" s="61">
        <f t="shared" si="7"/>
        <v>9.066605980274817</v>
      </c>
      <c r="G30" s="330">
        <f t="shared" si="11"/>
        <v>33.44863908874564</v>
      </c>
      <c r="I30" s="67">
        <f>+'Residential Commodity Revenue'!I31</f>
        <v>-43.35</v>
      </c>
      <c r="J30" s="333">
        <f t="shared" si="8"/>
        <v>-526.0360203343971</v>
      </c>
      <c r="L30" s="67">
        <f>+'Residential Commodity Revenue'!L31</f>
        <v>-43.35</v>
      </c>
      <c r="M30" s="336">
        <f t="shared" si="9"/>
        <v>-530.925114917813</v>
      </c>
      <c r="O30" s="67">
        <f>+'Residential Commodity Revenue'!O31</f>
        <v>-43.35</v>
      </c>
      <c r="P30" s="336">
        <f t="shared" si="10"/>
        <v>-393.03736924491335</v>
      </c>
      <c r="R30" s="399">
        <f t="shared" si="12"/>
        <v>-43.35</v>
      </c>
      <c r="S30" s="7">
        <f t="shared" si="13"/>
        <v>-1449.9985044971233</v>
      </c>
    </row>
    <row r="31" spans="1:19" ht="12.75">
      <c r="A31" s="135" t="s">
        <v>6</v>
      </c>
      <c r="B31" s="3">
        <f>+'Residential Commodity Revenue'!B32</f>
        <v>0.009007348496840263</v>
      </c>
      <c r="D31" s="61">
        <f t="shared" si="7"/>
        <v>0.6202460174924206</v>
      </c>
      <c r="E31" s="61">
        <f t="shared" si="7"/>
        <v>0.6260107205303983</v>
      </c>
      <c r="F31" s="61">
        <f t="shared" si="7"/>
        <v>0.4634280801624316</v>
      </c>
      <c r="G31" s="330">
        <f t="shared" si="11"/>
        <v>1.7096848181852504</v>
      </c>
      <c r="I31" s="67">
        <f>+'Residential Commodity Revenue'!I32</f>
        <v>130.5</v>
      </c>
      <c r="J31" s="333">
        <f t="shared" si="8"/>
        <v>80.94210528276089</v>
      </c>
      <c r="L31" s="67">
        <f>+'Residential Commodity Revenue'!L32</f>
        <v>290</v>
      </c>
      <c r="M31" s="336">
        <f t="shared" si="9"/>
        <v>181.5431089538155</v>
      </c>
      <c r="O31" s="67">
        <f>+'Residential Commodity Revenue'!O32</f>
        <v>301.07</v>
      </c>
      <c r="P31" s="336">
        <f t="shared" si="10"/>
        <v>139.52429209450327</v>
      </c>
      <c r="R31" s="399">
        <f t="shared" si="12"/>
        <v>235.13661819714451</v>
      </c>
      <c r="S31" s="7">
        <f t="shared" si="13"/>
        <v>402.00950633107965</v>
      </c>
    </row>
    <row r="32" spans="1:19" ht="12.75">
      <c r="A32" s="135" t="s">
        <v>98</v>
      </c>
      <c r="B32" s="3">
        <f>+'Residential Commodity Revenue'!B33</f>
        <v>0.009211885426011557</v>
      </c>
      <c r="D32" s="61">
        <f t="shared" si="7"/>
        <v>0.6343304304351558</v>
      </c>
      <c r="E32" s="61">
        <f t="shared" si="7"/>
        <v>0.6402260371078032</v>
      </c>
      <c r="F32" s="61">
        <f t="shared" si="7"/>
        <v>0.47395150516829465</v>
      </c>
      <c r="G32" s="330">
        <f t="shared" si="11"/>
        <v>1.7485079727112538</v>
      </c>
      <c r="I32" s="67">
        <f>+'Residential Commodity Revenue'!I33</f>
        <v>97.34</v>
      </c>
      <c r="J32" s="333">
        <f t="shared" si="8"/>
        <v>61.74572409855807</v>
      </c>
      <c r="L32" s="67">
        <f>+'Residential Commodity Revenue'!L33</f>
        <v>130</v>
      </c>
      <c r="M32" s="336">
        <f t="shared" si="9"/>
        <v>83.22938482401442</v>
      </c>
      <c r="O32" s="67">
        <f>+'Residential Commodity Revenue'!O33</f>
        <v>140</v>
      </c>
      <c r="P32" s="336">
        <f t="shared" si="10"/>
        <v>66.35321072356125</v>
      </c>
      <c r="R32" s="399">
        <f t="shared" si="12"/>
        <v>120.86208524313787</v>
      </c>
      <c r="S32" s="7">
        <f t="shared" si="13"/>
        <v>211.32831964613374</v>
      </c>
    </row>
    <row r="33" spans="1:19" ht="12.75">
      <c r="A33" s="135" t="s">
        <v>99</v>
      </c>
      <c r="B33" s="3">
        <f>+'Residential Commodity Revenue'!B34</f>
        <v>0.005153937489470301</v>
      </c>
      <c r="D33" s="61">
        <f t="shared" si="7"/>
        <v>0.35490013552492494</v>
      </c>
      <c r="E33" s="61">
        <f t="shared" si="7"/>
        <v>0.3581986555181859</v>
      </c>
      <c r="F33" s="61">
        <f t="shared" si="7"/>
        <v>0.26517008383324703</v>
      </c>
      <c r="G33" s="330">
        <f t="shared" si="11"/>
        <v>0.9782688748763578</v>
      </c>
      <c r="I33" s="67">
        <f>+'Residential Commodity Revenue'!I34</f>
        <v>252.7</v>
      </c>
      <c r="J33" s="333">
        <f t="shared" si="8"/>
        <v>89.68326424714853</v>
      </c>
      <c r="L33" s="67">
        <f>+'Residential Commodity Revenue'!L34</f>
        <v>330</v>
      </c>
      <c r="M33" s="336">
        <f t="shared" si="9"/>
        <v>118.20555632100135</v>
      </c>
      <c r="O33" s="67">
        <f>+'Residential Commodity Revenue'!O34</f>
        <v>330</v>
      </c>
      <c r="P33" s="336">
        <f t="shared" si="10"/>
        <v>87.50612766497152</v>
      </c>
      <c r="R33" s="399">
        <f t="shared" si="12"/>
        <v>301.95680944101997</v>
      </c>
      <c r="S33" s="7">
        <f t="shared" si="13"/>
        <v>295.3949482331214</v>
      </c>
    </row>
    <row r="34" spans="1:19" ht="12.75">
      <c r="A34" s="135" t="s">
        <v>100</v>
      </c>
      <c r="B34" s="3">
        <f>+'Residential Commodity Revenue'!B35</f>
        <v>0.007793517010360544</v>
      </c>
      <c r="D34" s="61">
        <f t="shared" si="7"/>
        <v>0.536661581333427</v>
      </c>
      <c r="E34" s="61">
        <f t="shared" si="7"/>
        <v>0.5416494322200578</v>
      </c>
      <c r="F34" s="61">
        <f t="shared" si="7"/>
        <v>0.40097645018305</v>
      </c>
      <c r="G34" s="330">
        <f t="shared" si="11"/>
        <v>1.4792874637365347</v>
      </c>
      <c r="I34" s="67">
        <f>+'Residential Commodity Revenue'!I35</f>
        <v>7.17</v>
      </c>
      <c r="J34" s="333">
        <f t="shared" si="8"/>
        <v>3.8478635381606714</v>
      </c>
      <c r="L34" s="67">
        <f>+'Residential Commodity Revenue'!L35</f>
        <v>0</v>
      </c>
      <c r="M34" s="336">
        <f t="shared" si="9"/>
        <v>0</v>
      </c>
      <c r="O34" s="67">
        <f>+'Residential Commodity Revenue'!O35</f>
        <v>0</v>
      </c>
      <c r="P34" s="336">
        <f t="shared" si="10"/>
        <v>0</v>
      </c>
      <c r="R34" s="399">
        <f t="shared" si="12"/>
        <v>2.6011601074758968</v>
      </c>
      <c r="S34" s="7">
        <f t="shared" si="13"/>
        <v>3.8478635381606714</v>
      </c>
    </row>
    <row r="35" spans="1:19" ht="15">
      <c r="A35" s="2" t="s">
        <v>4</v>
      </c>
      <c r="B35" s="63">
        <f>+'Residential Commodity Revenue'!B36</f>
        <v>0.05966888949564546</v>
      </c>
      <c r="D35" s="62">
        <f t="shared" si="7"/>
        <v>4.108799730670146</v>
      </c>
      <c r="E35" s="62">
        <f t="shared" si="7"/>
        <v>4.146987819947359</v>
      </c>
      <c r="F35" s="62">
        <f t="shared" si="7"/>
        <v>3.069964364550959</v>
      </c>
      <c r="G35" s="331">
        <f t="shared" si="11"/>
        <v>11.325751915168464</v>
      </c>
      <c r="I35" s="67">
        <f>+'Residential Commodity Revenue'!I36</f>
        <v>-69.5</v>
      </c>
      <c r="J35" s="335">
        <f t="shared" si="8"/>
        <v>-285.5615812815752</v>
      </c>
      <c r="L35" s="67">
        <f>+'Residential Commodity Revenue'!L36</f>
        <v>-69.5</v>
      </c>
      <c r="M35" s="337">
        <f t="shared" si="9"/>
        <v>-288.21565348634147</v>
      </c>
      <c r="O35" s="67">
        <f>+'Residential Commodity Revenue'!O36</f>
        <v>-69.5</v>
      </c>
      <c r="P35" s="337">
        <f t="shared" si="10"/>
        <v>-213.36252333629164</v>
      </c>
      <c r="R35" s="405">
        <f t="shared" si="12"/>
        <v>-69.50000000000001</v>
      </c>
      <c r="S35" s="90">
        <f t="shared" si="13"/>
        <v>-787.1397581042083</v>
      </c>
    </row>
    <row r="36" spans="2:19" ht="12.75">
      <c r="B36" s="64">
        <f>SUM(B26:B35)</f>
        <v>1</v>
      </c>
      <c r="C36" s="65"/>
      <c r="D36" s="66">
        <f>+'SKC Waste Stream Report'!I22</f>
        <v>68.86</v>
      </c>
      <c r="E36" s="66">
        <f>+'SKC Waste Stream Report'!J22</f>
        <v>69.5</v>
      </c>
      <c r="F36" s="66">
        <f>+'SKC Waste Stream Report'!K22</f>
        <v>51.45</v>
      </c>
      <c r="G36" s="66">
        <f>SUM(G26:G35)</f>
        <v>189.81</v>
      </c>
      <c r="H36" s="66"/>
      <c r="I36" s="66"/>
      <c r="J36" s="99">
        <f>SUM(J26:J35)</f>
        <v>4467.975608875939</v>
      </c>
      <c r="K36" s="89"/>
      <c r="L36" s="100"/>
      <c r="M36" s="99">
        <f>SUM(M26:M35)</f>
        <v>4726.986270337473</v>
      </c>
      <c r="N36" s="89"/>
      <c r="O36" s="100"/>
      <c r="P36" s="99">
        <f>SUM(P26:P35)</f>
        <v>3476.810064314495</v>
      </c>
      <c r="R36" s="68">
        <f t="shared" si="12"/>
        <v>66.76029684172545</v>
      </c>
      <c r="S36" s="99">
        <f>SUM(S26:S35)</f>
        <v>12671.771943527907</v>
      </c>
    </row>
    <row r="37" spans="2:19" ht="12.75">
      <c r="B37" s="64"/>
      <c r="C37" s="65"/>
      <c r="D37" s="66"/>
      <c r="E37" s="66"/>
      <c r="F37" s="66"/>
      <c r="G37" s="66"/>
      <c r="H37" s="66"/>
      <c r="I37" s="66"/>
      <c r="J37" s="99"/>
      <c r="K37" s="89"/>
      <c r="L37" s="100"/>
      <c r="M37" s="99"/>
      <c r="N37" s="89"/>
      <c r="O37" s="100"/>
      <c r="P37" s="99"/>
      <c r="R37" s="68"/>
      <c r="S37" s="99"/>
    </row>
    <row r="38" spans="1:9" ht="14.25">
      <c r="A38" s="325" t="s">
        <v>127</v>
      </c>
      <c r="B38" s="351"/>
      <c r="C38" s="351"/>
      <c r="D38" s="351"/>
      <c r="E38" s="351"/>
      <c r="F38" s="351"/>
      <c r="G38" s="351"/>
      <c r="H38" s="351"/>
      <c r="I38" s="351"/>
    </row>
    <row r="39" spans="2:19" ht="12.75">
      <c r="B39" s="64"/>
      <c r="C39" s="65"/>
      <c r="D39" s="66"/>
      <c r="E39" s="66"/>
      <c r="F39" s="66"/>
      <c r="G39" s="66"/>
      <c r="H39" s="66"/>
      <c r="I39" s="66"/>
      <c r="J39" s="99"/>
      <c r="K39" s="89"/>
      <c r="L39" s="100"/>
      <c r="M39" s="99"/>
      <c r="N39" s="89"/>
      <c r="O39" s="100"/>
      <c r="P39" s="99"/>
      <c r="R39" s="68"/>
      <c r="S39" s="99"/>
    </row>
    <row r="40" spans="1:19" ht="12.75">
      <c r="A40" s="4"/>
      <c r="B40" s="4" t="s">
        <v>41</v>
      </c>
      <c r="C40" s="4"/>
      <c r="D40" s="432" t="s">
        <v>45</v>
      </c>
      <c r="E40" s="432"/>
      <c r="F40" s="432"/>
      <c r="G40" s="432"/>
      <c r="H40" s="4"/>
      <c r="I40" s="433" t="s">
        <v>12</v>
      </c>
      <c r="J40" s="433"/>
      <c r="K40" s="4"/>
      <c r="L40" s="433" t="s">
        <v>16</v>
      </c>
      <c r="M40" s="433"/>
      <c r="N40" s="4"/>
      <c r="O40" s="433" t="s">
        <v>124</v>
      </c>
      <c r="P40" s="433"/>
      <c r="R40" s="432" t="s">
        <v>125</v>
      </c>
      <c r="S40" s="432"/>
    </row>
    <row r="41" spans="1:19" ht="12.75">
      <c r="A41" s="6" t="s">
        <v>92</v>
      </c>
      <c r="B41" s="6" t="s">
        <v>42</v>
      </c>
      <c r="C41" s="6"/>
      <c r="D41" s="327" t="s">
        <v>12</v>
      </c>
      <c r="E41" s="327" t="s">
        <v>16</v>
      </c>
      <c r="F41" s="327" t="s">
        <v>123</v>
      </c>
      <c r="G41" s="328" t="s">
        <v>14</v>
      </c>
      <c r="H41" s="6"/>
      <c r="I41" s="6" t="s">
        <v>46</v>
      </c>
      <c r="J41" s="328" t="s">
        <v>47</v>
      </c>
      <c r="K41" s="6"/>
      <c r="L41" s="6" t="s">
        <v>46</v>
      </c>
      <c r="M41" s="328" t="s">
        <v>47</v>
      </c>
      <c r="N41" s="6"/>
      <c r="O41" s="6" t="s">
        <v>46</v>
      </c>
      <c r="P41" s="328" t="s">
        <v>47</v>
      </c>
      <c r="R41" s="6" t="s">
        <v>46</v>
      </c>
      <c r="S41" s="6" t="s">
        <v>47</v>
      </c>
    </row>
    <row r="42" spans="7:16" ht="12.75">
      <c r="G42" s="329"/>
      <c r="J42" s="329"/>
      <c r="M42" s="329"/>
      <c r="P42" s="329"/>
    </row>
    <row r="43" spans="1:19" ht="12.75">
      <c r="A43" s="135" t="s">
        <v>5</v>
      </c>
      <c r="B43" s="3">
        <f>+'Residential Commodity Revenue'!B44</f>
        <v>0.35726722445545483</v>
      </c>
      <c r="D43" s="61">
        <f aca="true" t="shared" si="14" ref="D43:D52">+$B43*D$53</f>
        <v>29.042252675983924</v>
      </c>
      <c r="E43" s="61">
        <f aca="true" t="shared" si="15" ref="E43:F52">+$B43*E$53</f>
        <v>31.700320825932508</v>
      </c>
      <c r="F43" s="61">
        <f t="shared" si="15"/>
        <v>33.683153921660285</v>
      </c>
      <c r="G43" s="330">
        <f>SUM(D43:F43)</f>
        <v>94.42572742357672</v>
      </c>
      <c r="I43" s="67">
        <f>+'Residential Commodity Revenue'!I44</f>
        <v>76.07</v>
      </c>
      <c r="J43" s="338">
        <f aca="true" t="shared" si="16" ref="J43:J52">+I43*D43</f>
        <v>2209.2441610620967</v>
      </c>
      <c r="L43" s="67">
        <f>+'Residential Commodity Revenue'!L44</f>
        <v>73.4</v>
      </c>
      <c r="M43" s="338">
        <f aca="true" t="shared" si="17" ref="M43:M52">+L43*E43</f>
        <v>2326.803548623446</v>
      </c>
      <c r="N43" s="67"/>
      <c r="O43" s="67">
        <f>+'Residential Commodity Revenue'!O44</f>
        <v>71.47</v>
      </c>
      <c r="P43" s="338">
        <f aca="true" t="shared" si="18" ref="P43:P52">+O43*F43</f>
        <v>2407.3350107810606</v>
      </c>
      <c r="R43" s="67">
        <f>+S43/G43</f>
        <v>73.5327427166099</v>
      </c>
      <c r="S43" s="98">
        <f>+P43+M43+J43</f>
        <v>6943.382720466603</v>
      </c>
    </row>
    <row r="44" spans="1:19" ht="12.75">
      <c r="A44" s="135" t="s">
        <v>2</v>
      </c>
      <c r="B44" s="3">
        <f>+'Residential Commodity Revenue'!B45</f>
        <v>0.35016535009815836</v>
      </c>
      <c r="D44" s="61">
        <f t="shared" si="14"/>
        <v>28.464941309479293</v>
      </c>
      <c r="E44" s="61">
        <f t="shared" si="15"/>
        <v>31.07017151420959</v>
      </c>
      <c r="F44" s="61">
        <f t="shared" si="15"/>
        <v>33.01358920725437</v>
      </c>
      <c r="G44" s="330">
        <f aca="true" t="shared" si="19" ref="G44:G52">SUM(D44:F44)</f>
        <v>92.54870203094325</v>
      </c>
      <c r="I44" s="67">
        <f>+'Residential Commodity Revenue'!I45</f>
        <v>101.06</v>
      </c>
      <c r="J44" s="333">
        <f t="shared" si="16"/>
        <v>2876.6669687359777</v>
      </c>
      <c r="L44" s="67">
        <f>+'Residential Commodity Revenue'!L45</f>
        <v>98.97</v>
      </c>
      <c r="M44" s="336">
        <f t="shared" si="17"/>
        <v>3075.014874761323</v>
      </c>
      <c r="O44" s="67">
        <f>+'Residential Commodity Revenue'!O45</f>
        <v>96.62</v>
      </c>
      <c r="P44" s="336">
        <f t="shared" si="18"/>
        <v>3189.7729892049174</v>
      </c>
      <c r="R44" s="67">
        <f aca="true" t="shared" si="20" ref="R44:R53">+S44/G44</f>
        <v>98.77453310631859</v>
      </c>
      <c r="S44" s="7">
        <f aca="true" t="shared" si="21" ref="S44:S52">+P44+M44+J44</f>
        <v>9141.454832702218</v>
      </c>
    </row>
    <row r="45" spans="1:19" ht="12.75">
      <c r="A45" s="135" t="s">
        <v>0</v>
      </c>
      <c r="B45" s="3">
        <f>+'Residential Commodity Revenue'!B46</f>
        <v>0.008375595961484529</v>
      </c>
      <c r="D45" s="61">
        <f t="shared" si="14"/>
        <v>0.6808521957090774</v>
      </c>
      <c r="E45" s="61">
        <f t="shared" si="15"/>
        <v>0.7431666296625222</v>
      </c>
      <c r="F45" s="61">
        <f t="shared" si="15"/>
        <v>0.7896511872487614</v>
      </c>
      <c r="G45" s="330">
        <f t="shared" si="19"/>
        <v>2.2136700126203612</v>
      </c>
      <c r="I45" s="67">
        <f>+'Residential Commodity Revenue'!I46</f>
        <v>1225.08</v>
      </c>
      <c r="J45" s="333">
        <f t="shared" si="16"/>
        <v>834.0984079192765</v>
      </c>
      <c r="L45" s="67">
        <f>+'Residential Commodity Revenue'!L46</f>
        <v>1191.3</v>
      </c>
      <c r="M45" s="336">
        <f t="shared" si="17"/>
        <v>885.3344059169627</v>
      </c>
      <c r="O45" s="67">
        <f>+'Residential Commodity Revenue'!O46</f>
        <v>959.82</v>
      </c>
      <c r="P45" s="336">
        <f t="shared" si="18"/>
        <v>757.9230025451062</v>
      </c>
      <c r="R45" s="67">
        <f t="shared" si="20"/>
        <v>1119.1170329171396</v>
      </c>
      <c r="S45" s="7">
        <f t="shared" si="21"/>
        <v>2477.3558163813454</v>
      </c>
    </row>
    <row r="46" spans="1:19" ht="12.75">
      <c r="A46" s="135" t="s">
        <v>3</v>
      </c>
      <c r="B46" s="3">
        <f>+'Residential Commodity Revenue'!B47</f>
        <v>0.014674090866598112</v>
      </c>
      <c r="D46" s="61">
        <f t="shared" si="14"/>
        <v>1.1928568465457605</v>
      </c>
      <c r="E46" s="61">
        <f t="shared" si="15"/>
        <v>1.3020320825932505</v>
      </c>
      <c r="F46" s="61">
        <f t="shared" si="15"/>
        <v>1.38347328690287</v>
      </c>
      <c r="G46" s="330">
        <f t="shared" si="19"/>
        <v>3.8783622160418814</v>
      </c>
      <c r="I46" s="67">
        <f>+'Residential Commodity Revenue'!I47</f>
        <v>67.86</v>
      </c>
      <c r="J46" s="333">
        <f t="shared" si="16"/>
        <v>80.94726560659531</v>
      </c>
      <c r="L46" s="67">
        <f>+'Residential Commodity Revenue'!L47</f>
        <v>90.18</v>
      </c>
      <c r="M46" s="336">
        <f t="shared" si="17"/>
        <v>117.41725320825934</v>
      </c>
      <c r="O46" s="67">
        <f>+'Residential Commodity Revenue'!O47</f>
        <v>72.32</v>
      </c>
      <c r="P46" s="336">
        <f t="shared" si="18"/>
        <v>100.05278810881555</v>
      </c>
      <c r="R46" s="67">
        <f t="shared" si="20"/>
        <v>76.94415588346575</v>
      </c>
      <c r="S46" s="7">
        <f t="shared" si="21"/>
        <v>298.4173069236702</v>
      </c>
    </row>
    <row r="47" spans="1:19" ht="12.75">
      <c r="A47" s="135" t="s">
        <v>1</v>
      </c>
      <c r="B47" s="3">
        <f>+'Residential Commodity Revenue'!B48</f>
        <v>0.1912627372160419</v>
      </c>
      <c r="D47" s="61">
        <f t="shared" si="14"/>
        <v>15.547747908292047</v>
      </c>
      <c r="E47" s="61">
        <f t="shared" si="15"/>
        <v>16.970742673179398</v>
      </c>
      <c r="F47" s="61">
        <f t="shared" si="15"/>
        <v>18.03225086472843</v>
      </c>
      <c r="G47" s="330">
        <f t="shared" si="19"/>
        <v>50.55074144619988</v>
      </c>
      <c r="I47" s="67">
        <f>+'Residential Commodity Revenue'!I48</f>
        <v>-43.35</v>
      </c>
      <c r="J47" s="333">
        <f t="shared" si="16"/>
        <v>-673.9948718244602</v>
      </c>
      <c r="L47" s="67">
        <f>+'Residential Commodity Revenue'!L48</f>
        <v>-53.04</v>
      </c>
      <c r="M47" s="336">
        <f t="shared" si="17"/>
        <v>-900.1281913854352</v>
      </c>
      <c r="O47" s="67">
        <f>+'Residential Commodity Revenue'!O48</f>
        <v>-53.04</v>
      </c>
      <c r="P47" s="336">
        <f t="shared" si="18"/>
        <v>-956.4305858651959</v>
      </c>
      <c r="R47" s="399">
        <f t="shared" si="20"/>
        <v>-50.059674233825184</v>
      </c>
      <c r="S47" s="7">
        <f t="shared" si="21"/>
        <v>-2530.553649075091</v>
      </c>
    </row>
    <row r="48" spans="1:19" ht="12.75">
      <c r="A48" s="135" t="s">
        <v>6</v>
      </c>
      <c r="B48" s="3">
        <f>+'Residential Commodity Revenue'!B49</f>
        <v>0.007169066093297186</v>
      </c>
      <c r="D48" s="61">
        <f t="shared" si="14"/>
        <v>0.5827733827241283</v>
      </c>
      <c r="E48" s="61">
        <f t="shared" si="15"/>
        <v>0.6361112344582593</v>
      </c>
      <c r="F48" s="61">
        <f t="shared" si="15"/>
        <v>0.6758995512760587</v>
      </c>
      <c r="G48" s="330">
        <f t="shared" si="19"/>
        <v>1.8947841684584463</v>
      </c>
      <c r="I48" s="67">
        <f>+'Residential Commodity Revenue'!I49</f>
        <v>316.84</v>
      </c>
      <c r="J48" s="333">
        <f t="shared" si="16"/>
        <v>184.6459185823128</v>
      </c>
      <c r="L48" s="67">
        <f>+'Residential Commodity Revenue'!L49</f>
        <v>296.58</v>
      </c>
      <c r="M48" s="336">
        <f t="shared" si="17"/>
        <v>188.65786991563056</v>
      </c>
      <c r="O48" s="67">
        <f>+'Residential Commodity Revenue'!O49</f>
        <v>335.46</v>
      </c>
      <c r="P48" s="336">
        <f t="shared" si="18"/>
        <v>226.73726347106665</v>
      </c>
      <c r="R48" s="399">
        <f t="shared" si="20"/>
        <v>316.6804230041619</v>
      </c>
      <c r="S48" s="7">
        <f t="shared" si="21"/>
        <v>600.04105196901</v>
      </c>
    </row>
    <row r="49" spans="1:19" ht="12.75">
      <c r="A49" s="135" t="s">
        <v>98</v>
      </c>
      <c r="B49" s="3">
        <f>+'Residential Commodity Revenue'!B50</f>
        <v>0.007949074506871085</v>
      </c>
      <c r="D49" s="61">
        <f t="shared" si="14"/>
        <v>0.6461802666635506</v>
      </c>
      <c r="E49" s="61">
        <f t="shared" si="15"/>
        <v>0.7053213809946715</v>
      </c>
      <c r="F49" s="61">
        <f t="shared" si="15"/>
        <v>0.7494387445078059</v>
      </c>
      <c r="G49" s="330">
        <f t="shared" si="19"/>
        <v>2.100940392166028</v>
      </c>
      <c r="I49" s="67">
        <f>+'Residential Commodity Revenue'!I50</f>
        <v>120</v>
      </c>
      <c r="J49" s="333">
        <f t="shared" si="16"/>
        <v>77.54163199962606</v>
      </c>
      <c r="L49" s="67">
        <f>+'Residential Commodity Revenue'!L50</f>
        <v>126.03</v>
      </c>
      <c r="M49" s="336">
        <f t="shared" si="17"/>
        <v>88.89165364675844</v>
      </c>
      <c r="O49" s="67">
        <f>+'Residential Commodity Revenue'!O50</f>
        <v>162.6</v>
      </c>
      <c r="P49" s="336">
        <f t="shared" si="18"/>
        <v>121.85873985696924</v>
      </c>
      <c r="R49" s="399">
        <f t="shared" si="20"/>
        <v>137.22046878547104</v>
      </c>
      <c r="S49" s="7">
        <f t="shared" si="21"/>
        <v>288.2920255033537</v>
      </c>
    </row>
    <row r="50" spans="1:19" ht="12.75">
      <c r="A50" s="135" t="s">
        <v>99</v>
      </c>
      <c r="B50" s="3">
        <f>+'Residential Commodity Revenue'!B51</f>
        <v>0.004127909694306815</v>
      </c>
      <c r="D50" s="61">
        <f t="shared" si="14"/>
        <v>0.335557779050201</v>
      </c>
      <c r="E50" s="61">
        <f t="shared" si="15"/>
        <v>0.3662694271758437</v>
      </c>
      <c r="F50" s="61">
        <f t="shared" si="15"/>
        <v>0.38917932597924654</v>
      </c>
      <c r="G50" s="330">
        <f t="shared" si="19"/>
        <v>1.091006532205291</v>
      </c>
      <c r="I50" s="67">
        <f>+'Residential Commodity Revenue'!I51</f>
        <v>330</v>
      </c>
      <c r="J50" s="333">
        <f t="shared" si="16"/>
        <v>110.73406708656633</v>
      </c>
      <c r="L50" s="67">
        <f>+'Residential Commodity Revenue'!L51</f>
        <v>354.95</v>
      </c>
      <c r="M50" s="336">
        <f t="shared" si="17"/>
        <v>130.0073331760657</v>
      </c>
      <c r="O50" s="67">
        <f>+'Residential Commodity Revenue'!O51</f>
        <v>353.39</v>
      </c>
      <c r="P50" s="336">
        <f t="shared" si="18"/>
        <v>137.53208200780594</v>
      </c>
      <c r="R50" s="399">
        <f t="shared" si="20"/>
        <v>346.71972266363986</v>
      </c>
      <c r="S50" s="7">
        <f t="shared" si="21"/>
        <v>378.27348227043797</v>
      </c>
    </row>
    <row r="51" spans="1:19" ht="12.75">
      <c r="A51" s="135" t="s">
        <v>100</v>
      </c>
      <c r="B51" s="3">
        <f>+'Residential Commodity Revenue'!B52</f>
        <v>0.005950850705805366</v>
      </c>
      <c r="D51" s="61">
        <f t="shared" si="14"/>
        <v>0.4837446538749183</v>
      </c>
      <c r="E51" s="61">
        <f t="shared" si="15"/>
        <v>0.5280189831261102</v>
      </c>
      <c r="F51" s="61">
        <f t="shared" si="15"/>
        <v>0.5610462045433299</v>
      </c>
      <c r="G51" s="330">
        <f t="shared" si="19"/>
        <v>1.5728098415443585</v>
      </c>
      <c r="I51" s="67">
        <f>+'Residential Commodity Revenue'!I52</f>
        <v>0</v>
      </c>
      <c r="J51" s="333">
        <f t="shared" si="16"/>
        <v>0</v>
      </c>
      <c r="L51" s="67">
        <f>+'Residential Commodity Revenue'!L52</f>
        <v>0</v>
      </c>
      <c r="M51" s="336">
        <f t="shared" si="17"/>
        <v>0</v>
      </c>
      <c r="O51" s="67">
        <f>+'Residential Commodity Revenue'!O52</f>
        <v>0</v>
      </c>
      <c r="P51" s="336">
        <f t="shared" si="18"/>
        <v>0</v>
      </c>
      <c r="R51" s="399">
        <f t="shared" si="20"/>
        <v>0</v>
      </c>
      <c r="S51" s="7">
        <f t="shared" si="21"/>
        <v>0</v>
      </c>
    </row>
    <row r="52" spans="1:19" ht="15">
      <c r="A52" s="2" t="s">
        <v>4</v>
      </c>
      <c r="B52" s="63">
        <f>+'Residential Commodity Revenue'!B53</f>
        <v>0.05305810040198187</v>
      </c>
      <c r="D52" s="62">
        <f t="shared" si="14"/>
        <v>4.313092981677106</v>
      </c>
      <c r="E52" s="62">
        <f t="shared" si="15"/>
        <v>4.7078452486678515</v>
      </c>
      <c r="F52" s="62">
        <f t="shared" si="15"/>
        <v>5.00231770589885</v>
      </c>
      <c r="G52" s="331">
        <f t="shared" si="19"/>
        <v>14.023255936243807</v>
      </c>
      <c r="I52" s="67">
        <f>+'Residential Commodity Revenue'!I53</f>
        <v>-69.5</v>
      </c>
      <c r="J52" s="335">
        <f t="shared" si="16"/>
        <v>-299.75996222655886</v>
      </c>
      <c r="L52" s="67">
        <f>+'Residential Commodity Revenue'!L53</f>
        <v>-69.5</v>
      </c>
      <c r="M52" s="337">
        <f t="shared" si="17"/>
        <v>-327.19524478241567</v>
      </c>
      <c r="O52" s="67">
        <f>+'Residential Commodity Revenue'!O53</f>
        <v>-69.5</v>
      </c>
      <c r="P52" s="337">
        <f t="shared" si="18"/>
        <v>-347.66108055997006</v>
      </c>
      <c r="R52" s="405">
        <f t="shared" si="20"/>
        <v>-69.5</v>
      </c>
      <c r="S52" s="90">
        <f t="shared" si="21"/>
        <v>-974.6162875689446</v>
      </c>
    </row>
    <row r="53" spans="2:19" ht="12.75">
      <c r="B53" s="64">
        <f>SUM(B43:B52)</f>
        <v>1</v>
      </c>
      <c r="C53" s="65"/>
      <c r="D53" s="66">
        <f>+'SKC Waste Stream Report'!L22</f>
        <v>81.29</v>
      </c>
      <c r="E53" s="66">
        <f>+'SKC Waste Stream Report'!M22</f>
        <v>88.73</v>
      </c>
      <c r="F53" s="66">
        <f>+'SKC Waste Stream Report'!N22</f>
        <v>94.28</v>
      </c>
      <c r="G53" s="66">
        <f>SUM(G43:G52)</f>
        <v>264.3</v>
      </c>
      <c r="H53" s="66"/>
      <c r="I53" s="66"/>
      <c r="J53" s="99">
        <f>SUM(J43:J52)</f>
        <v>5400.123586941431</v>
      </c>
      <c r="K53" s="89"/>
      <c r="L53" s="100"/>
      <c r="M53" s="99">
        <f>SUM(M43:M52)</f>
        <v>5584.803503080596</v>
      </c>
      <c r="N53" s="89"/>
      <c r="O53" s="100"/>
      <c r="P53" s="99">
        <f>SUM(P43:P52)</f>
        <v>5637.120209550574</v>
      </c>
      <c r="R53" s="68">
        <f t="shared" si="20"/>
        <v>62.890833520895214</v>
      </c>
      <c r="S53" s="99">
        <f>SUM(S43:S52)</f>
        <v>16622.047299572605</v>
      </c>
    </row>
    <row r="54" spans="1:19" ht="12.75">
      <c r="A54" s="352"/>
      <c r="B54" s="353"/>
      <c r="C54" s="354"/>
      <c r="D54" s="355"/>
      <c r="E54" s="355"/>
      <c r="F54" s="355"/>
      <c r="G54" s="355"/>
      <c r="H54" s="355"/>
      <c r="I54" s="355"/>
      <c r="J54" s="356"/>
      <c r="K54" s="357"/>
      <c r="L54" s="358"/>
      <c r="M54" s="356"/>
      <c r="N54" s="357"/>
      <c r="O54" s="358"/>
      <c r="P54" s="356"/>
      <c r="Q54" s="352"/>
      <c r="R54" s="359"/>
      <c r="S54" s="356"/>
    </row>
    <row r="55" spans="2:19" ht="12.75">
      <c r="B55" s="64"/>
      <c r="C55" s="65"/>
      <c r="D55" s="66"/>
      <c r="E55" s="66"/>
      <c r="F55" s="66"/>
      <c r="G55" s="66"/>
      <c r="H55" s="66"/>
      <c r="I55" s="66"/>
      <c r="J55" s="99"/>
      <c r="K55" s="89"/>
      <c r="L55" s="100"/>
      <c r="M55" s="99"/>
      <c r="N55" s="89"/>
      <c r="O55" s="100"/>
      <c r="P55" s="99"/>
      <c r="R55" s="68"/>
      <c r="S55" s="99"/>
    </row>
    <row r="56" spans="1:9" ht="14.25">
      <c r="A56" s="323" t="s">
        <v>110</v>
      </c>
      <c r="B56" s="360"/>
      <c r="C56" s="360"/>
      <c r="D56" s="360"/>
      <c r="E56" s="360"/>
      <c r="F56" s="360"/>
      <c r="G56" s="360"/>
      <c r="H56" s="360"/>
      <c r="I56" s="360"/>
    </row>
    <row r="58" spans="1:19" ht="12.75">
      <c r="A58" s="4"/>
      <c r="B58" s="4" t="s">
        <v>41</v>
      </c>
      <c r="C58" s="4"/>
      <c r="D58" s="432" t="s">
        <v>45</v>
      </c>
      <c r="E58" s="432"/>
      <c r="F58" s="432"/>
      <c r="G58" s="432"/>
      <c r="H58" s="4"/>
      <c r="I58" s="433" t="s">
        <v>7</v>
      </c>
      <c r="J58" s="433"/>
      <c r="K58" s="361"/>
      <c r="L58" s="433" t="s">
        <v>8</v>
      </c>
      <c r="M58" s="433"/>
      <c r="N58" s="361"/>
      <c r="O58" s="433" t="s">
        <v>9</v>
      </c>
      <c r="P58" s="433"/>
      <c r="R58" s="432" t="s">
        <v>101</v>
      </c>
      <c r="S58" s="432"/>
    </row>
    <row r="59" spans="1:19" ht="12.75">
      <c r="A59" s="6" t="s">
        <v>92</v>
      </c>
      <c r="B59" s="6" t="s">
        <v>42</v>
      </c>
      <c r="C59" s="6"/>
      <c r="D59" s="327" t="s">
        <v>7</v>
      </c>
      <c r="E59" s="327" t="s">
        <v>8</v>
      </c>
      <c r="F59" s="327" t="s">
        <v>9</v>
      </c>
      <c r="G59" s="328" t="s">
        <v>14</v>
      </c>
      <c r="H59" s="6"/>
      <c r="I59" s="6" t="s">
        <v>46</v>
      </c>
      <c r="J59" s="328" t="s">
        <v>47</v>
      </c>
      <c r="K59" s="6"/>
      <c r="L59" s="6" t="s">
        <v>46</v>
      </c>
      <c r="M59" s="328" t="s">
        <v>47</v>
      </c>
      <c r="N59" s="6"/>
      <c r="O59" s="6" t="s">
        <v>46</v>
      </c>
      <c r="P59" s="328" t="s">
        <v>47</v>
      </c>
      <c r="R59" s="6" t="s">
        <v>46</v>
      </c>
      <c r="S59" s="6" t="s">
        <v>47</v>
      </c>
    </row>
    <row r="60" spans="7:16" ht="12.75">
      <c r="G60" s="329"/>
      <c r="J60" s="329"/>
      <c r="M60" s="329"/>
      <c r="P60" s="329"/>
    </row>
    <row r="61" spans="1:19" ht="12.75">
      <c r="A61" s="135" t="s">
        <v>5</v>
      </c>
      <c r="B61" s="3">
        <f>+'Residential Commodity Revenue'!B63</f>
        <v>0.45809898954399764</v>
      </c>
      <c r="D61" s="61">
        <f aca="true" t="shared" si="22" ref="D61:F70">+$B61*D$71</f>
        <v>9.60633581073763</v>
      </c>
      <c r="E61" s="61">
        <f t="shared" si="22"/>
        <v>8.117514094719638</v>
      </c>
      <c r="F61" s="61">
        <f t="shared" si="22"/>
        <v>10.476723890871227</v>
      </c>
      <c r="G61" s="330">
        <f>SUM(D61:F61)</f>
        <v>28.200573796328495</v>
      </c>
      <c r="I61" s="67">
        <f>+'Residential Commodity Revenue'!I63</f>
        <v>70.65</v>
      </c>
      <c r="J61" s="332">
        <f aca="true" t="shared" si="23" ref="J61:J70">+I61*D61</f>
        <v>678.6876250286136</v>
      </c>
      <c r="K61" s="67"/>
      <c r="L61" s="67">
        <f>+'Residential Commodity Revenue'!L63</f>
        <v>74.2</v>
      </c>
      <c r="M61" s="332">
        <f aca="true" t="shared" si="24" ref="M61:M70">+L61*E61</f>
        <v>602.3195458281972</v>
      </c>
      <c r="N61" s="67"/>
      <c r="O61" s="67">
        <f>+'Residential Commodity Revenue'!O63</f>
        <v>75.27</v>
      </c>
      <c r="P61" s="332">
        <f aca="true" t="shared" si="25" ref="P61:P70">+O61*F61</f>
        <v>788.5830072658772</v>
      </c>
      <c r="R61" s="67">
        <f>+S61/G61</f>
        <v>73.3882293697206</v>
      </c>
      <c r="S61" s="98">
        <f>+P61+M61+J61</f>
        <v>2069.590178122688</v>
      </c>
    </row>
    <row r="62" spans="1:19" ht="12.75">
      <c r="A62" s="135" t="s">
        <v>2</v>
      </c>
      <c r="B62" s="3">
        <f>+'Residential Commodity Revenue'!B64</f>
        <v>0.24548683527712378</v>
      </c>
      <c r="D62" s="61">
        <f t="shared" si="22"/>
        <v>5.147858935761286</v>
      </c>
      <c r="E62" s="61">
        <f t="shared" si="22"/>
        <v>4.350026721110633</v>
      </c>
      <c r="F62" s="61">
        <f t="shared" si="22"/>
        <v>5.614283922787821</v>
      </c>
      <c r="G62" s="330">
        <f aca="true" t="shared" si="26" ref="G62:G70">SUM(D62:F62)</f>
        <v>15.112169579659739</v>
      </c>
      <c r="I62" s="67">
        <f>+'Residential Commodity Revenue'!I64</f>
        <v>86.42</v>
      </c>
      <c r="J62" s="333">
        <f t="shared" si="23"/>
        <v>444.8779692284903</v>
      </c>
      <c r="L62" s="67">
        <f>+'Residential Commodity Revenue'!L64</f>
        <v>88.89</v>
      </c>
      <c r="M62" s="336">
        <f t="shared" si="24"/>
        <v>386.6738752395242</v>
      </c>
      <c r="O62" s="67">
        <f>+'Residential Commodity Revenue'!O64</f>
        <v>86.45</v>
      </c>
      <c r="P62" s="336">
        <f t="shared" si="25"/>
        <v>485.3548451250071</v>
      </c>
      <c r="R62" s="67">
        <f aca="true" t="shared" si="27" ref="R62:R71">+S62/G62</f>
        <v>87.14213287849253</v>
      </c>
      <c r="S62" s="7">
        <f aca="true" t="shared" si="28" ref="S62:S70">+P62+M62+J62</f>
        <v>1316.9066895930216</v>
      </c>
    </row>
    <row r="63" spans="1:19" ht="12.75">
      <c r="A63" s="135" t="s">
        <v>0</v>
      </c>
      <c r="B63" s="3">
        <f>+'Residential Commodity Revenue'!B65</f>
        <v>0.008239889545784532</v>
      </c>
      <c r="D63" s="61">
        <f t="shared" si="22"/>
        <v>0.17279048377510164</v>
      </c>
      <c r="E63" s="61">
        <f t="shared" si="22"/>
        <v>0.1460108427513019</v>
      </c>
      <c r="F63" s="61">
        <f t="shared" si="22"/>
        <v>0.18844627391209226</v>
      </c>
      <c r="G63" s="330">
        <f t="shared" si="26"/>
        <v>0.5072476004384958</v>
      </c>
      <c r="I63" s="67">
        <f>+'Residential Commodity Revenue'!I65</f>
        <v>1210.7</v>
      </c>
      <c r="J63" s="333">
        <f t="shared" si="23"/>
        <v>209.19743870651556</v>
      </c>
      <c r="L63" s="67">
        <f>+'Residential Commodity Revenue'!L65</f>
        <v>1128.22</v>
      </c>
      <c r="M63" s="336">
        <f t="shared" si="24"/>
        <v>164.73235300887384</v>
      </c>
      <c r="O63" s="67">
        <f>+'Residential Commodity Revenue'!O65</f>
        <v>1034.97</v>
      </c>
      <c r="P63" s="336">
        <f t="shared" si="25"/>
        <v>195.03624011079813</v>
      </c>
      <c r="R63" s="67">
        <f t="shared" si="27"/>
        <v>1121.6731855100716</v>
      </c>
      <c r="S63" s="7">
        <f t="shared" si="28"/>
        <v>568.9660318261875</v>
      </c>
    </row>
    <row r="64" spans="1:19" ht="12.75">
      <c r="A64" s="135" t="s">
        <v>3</v>
      </c>
      <c r="B64" s="3">
        <f>+'Residential Commodity Revenue'!B66</f>
        <v>0.016900527382620562</v>
      </c>
      <c r="D64" s="61">
        <f t="shared" si="22"/>
        <v>0.35440405921355317</v>
      </c>
      <c r="E64" s="61">
        <f t="shared" si="22"/>
        <v>0.29947734522003633</v>
      </c>
      <c r="F64" s="61">
        <f t="shared" si="22"/>
        <v>0.38651506124053225</v>
      </c>
      <c r="G64" s="330">
        <f t="shared" si="26"/>
        <v>1.0403964656741218</v>
      </c>
      <c r="I64" s="67">
        <f>+'Residential Commodity Revenue'!I66</f>
        <v>48.45</v>
      </c>
      <c r="J64" s="333">
        <f t="shared" si="23"/>
        <v>17.170876668896653</v>
      </c>
      <c r="L64" s="67">
        <f>+'Residential Commodity Revenue'!L66</f>
        <v>69.7</v>
      </c>
      <c r="M64" s="336">
        <f t="shared" si="24"/>
        <v>20.87357096183653</v>
      </c>
      <c r="O64" s="67">
        <f>+'Residential Commodity Revenue'!O66</f>
        <v>59.74</v>
      </c>
      <c r="P64" s="336">
        <f t="shared" si="25"/>
        <v>23.0904097585094</v>
      </c>
      <c r="R64" s="67">
        <f>+S64/G64</f>
        <v>58.76111598440546</v>
      </c>
      <c r="S64" s="7">
        <f>+P64+M64+J64</f>
        <v>61.13485738924258</v>
      </c>
    </row>
    <row r="65" spans="1:19" ht="12.75">
      <c r="A65" s="135" t="s">
        <v>1</v>
      </c>
      <c r="B65" s="3">
        <f>+'Residential Commodity Revenue'!B67</f>
        <v>0.17923915928281942</v>
      </c>
      <c r="D65" s="61">
        <f t="shared" si="22"/>
        <v>3.758645170160723</v>
      </c>
      <c r="E65" s="61">
        <f t="shared" si="22"/>
        <v>3.17611790249156</v>
      </c>
      <c r="F65" s="61">
        <f t="shared" si="22"/>
        <v>4.099199572798081</v>
      </c>
      <c r="G65" s="330">
        <f t="shared" si="26"/>
        <v>11.033962645450362</v>
      </c>
      <c r="I65" s="399">
        <f>+'Residential Commodity Revenue'!I67</f>
        <v>-43.35</v>
      </c>
      <c r="J65" s="334">
        <f t="shared" si="23"/>
        <v>-162.93726812646733</v>
      </c>
      <c r="K65" s="401"/>
      <c r="L65" s="399">
        <f>+'Residential Commodity Revenue'!L67</f>
        <v>-43.35</v>
      </c>
      <c r="M65" s="400">
        <f t="shared" si="24"/>
        <v>-137.6847110730091</v>
      </c>
      <c r="N65" s="401"/>
      <c r="O65" s="399">
        <f>+'Residential Commodity Revenue'!O67</f>
        <v>-43.35</v>
      </c>
      <c r="P65" s="400">
        <f t="shared" si="25"/>
        <v>-177.7003014807968</v>
      </c>
      <c r="Q65" s="401"/>
      <c r="R65" s="399">
        <f>+S65/G65</f>
        <v>-43.35</v>
      </c>
      <c r="S65" s="7">
        <f>+P65+M65+J65</f>
        <v>-478.32228068027325</v>
      </c>
    </row>
    <row r="66" spans="1:19" ht="12.75">
      <c r="A66" s="135" t="s">
        <v>6</v>
      </c>
      <c r="B66" s="3">
        <f>+'Residential Commodity Revenue'!B68</f>
        <v>0.009527986683791533</v>
      </c>
      <c r="D66" s="61">
        <f t="shared" si="22"/>
        <v>0.19980188075910843</v>
      </c>
      <c r="E66" s="61">
        <f t="shared" si="22"/>
        <v>0.16883592403678593</v>
      </c>
      <c r="F66" s="61">
        <f t="shared" si="22"/>
        <v>0.21790505545831235</v>
      </c>
      <c r="G66" s="330">
        <f t="shared" si="26"/>
        <v>0.5865428602542067</v>
      </c>
      <c r="I66" s="399">
        <f>+'Residential Commodity Revenue'!I68</f>
        <v>242.58</v>
      </c>
      <c r="J66" s="334">
        <f t="shared" si="23"/>
        <v>48.46794023454453</v>
      </c>
      <c r="K66" s="401"/>
      <c r="L66" s="399">
        <f>+'Residential Commodity Revenue'!L68</f>
        <v>278.4</v>
      </c>
      <c r="M66" s="400">
        <f t="shared" si="24"/>
        <v>47.0039212518412</v>
      </c>
      <c r="N66" s="401"/>
      <c r="O66" s="399">
        <f>+'Residential Commodity Revenue'!O68</f>
        <v>226.21</v>
      </c>
      <c r="P66" s="400">
        <f t="shared" si="25"/>
        <v>49.29230259522484</v>
      </c>
      <c r="Q66" s="401"/>
      <c r="R66" s="399">
        <f>+S66/G66</f>
        <v>246.8091829109812</v>
      </c>
      <c r="S66" s="7">
        <f>+P66+M66+J66</f>
        <v>144.76416408161057</v>
      </c>
    </row>
    <row r="67" spans="1:19" ht="12.75">
      <c r="A67" s="135" t="s">
        <v>98</v>
      </c>
      <c r="B67" s="3">
        <f>+'Residential Commodity Revenue'!B69</f>
        <v>0.007659449183757681</v>
      </c>
      <c r="D67" s="61">
        <f t="shared" si="22"/>
        <v>0.16061864938339857</v>
      </c>
      <c r="E67" s="61">
        <f t="shared" si="22"/>
        <v>0.1357254395361861</v>
      </c>
      <c r="F67" s="61">
        <f t="shared" si="22"/>
        <v>0.1751716028325382</v>
      </c>
      <c r="G67" s="330">
        <f t="shared" si="26"/>
        <v>0.4715156917521228</v>
      </c>
      <c r="I67" s="399">
        <f>+'Residential Commodity Revenue'!I69</f>
        <v>83.92</v>
      </c>
      <c r="J67" s="334">
        <f t="shared" si="23"/>
        <v>13.479117056254807</v>
      </c>
      <c r="K67" s="401"/>
      <c r="L67" s="399">
        <f>+'Residential Commodity Revenue'!L69</f>
        <v>37.16</v>
      </c>
      <c r="M67" s="400">
        <f t="shared" si="24"/>
        <v>5.043557333164675</v>
      </c>
      <c r="N67" s="401"/>
      <c r="O67" s="399">
        <f>+'Residential Commodity Revenue'!O69</f>
        <v>312.08</v>
      </c>
      <c r="P67" s="400">
        <f t="shared" si="25"/>
        <v>54.667553811978514</v>
      </c>
      <c r="Q67" s="401"/>
      <c r="R67" s="399">
        <f>+S67/G67</f>
        <v>155.22331384015595</v>
      </c>
      <c r="S67" s="7">
        <f>+P67+M67+J67</f>
        <v>73.190228201398</v>
      </c>
    </row>
    <row r="68" spans="1:19" ht="12.75">
      <c r="A68" s="135" t="s">
        <v>99</v>
      </c>
      <c r="B68" s="3">
        <f>+'Residential Commodity Revenue'!B70</f>
        <v>0.00628010116668163</v>
      </c>
      <c r="D68" s="61">
        <f t="shared" si="22"/>
        <v>0.13169372146531377</v>
      </c>
      <c r="E68" s="61">
        <f t="shared" si="22"/>
        <v>0.11128339267359848</v>
      </c>
      <c r="F68" s="61">
        <f t="shared" si="22"/>
        <v>0.1436259136820089</v>
      </c>
      <c r="G68" s="330">
        <f t="shared" si="26"/>
        <v>0.38660302782092115</v>
      </c>
      <c r="I68" s="399">
        <f>+'Residential Commodity Revenue'!I70</f>
        <v>287.55</v>
      </c>
      <c r="J68" s="334">
        <f t="shared" si="23"/>
        <v>37.86852960735098</v>
      </c>
      <c r="K68" s="401"/>
      <c r="L68" s="399">
        <f>+'Residential Commodity Revenue'!L70</f>
        <v>307.09</v>
      </c>
      <c r="M68" s="400">
        <f t="shared" si="24"/>
        <v>34.174017056135355</v>
      </c>
      <c r="N68" s="401"/>
      <c r="O68" s="399">
        <f>+'Residential Commodity Revenue'!O70</f>
        <v>252.63</v>
      </c>
      <c r="P68" s="400">
        <f t="shared" si="25"/>
        <v>36.284214573485905</v>
      </c>
      <c r="Q68" s="401"/>
      <c r="R68" s="399">
        <f t="shared" si="27"/>
        <v>280.20153346328783</v>
      </c>
      <c r="S68" s="7">
        <f t="shared" si="28"/>
        <v>108.32676123697223</v>
      </c>
    </row>
    <row r="69" spans="1:19" ht="12.75">
      <c r="A69" s="135" t="s">
        <v>100</v>
      </c>
      <c r="B69" s="3">
        <f>+'Residential Commodity Revenue'!B71</f>
        <v>0.003544321234333489</v>
      </c>
      <c r="D69" s="61">
        <f t="shared" si="22"/>
        <v>0.07432441628397325</v>
      </c>
      <c r="E69" s="61">
        <f t="shared" si="22"/>
        <v>0.06280537227238941</v>
      </c>
      <c r="F69" s="61">
        <f t="shared" si="22"/>
        <v>0.08105862662920689</v>
      </c>
      <c r="G69" s="330">
        <f t="shared" si="26"/>
        <v>0.21818841518556953</v>
      </c>
      <c r="I69" s="399">
        <f>+'Residential Commodity Revenue'!I71</f>
        <v>-3.16</v>
      </c>
      <c r="J69" s="334">
        <f t="shared" si="23"/>
        <v>-0.23486515545735548</v>
      </c>
      <c r="K69" s="401"/>
      <c r="L69" s="399">
        <f>+'Residential Commodity Revenue'!L71</f>
        <v>-2.18</v>
      </c>
      <c r="M69" s="400">
        <f t="shared" si="24"/>
        <v>-0.13691571155380894</v>
      </c>
      <c r="N69" s="401"/>
      <c r="O69" s="399">
        <f>+'Residential Commodity Revenue'!O71</f>
        <v>30.34</v>
      </c>
      <c r="P69" s="400">
        <f t="shared" si="25"/>
        <v>2.459318731930137</v>
      </c>
      <c r="Q69" s="401"/>
      <c r="R69" s="399">
        <f t="shared" si="27"/>
        <v>9.567592592592595</v>
      </c>
      <c r="S69" s="7">
        <f t="shared" si="28"/>
        <v>2.0875378649189726</v>
      </c>
    </row>
    <row r="70" spans="1:19" ht="15">
      <c r="A70" s="2" t="s">
        <v>4</v>
      </c>
      <c r="B70" s="63">
        <f>+'Residential Commodity Revenue'!B72</f>
        <v>0.06502274069908966</v>
      </c>
      <c r="D70" s="62">
        <f t="shared" si="22"/>
        <v>1.36352687245991</v>
      </c>
      <c r="E70" s="62">
        <f t="shared" si="22"/>
        <v>1.1522029651878687</v>
      </c>
      <c r="F70" s="62">
        <f t="shared" si="22"/>
        <v>1.4870700797881806</v>
      </c>
      <c r="G70" s="331">
        <f t="shared" si="26"/>
        <v>4.00279991743596</v>
      </c>
      <c r="I70" s="399">
        <f>+'Residential Commodity Revenue'!I72</f>
        <v>-69.5</v>
      </c>
      <c r="J70" s="403">
        <f t="shared" si="23"/>
        <v>-94.76511763596375</v>
      </c>
      <c r="K70" s="401"/>
      <c r="L70" s="399">
        <f>+'Residential Commodity Revenue'!L72</f>
        <v>-69.5</v>
      </c>
      <c r="M70" s="402">
        <f t="shared" si="24"/>
        <v>-80.07810608055688</v>
      </c>
      <c r="N70" s="401"/>
      <c r="O70" s="399">
        <f>+'Residential Commodity Revenue'!O72</f>
        <v>-69.5</v>
      </c>
      <c r="P70" s="402">
        <f t="shared" si="25"/>
        <v>-103.35137054527856</v>
      </c>
      <c r="Q70" s="401"/>
      <c r="R70" s="405">
        <f t="shared" si="27"/>
        <v>-69.5</v>
      </c>
      <c r="S70" s="90">
        <f t="shared" si="28"/>
        <v>-278.1945942617992</v>
      </c>
    </row>
    <row r="71" spans="2:19" ht="12.75">
      <c r="B71" s="64">
        <f>SUM(B61:B70)</f>
        <v>1</v>
      </c>
      <c r="C71" s="65"/>
      <c r="D71" s="66">
        <f>+'Sno-King Waste Stream Report'!F22</f>
        <v>20.97</v>
      </c>
      <c r="E71" s="66">
        <f>+'Sno-King Waste Stream Report'!G22</f>
        <v>17.72</v>
      </c>
      <c r="F71" s="66">
        <f>+'Sno-King Waste Stream Report'!H22</f>
        <v>22.87</v>
      </c>
      <c r="G71" s="66">
        <f>SUM(G61:G70)</f>
        <v>61.559999999999995</v>
      </c>
      <c r="H71" s="66"/>
      <c r="I71" s="66"/>
      <c r="J71" s="99">
        <f>SUM(J61:J70)</f>
        <v>1191.812245612778</v>
      </c>
      <c r="K71" s="89"/>
      <c r="L71" s="100"/>
      <c r="M71" s="99">
        <f>SUM(M61:M70)</f>
        <v>1042.921107814453</v>
      </c>
      <c r="N71" s="89"/>
      <c r="O71" s="100"/>
      <c r="P71" s="99">
        <f>SUM(P61:P70)</f>
        <v>1353.716219946736</v>
      </c>
      <c r="R71" s="68">
        <f t="shared" si="27"/>
        <v>58.291903401136565</v>
      </c>
      <c r="S71" s="99">
        <f>SUM(S61:S70)</f>
        <v>3588.449573373967</v>
      </c>
    </row>
    <row r="73" spans="1:9" ht="14.25">
      <c r="A73" s="323" t="s">
        <v>111</v>
      </c>
      <c r="B73" s="360"/>
      <c r="C73" s="360"/>
      <c r="D73" s="360"/>
      <c r="E73" s="360"/>
      <c r="F73" s="360"/>
      <c r="G73" s="360"/>
      <c r="H73" s="360"/>
      <c r="I73" s="360"/>
    </row>
    <row r="75" spans="1:19" ht="12.75">
      <c r="A75" s="4"/>
      <c r="B75" s="4" t="s">
        <v>41</v>
      </c>
      <c r="C75" s="4"/>
      <c r="D75" s="432" t="s">
        <v>45</v>
      </c>
      <c r="E75" s="432"/>
      <c r="F75" s="432"/>
      <c r="G75" s="432"/>
      <c r="H75" s="4"/>
      <c r="I75" s="433" t="s">
        <v>108</v>
      </c>
      <c r="J75" s="433"/>
      <c r="K75" s="4"/>
      <c r="L75" s="433" t="s">
        <v>10</v>
      </c>
      <c r="M75" s="433"/>
      <c r="N75" s="4"/>
      <c r="O75" s="433" t="s">
        <v>109</v>
      </c>
      <c r="P75" s="433"/>
      <c r="R75" s="432" t="s">
        <v>121</v>
      </c>
      <c r="S75" s="432"/>
    </row>
    <row r="76" spans="1:19" ht="12.75">
      <c r="A76" s="6" t="s">
        <v>92</v>
      </c>
      <c r="B76" s="6" t="s">
        <v>42</v>
      </c>
      <c r="C76" s="6"/>
      <c r="D76" s="327" t="s">
        <v>108</v>
      </c>
      <c r="E76" s="327" t="s">
        <v>10</v>
      </c>
      <c r="F76" s="327" t="s">
        <v>109</v>
      </c>
      <c r="G76" s="328" t="s">
        <v>14</v>
      </c>
      <c r="H76" s="6"/>
      <c r="I76" s="6" t="s">
        <v>46</v>
      </c>
      <c r="J76" s="328" t="s">
        <v>47</v>
      </c>
      <c r="K76" s="6"/>
      <c r="L76" s="6" t="s">
        <v>46</v>
      </c>
      <c r="M76" s="328" t="s">
        <v>47</v>
      </c>
      <c r="N76" s="6"/>
      <c r="O76" s="6" t="s">
        <v>46</v>
      </c>
      <c r="P76" s="328" t="s">
        <v>47</v>
      </c>
      <c r="R76" s="6" t="s">
        <v>46</v>
      </c>
      <c r="S76" s="6" t="s">
        <v>47</v>
      </c>
    </row>
    <row r="77" spans="7:16" ht="12.75">
      <c r="G77" s="329"/>
      <c r="J77" s="329"/>
      <c r="M77" s="329"/>
      <c r="P77" s="329"/>
    </row>
    <row r="78" spans="1:19" ht="12.75">
      <c r="A78" s="135" t="s">
        <v>5</v>
      </c>
      <c r="B78" s="3">
        <f>+'Residential Commodity Revenue'!B80</f>
        <v>0.37831898600263314</v>
      </c>
      <c r="D78" s="61">
        <f aca="true" t="shared" si="29" ref="D78:F87">+$B78*D$88</f>
        <v>7.362087467611241</v>
      </c>
      <c r="E78" s="61">
        <f t="shared" si="29"/>
        <v>9.276381536784564</v>
      </c>
      <c r="F78" s="61">
        <f t="shared" si="29"/>
        <v>10.520022627774132</v>
      </c>
      <c r="G78" s="330">
        <f>SUM(D78:F78)</f>
        <v>27.158491632169937</v>
      </c>
      <c r="I78" s="67">
        <f>+I26</f>
        <v>76.23</v>
      </c>
      <c r="J78" s="332">
        <f aca="true" t="shared" si="30" ref="J78:J87">+I78*D78</f>
        <v>561.211927656005</v>
      </c>
      <c r="L78" s="67">
        <f>+L26</f>
        <v>77.77</v>
      </c>
      <c r="M78" s="332">
        <f aca="true" t="shared" si="31" ref="M78:M87">+L78*E78</f>
        <v>721.4241921157355</v>
      </c>
      <c r="N78" s="67"/>
      <c r="O78" s="67">
        <f>+O26</f>
        <v>76.62</v>
      </c>
      <c r="P78" s="332">
        <f aca="true" t="shared" si="32" ref="P78:P87">+O78*F78</f>
        <v>806.044133740054</v>
      </c>
      <c r="R78" s="67">
        <f>+S78/G78</f>
        <v>76.90707870674595</v>
      </c>
      <c r="S78" s="98">
        <f>+P78+M78+J78</f>
        <v>2088.6802535117945</v>
      </c>
    </row>
    <row r="79" spans="1:19" ht="12.75">
      <c r="A79" s="135" t="s">
        <v>2</v>
      </c>
      <c r="B79" s="3">
        <f>+'Residential Commodity Revenue'!B81</f>
        <v>0.3288998508431193</v>
      </c>
      <c r="D79" s="61">
        <f t="shared" si="29"/>
        <v>6.400391097407102</v>
      </c>
      <c r="E79" s="61">
        <f t="shared" si="29"/>
        <v>8.064624342673286</v>
      </c>
      <c r="F79" s="61">
        <f t="shared" si="29"/>
        <v>9.145810813515633</v>
      </c>
      <c r="G79" s="330">
        <f aca="true" t="shared" si="33" ref="G79:G86">SUM(D79:F79)</f>
        <v>23.61082625359602</v>
      </c>
      <c r="I79" s="67">
        <f aca="true" t="shared" si="34" ref="I79:I87">+I27</f>
        <v>98.55</v>
      </c>
      <c r="J79" s="336">
        <f t="shared" si="30"/>
        <v>630.7585426494699</v>
      </c>
      <c r="L79" s="67">
        <f aca="true" t="shared" si="35" ref="L79:L87">+L27</f>
        <v>101.07</v>
      </c>
      <c r="M79" s="336">
        <f t="shared" si="31"/>
        <v>815.091582313989</v>
      </c>
      <c r="O79" s="67">
        <f aca="true" t="shared" si="36" ref="O79:O87">+O27</f>
        <v>100.22</v>
      </c>
      <c r="P79" s="336">
        <f t="shared" si="32"/>
        <v>916.5931597305367</v>
      </c>
      <c r="R79" s="67">
        <f aca="true" t="shared" si="37" ref="R79:R88">+S79/G79</f>
        <v>100.05762862001436</v>
      </c>
      <c r="S79" s="7">
        <f aca="true" t="shared" si="38" ref="S79:S87">+P79+M79+J79</f>
        <v>2362.4432846939953</v>
      </c>
    </row>
    <row r="80" spans="1:19" ht="12.75">
      <c r="A80" s="135" t="s">
        <v>0</v>
      </c>
      <c r="B80" s="3">
        <f>+'Residential Commodity Revenue'!B82</f>
        <v>0.009539177493177916</v>
      </c>
      <c r="D80" s="61">
        <f t="shared" si="29"/>
        <v>0.18563239401724227</v>
      </c>
      <c r="E80" s="61">
        <f t="shared" si="29"/>
        <v>0.2339006321327225</v>
      </c>
      <c r="F80" s="61">
        <f t="shared" si="29"/>
        <v>0.2652585960300891</v>
      </c>
      <c r="G80" s="330">
        <f t="shared" si="33"/>
        <v>0.6847916221800538</v>
      </c>
      <c r="I80" s="67">
        <f t="shared" si="34"/>
        <v>1176.82</v>
      </c>
      <c r="J80" s="336">
        <f t="shared" si="30"/>
        <v>218.45591392737103</v>
      </c>
      <c r="L80" s="67">
        <f t="shared" si="35"/>
        <v>1146.77</v>
      </c>
      <c r="M80" s="336">
        <f t="shared" si="31"/>
        <v>268.2302279108422</v>
      </c>
      <c r="O80" s="67">
        <f t="shared" si="36"/>
        <v>1152.56</v>
      </c>
      <c r="P80" s="336">
        <f t="shared" si="32"/>
        <v>305.7264474404395</v>
      </c>
      <c r="R80" s="67">
        <f t="shared" si="37"/>
        <v>1157.1587087411854</v>
      </c>
      <c r="S80" s="7">
        <f t="shared" si="38"/>
        <v>792.4125892786527</v>
      </c>
    </row>
    <row r="81" spans="1:19" ht="12.75">
      <c r="A81" s="135" t="s">
        <v>3</v>
      </c>
      <c r="B81" s="3">
        <f>+'Residential Commodity Revenue'!B83</f>
        <v>0.01653389737262293</v>
      </c>
      <c r="D81" s="61">
        <f t="shared" si="29"/>
        <v>0.32174964287124225</v>
      </c>
      <c r="E81" s="61">
        <f t="shared" si="29"/>
        <v>0.40541116357671425</v>
      </c>
      <c r="F81" s="61">
        <f t="shared" si="29"/>
        <v>0.4597627423437794</v>
      </c>
      <c r="G81" s="330">
        <f t="shared" si="33"/>
        <v>1.1869235487917358</v>
      </c>
      <c r="I81" s="67">
        <f t="shared" si="34"/>
        <v>48.27</v>
      </c>
      <c r="J81" s="336">
        <f t="shared" si="30"/>
        <v>15.530855261394864</v>
      </c>
      <c r="L81" s="67">
        <f t="shared" si="35"/>
        <v>43.75</v>
      </c>
      <c r="M81" s="336">
        <f t="shared" si="31"/>
        <v>17.736738406481248</v>
      </c>
      <c r="O81" s="67">
        <f t="shared" si="36"/>
        <v>45.54</v>
      </c>
      <c r="P81" s="336">
        <f t="shared" si="32"/>
        <v>20.937595286335714</v>
      </c>
      <c r="R81" s="67">
        <f t="shared" si="37"/>
        <v>45.66864395722168</v>
      </c>
      <c r="S81" s="7">
        <f t="shared" si="38"/>
        <v>54.20518895421182</v>
      </c>
    </row>
    <row r="82" spans="1:19" ht="12.75">
      <c r="A82" s="135" t="s">
        <v>1</v>
      </c>
      <c r="B82" s="3">
        <f>+'Residential Commodity Revenue'!B84</f>
        <v>0.17605425341548833</v>
      </c>
      <c r="D82" s="61">
        <f t="shared" si="29"/>
        <v>3.426015771465403</v>
      </c>
      <c r="E82" s="61">
        <f t="shared" si="29"/>
        <v>4.316850293747774</v>
      </c>
      <c r="F82" s="61">
        <f t="shared" si="29"/>
        <v>4.895590224578176</v>
      </c>
      <c r="G82" s="330">
        <f t="shared" si="33"/>
        <v>12.638456289791353</v>
      </c>
      <c r="I82" s="67">
        <f t="shared" si="34"/>
        <v>-43.35</v>
      </c>
      <c r="J82" s="336">
        <f t="shared" si="30"/>
        <v>-148.51778369302522</v>
      </c>
      <c r="L82" s="67">
        <f t="shared" si="35"/>
        <v>-43.35</v>
      </c>
      <c r="M82" s="336">
        <f t="shared" si="31"/>
        <v>-187.13546023396603</v>
      </c>
      <c r="O82" s="67">
        <f t="shared" si="36"/>
        <v>-43.35</v>
      </c>
      <c r="P82" s="336">
        <f t="shared" si="32"/>
        <v>-212.22383623546392</v>
      </c>
      <c r="R82" s="399">
        <f t="shared" si="37"/>
        <v>-43.35</v>
      </c>
      <c r="S82" s="7">
        <f t="shared" si="38"/>
        <v>-547.8770801624552</v>
      </c>
    </row>
    <row r="83" spans="1:19" ht="12.75">
      <c r="A83" s="135" t="s">
        <v>6</v>
      </c>
      <c r="B83" s="3">
        <f>+'Residential Commodity Revenue'!B85</f>
        <v>0.00900477938514586</v>
      </c>
      <c r="D83" s="61">
        <f t="shared" si="29"/>
        <v>0.17523300683493845</v>
      </c>
      <c r="E83" s="61">
        <f t="shared" si="29"/>
        <v>0.2207971905237765</v>
      </c>
      <c r="F83" s="61">
        <f t="shared" si="29"/>
        <v>0.25039843728379296</v>
      </c>
      <c r="G83" s="330">
        <f t="shared" si="33"/>
        <v>0.6464286346425079</v>
      </c>
      <c r="I83" s="67">
        <f t="shared" si="34"/>
        <v>130.5</v>
      </c>
      <c r="J83" s="336">
        <f t="shared" si="30"/>
        <v>22.867907391959466</v>
      </c>
      <c r="L83" s="67">
        <f t="shared" si="35"/>
        <v>290</v>
      </c>
      <c r="M83" s="336">
        <f t="shared" si="31"/>
        <v>64.03118525189518</v>
      </c>
      <c r="O83" s="67">
        <f t="shared" si="36"/>
        <v>301.07</v>
      </c>
      <c r="P83" s="336">
        <f t="shared" si="32"/>
        <v>75.38745751303155</v>
      </c>
      <c r="R83" s="399">
        <f t="shared" si="37"/>
        <v>251.05099226712778</v>
      </c>
      <c r="S83" s="7">
        <f t="shared" si="38"/>
        <v>162.28655015688622</v>
      </c>
    </row>
    <row r="84" spans="1:19" ht="12.75">
      <c r="A84" s="135" t="s">
        <v>98</v>
      </c>
      <c r="B84" s="3">
        <f>+'Residential Commodity Revenue'!B86</f>
        <v>0.009217690715715396</v>
      </c>
      <c r="D84" s="61">
        <f t="shared" si="29"/>
        <v>0.1793762613278216</v>
      </c>
      <c r="E84" s="61">
        <f t="shared" si="29"/>
        <v>0.2260177763493415</v>
      </c>
      <c r="F84" s="61">
        <f t="shared" si="29"/>
        <v>0.2563189226365567</v>
      </c>
      <c r="G84" s="330">
        <f t="shared" si="33"/>
        <v>0.6617129603137197</v>
      </c>
      <c r="I84" s="67">
        <f t="shared" si="34"/>
        <v>97.34</v>
      </c>
      <c r="J84" s="336">
        <f t="shared" si="30"/>
        <v>17.460485277650157</v>
      </c>
      <c r="L84" s="67">
        <f t="shared" si="35"/>
        <v>130</v>
      </c>
      <c r="M84" s="336">
        <f t="shared" si="31"/>
        <v>29.382310925414394</v>
      </c>
      <c r="O84" s="67">
        <f t="shared" si="36"/>
        <v>140</v>
      </c>
      <c r="P84" s="336">
        <f t="shared" si="32"/>
        <v>35.884649169117935</v>
      </c>
      <c r="R84" s="399">
        <f t="shared" si="37"/>
        <v>125.02013763333453</v>
      </c>
      <c r="S84" s="7">
        <f t="shared" si="38"/>
        <v>82.72744537218247</v>
      </c>
    </row>
    <row r="85" spans="1:19" ht="12.75">
      <c r="A85" s="135" t="s">
        <v>99</v>
      </c>
      <c r="B85" s="3">
        <f>+'Residential Commodity Revenue'!B87</f>
        <v>0.005153715067952</v>
      </c>
      <c r="D85" s="61">
        <f t="shared" si="29"/>
        <v>0.10029129522234592</v>
      </c>
      <c r="E85" s="61">
        <f t="shared" si="29"/>
        <v>0.12636909346618302</v>
      </c>
      <c r="F85" s="61">
        <f t="shared" si="29"/>
        <v>0.1433108068532891</v>
      </c>
      <c r="G85" s="330">
        <f t="shared" si="33"/>
        <v>0.369971195541818</v>
      </c>
      <c r="I85" s="67">
        <f t="shared" si="34"/>
        <v>252.7</v>
      </c>
      <c r="J85" s="336">
        <f t="shared" si="30"/>
        <v>25.343610302686812</v>
      </c>
      <c r="L85" s="67">
        <f t="shared" si="35"/>
        <v>330</v>
      </c>
      <c r="M85" s="336">
        <f t="shared" si="31"/>
        <v>41.701800843840395</v>
      </c>
      <c r="O85" s="67">
        <f t="shared" si="36"/>
        <v>330</v>
      </c>
      <c r="P85" s="336">
        <f t="shared" si="32"/>
        <v>47.2925662615854</v>
      </c>
      <c r="R85" s="399">
        <f t="shared" si="37"/>
        <v>309.04561972903355</v>
      </c>
      <c r="S85" s="7">
        <f t="shared" si="38"/>
        <v>114.33797740811261</v>
      </c>
    </row>
    <row r="86" spans="1:19" ht="12.75">
      <c r="A86" s="135" t="s">
        <v>100</v>
      </c>
      <c r="B86" s="3">
        <f>+'Residential Commodity Revenue'!B88</f>
        <v>0.007785117151515676</v>
      </c>
      <c r="D86" s="61">
        <f t="shared" si="29"/>
        <v>0.15149837976849506</v>
      </c>
      <c r="E86" s="61">
        <f t="shared" si="29"/>
        <v>0.19089107255516438</v>
      </c>
      <c r="F86" s="61">
        <f t="shared" si="29"/>
        <v>0.21648294593718162</v>
      </c>
      <c r="G86" s="330">
        <f t="shared" si="33"/>
        <v>0.5588723982608411</v>
      </c>
      <c r="I86" s="67">
        <f t="shared" si="34"/>
        <v>7.17</v>
      </c>
      <c r="J86" s="336">
        <f t="shared" si="30"/>
        <v>1.0862433829401097</v>
      </c>
      <c r="L86" s="67">
        <f t="shared" si="35"/>
        <v>0</v>
      </c>
      <c r="M86" s="336">
        <f t="shared" si="31"/>
        <v>0</v>
      </c>
      <c r="O86" s="67">
        <f t="shared" si="36"/>
        <v>0</v>
      </c>
      <c r="P86" s="336">
        <f t="shared" si="32"/>
        <v>0</v>
      </c>
      <c r="R86" s="399">
        <f t="shared" si="37"/>
        <v>1.943633978561829</v>
      </c>
      <c r="S86" s="7">
        <f t="shared" si="38"/>
        <v>1.0862433829401097</v>
      </c>
    </row>
    <row r="87" spans="1:19" ht="15">
      <c r="A87" s="2" t="s">
        <v>4</v>
      </c>
      <c r="B87" s="63">
        <f>+'Residential Commodity Revenue'!B89</f>
        <v>0.059492532552629505</v>
      </c>
      <c r="D87" s="62">
        <f t="shared" si="29"/>
        <v>1.1577246834741701</v>
      </c>
      <c r="E87" s="62">
        <f t="shared" si="29"/>
        <v>1.4587568981904755</v>
      </c>
      <c r="F87" s="62">
        <f t="shared" si="29"/>
        <v>1.654325613552198</v>
      </c>
      <c r="G87" s="331">
        <f>SUM(D87:F87)</f>
        <v>4.270807195216843</v>
      </c>
      <c r="I87" s="67">
        <f t="shared" si="34"/>
        <v>-69.5</v>
      </c>
      <c r="J87" s="337">
        <f t="shared" si="30"/>
        <v>-80.46186550145482</v>
      </c>
      <c r="L87" s="67">
        <f t="shared" si="35"/>
        <v>-69.5</v>
      </c>
      <c r="M87" s="337">
        <f t="shared" si="31"/>
        <v>-101.38360442423804</v>
      </c>
      <c r="O87" s="67">
        <f t="shared" si="36"/>
        <v>-69.5</v>
      </c>
      <c r="P87" s="337">
        <f t="shared" si="32"/>
        <v>-114.97563014187776</v>
      </c>
      <c r="R87" s="405">
        <f t="shared" si="37"/>
        <v>-69.5</v>
      </c>
      <c r="S87" s="90">
        <f t="shared" si="38"/>
        <v>-296.8211000675706</v>
      </c>
    </row>
    <row r="88" spans="2:19" ht="12.75">
      <c r="B88" s="64">
        <f>SUM(B78:B87)</f>
        <v>1</v>
      </c>
      <c r="C88" s="65"/>
      <c r="D88" s="66">
        <f>+'Sno-King Waste Stream Report'!I22</f>
        <v>19.46</v>
      </c>
      <c r="E88" s="66">
        <f>+'Sno-King Waste Stream Report'!J22</f>
        <v>24.52</v>
      </c>
      <c r="F88" s="66">
        <f>+'Sno-King Waste Stream Report'!K22</f>
        <v>27.807281730504826</v>
      </c>
      <c r="G88" s="66">
        <f>SUM(G78:G87)</f>
        <v>71.78728173050484</v>
      </c>
      <c r="H88" s="66"/>
      <c r="I88" s="66"/>
      <c r="J88" s="99">
        <f>SUM(J78:J87)</f>
        <v>1263.7358366549975</v>
      </c>
      <c r="K88" s="413"/>
      <c r="L88" s="414"/>
      <c r="M88" s="99">
        <f>SUM(M78:M87)</f>
        <v>1669.0789731099935</v>
      </c>
      <c r="N88" s="413"/>
      <c r="O88" s="414"/>
      <c r="P88" s="99">
        <f>SUM(P78:P87)</f>
        <v>1880.6665427637588</v>
      </c>
      <c r="R88" s="68">
        <f t="shared" si="37"/>
        <v>67.05200749345738</v>
      </c>
      <c r="S88" s="99">
        <f>SUM(S78:S87)</f>
        <v>4813.481352528747</v>
      </c>
    </row>
    <row r="89" ht="12.75">
      <c r="M89" s="412"/>
    </row>
    <row r="90" spans="1:9" ht="14.25">
      <c r="A90" s="323" t="s">
        <v>126</v>
      </c>
      <c r="B90" s="360"/>
      <c r="C90" s="360"/>
      <c r="D90" s="360"/>
      <c r="E90" s="360"/>
      <c r="F90" s="360"/>
      <c r="G90" s="360"/>
      <c r="H90" s="360"/>
      <c r="I90" s="360"/>
    </row>
    <row r="92" spans="1:19" ht="12.75">
      <c r="A92" s="4"/>
      <c r="B92" s="4" t="s">
        <v>41</v>
      </c>
      <c r="C92" s="4"/>
      <c r="D92" s="432" t="s">
        <v>45</v>
      </c>
      <c r="E92" s="432"/>
      <c r="F92" s="432"/>
      <c r="G92" s="432"/>
      <c r="H92" s="4"/>
      <c r="I92" s="433" t="s">
        <v>12</v>
      </c>
      <c r="J92" s="433"/>
      <c r="K92" s="4"/>
      <c r="L92" s="433" t="s">
        <v>16</v>
      </c>
      <c r="M92" s="433"/>
      <c r="N92" s="4"/>
      <c r="O92" s="433" t="s">
        <v>17</v>
      </c>
      <c r="P92" s="433"/>
      <c r="R92" s="432" t="s">
        <v>125</v>
      </c>
      <c r="S92" s="432"/>
    </row>
    <row r="93" spans="1:19" ht="12.75">
      <c r="A93" s="6" t="s">
        <v>92</v>
      </c>
      <c r="B93" s="6" t="s">
        <v>42</v>
      </c>
      <c r="C93" s="6"/>
      <c r="D93" s="327" t="s">
        <v>12</v>
      </c>
      <c r="E93" s="327" t="s">
        <v>16</v>
      </c>
      <c r="F93" s="327" t="s">
        <v>123</v>
      </c>
      <c r="G93" s="328" t="s">
        <v>14</v>
      </c>
      <c r="H93" s="6"/>
      <c r="I93" s="6" t="s">
        <v>46</v>
      </c>
      <c r="J93" s="328" t="s">
        <v>47</v>
      </c>
      <c r="K93" s="6"/>
      <c r="L93" s="6" t="s">
        <v>46</v>
      </c>
      <c r="M93" s="328" t="s">
        <v>47</v>
      </c>
      <c r="N93" s="6"/>
      <c r="O93" s="6" t="s">
        <v>46</v>
      </c>
      <c r="P93" s="328" t="s">
        <v>47</v>
      </c>
      <c r="R93" s="6" t="s">
        <v>46</v>
      </c>
      <c r="S93" s="6" t="s">
        <v>47</v>
      </c>
    </row>
    <row r="94" spans="7:16" ht="12.75">
      <c r="G94" s="329"/>
      <c r="J94" s="329"/>
      <c r="M94" s="329"/>
      <c r="P94" s="329"/>
    </row>
    <row r="95" spans="1:19" ht="12.75">
      <c r="A95" s="135" t="s">
        <v>5</v>
      </c>
      <c r="B95" s="3">
        <f>+'Residential Commodity Revenue'!B97</f>
        <v>0.35815590039696854</v>
      </c>
      <c r="D95" s="61">
        <f aca="true" t="shared" si="39" ref="D95:F104">+$B95*D$105</f>
        <v>10.730350775893179</v>
      </c>
      <c r="E95" s="61">
        <f t="shared" si="39"/>
        <v>11.0347832912306</v>
      </c>
      <c r="F95" s="61">
        <f t="shared" si="39"/>
        <v>9.91017376398412</v>
      </c>
      <c r="G95" s="330">
        <f>SUM(D95:F95)</f>
        <v>31.6753078311079</v>
      </c>
      <c r="I95" s="67">
        <f>+'Residential Commodity Revenue'!I97</f>
        <v>76.07</v>
      </c>
      <c r="J95" s="336">
        <f aca="true" t="shared" si="40" ref="J95:J104">+I95*D95</f>
        <v>816.257783522194</v>
      </c>
      <c r="L95" s="67">
        <f>+'Residential Commodity Revenue'!L97</f>
        <v>73.4</v>
      </c>
      <c r="M95" s="332">
        <f aca="true" t="shared" si="41" ref="M95:M104">+L95*E95</f>
        <v>809.9530935763261</v>
      </c>
      <c r="N95" s="67"/>
      <c r="O95" s="67">
        <f>+'Residential Commodity Revenue'!O97</f>
        <v>71.47</v>
      </c>
      <c r="P95" s="332">
        <f aca="true" t="shared" si="42" ref="P95:P104">+O95*F95</f>
        <v>708.2801189119451</v>
      </c>
      <c r="R95" s="67">
        <f>+S95/G95</f>
        <v>73.70065694255992</v>
      </c>
      <c r="S95" s="98">
        <f>+P95+M95+J95</f>
        <v>2334.490996010465</v>
      </c>
    </row>
    <row r="96" spans="1:19" ht="12.75">
      <c r="A96" s="135" t="s">
        <v>2</v>
      </c>
      <c r="B96" s="3">
        <f>+'Residential Commodity Revenue'!B98</f>
        <v>0.3521255864308913</v>
      </c>
      <c r="D96" s="61">
        <f t="shared" si="39"/>
        <v>10.549682569469503</v>
      </c>
      <c r="E96" s="61">
        <f t="shared" si="39"/>
        <v>10.84898931793576</v>
      </c>
      <c r="F96" s="61">
        <f t="shared" si="39"/>
        <v>9.743314976542763</v>
      </c>
      <c r="G96" s="330">
        <f aca="true" t="shared" si="43" ref="G96:G103">SUM(D96:F96)</f>
        <v>31.141986863948027</v>
      </c>
      <c r="I96" s="67">
        <f>+'Residential Commodity Revenue'!I98</f>
        <v>101.06</v>
      </c>
      <c r="J96" s="336">
        <f t="shared" si="40"/>
        <v>1066.150920470588</v>
      </c>
      <c r="L96" s="67">
        <f>+'Residential Commodity Revenue'!L98</f>
        <v>98.97</v>
      </c>
      <c r="M96" s="336">
        <f t="shared" si="41"/>
        <v>1073.7244727961022</v>
      </c>
      <c r="O96" s="67">
        <f>+'Residential Commodity Revenue'!O98</f>
        <v>96.62</v>
      </c>
      <c r="P96" s="336">
        <f t="shared" si="42"/>
        <v>941.3990930335618</v>
      </c>
      <c r="R96" s="67">
        <f aca="true" t="shared" si="44" ref="R96:R105">+S96/G96</f>
        <v>98.94277137042063</v>
      </c>
      <c r="S96" s="7">
        <f aca="true" t="shared" si="45" ref="S96:S104">+P96+M96+J96</f>
        <v>3081.274486300252</v>
      </c>
    </row>
    <row r="97" spans="1:19" ht="12.75">
      <c r="A97" s="135" t="s">
        <v>0</v>
      </c>
      <c r="B97" s="3">
        <f>+'Residential Commodity Revenue'!B99</f>
        <v>0.00824612053410321</v>
      </c>
      <c r="D97" s="61">
        <f t="shared" si="39"/>
        <v>0.2470537712017322</v>
      </c>
      <c r="E97" s="61">
        <f t="shared" si="39"/>
        <v>0.2540629736557199</v>
      </c>
      <c r="F97" s="61">
        <f t="shared" si="39"/>
        <v>0.22817015517863584</v>
      </c>
      <c r="G97" s="330">
        <f t="shared" si="43"/>
        <v>0.7292869000360879</v>
      </c>
      <c r="I97" s="67">
        <f>+'Residential Commodity Revenue'!I99</f>
        <v>1225.08</v>
      </c>
      <c r="J97" s="336">
        <f t="shared" si="40"/>
        <v>302.66063402381803</v>
      </c>
      <c r="L97" s="67">
        <f>+'Residential Commodity Revenue'!L99</f>
        <v>1191.3</v>
      </c>
      <c r="M97" s="336">
        <f t="shared" si="41"/>
        <v>302.6652205160591</v>
      </c>
      <c r="O97" s="67">
        <f>+'Residential Commodity Revenue'!O99</f>
        <v>959.82</v>
      </c>
      <c r="P97" s="336">
        <f t="shared" si="42"/>
        <v>219.00227834355826</v>
      </c>
      <c r="R97" s="67">
        <f t="shared" si="44"/>
        <v>1130.320773405699</v>
      </c>
      <c r="S97" s="7">
        <f t="shared" si="45"/>
        <v>824.3281328834354</v>
      </c>
    </row>
    <row r="98" spans="1:19" ht="12.75">
      <c r="A98" s="135" t="s">
        <v>3</v>
      </c>
      <c r="B98" s="3">
        <f>+'Residential Commodity Revenue'!B100</f>
        <v>0.01475279682425117</v>
      </c>
      <c r="D98" s="61">
        <f t="shared" si="39"/>
        <v>0.441993792854565</v>
      </c>
      <c r="E98" s="61">
        <f t="shared" si="39"/>
        <v>0.4545336701551785</v>
      </c>
      <c r="F98" s="61">
        <f t="shared" si="39"/>
        <v>0.4082098881270299</v>
      </c>
      <c r="G98" s="330">
        <f t="shared" si="43"/>
        <v>1.3047373511367735</v>
      </c>
      <c r="I98" s="67">
        <f>+'Residential Commodity Revenue'!I100</f>
        <v>67.86</v>
      </c>
      <c r="J98" s="336">
        <f t="shared" si="40"/>
        <v>29.993698783110784</v>
      </c>
      <c r="L98" s="67">
        <f>+'Residential Commodity Revenue'!L100</f>
        <v>90.18</v>
      </c>
      <c r="M98" s="336">
        <f t="shared" si="41"/>
        <v>40.989846374594</v>
      </c>
      <c r="O98" s="67">
        <f>+'Residential Commodity Revenue'!O100</f>
        <v>72.32</v>
      </c>
      <c r="P98" s="336">
        <f t="shared" si="42"/>
        <v>29.5217391093468</v>
      </c>
      <c r="R98" s="67">
        <f t="shared" si="44"/>
        <v>77.03104703753958</v>
      </c>
      <c r="S98" s="7">
        <f t="shared" si="45"/>
        <v>100.5052842670516</v>
      </c>
    </row>
    <row r="99" spans="1:19" ht="12.75">
      <c r="A99" s="135" t="s">
        <v>1</v>
      </c>
      <c r="B99" s="3">
        <f>+'Residential Commodity Revenue'!B101</f>
        <v>0.1892998917358354</v>
      </c>
      <c r="D99" s="61">
        <f t="shared" si="39"/>
        <v>5.671424756405629</v>
      </c>
      <c r="E99" s="61">
        <f t="shared" si="39"/>
        <v>5.8323296643810885</v>
      </c>
      <c r="F99" s="61">
        <f t="shared" si="39"/>
        <v>5.237928004330565</v>
      </c>
      <c r="G99" s="330">
        <f t="shared" si="43"/>
        <v>16.741682425117283</v>
      </c>
      <c r="I99" s="67">
        <f>+'Residential Commodity Revenue'!I101</f>
        <v>-43.35</v>
      </c>
      <c r="J99" s="336">
        <f t="shared" si="40"/>
        <v>-245.85626319018402</v>
      </c>
      <c r="L99" s="67">
        <f>+'Residential Commodity Revenue'!L101</f>
        <v>-53.04</v>
      </c>
      <c r="M99" s="336">
        <f t="shared" si="41"/>
        <v>-309.3467653987729</v>
      </c>
      <c r="O99" s="67">
        <f>+'Residential Commodity Revenue'!O101</f>
        <v>-53.04</v>
      </c>
      <c r="P99" s="336">
        <f t="shared" si="42"/>
        <v>-277.81970134969316</v>
      </c>
      <c r="R99" s="399">
        <f t="shared" si="44"/>
        <v>-49.75740841248304</v>
      </c>
      <c r="S99" s="7">
        <f t="shared" si="45"/>
        <v>-833.0227299386501</v>
      </c>
    </row>
    <row r="100" spans="1:19" ht="12.75">
      <c r="A100" s="135" t="s">
        <v>6</v>
      </c>
      <c r="B100" s="3">
        <f>+'Residential Commodity Revenue'!B102</f>
        <v>0.007221219776254059</v>
      </c>
      <c r="D100" s="61">
        <f t="shared" si="39"/>
        <v>0.21634774449657163</v>
      </c>
      <c r="E100" s="61">
        <f t="shared" si="39"/>
        <v>0.22248578130638755</v>
      </c>
      <c r="F100" s="61">
        <f t="shared" si="39"/>
        <v>0.19981115120894982</v>
      </c>
      <c r="G100" s="330">
        <f t="shared" si="43"/>
        <v>0.638644677011909</v>
      </c>
      <c r="I100" s="67">
        <f>+'Residential Commodity Revenue'!I102</f>
        <v>316.84</v>
      </c>
      <c r="J100" s="336">
        <f t="shared" si="40"/>
        <v>68.54761936629374</v>
      </c>
      <c r="L100" s="67">
        <f>+'Residential Commodity Revenue'!L102</f>
        <v>296.58</v>
      </c>
      <c r="M100" s="336">
        <f t="shared" si="41"/>
        <v>65.98483301984841</v>
      </c>
      <c r="O100" s="67">
        <f>+'Residential Commodity Revenue'!O102</f>
        <v>335.46</v>
      </c>
      <c r="P100" s="336">
        <f t="shared" si="42"/>
        <v>67.0286487845543</v>
      </c>
      <c r="R100" s="399">
        <f t="shared" si="44"/>
        <v>315.60758028041613</v>
      </c>
      <c r="S100" s="7">
        <f t="shared" si="45"/>
        <v>201.56110117069647</v>
      </c>
    </row>
    <row r="101" spans="1:19" ht="12.75">
      <c r="A101" s="135" t="s">
        <v>98</v>
      </c>
      <c r="B101" s="3">
        <f>+'Residential Commodity Revenue'!B103</f>
        <v>0.007892457596535545</v>
      </c>
      <c r="D101" s="61">
        <f t="shared" si="39"/>
        <v>0.23645802959220494</v>
      </c>
      <c r="E101" s="61">
        <f t="shared" si="39"/>
        <v>0.24316661854926014</v>
      </c>
      <c r="F101" s="61">
        <f t="shared" si="39"/>
        <v>0.21838430169613854</v>
      </c>
      <c r="G101" s="330">
        <f t="shared" si="43"/>
        <v>0.6980089498376036</v>
      </c>
      <c r="I101" s="67">
        <f>+'Residential Commodity Revenue'!I103</f>
        <v>120</v>
      </c>
      <c r="J101" s="336">
        <f t="shared" si="40"/>
        <v>28.374963551064592</v>
      </c>
      <c r="L101" s="67">
        <f>+'Residential Commodity Revenue'!L103</f>
        <v>126.03</v>
      </c>
      <c r="M101" s="336">
        <f t="shared" si="41"/>
        <v>30.646288935763256</v>
      </c>
      <c r="O101" s="67">
        <f>+'Residential Commodity Revenue'!O103</f>
        <v>162.6</v>
      </c>
      <c r="P101" s="336">
        <f t="shared" si="42"/>
        <v>35.509287455792126</v>
      </c>
      <c r="R101" s="399">
        <f t="shared" si="44"/>
        <v>135.4288364993216</v>
      </c>
      <c r="S101" s="7">
        <f t="shared" si="45"/>
        <v>94.53053994261998</v>
      </c>
    </row>
    <row r="102" spans="1:19" ht="12.75">
      <c r="A102" s="135" t="s">
        <v>99</v>
      </c>
      <c r="B102" s="3">
        <f>+'Residential Commodity Revenue'!B104</f>
        <v>0.004153735113677372</v>
      </c>
      <c r="D102" s="61">
        <f t="shared" si="39"/>
        <v>0.12444590400577406</v>
      </c>
      <c r="E102" s="61">
        <f t="shared" si="39"/>
        <v>0.12797657885239982</v>
      </c>
      <c r="F102" s="61">
        <f t="shared" si="39"/>
        <v>0.11493385059545289</v>
      </c>
      <c r="G102" s="330">
        <f t="shared" si="43"/>
        <v>0.3673563334536267</v>
      </c>
      <c r="I102" s="67">
        <f>+'Residential Commodity Revenue'!I104</f>
        <v>330</v>
      </c>
      <c r="J102" s="336">
        <f t="shared" si="40"/>
        <v>41.06714832190544</v>
      </c>
      <c r="L102" s="67">
        <f>+'Residential Commodity Revenue'!L104</f>
        <v>354.95</v>
      </c>
      <c r="M102" s="336">
        <f t="shared" si="41"/>
        <v>45.425286663659314</v>
      </c>
      <c r="O102" s="67">
        <f>+'Residential Commodity Revenue'!O104</f>
        <v>353.39</v>
      </c>
      <c r="P102" s="336">
        <f t="shared" si="42"/>
        <v>40.61647346192709</v>
      </c>
      <c r="R102" s="399">
        <f t="shared" si="44"/>
        <v>346.0098462234283</v>
      </c>
      <c r="S102" s="7">
        <f t="shared" si="45"/>
        <v>127.10890844749184</v>
      </c>
    </row>
    <row r="103" spans="1:19" ht="12.75">
      <c r="A103" s="135" t="s">
        <v>100</v>
      </c>
      <c r="B103" s="3">
        <f>+'Residential Commodity Revenue'!B105</f>
        <v>0.00593287621797185</v>
      </c>
      <c r="D103" s="61">
        <f t="shared" si="39"/>
        <v>0.17774897149043664</v>
      </c>
      <c r="E103" s="61">
        <f t="shared" si="39"/>
        <v>0.1827919162757127</v>
      </c>
      <c r="F103" s="61">
        <f t="shared" si="39"/>
        <v>0.16416268495128108</v>
      </c>
      <c r="G103" s="330">
        <f t="shared" si="43"/>
        <v>0.5247035727174304</v>
      </c>
      <c r="I103" s="67">
        <f>+'Residential Commodity Revenue'!I105</f>
        <v>0</v>
      </c>
      <c r="J103" s="336">
        <f t="shared" si="40"/>
        <v>0</v>
      </c>
      <c r="L103" s="67">
        <f>+'Residential Commodity Revenue'!L105</f>
        <v>0</v>
      </c>
      <c r="M103" s="336">
        <f t="shared" si="41"/>
        <v>0</v>
      </c>
      <c r="O103" s="67">
        <f>+'Residential Commodity Revenue'!O105</f>
        <v>0</v>
      </c>
      <c r="P103" s="336">
        <f t="shared" si="42"/>
        <v>0</v>
      </c>
      <c r="R103" s="399">
        <f t="shared" si="44"/>
        <v>0</v>
      </c>
      <c r="S103" s="7">
        <f t="shared" si="45"/>
        <v>0</v>
      </c>
    </row>
    <row r="104" spans="1:19" ht="15">
      <c r="A104" s="2" t="s">
        <v>4</v>
      </c>
      <c r="B104" s="63">
        <f>+'Residential Commodity Revenue'!B106</f>
        <v>0.05221941537351135</v>
      </c>
      <c r="D104" s="62">
        <f t="shared" si="39"/>
        <v>1.5644936845904</v>
      </c>
      <c r="E104" s="62">
        <f t="shared" si="39"/>
        <v>1.6088801876578847</v>
      </c>
      <c r="F104" s="62">
        <f t="shared" si="39"/>
        <v>1.4449112233850592</v>
      </c>
      <c r="G104" s="331">
        <f>SUM(D104:F104)</f>
        <v>4.618285095633344</v>
      </c>
      <c r="I104" s="67">
        <f>+'Residential Commodity Revenue'!I106</f>
        <v>-69.5</v>
      </c>
      <c r="J104" s="337">
        <f t="shared" si="40"/>
        <v>-108.7323110790328</v>
      </c>
      <c r="L104" s="67">
        <f>+'Residential Commodity Revenue'!L106</f>
        <v>-69.5</v>
      </c>
      <c r="M104" s="337">
        <f t="shared" si="41"/>
        <v>-111.81717304222299</v>
      </c>
      <c r="O104" s="67">
        <f>+'Residential Commodity Revenue'!O106</f>
        <v>-69.5</v>
      </c>
      <c r="P104" s="337">
        <f t="shared" si="42"/>
        <v>-100.42133002526161</v>
      </c>
      <c r="R104" s="405">
        <f t="shared" si="44"/>
        <v>-69.5</v>
      </c>
      <c r="S104" s="90">
        <f t="shared" si="45"/>
        <v>-320.9708141465174</v>
      </c>
    </row>
    <row r="105" spans="2:19" ht="12.75">
      <c r="B105" s="64">
        <f>SUM(B95:B104)</f>
        <v>0.9999999999999998</v>
      </c>
      <c r="C105" s="65"/>
      <c r="D105" s="66">
        <f>+'Sno-King Waste Stream Report'!L22</f>
        <v>29.96</v>
      </c>
      <c r="E105" s="66">
        <f>+'Sno-King Waste Stream Report'!M22</f>
        <v>30.81</v>
      </c>
      <c r="F105" s="66">
        <f>+'Sno-King Waste Stream Report'!N22</f>
        <v>27.67</v>
      </c>
      <c r="G105" s="66">
        <f>SUM(D105:F105)</f>
        <v>88.44</v>
      </c>
      <c r="H105" s="66"/>
      <c r="I105" s="66"/>
      <c r="J105" s="99">
        <f>SUM(J95:J104)</f>
        <v>1998.4641937697577</v>
      </c>
      <c r="K105" s="98"/>
      <c r="L105" s="99"/>
      <c r="M105" s="99">
        <f>SUM(M95:M104)</f>
        <v>1948.2251034413564</v>
      </c>
      <c r="N105" s="98"/>
      <c r="O105" s="99"/>
      <c r="P105" s="99">
        <f>SUM(P95:P104)</f>
        <v>1663.1166077257308</v>
      </c>
      <c r="R105" s="68">
        <f t="shared" si="44"/>
        <v>63.430641168440125</v>
      </c>
      <c r="S105" s="99">
        <f>SUM(S95:S104)</f>
        <v>5609.805904936845</v>
      </c>
    </row>
  </sheetData>
  <mergeCells count="30">
    <mergeCell ref="R6:S6"/>
    <mergeCell ref="R58:S58"/>
    <mergeCell ref="I58:J58"/>
    <mergeCell ref="L58:M58"/>
    <mergeCell ref="O58:P58"/>
    <mergeCell ref="R23:S23"/>
    <mergeCell ref="D58:G58"/>
    <mergeCell ref="I6:J6"/>
    <mergeCell ref="L6:M6"/>
    <mergeCell ref="O6:P6"/>
    <mergeCell ref="D6:G6"/>
    <mergeCell ref="D23:G23"/>
    <mergeCell ref="I23:J23"/>
    <mergeCell ref="L23:M23"/>
    <mergeCell ref="O23:P23"/>
    <mergeCell ref="R75:S75"/>
    <mergeCell ref="D75:G75"/>
    <mergeCell ref="I75:J75"/>
    <mergeCell ref="L75:M75"/>
    <mergeCell ref="O75:P75"/>
    <mergeCell ref="R92:S92"/>
    <mergeCell ref="D40:G40"/>
    <mergeCell ref="I40:J40"/>
    <mergeCell ref="L40:M40"/>
    <mergeCell ref="O40:P40"/>
    <mergeCell ref="R40:S40"/>
    <mergeCell ref="D92:G92"/>
    <mergeCell ref="I92:J92"/>
    <mergeCell ref="L92:M92"/>
    <mergeCell ref="O92:P92"/>
  </mergeCells>
  <printOptions/>
  <pageMargins left="0.75" right="0" top="0.5" bottom="0.5" header="0.5" footer="0"/>
  <pageSetup fitToHeight="2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2004-11-01T23:22:28Z</cp:lastPrinted>
  <dcterms:created xsi:type="dcterms:W3CDTF">2003-10-21T02:01:02Z</dcterms:created>
  <dcterms:modified xsi:type="dcterms:W3CDTF">2004-11-10T17:19:39Z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-701687329</vt:i4>
  </property>
  <property fmtid="{D5CDD505-2E9C-101B-9397-08002B2CF9AE}" pid="3" name="_EmailSubject">
    <vt:lpwstr>YTD 3rd Quarter King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794687235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030713</vt:lpwstr>
  </property>
  <property fmtid="{D5CDD505-2E9C-101B-9397-08002B2CF9AE}" pid="10" name="IsConfidential">
    <vt:lpwstr>0</vt:lpwstr>
  </property>
  <property fmtid="{D5CDD505-2E9C-101B-9397-08002B2CF9AE}" pid="11" name="Date1">
    <vt:lpwstr>2004-11-12T00:00:00Z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2003-05-16T00:00:00Z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