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384" windowHeight="8580" activeTab="2"/>
  </bookViews>
  <sheets>
    <sheet name="Waste Stream Report" sheetId="1" r:id="rId1"/>
    <sheet name="Res'l Revenue" sheetId="2" r:id="rId2"/>
    <sheet name="MF Revenue" sheetId="3" r:id="rId3"/>
  </sheets>
  <externalReferences>
    <externalReference r:id="rId6"/>
  </externalReference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mweinst</author>
  </authors>
  <commentList>
    <comment ref="F9" authorId="0">
      <text>
        <r>
          <rPr>
            <b/>
            <sz val="8"/>
            <rFont val="Tahoma"/>
            <family val="0"/>
          </rPr>
          <t>mweinst:</t>
        </r>
        <r>
          <rPr>
            <sz val="8"/>
            <rFont val="Tahoma"/>
            <family val="0"/>
          </rPr>
          <t xml:space="preserve">
Corrected: Previously reported $2,146.89</t>
        </r>
      </text>
    </comment>
    <comment ref="F19" authorId="0">
      <text>
        <r>
          <rPr>
            <b/>
            <sz val="8"/>
            <rFont val="Tahoma"/>
            <family val="0"/>
          </rPr>
          <t>mweinst:</t>
        </r>
        <r>
          <rPr>
            <sz val="8"/>
            <rFont val="Tahoma"/>
            <family val="0"/>
          </rPr>
          <t xml:space="preserve">
Corrected: Previously reported 171.75</t>
        </r>
      </text>
    </comment>
    <comment ref="F20" authorId="0">
      <text>
        <r>
          <rPr>
            <b/>
            <sz val="8"/>
            <rFont val="Tahoma"/>
            <family val="0"/>
          </rPr>
          <t>mweinst:</t>
        </r>
        <r>
          <rPr>
            <sz val="8"/>
            <rFont val="Tahoma"/>
            <family val="0"/>
          </rPr>
          <t xml:space="preserve">
Corrected: Previously reported 193.34</t>
        </r>
      </text>
    </comment>
    <comment ref="G9" authorId="0">
      <text>
        <r>
          <rPr>
            <b/>
            <sz val="8"/>
            <rFont val="Tahoma"/>
            <family val="0"/>
          </rPr>
          <t>mweinst:</t>
        </r>
        <r>
          <rPr>
            <sz val="8"/>
            <rFont val="Tahoma"/>
            <family val="0"/>
          </rPr>
          <t xml:space="preserve">
Corrected: Previously reported 1,761.10</t>
        </r>
      </text>
    </comment>
    <comment ref="H9" authorId="0">
      <text>
        <r>
          <rPr>
            <b/>
            <sz val="8"/>
            <rFont val="Tahoma"/>
            <family val="0"/>
          </rPr>
          <t>mweinst:</t>
        </r>
        <r>
          <rPr>
            <sz val="8"/>
            <rFont val="Tahoma"/>
            <family val="0"/>
          </rPr>
          <t xml:space="preserve">
Corrected: Previously reported 2,020.74</t>
        </r>
      </text>
    </comment>
    <comment ref="G19" authorId="0">
      <text>
        <r>
          <rPr>
            <b/>
            <sz val="8"/>
            <rFont val="Tahoma"/>
            <family val="0"/>
          </rPr>
          <t>mweinst:</t>
        </r>
        <r>
          <rPr>
            <sz val="8"/>
            <rFont val="Tahoma"/>
            <family val="0"/>
          </rPr>
          <t xml:space="preserve">
Corrected: Previously reported 140.89</t>
        </r>
      </text>
    </comment>
    <comment ref="H19" authorId="0">
      <text>
        <r>
          <rPr>
            <b/>
            <sz val="8"/>
            <rFont val="Tahoma"/>
            <family val="0"/>
          </rPr>
          <t>mweinst:</t>
        </r>
        <r>
          <rPr>
            <sz val="8"/>
            <rFont val="Tahoma"/>
            <family val="0"/>
          </rPr>
          <t xml:space="preserve">
Corrected: Previously reported 161.66</t>
        </r>
      </text>
    </comment>
    <comment ref="G20" authorId="0">
      <text>
        <r>
          <rPr>
            <b/>
            <sz val="8"/>
            <rFont val="Tahoma"/>
            <family val="0"/>
          </rPr>
          <t>mweinst:</t>
        </r>
        <r>
          <rPr>
            <sz val="8"/>
            <rFont val="Tahoma"/>
            <family val="0"/>
          </rPr>
          <t xml:space="preserve">
Corrected: Previously reported 231.39</t>
        </r>
      </text>
    </comment>
    <comment ref="H20" authorId="0">
      <text>
        <r>
          <rPr>
            <b/>
            <sz val="8"/>
            <rFont val="Tahoma"/>
            <family val="0"/>
          </rPr>
          <t>mweinst:</t>
        </r>
        <r>
          <rPr>
            <sz val="8"/>
            <rFont val="Tahoma"/>
            <family val="0"/>
          </rPr>
          <t xml:space="preserve">
Corrected: Previously reported 1,383.85</t>
        </r>
      </text>
    </comment>
  </commentList>
</comments>
</file>

<file path=xl/sharedStrings.xml><?xml version="1.0" encoding="utf-8"?>
<sst xmlns="http://schemas.openxmlformats.org/spreadsheetml/2006/main" count="257" uniqueCount="102">
  <si>
    <t>Average</t>
  </si>
  <si>
    <t>Newspaper</t>
  </si>
  <si>
    <t>Mix Paper</t>
  </si>
  <si>
    <t>Aluminum</t>
  </si>
  <si>
    <t>Glass</t>
  </si>
  <si>
    <t>PET</t>
  </si>
  <si>
    <t>Tin Cans</t>
  </si>
  <si>
    <t>Residue</t>
  </si>
  <si>
    <t>Jan</t>
  </si>
  <si>
    <t>Feb</t>
  </si>
  <si>
    <t>Mar</t>
  </si>
  <si>
    <t>May</t>
  </si>
  <si>
    <t>June</t>
  </si>
  <si>
    <t>July</t>
  </si>
  <si>
    <t>Baseline</t>
  </si>
  <si>
    <t xml:space="preserve"> TONS COLLECTED</t>
  </si>
  <si>
    <t>Data</t>
  </si>
  <si>
    <t xml:space="preserve">TOTAL </t>
  </si>
  <si>
    <t xml:space="preserve"> RESIDENTIAL WASTE STREAM</t>
  </si>
  <si>
    <t xml:space="preserve">Residential Recycling: </t>
  </si>
  <si>
    <t>N/A</t>
  </si>
  <si>
    <t xml:space="preserve">Residential Yard Waste </t>
  </si>
  <si>
    <t xml:space="preserve">Residential Solid Waste </t>
  </si>
  <si>
    <t>TOTAL RESIDENTIAL</t>
  </si>
  <si>
    <t xml:space="preserve"> MULTI-FAMILY WASTE STREAM</t>
  </si>
  <si>
    <t xml:space="preserve">Multi-Family Recycling </t>
  </si>
  <si>
    <t xml:space="preserve">Multi-Family Yard Waste </t>
  </si>
  <si>
    <t xml:space="preserve">Multi-Family Solid Waste </t>
  </si>
  <si>
    <t>TOTAL MULTI-FAMILY</t>
  </si>
  <si>
    <t xml:space="preserve"> TOTAL WASTE STREAM</t>
  </si>
  <si>
    <t xml:space="preserve"> PARTICIPATION STATISTICS</t>
  </si>
  <si>
    <t xml:space="preserve"> Residential Curbside Recycling </t>
  </si>
  <si>
    <t>Total Customers</t>
  </si>
  <si>
    <t>1-32gal Can Monthly</t>
  </si>
  <si>
    <t>1-20gal Mini Can</t>
  </si>
  <si>
    <t>1-32gal Can</t>
  </si>
  <si>
    <t>2-32gal Cans</t>
  </si>
  <si>
    <t>3-32gal Cans</t>
  </si>
  <si>
    <t>4-32gal Cans</t>
  </si>
  <si>
    <t>5-32gal Cans</t>
  </si>
  <si>
    <t>1 64 Gal Cart</t>
  </si>
  <si>
    <t>Average Set-Out %</t>
  </si>
  <si>
    <t xml:space="preserve">Average Lbs. Per Set-out </t>
  </si>
  <si>
    <t xml:space="preserve"> Residential Yard Waste </t>
  </si>
  <si>
    <t xml:space="preserve">Average Set-Out % </t>
  </si>
  <si>
    <t xml:space="preserve"> Multi-Family Recycling </t>
  </si>
  <si>
    <t>Cans</t>
  </si>
  <si>
    <t>64 Gal Carts</t>
  </si>
  <si>
    <t>1 yard</t>
  </si>
  <si>
    <t>1.5 yard</t>
  </si>
  <si>
    <t>2 yard</t>
  </si>
  <si>
    <t>3 yard</t>
  </si>
  <si>
    <t>4 yard</t>
  </si>
  <si>
    <t>6 yard</t>
  </si>
  <si>
    <t>8 yard</t>
  </si>
  <si>
    <t xml:space="preserve"> WASTE STREAM DIVERSIONS</t>
  </si>
  <si>
    <t xml:space="preserve"> Residential Waste Stream </t>
  </si>
  <si>
    <t xml:space="preserve">From Curbside Recycling </t>
  </si>
  <si>
    <t xml:space="preserve">From Yard Waste </t>
  </si>
  <si>
    <t xml:space="preserve">From all Residential Programs </t>
  </si>
  <si>
    <t xml:space="preserve"> Multi-Family Waste Stream </t>
  </si>
  <si>
    <t xml:space="preserve">From Multi-Family Recycling </t>
  </si>
  <si>
    <t>From Multi-Family Yard Waste</t>
  </si>
  <si>
    <t xml:space="preserve">From All Multi-Family Programs </t>
  </si>
  <si>
    <t xml:space="preserve"> TOTAL Residential/MF DIVERSION %</t>
  </si>
  <si>
    <t xml:space="preserve"> TOTAL Residential/MF DIVERSION(w/o Yard Waste) %</t>
  </si>
  <si>
    <t>Waste Management - Northwest</t>
  </si>
  <si>
    <t>Multi-Family Commodity Sales Revenue</t>
  </si>
  <si>
    <t>% of</t>
  </si>
  <si>
    <t>Tonnage</t>
  </si>
  <si>
    <t>Commodity</t>
  </si>
  <si>
    <t>Materials</t>
  </si>
  <si>
    <t>Total</t>
  </si>
  <si>
    <t>per ton</t>
  </si>
  <si>
    <t>Revenue</t>
  </si>
  <si>
    <t>Residential Commodity Sales Revenue</t>
  </si>
  <si>
    <t>6-32gal Cans</t>
  </si>
  <si>
    <t>2 64 Gal Carts</t>
  </si>
  <si>
    <t>3 64 Gal Carts</t>
  </si>
  <si>
    <t>2-20gal Mini Cans</t>
  </si>
  <si>
    <t>October</t>
  </si>
  <si>
    <t>November</t>
  </si>
  <si>
    <t>December</t>
  </si>
  <si>
    <t>1.25 yard</t>
  </si>
  <si>
    <t xml:space="preserve">Roll Off </t>
  </si>
  <si>
    <t>January</t>
  </si>
  <si>
    <t>February</t>
  </si>
  <si>
    <t>March</t>
  </si>
  <si>
    <t>April</t>
  </si>
  <si>
    <t>August</t>
  </si>
  <si>
    <t>September</t>
  </si>
  <si>
    <t>Colored HDPE</t>
  </si>
  <si>
    <t>Natural HDPE</t>
  </si>
  <si>
    <t>Mixed Plastics</t>
  </si>
  <si>
    <t>Total 1st Quarter</t>
  </si>
  <si>
    <t>Apr</t>
  </si>
  <si>
    <t>Jun</t>
  </si>
  <si>
    <t>Total 2nd Quarter</t>
  </si>
  <si>
    <r>
      <t xml:space="preserve">Waste Management - Northwest - </t>
    </r>
    <r>
      <rPr>
        <b/>
        <i/>
        <u val="single"/>
        <sz val="11"/>
        <color indexed="10"/>
        <rFont val="Arial"/>
        <family val="2"/>
      </rPr>
      <t xml:space="preserve">1st Quarter </t>
    </r>
    <r>
      <rPr>
        <b/>
        <i/>
        <u val="single"/>
        <sz val="11"/>
        <rFont val="Arial"/>
        <family val="2"/>
      </rPr>
      <t>2004</t>
    </r>
  </si>
  <si>
    <r>
      <t xml:space="preserve">Waste Management - Northwest - </t>
    </r>
    <r>
      <rPr>
        <b/>
        <i/>
        <u val="single"/>
        <sz val="11"/>
        <color indexed="10"/>
        <rFont val="Arial"/>
        <family val="2"/>
      </rPr>
      <t xml:space="preserve">2nd Quarter </t>
    </r>
    <r>
      <rPr>
        <b/>
        <i/>
        <u val="single"/>
        <sz val="11"/>
        <rFont val="Arial"/>
        <family val="2"/>
      </rPr>
      <t>2004</t>
    </r>
  </si>
  <si>
    <t xml:space="preserve">2nd Quarter 2004 Waste Stream Summary Report </t>
  </si>
  <si>
    <t>Regulated Operations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</si>
</sst>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&quot;$&quot;#,##0.00"/>
    <numFmt numFmtId="167" formatCode="&quot;$&quot;#,##0"/>
    <numFmt numFmtId="168" formatCode="_(&quot;$&quot;* #,##0_);_(&quot;$&quot;* \(#,##0\);_(&quot;$&quot;* &quot;-&quot;??_);_(@_)"/>
    <numFmt numFmtId="169" formatCode="_(* #,##0.0_);_(* \(#,##0.0\);_(* &quot;-&quot;??_);_(@_)"/>
    <numFmt numFmtId="170" formatCode="_(* #,##0.00000_);_(* \(#,##0.00000\);_(* &quot;-&quot;?????_);_(@_)"/>
    <numFmt numFmtId="171" formatCode="_(* #,##0.000_);_(* \(#,##0.000\);_(* &quot;-&quot;??_);_(@_)"/>
    <numFmt numFmtId="172" formatCode="_(* #,##0.0000_);_(* \(#,##0.0000\);_(* &quot;-&quot;??_);_(@_)"/>
    <numFmt numFmtId="173" formatCode="_(* #,##0.00000_);_(* \(#,##0.00000\);_(* &quot;-&quot;??_);_(@_)"/>
    <numFmt numFmtId="174" formatCode="_(* #,##0.000000_);_(* \(#,##0.000000\);_(* &quot;-&quot;??_);_(@_)"/>
    <numFmt numFmtId="175" formatCode="0.0"/>
  </numFmts>
  <fonts count="21">
    <font>
      <sz val="10"/>
      <name val="Arial"/>
      <family val="0"/>
    </font>
    <font>
      <b/>
      <sz val="10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b/>
      <u val="double"/>
      <sz val="10"/>
      <name val="Arial"/>
      <family val="2"/>
    </font>
    <font>
      <b/>
      <i/>
      <u val="single"/>
      <sz val="11"/>
      <name val="Arial"/>
      <family val="2"/>
    </font>
    <font>
      <u val="single"/>
      <sz val="10"/>
      <name val="Arial"/>
      <family val="0"/>
    </font>
    <font>
      <u val="singleAccounting"/>
      <sz val="10"/>
      <name val="Arial"/>
      <family val="0"/>
    </font>
    <font>
      <sz val="10"/>
      <color indexed="10"/>
      <name val="Arial"/>
      <family val="0"/>
    </font>
    <font>
      <b/>
      <i/>
      <sz val="2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i/>
      <u val="single"/>
      <sz val="11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double">
        <color indexed="8"/>
      </bottom>
    </border>
    <border>
      <left style="thin"/>
      <right style="double"/>
      <top style="double">
        <color indexed="8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43" fontId="0" fillId="0" borderId="1" xfId="15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3" fontId="0" fillId="0" borderId="0" xfId="0" applyNumberFormat="1" applyAlignment="1">
      <alignment/>
    </xf>
    <xf numFmtId="0" fontId="0" fillId="3" borderId="0" xfId="0" applyFill="1" applyBorder="1" applyAlignment="1">
      <alignment/>
    </xf>
    <xf numFmtId="43" fontId="1" fillId="3" borderId="0" xfId="0" applyNumberFormat="1" applyFont="1" applyFill="1" applyBorder="1" applyAlignment="1">
      <alignment/>
    </xf>
    <xf numFmtId="43" fontId="0" fillId="3" borderId="11" xfId="15" applyFont="1" applyFill="1" applyBorder="1" applyAlignment="1" applyProtection="1">
      <alignment horizontal="center"/>
      <protection locked="0"/>
    </xf>
    <xf numFmtId="43" fontId="1" fillId="3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3" fontId="0" fillId="0" borderId="11" xfId="15" applyFont="1" applyBorder="1" applyAlignment="1" applyProtection="1">
      <alignment horizontal="center"/>
      <protection locked="0"/>
    </xf>
    <xf numFmtId="43" fontId="1" fillId="0" borderId="12" xfId="15" applyFont="1" applyBorder="1" applyAlignment="1">
      <alignment/>
    </xf>
    <xf numFmtId="0" fontId="1" fillId="0" borderId="9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3" fontId="5" fillId="0" borderId="13" xfId="15" applyFont="1" applyBorder="1" applyAlignment="1" applyProtection="1">
      <alignment horizontal="center"/>
      <protection/>
    </xf>
    <xf numFmtId="43" fontId="0" fillId="0" borderId="11" xfId="15" applyFont="1" applyBorder="1" applyAlignment="1" applyProtection="1">
      <alignment horizontal="center"/>
      <protection/>
    </xf>
    <xf numFmtId="0" fontId="1" fillId="0" borderId="12" xfId="0" applyFont="1" applyBorder="1" applyAlignment="1">
      <alignment horizontal="center"/>
    </xf>
    <xf numFmtId="43" fontId="0" fillId="0" borderId="14" xfId="15" applyFont="1" applyBorder="1" applyAlignment="1" applyProtection="1">
      <alignment horizontal="center"/>
      <protection locked="0"/>
    </xf>
    <xf numFmtId="43" fontId="1" fillId="0" borderId="13" xfId="15" applyFont="1" applyBorder="1" applyAlignment="1" applyProtection="1">
      <alignment horizontal="center"/>
      <protection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43" fontId="6" fillId="0" borderId="16" xfId="15" applyFont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0" fillId="0" borderId="4" xfId="0" applyBorder="1" applyAlignment="1">
      <alignment horizontal="center"/>
    </xf>
    <xf numFmtId="0" fontId="5" fillId="2" borderId="18" xfId="0" applyFont="1" applyFill="1" applyBorder="1" applyAlignment="1">
      <alignment/>
    </xf>
    <xf numFmtId="0" fontId="5" fillId="2" borderId="17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0" fillId="0" borderId="6" xfId="0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65" fontId="1" fillId="0" borderId="21" xfId="15" applyNumberFormat="1" applyFont="1" applyFill="1" applyBorder="1" applyAlignment="1">
      <alignment/>
    </xf>
    <xf numFmtId="165" fontId="1" fillId="0" borderId="14" xfId="15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/>
    </xf>
    <xf numFmtId="0" fontId="0" fillId="3" borderId="0" xfId="0" applyFill="1" applyAlignment="1">
      <alignment horizontal="left"/>
    </xf>
    <xf numFmtId="0" fontId="1" fillId="0" borderId="0" xfId="0" applyFont="1" applyFill="1" applyBorder="1" applyAlignment="1">
      <alignment horizontal="center"/>
    </xf>
    <xf numFmtId="165" fontId="0" fillId="3" borderId="11" xfId="15" applyNumberFormat="1" applyFill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65" fontId="0" fillId="0" borderId="0" xfId="0" applyNumberFormat="1" applyAlignment="1">
      <alignment/>
    </xf>
    <xf numFmtId="43" fontId="1" fillId="0" borderId="0" xfId="15" applyFont="1" applyBorder="1" applyAlignment="1">
      <alignment/>
    </xf>
    <xf numFmtId="43" fontId="0" fillId="0" borderId="22" xfId="15" applyBorder="1" applyAlignment="1">
      <alignment/>
    </xf>
    <xf numFmtId="165" fontId="1" fillId="0" borderId="21" xfId="15" applyNumberFormat="1" applyFont="1" applyFill="1" applyBorder="1" applyAlignment="1">
      <alignment horizontal="center"/>
    </xf>
    <xf numFmtId="0" fontId="5" fillId="3" borderId="10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0" fillId="3" borderId="6" xfId="0" applyFill="1" applyBorder="1" applyAlignment="1">
      <alignment horizontal="left"/>
    </xf>
    <xf numFmtId="0" fontId="5" fillId="3" borderId="2" xfId="0" applyFont="1" applyFill="1" applyBorder="1" applyAlignment="1">
      <alignment/>
    </xf>
    <xf numFmtId="0" fontId="0" fillId="0" borderId="20" xfId="0" applyBorder="1" applyAlignment="1">
      <alignment/>
    </xf>
    <xf numFmtId="10" fontId="1" fillId="0" borderId="0" xfId="21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5" fillId="0" borderId="4" xfId="0" applyFont="1" applyBorder="1" applyAlignment="1">
      <alignment/>
    </xf>
    <xf numFmtId="10" fontId="0" fillId="0" borderId="23" xfId="0" applyNumberFormat="1" applyBorder="1" applyAlignment="1">
      <alignment horizontal="center"/>
    </xf>
    <xf numFmtId="10" fontId="0" fillId="0" borderId="4" xfId="0" applyNumberFormat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0" fontId="0" fillId="0" borderId="7" xfId="0" applyBorder="1" applyAlignment="1">
      <alignment/>
    </xf>
    <xf numFmtId="0" fontId="5" fillId="0" borderId="25" xfId="0" applyFont="1" applyBorder="1" applyAlignment="1">
      <alignment horizontal="center"/>
    </xf>
    <xf numFmtId="10" fontId="6" fillId="0" borderId="26" xfId="0" applyNumberFormat="1" applyFont="1" applyBorder="1" applyAlignment="1">
      <alignment horizontal="center"/>
    </xf>
    <xf numFmtId="10" fontId="6" fillId="0" borderId="8" xfId="0" applyNumberFormat="1" applyFont="1" applyBorder="1" applyAlignment="1">
      <alignment horizontal="center"/>
    </xf>
    <xf numFmtId="10" fontId="6" fillId="0" borderId="27" xfId="0" applyNumberFormat="1" applyFont="1" applyBorder="1" applyAlignment="1">
      <alignment horizontal="center"/>
    </xf>
    <xf numFmtId="10" fontId="5" fillId="0" borderId="18" xfId="21" applyNumberFormat="1" applyFont="1" applyBorder="1" applyAlignment="1">
      <alignment horizontal="center"/>
    </xf>
    <xf numFmtId="10" fontId="6" fillId="0" borderId="28" xfId="0" applyNumberFormat="1" applyFont="1" applyBorder="1" applyAlignment="1">
      <alignment horizontal="center"/>
    </xf>
    <xf numFmtId="10" fontId="6" fillId="0" borderId="29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44" fontId="0" fillId="0" borderId="0" xfId="17" applyAlignment="1">
      <alignment/>
    </xf>
    <xf numFmtId="165" fontId="0" fillId="0" borderId="0" xfId="15" applyNumberFormat="1" applyAlignment="1">
      <alignment/>
    </xf>
    <xf numFmtId="164" fontId="0" fillId="0" borderId="0" xfId="21" applyNumberFormat="1" applyAlignment="1">
      <alignment/>
    </xf>
    <xf numFmtId="0" fontId="9" fillId="0" borderId="0" xfId="0" applyFont="1" applyAlignment="1">
      <alignment/>
    </xf>
    <xf numFmtId="44" fontId="9" fillId="0" borderId="0" xfId="17" applyFont="1" applyAlignment="1">
      <alignment/>
    </xf>
    <xf numFmtId="0" fontId="2" fillId="0" borderId="0" xfId="0" applyFont="1" applyAlignment="1">
      <alignment/>
    </xf>
    <xf numFmtId="43" fontId="1" fillId="0" borderId="21" xfId="15" applyNumberFormat="1" applyFont="1" applyBorder="1" applyAlignment="1">
      <alignment/>
    </xf>
    <xf numFmtId="43" fontId="1" fillId="0" borderId="14" xfId="15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168" fontId="0" fillId="0" borderId="0" xfId="17" applyNumberFormat="1" applyAlignment="1">
      <alignment/>
    </xf>
    <xf numFmtId="164" fontId="11" fillId="0" borderId="0" xfId="21" applyNumberFormat="1" applyFont="1" applyAlignment="1">
      <alignment/>
    </xf>
    <xf numFmtId="43" fontId="12" fillId="0" borderId="0" xfId="0" applyNumberFormat="1" applyFont="1" applyAlignment="1">
      <alignment/>
    </xf>
    <xf numFmtId="165" fontId="12" fillId="0" borderId="0" xfId="0" applyNumberFormat="1" applyFont="1" applyAlignment="1">
      <alignment/>
    </xf>
    <xf numFmtId="165" fontId="12" fillId="0" borderId="0" xfId="15" applyNumberFormat="1" applyFont="1" applyAlignment="1">
      <alignment/>
    </xf>
    <xf numFmtId="44" fontId="12" fillId="0" borderId="0" xfId="17" applyFont="1" applyAlignment="1">
      <alignment/>
    </xf>
    <xf numFmtId="164" fontId="9" fillId="0" borderId="0" xfId="0" applyNumberFormat="1" applyFont="1" applyAlignment="1">
      <alignment/>
    </xf>
    <xf numFmtId="43" fontId="9" fillId="0" borderId="0" xfId="0" applyNumberFormat="1" applyFont="1" applyAlignment="1">
      <alignment/>
    </xf>
    <xf numFmtId="168" fontId="9" fillId="0" borderId="0" xfId="17" applyNumberFormat="1" applyFont="1" applyAlignment="1">
      <alignment/>
    </xf>
    <xf numFmtId="168" fontId="0" fillId="0" borderId="0" xfId="0" applyNumberFormat="1" applyAlignment="1">
      <alignment/>
    </xf>
    <xf numFmtId="168" fontId="9" fillId="0" borderId="0" xfId="0" applyNumberFormat="1" applyFont="1" applyAlignment="1">
      <alignment/>
    </xf>
    <xf numFmtId="44" fontId="13" fillId="0" borderId="0" xfId="17" applyFont="1" applyAlignment="1">
      <alignment/>
    </xf>
    <xf numFmtId="165" fontId="1" fillId="0" borderId="31" xfId="15" applyNumberFormat="1" applyFont="1" applyFill="1" applyBorder="1" applyAlignment="1">
      <alignment horizontal="center"/>
    </xf>
    <xf numFmtId="43" fontId="5" fillId="0" borderId="32" xfId="15" applyFont="1" applyBorder="1" applyAlignment="1" applyProtection="1">
      <alignment horizontal="center"/>
      <protection/>
    </xf>
    <xf numFmtId="43" fontId="6" fillId="0" borderId="33" xfId="15" applyFont="1" applyBorder="1" applyAlignment="1" applyProtection="1">
      <alignment horizontal="center"/>
      <protection/>
    </xf>
    <xf numFmtId="0" fontId="0" fillId="0" borderId="34" xfId="0" applyBorder="1" applyAlignment="1">
      <alignment horizontal="center"/>
    </xf>
    <xf numFmtId="0" fontId="14" fillId="0" borderId="0" xfId="0" applyFont="1" applyAlignment="1">
      <alignment/>
    </xf>
    <xf numFmtId="10" fontId="0" fillId="0" borderId="22" xfId="0" applyNumberFormat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0" fontId="1" fillId="0" borderId="10" xfId="0" applyFont="1" applyBorder="1" applyAlignment="1">
      <alignment/>
    </xf>
    <xf numFmtId="10" fontId="1" fillId="0" borderId="35" xfId="0" applyNumberFormat="1" applyFont="1" applyBorder="1" applyAlignment="1">
      <alignment horizontal="center"/>
    </xf>
    <xf numFmtId="10" fontId="1" fillId="0" borderId="36" xfId="0" applyNumberFormat="1" applyFont="1" applyBorder="1" applyAlignment="1">
      <alignment horizontal="center"/>
    </xf>
    <xf numFmtId="10" fontId="1" fillId="0" borderId="37" xfId="0" applyNumberFormat="1" applyFont="1" applyBorder="1" applyAlignment="1">
      <alignment horizontal="center"/>
    </xf>
    <xf numFmtId="10" fontId="1" fillId="0" borderId="38" xfId="0" applyNumberFormat="1" applyFont="1" applyBorder="1" applyAlignment="1">
      <alignment horizontal="center"/>
    </xf>
    <xf numFmtId="10" fontId="0" fillId="0" borderId="11" xfId="0" applyNumberFormat="1" applyFill="1" applyBorder="1" applyAlignment="1">
      <alignment horizontal="center"/>
    </xf>
    <xf numFmtId="10" fontId="0" fillId="0" borderId="22" xfId="0" applyNumberFormat="1" applyFill="1" applyBorder="1" applyAlignment="1">
      <alignment horizontal="center"/>
    </xf>
    <xf numFmtId="165" fontId="0" fillId="0" borderId="11" xfId="15" applyNumberFormat="1" applyFill="1" applyBorder="1" applyAlignment="1">
      <alignment horizontal="center"/>
    </xf>
    <xf numFmtId="165" fontId="0" fillId="0" borderId="22" xfId="15" applyNumberFormat="1" applyFill="1" applyBorder="1" applyAlignment="1">
      <alignment horizontal="center"/>
    </xf>
    <xf numFmtId="0" fontId="1" fillId="2" borderId="39" xfId="0" applyFont="1" applyFill="1" applyBorder="1" applyAlignment="1">
      <alignment horizontal="right"/>
    </xf>
    <xf numFmtId="0" fontId="1" fillId="2" borderId="40" xfId="0" applyFont="1" applyFill="1" applyBorder="1" applyAlignment="1">
      <alignment horizontal="right"/>
    </xf>
    <xf numFmtId="43" fontId="1" fillId="2" borderId="41" xfId="15" applyFont="1" applyFill="1" applyBorder="1" applyAlignment="1">
      <alignment horizontal="right"/>
    </xf>
    <xf numFmtId="43" fontId="1" fillId="2" borderId="42" xfId="15" applyFont="1" applyFill="1" applyBorder="1" applyAlignment="1">
      <alignment horizontal="right"/>
    </xf>
    <xf numFmtId="43" fontId="5" fillId="2" borderId="43" xfId="15" applyFont="1" applyFill="1" applyBorder="1" applyAlignment="1">
      <alignment horizontal="right"/>
    </xf>
    <xf numFmtId="43" fontId="1" fillId="2" borderId="39" xfId="15" applyFont="1" applyFill="1" applyBorder="1" applyAlignment="1">
      <alignment horizontal="right"/>
    </xf>
    <xf numFmtId="43" fontId="6" fillId="2" borderId="44" xfId="15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165" fontId="1" fillId="2" borderId="41" xfId="15" applyNumberFormat="1" applyFont="1" applyFill="1" applyBorder="1" applyAlignment="1">
      <alignment horizontal="right"/>
    </xf>
    <xf numFmtId="165" fontId="1" fillId="2" borderId="42" xfId="15" applyNumberFormat="1" applyFont="1" applyFill="1" applyBorder="1" applyAlignment="1">
      <alignment horizontal="right"/>
    </xf>
    <xf numFmtId="10" fontId="1" fillId="2" borderId="10" xfId="0" applyNumberFormat="1" applyFont="1" applyFill="1" applyBorder="1" applyAlignment="1">
      <alignment horizontal="right"/>
    </xf>
    <xf numFmtId="0" fontId="1" fillId="2" borderId="42" xfId="0" applyFont="1" applyFill="1" applyBorder="1" applyAlignment="1">
      <alignment horizontal="right"/>
    </xf>
    <xf numFmtId="10" fontId="1" fillId="2" borderId="42" xfId="0" applyNumberFormat="1" applyFont="1" applyFill="1" applyBorder="1" applyAlignment="1">
      <alignment horizontal="right"/>
    </xf>
    <xf numFmtId="10" fontId="1" fillId="2" borderId="22" xfId="0" applyNumberFormat="1" applyFont="1" applyFill="1" applyBorder="1" applyAlignment="1">
      <alignment horizontal="right"/>
    </xf>
    <xf numFmtId="10" fontId="1" fillId="2" borderId="31" xfId="0" applyNumberFormat="1" applyFont="1" applyFill="1" applyBorder="1" applyAlignment="1">
      <alignment horizontal="right"/>
    </xf>
    <xf numFmtId="10" fontId="1" fillId="2" borderId="37" xfId="0" applyNumberFormat="1" applyFont="1" applyFill="1" applyBorder="1" applyAlignment="1">
      <alignment horizontal="right"/>
    </xf>
    <xf numFmtId="10" fontId="1" fillId="2" borderId="39" xfId="0" applyNumberFormat="1" applyFont="1" applyFill="1" applyBorder="1" applyAlignment="1">
      <alignment horizontal="right"/>
    </xf>
    <xf numFmtId="10" fontId="1" fillId="2" borderId="41" xfId="0" applyNumberFormat="1" applyFont="1" applyFill="1" applyBorder="1" applyAlignment="1">
      <alignment horizontal="right"/>
    </xf>
    <xf numFmtId="10" fontId="1" fillId="2" borderId="43" xfId="0" applyNumberFormat="1" applyFont="1" applyFill="1" applyBorder="1" applyAlignment="1">
      <alignment horizontal="right"/>
    </xf>
    <xf numFmtId="10" fontId="6" fillId="2" borderId="44" xfId="0" applyNumberFormat="1" applyFont="1" applyFill="1" applyBorder="1" applyAlignment="1">
      <alignment horizontal="right"/>
    </xf>
    <xf numFmtId="3" fontId="0" fillId="0" borderId="11" xfId="0" applyNumberFormat="1" applyFill="1" applyBorder="1" applyAlignment="1">
      <alignment horizontal="center"/>
    </xf>
    <xf numFmtId="3" fontId="0" fillId="0" borderId="22" xfId="0" applyNumberFormat="1" applyFill="1" applyBorder="1" applyAlignment="1">
      <alignment horizontal="center"/>
    </xf>
    <xf numFmtId="164" fontId="0" fillId="0" borderId="1" xfId="21" applyNumberFormat="1" applyFont="1" applyFill="1" applyBorder="1" applyAlignment="1">
      <alignment horizontal="center"/>
    </xf>
    <xf numFmtId="164" fontId="0" fillId="0" borderId="22" xfId="21" applyNumberFormat="1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22" xfId="0" applyNumberForma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43" fontId="0" fillId="4" borderId="1" xfId="15" applyFill="1" applyBorder="1" applyAlignment="1">
      <alignment/>
    </xf>
    <xf numFmtId="43" fontId="0" fillId="4" borderId="14" xfId="15" applyFont="1" applyFill="1" applyBorder="1" applyAlignment="1" applyProtection="1">
      <alignment horizontal="center"/>
      <protection locked="0"/>
    </xf>
    <xf numFmtId="43" fontId="0" fillId="4" borderId="11" xfId="15" applyFont="1" applyFill="1" applyBorder="1" applyAlignment="1" applyProtection="1">
      <alignment horizontal="center"/>
      <protection locked="0"/>
    </xf>
    <xf numFmtId="43" fontId="0" fillId="0" borderId="11" xfId="15" applyFill="1" applyBorder="1" applyAlignment="1">
      <alignment horizontal="center"/>
    </xf>
    <xf numFmtId="10" fontId="0" fillId="0" borderId="11" xfId="21" applyNumberFormat="1" applyFill="1" applyBorder="1" applyAlignment="1">
      <alignment horizontal="right"/>
    </xf>
    <xf numFmtId="0" fontId="10" fillId="5" borderId="0" xfId="0" applyFont="1" applyFill="1" applyAlignment="1">
      <alignment horizontal="left"/>
    </xf>
    <xf numFmtId="0" fontId="1" fillId="5" borderId="0" xfId="0" applyFont="1" applyFill="1" applyAlignment="1">
      <alignment/>
    </xf>
    <xf numFmtId="0" fontId="0" fillId="5" borderId="0" xfId="0" applyFill="1" applyAlignment="1">
      <alignment/>
    </xf>
    <xf numFmtId="43" fontId="13" fillId="0" borderId="0" xfId="0" applyNumberFormat="1" applyFont="1" applyAlignment="1">
      <alignment/>
    </xf>
    <xf numFmtId="0" fontId="5" fillId="2" borderId="2" xfId="0" applyFont="1" applyFill="1" applyBorder="1" applyAlignment="1">
      <alignment/>
    </xf>
    <xf numFmtId="0" fontId="1" fillId="0" borderId="4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46" xfId="0" applyBorder="1" applyAlignment="1">
      <alignment/>
    </xf>
    <xf numFmtId="0" fontId="0" fillId="0" borderId="3" xfId="0" applyBorder="1" applyAlignment="1">
      <alignment/>
    </xf>
    <xf numFmtId="0" fontId="0" fillId="0" borderId="34" xfId="0" applyBorder="1" applyAlignment="1">
      <alignment/>
    </xf>
    <xf numFmtId="0" fontId="0" fillId="0" borderId="4" xfId="0" applyBorder="1" applyAlignment="1">
      <alignment/>
    </xf>
    <xf numFmtId="10" fontId="0" fillId="0" borderId="11" xfId="21" applyNumberFormat="1" applyFont="1" applyFill="1" applyBorder="1" applyAlignment="1">
      <alignment horizontal="right"/>
    </xf>
    <xf numFmtId="164" fontId="0" fillId="0" borderId="1" xfId="21" applyNumberFormat="1" applyFont="1" applyFill="1" applyBorder="1" applyAlignment="1">
      <alignment horizontal="right"/>
    </xf>
    <xf numFmtId="43" fontId="0" fillId="0" borderId="11" xfId="15" applyFont="1" applyFill="1" applyBorder="1" applyAlignment="1" applyProtection="1">
      <alignment horizontal="center"/>
      <protection locked="0"/>
    </xf>
    <xf numFmtId="43" fontId="0" fillId="0" borderId="47" xfId="15" applyFont="1" applyFill="1" applyBorder="1" applyAlignment="1" applyProtection="1">
      <alignment horizontal="center"/>
      <protection locked="0"/>
    </xf>
    <xf numFmtId="43" fontId="0" fillId="0" borderId="22" xfId="15" applyFont="1" applyFill="1" applyBorder="1" applyAlignment="1" applyProtection="1">
      <alignment horizontal="center"/>
      <protection locked="0"/>
    </xf>
    <xf numFmtId="165" fontId="0" fillId="0" borderId="47" xfId="15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hardeb\Local%20Settings\Temporary%20Internet%20Files\OLK1\2003%204th%20Quarter%20King%20County%20Recycling%20Repor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no-King Waste Stream Report"/>
      <sheetName val="4th Qtr SK"/>
      <sheetName val="SKC Waste Stream Report"/>
      <sheetName val="MF Commodity Revenue"/>
      <sheetName val="Residential Commodity Revenue"/>
      <sheetName val="Costs"/>
      <sheetName val="Complaints"/>
      <sheetName val="4th Qtr Composition"/>
      <sheetName val="Prices"/>
      <sheetName val="MF customers"/>
      <sheetName val="Customer Counts"/>
      <sheetName val="Composition Summary"/>
      <sheetName val="Tonnage"/>
      <sheetName val="YW Customers"/>
      <sheetName val="SK Baseline Data"/>
      <sheetName val="SKC Baseline data"/>
      <sheetName val="Total KC Waste Stream Report"/>
    </sheetNames>
    <sheetDataSet>
      <sheetData sheetId="4">
        <row r="17">
          <cell r="A17" t="str">
            <v>Residue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5"/>
  <sheetViews>
    <sheetView workbookViewId="0" topLeftCell="A1">
      <selection activeCell="D4" sqref="D4"/>
    </sheetView>
  </sheetViews>
  <sheetFormatPr defaultColWidth="9.140625" defaultRowHeight="12.75"/>
  <cols>
    <col min="1" max="1" width="5.28125" style="0" customWidth="1"/>
    <col min="2" max="2" width="3.8515625" style="0" customWidth="1"/>
    <col min="3" max="3" width="30.57421875" style="0" customWidth="1"/>
    <col min="4" max="5" width="10.421875" style="0" customWidth="1"/>
    <col min="6" max="7" width="9.8515625" style="0" bestFit="1" customWidth="1"/>
    <col min="8" max="8" width="10.8515625" style="0" customWidth="1"/>
    <col min="9" max="11" width="10.8515625" style="0" bestFit="1" customWidth="1"/>
    <col min="12" max="12" width="9.421875" style="0" customWidth="1"/>
    <col min="13" max="13" width="10.00390625" style="0" customWidth="1"/>
    <col min="14" max="15" width="10.8515625" style="0" customWidth="1"/>
    <col min="16" max="16" width="10.8515625" style="0" bestFit="1" customWidth="1"/>
    <col min="17" max="17" width="10.28125" style="0" bestFit="1" customWidth="1"/>
    <col min="18" max="18" width="10.8515625" style="5" bestFit="1" customWidth="1"/>
    <col min="19" max="19" width="9.28125" style="0" bestFit="1" customWidth="1"/>
    <col min="20" max="20" width="25.28125" style="0" customWidth="1"/>
    <col min="21" max="21" width="10.28125" style="0" bestFit="1" customWidth="1"/>
    <col min="22" max="23" width="9.28125" style="0" bestFit="1" customWidth="1"/>
  </cols>
  <sheetData>
    <row r="1" ht="18.75">
      <c r="A1" s="97" t="s">
        <v>66</v>
      </c>
    </row>
    <row r="2" spans="1:5" ht="15">
      <c r="A2" s="6" t="s">
        <v>100</v>
      </c>
      <c r="B2" s="1"/>
      <c r="C2" s="1"/>
      <c r="D2" s="1"/>
      <c r="E2" s="1"/>
    </row>
    <row r="3" spans="1:5" ht="15">
      <c r="A3" s="6" t="s">
        <v>101</v>
      </c>
      <c r="B3" s="1"/>
      <c r="C3" s="1"/>
      <c r="D3" s="1"/>
      <c r="E3" s="1"/>
    </row>
    <row r="4" spans="1:3" ht="13.5" thickBot="1">
      <c r="A4" s="7"/>
      <c r="C4" s="8"/>
    </row>
    <row r="5" spans="1:18" ht="13.5" thickTop="1">
      <c r="A5" s="2"/>
      <c r="B5" s="2"/>
      <c r="C5" s="2"/>
      <c r="D5" s="23"/>
      <c r="E5" s="10" t="s">
        <v>14</v>
      </c>
      <c r="F5" s="10">
        <v>2004</v>
      </c>
      <c r="G5" s="10">
        <v>2004</v>
      </c>
      <c r="H5" s="10">
        <v>2004</v>
      </c>
      <c r="I5" s="10">
        <v>2004</v>
      </c>
      <c r="J5" s="10">
        <v>2004</v>
      </c>
      <c r="K5" s="10">
        <v>2004</v>
      </c>
      <c r="L5" s="10">
        <v>2004</v>
      </c>
      <c r="M5" s="10">
        <v>2004</v>
      </c>
      <c r="N5" s="10">
        <v>2004</v>
      </c>
      <c r="O5" s="10">
        <v>2004</v>
      </c>
      <c r="P5" s="10">
        <v>2004</v>
      </c>
      <c r="Q5" s="11">
        <v>2004</v>
      </c>
      <c r="R5" s="131" t="s">
        <v>0</v>
      </c>
    </row>
    <row r="6" spans="1:18" ht="13.5" thickBot="1">
      <c r="A6" s="16"/>
      <c r="B6" s="16"/>
      <c r="C6" s="16"/>
      <c r="D6" s="171"/>
      <c r="E6" s="170" t="s">
        <v>16</v>
      </c>
      <c r="F6" s="15" t="s">
        <v>85</v>
      </c>
      <c r="G6" s="15" t="s">
        <v>86</v>
      </c>
      <c r="H6" s="15" t="s">
        <v>87</v>
      </c>
      <c r="I6" s="15" t="s">
        <v>88</v>
      </c>
      <c r="J6" s="15" t="s">
        <v>11</v>
      </c>
      <c r="K6" s="15" t="s">
        <v>12</v>
      </c>
      <c r="L6" s="15" t="s">
        <v>13</v>
      </c>
      <c r="M6" s="15" t="s">
        <v>89</v>
      </c>
      <c r="N6" s="15" t="s">
        <v>90</v>
      </c>
      <c r="O6" s="15" t="s">
        <v>80</v>
      </c>
      <c r="P6" s="15" t="s">
        <v>81</v>
      </c>
      <c r="Q6" s="16" t="s">
        <v>82</v>
      </c>
      <c r="R6" s="132" t="s">
        <v>17</v>
      </c>
    </row>
    <row r="7" spans="1:18" ht="14.25" thickBot="1" thickTop="1">
      <c r="A7" s="12" t="s">
        <v>15</v>
      </c>
      <c r="B7" s="13"/>
      <c r="C7" s="13"/>
      <c r="D7" s="169"/>
      <c r="E7" s="172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4"/>
      <c r="R7" s="131"/>
    </row>
    <row r="8" spans="1:18" ht="13.5" thickTop="1">
      <c r="A8" s="17" t="s">
        <v>18</v>
      </c>
      <c r="B8" s="18"/>
      <c r="C8" s="18"/>
      <c r="D8" s="19"/>
      <c r="E8" s="18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1"/>
      <c r="R8" s="143"/>
    </row>
    <row r="9" spans="1:19" ht="12.75">
      <c r="A9" s="22"/>
      <c r="B9" s="2" t="s">
        <v>19</v>
      </c>
      <c r="C9" s="2"/>
      <c r="D9" s="23"/>
      <c r="E9" s="98">
        <v>1860.53</v>
      </c>
      <c r="F9" s="99">
        <f aca="true" t="shared" si="0" ref="F9:K9">SUM(F10:F19)</f>
        <v>2333.5787472136917</v>
      </c>
      <c r="G9" s="99">
        <f t="shared" si="0"/>
        <v>1914.239370494344</v>
      </c>
      <c r="H9" s="99">
        <f t="shared" si="0"/>
        <v>2196.4578393777097</v>
      </c>
      <c r="I9" s="99">
        <f t="shared" si="0"/>
        <v>2237.5326086956525</v>
      </c>
      <c r="J9" s="99">
        <f t="shared" si="0"/>
        <v>2309.4130434782605</v>
      </c>
      <c r="K9" s="99">
        <f t="shared" si="0"/>
        <v>2155</v>
      </c>
      <c r="L9" s="99"/>
      <c r="M9" s="99"/>
      <c r="N9" s="99"/>
      <c r="O9" s="99"/>
      <c r="P9" s="99"/>
      <c r="Q9" s="99"/>
      <c r="R9" s="133">
        <f>AVERAGE(F9:Q9)</f>
        <v>2191.0369348766094</v>
      </c>
      <c r="S9" s="24"/>
    </row>
    <row r="10" spans="1:18" ht="12.75">
      <c r="A10" s="22"/>
      <c r="B10" s="2"/>
      <c r="C10" s="25" t="s">
        <v>2</v>
      </c>
      <c r="D10" s="23"/>
      <c r="E10" s="26">
        <v>1106.85</v>
      </c>
      <c r="F10" s="27">
        <v>1132.5293876972644</v>
      </c>
      <c r="G10" s="27">
        <v>876.4259277888717</v>
      </c>
      <c r="H10" s="27">
        <v>882.8232591881357</v>
      </c>
      <c r="I10" s="27">
        <v>903.69</v>
      </c>
      <c r="J10" s="27">
        <f>767.85+221.93</f>
        <v>989.78</v>
      </c>
      <c r="K10" s="27">
        <f>776.11+188.64</f>
        <v>964.75</v>
      </c>
      <c r="L10" s="178"/>
      <c r="M10" s="178"/>
      <c r="N10" s="178"/>
      <c r="O10" s="178"/>
      <c r="P10" s="178"/>
      <c r="Q10" s="179"/>
      <c r="R10" s="134">
        <f>AVERAGE(F10:Q10)</f>
        <v>958.3330957790453</v>
      </c>
    </row>
    <row r="11" spans="1:18" ht="12.75">
      <c r="A11" s="22"/>
      <c r="B11" s="2"/>
      <c r="C11" s="25" t="s">
        <v>1</v>
      </c>
      <c r="D11" s="23"/>
      <c r="E11" s="26">
        <v>221.23</v>
      </c>
      <c r="F11" s="27">
        <v>505.99507965732363</v>
      </c>
      <c r="G11" s="27">
        <v>452.46431972152516</v>
      </c>
      <c r="H11" s="27">
        <v>607.5129972570834</v>
      </c>
      <c r="I11" s="27">
        <v>617.23</v>
      </c>
      <c r="J11" s="27">
        <v>638.03</v>
      </c>
      <c r="K11" s="27">
        <v>466.87</v>
      </c>
      <c r="L11" s="178"/>
      <c r="M11" s="178"/>
      <c r="N11" s="178"/>
      <c r="O11" s="178"/>
      <c r="P11" s="178"/>
      <c r="Q11" s="180"/>
      <c r="R11" s="134">
        <f aca="true" t="shared" si="1" ref="R11:R21">AVERAGE(F11:Q11)</f>
        <v>548.0170661059886</v>
      </c>
    </row>
    <row r="12" spans="1:18" ht="12.75">
      <c r="A12" s="22"/>
      <c r="B12" s="2"/>
      <c r="C12" s="25" t="s">
        <v>3</v>
      </c>
      <c r="D12" s="23"/>
      <c r="E12" s="26">
        <v>27.74</v>
      </c>
      <c r="F12" s="27">
        <v>20.167962499648173</v>
      </c>
      <c r="G12" s="27">
        <v>17.048378785793957</v>
      </c>
      <c r="H12" s="27">
        <v>14.805242036907337</v>
      </c>
      <c r="I12" s="27">
        <v>20.77</v>
      </c>
      <c r="J12" s="27">
        <v>17.29</v>
      </c>
      <c r="K12" s="27">
        <v>23.37</v>
      </c>
      <c r="L12" s="178"/>
      <c r="M12" s="178"/>
      <c r="N12" s="178"/>
      <c r="O12" s="178"/>
      <c r="P12" s="178"/>
      <c r="Q12" s="180"/>
      <c r="R12" s="134">
        <f t="shared" si="1"/>
        <v>18.90859722039158</v>
      </c>
    </row>
    <row r="13" spans="1:18" ht="12.75">
      <c r="A13" s="22"/>
      <c r="B13" s="2"/>
      <c r="C13" s="25" t="s">
        <v>6</v>
      </c>
      <c r="D13" s="23"/>
      <c r="E13" s="26">
        <v>57.4</v>
      </c>
      <c r="F13" s="27">
        <v>42.10200688027516</v>
      </c>
      <c r="G13" s="27">
        <v>34.917274731358425</v>
      </c>
      <c r="H13" s="27">
        <v>29.579354464822018</v>
      </c>
      <c r="I13" s="27">
        <v>31.95</v>
      </c>
      <c r="J13" s="27">
        <v>40.99</v>
      </c>
      <c r="K13" s="27">
        <v>33.09</v>
      </c>
      <c r="L13" s="178"/>
      <c r="M13" s="178"/>
      <c r="N13" s="178"/>
      <c r="O13" s="178"/>
      <c r="P13" s="178"/>
      <c r="Q13" s="180"/>
      <c r="R13" s="134">
        <f t="shared" si="1"/>
        <v>35.4381060127426</v>
      </c>
    </row>
    <row r="14" spans="1:18" ht="12.75">
      <c r="A14" s="22"/>
      <c r="B14" s="2"/>
      <c r="C14" s="25" t="s">
        <v>4</v>
      </c>
      <c r="D14" s="23"/>
      <c r="E14" s="26">
        <v>393.54</v>
      </c>
      <c r="F14" s="27">
        <v>388.5518654379333</v>
      </c>
      <c r="G14" s="27">
        <v>321.90098110696294</v>
      </c>
      <c r="H14" s="27">
        <v>430.10535560793517</v>
      </c>
      <c r="I14" s="27">
        <v>407.49</v>
      </c>
      <c r="J14" s="27">
        <v>379.01</v>
      </c>
      <c r="K14" s="27">
        <v>430.85</v>
      </c>
      <c r="L14" s="178"/>
      <c r="M14" s="178"/>
      <c r="N14" s="178"/>
      <c r="O14" s="178"/>
      <c r="P14" s="178"/>
      <c r="Q14" s="180"/>
      <c r="R14" s="134">
        <f t="shared" si="1"/>
        <v>392.98470035880524</v>
      </c>
    </row>
    <row r="15" spans="1:18" ht="12.75">
      <c r="A15" s="22"/>
      <c r="B15" s="2"/>
      <c r="C15" s="25" t="s">
        <v>5</v>
      </c>
      <c r="D15" s="23"/>
      <c r="E15" s="26">
        <v>25.57</v>
      </c>
      <c r="F15" s="27">
        <v>22.09102943671399</v>
      </c>
      <c r="G15" s="27">
        <v>17.443414338579093</v>
      </c>
      <c r="H15" s="27">
        <v>20.850612103281193</v>
      </c>
      <c r="I15" s="27">
        <v>22.28</v>
      </c>
      <c r="J15" s="27">
        <v>17.68</v>
      </c>
      <c r="K15" s="27">
        <v>18.42</v>
      </c>
      <c r="L15" s="178"/>
      <c r="M15" s="178"/>
      <c r="N15" s="178"/>
      <c r="O15" s="178"/>
      <c r="P15" s="178"/>
      <c r="Q15" s="180"/>
      <c r="R15" s="134">
        <f t="shared" si="1"/>
        <v>19.79417597976238</v>
      </c>
    </row>
    <row r="16" spans="1:18" ht="12.75">
      <c r="A16" s="22"/>
      <c r="B16" s="2"/>
      <c r="C16" s="25" t="s">
        <v>91</v>
      </c>
      <c r="D16" s="23"/>
      <c r="E16" s="26">
        <v>28.2</v>
      </c>
      <c r="F16" s="27">
        <v>16.6450331527545</v>
      </c>
      <c r="G16" s="27">
        <v>17.278135758634946</v>
      </c>
      <c r="H16" s="27">
        <v>14.718079131727901</v>
      </c>
      <c r="I16" s="27">
        <v>19.41</v>
      </c>
      <c r="J16" s="27">
        <v>23.82</v>
      </c>
      <c r="K16" s="27">
        <v>15.23</v>
      </c>
      <c r="L16" s="178"/>
      <c r="M16" s="178"/>
      <c r="N16" s="178"/>
      <c r="O16" s="178"/>
      <c r="P16" s="178"/>
      <c r="Q16" s="180"/>
      <c r="R16" s="134">
        <f t="shared" si="1"/>
        <v>17.85020800718622</v>
      </c>
    </row>
    <row r="17" spans="1:18" ht="12.75">
      <c r="A17" s="22"/>
      <c r="B17" s="2"/>
      <c r="C17" s="25" t="s">
        <v>92</v>
      </c>
      <c r="D17" s="23"/>
      <c r="E17" s="28" t="s">
        <v>20</v>
      </c>
      <c r="F17" s="27">
        <v>12.98820478743368</v>
      </c>
      <c r="G17" s="27">
        <v>12.750372555428154</v>
      </c>
      <c r="H17" s="27">
        <v>14.27603868403218</v>
      </c>
      <c r="I17" s="27">
        <v>11.85</v>
      </c>
      <c r="J17" s="27">
        <v>7.32</v>
      </c>
      <c r="K17" s="27">
        <v>11.06</v>
      </c>
      <c r="L17" s="178"/>
      <c r="M17" s="178"/>
      <c r="N17" s="178"/>
      <c r="O17" s="178"/>
      <c r="P17" s="178"/>
      <c r="Q17" s="180"/>
      <c r="R17" s="134">
        <f t="shared" si="1"/>
        <v>11.707436004482338</v>
      </c>
    </row>
    <row r="18" spans="1:18" ht="12.75">
      <c r="A18" s="22"/>
      <c r="B18" s="2"/>
      <c r="C18" s="25" t="s">
        <v>93</v>
      </c>
      <c r="D18" s="23"/>
      <c r="E18" s="28" t="s">
        <v>20</v>
      </c>
      <c r="F18" s="27">
        <v>5.821877887249764</v>
      </c>
      <c r="G18" s="27">
        <v>10.871416067642048</v>
      </c>
      <c r="H18" s="27">
        <v>6.070273753567979</v>
      </c>
      <c r="I18" s="27">
        <v>23.86</v>
      </c>
      <c r="J18" s="27">
        <v>10.74</v>
      </c>
      <c r="K18" s="27">
        <v>18.96</v>
      </c>
      <c r="L18" s="178"/>
      <c r="M18" s="178"/>
      <c r="N18" s="178"/>
      <c r="O18" s="178"/>
      <c r="P18" s="178"/>
      <c r="Q18" s="180"/>
      <c r="R18" s="134">
        <f t="shared" si="1"/>
        <v>12.720594618076632</v>
      </c>
    </row>
    <row r="19" spans="1:23" ht="12.75">
      <c r="A19" s="22"/>
      <c r="B19" s="2"/>
      <c r="C19" s="25" t="str">
        <f>+'[1]Residential Commodity Revenue'!A17</f>
        <v>Residue</v>
      </c>
      <c r="D19" s="23"/>
      <c r="E19" s="28" t="s">
        <v>20</v>
      </c>
      <c r="F19" s="27">
        <v>186.68629977709534</v>
      </c>
      <c r="G19" s="27">
        <v>153.13914963954753</v>
      </c>
      <c r="H19" s="27">
        <v>175.71662715021677</v>
      </c>
      <c r="I19" s="27">
        <v>179.0026086956522</v>
      </c>
      <c r="J19" s="27">
        <v>184.75304347826085</v>
      </c>
      <c r="K19" s="27">
        <v>172.4</v>
      </c>
      <c r="L19" s="178"/>
      <c r="M19" s="178"/>
      <c r="N19" s="178"/>
      <c r="O19" s="178"/>
      <c r="P19" s="178"/>
      <c r="Q19" s="180"/>
      <c r="R19" s="134">
        <f t="shared" si="1"/>
        <v>175.2829547901288</v>
      </c>
      <c r="U19" s="24"/>
      <c r="V19" s="24"/>
      <c r="W19" s="24"/>
    </row>
    <row r="20" spans="1:23" ht="12.75">
      <c r="A20" s="22"/>
      <c r="B20" s="2" t="s">
        <v>21</v>
      </c>
      <c r="C20" s="2"/>
      <c r="D20" s="23"/>
      <c r="E20" s="29" t="s">
        <v>20</v>
      </c>
      <c r="F20" s="160">
        <v>274.97890428711776</v>
      </c>
      <c r="G20" s="160">
        <v>329.75522173641474</v>
      </c>
      <c r="H20" s="160">
        <v>1961.8825903589745</v>
      </c>
      <c r="I20" s="160">
        <v>2733.9261483248793</v>
      </c>
      <c r="J20" s="160">
        <v>2688.4121405257847</v>
      </c>
      <c r="K20" s="160">
        <v>1614.5617344724444</v>
      </c>
      <c r="L20" s="3"/>
      <c r="M20" s="3"/>
      <c r="N20" s="3"/>
      <c r="O20" s="3"/>
      <c r="P20" s="3"/>
      <c r="Q20" s="66"/>
      <c r="R20" s="134">
        <f t="shared" si="1"/>
        <v>1600.5861232842692</v>
      </c>
      <c r="U20" s="24"/>
      <c r="V20" s="24"/>
      <c r="W20" s="24"/>
    </row>
    <row r="21" spans="1:18" ht="12.75">
      <c r="A21" s="22"/>
      <c r="B21" s="2" t="s">
        <v>22</v>
      </c>
      <c r="C21" s="2"/>
      <c r="D21" s="23"/>
      <c r="E21" s="31">
        <v>5192.718199756373</v>
      </c>
      <c r="F21" s="161">
        <v>4985.361999656181</v>
      </c>
      <c r="G21" s="161">
        <v>4067.2498434116656</v>
      </c>
      <c r="H21" s="161">
        <v>4820.397249387089</v>
      </c>
      <c r="I21" s="161">
        <v>5753.063570400845</v>
      </c>
      <c r="J21" s="161">
        <v>5560.841783131991</v>
      </c>
      <c r="K21" s="161">
        <v>5819.5724756597065</v>
      </c>
      <c r="L21" s="38"/>
      <c r="M21" s="38"/>
      <c r="N21" s="38"/>
      <c r="O21" s="38"/>
      <c r="P21" s="38"/>
      <c r="Q21" s="38"/>
      <c r="R21" s="134">
        <f t="shared" si="1"/>
        <v>5167.74782027458</v>
      </c>
    </row>
    <row r="22" spans="1:18" s="1" customFormat="1" ht="13.5" thickBot="1">
      <c r="A22" s="32"/>
      <c r="B22" s="33" t="s">
        <v>23</v>
      </c>
      <c r="C22" s="33"/>
      <c r="D22" s="34"/>
      <c r="E22" s="35">
        <f>+E21+E9</f>
        <v>7053.248199756373</v>
      </c>
      <c r="F22" s="35">
        <f aca="true" t="shared" si="2" ref="F22:K22">+F21+F20+F9</f>
        <v>7593.919651156991</v>
      </c>
      <c r="G22" s="35">
        <f t="shared" si="2"/>
        <v>6311.244435642425</v>
      </c>
      <c r="H22" s="35">
        <f t="shared" si="2"/>
        <v>8978.737679123773</v>
      </c>
      <c r="I22" s="35">
        <f t="shared" si="2"/>
        <v>10724.522327421375</v>
      </c>
      <c r="J22" s="35">
        <f>+J21+J20+J9</f>
        <v>10558.666967136036</v>
      </c>
      <c r="K22" s="35">
        <f t="shared" si="2"/>
        <v>9589.13421013215</v>
      </c>
      <c r="L22" s="35"/>
      <c r="M22" s="35"/>
      <c r="N22" s="35"/>
      <c r="O22" s="35"/>
      <c r="P22" s="35"/>
      <c r="Q22" s="35"/>
      <c r="R22" s="135">
        <f>+R21+R20+R9</f>
        <v>8959.370878435459</v>
      </c>
    </row>
    <row r="23" spans="1:18" ht="13.5" thickTop="1">
      <c r="A23" s="17" t="s">
        <v>24</v>
      </c>
      <c r="B23" s="18"/>
      <c r="C23" s="18"/>
      <c r="D23" s="19"/>
      <c r="E23" s="18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136"/>
    </row>
    <row r="24" spans="1:18" ht="12.75">
      <c r="A24" s="22"/>
      <c r="B24" s="2" t="s">
        <v>25</v>
      </c>
      <c r="C24" s="2"/>
      <c r="D24" s="23"/>
      <c r="E24" s="29" t="s">
        <v>20</v>
      </c>
      <c r="F24" s="30">
        <v>220.03406949547193</v>
      </c>
      <c r="G24" s="30">
        <v>217.55434761574003</v>
      </c>
      <c r="H24" s="30">
        <v>264.6922892916582</v>
      </c>
      <c r="I24" s="30">
        <v>266.82954545454544</v>
      </c>
      <c r="J24" s="30">
        <v>303.60227272727275</v>
      </c>
      <c r="K24" s="30">
        <v>283.64772727272725</v>
      </c>
      <c r="L24" s="30"/>
      <c r="M24" s="30"/>
      <c r="N24" s="30"/>
      <c r="O24" s="30"/>
      <c r="P24" s="30"/>
      <c r="Q24" s="30"/>
      <c r="R24" s="134">
        <f>AVERAGE(F24:Q24)</f>
        <v>259.39337530956925</v>
      </c>
    </row>
    <row r="25" spans="1:18" ht="12.75">
      <c r="A25" s="22"/>
      <c r="B25" s="2" t="s">
        <v>26</v>
      </c>
      <c r="C25" s="2"/>
      <c r="D25" s="23"/>
      <c r="E25" s="29" t="s">
        <v>20</v>
      </c>
      <c r="F25" s="162">
        <v>0</v>
      </c>
      <c r="G25" s="162">
        <v>0</v>
      </c>
      <c r="H25" s="162">
        <v>0</v>
      </c>
      <c r="I25" s="162">
        <v>0</v>
      </c>
      <c r="J25" s="162">
        <v>0</v>
      </c>
      <c r="K25" s="162">
        <v>0</v>
      </c>
      <c r="L25" s="30"/>
      <c r="M25" s="30"/>
      <c r="N25" s="30"/>
      <c r="O25" s="30"/>
      <c r="P25" s="30"/>
      <c r="Q25" s="30"/>
      <c r="R25" s="134">
        <f>AVERAGE(F25:Q25)</f>
        <v>0</v>
      </c>
    </row>
    <row r="26" spans="1:18" ht="12.75">
      <c r="A26" s="22"/>
      <c r="B26" s="2" t="s">
        <v>27</v>
      </c>
      <c r="C26" s="2"/>
      <c r="D26" s="23"/>
      <c r="E26" s="37" t="s">
        <v>20</v>
      </c>
      <c r="F26" s="161">
        <v>1738.7233809523805</v>
      </c>
      <c r="G26" s="161">
        <v>1580.6576190476187</v>
      </c>
      <c r="H26" s="161">
        <v>1817.7562619047615</v>
      </c>
      <c r="I26" s="161">
        <v>1738.7233809523805</v>
      </c>
      <c r="J26" s="161">
        <v>1659.6904999999997</v>
      </c>
      <c r="K26" s="161">
        <v>1738.7233809523805</v>
      </c>
      <c r="L26" s="38"/>
      <c r="M26" s="38"/>
      <c r="N26" s="38"/>
      <c r="O26" s="38"/>
      <c r="P26" s="38"/>
      <c r="Q26" s="38"/>
      <c r="R26" s="134">
        <f>AVERAGE(F26:Q26)</f>
        <v>1712.3790873015869</v>
      </c>
    </row>
    <row r="27" spans="1:18" s="1" customFormat="1" ht="13.5" thickBot="1">
      <c r="A27" s="32"/>
      <c r="B27" s="18" t="s">
        <v>28</v>
      </c>
      <c r="C27" s="18"/>
      <c r="D27" s="19"/>
      <c r="E27" s="39" t="s">
        <v>20</v>
      </c>
      <c r="F27" s="35">
        <f aca="true" t="shared" si="3" ref="F27:K27">SUM(F24:F26)</f>
        <v>1958.7574504478523</v>
      </c>
      <c r="G27" s="35">
        <f t="shared" si="3"/>
        <v>1798.2119666633587</v>
      </c>
      <c r="H27" s="35">
        <f t="shared" si="3"/>
        <v>2082.4485511964194</v>
      </c>
      <c r="I27" s="35">
        <f t="shared" si="3"/>
        <v>2005.552926406926</v>
      </c>
      <c r="J27" s="35">
        <f t="shared" si="3"/>
        <v>1963.2927727272724</v>
      </c>
      <c r="K27" s="35">
        <f t="shared" si="3"/>
        <v>2022.3711082251077</v>
      </c>
      <c r="L27" s="35"/>
      <c r="M27" s="35"/>
      <c r="N27" s="35"/>
      <c r="O27" s="35"/>
      <c r="P27" s="35"/>
      <c r="Q27" s="116"/>
      <c r="R27" s="135">
        <f>SUM(R24:R26)</f>
        <v>1971.7724626111562</v>
      </c>
    </row>
    <row r="28" spans="1:19" ht="14.25" thickBot="1" thickTop="1">
      <c r="A28" s="40" t="s">
        <v>29</v>
      </c>
      <c r="B28" s="41"/>
      <c r="C28" s="41"/>
      <c r="D28" s="9"/>
      <c r="E28" s="42" t="s">
        <v>20</v>
      </c>
      <c r="F28" s="43">
        <f aca="true" t="shared" si="4" ref="F28:K28">+F27+F22</f>
        <v>9552.677101604842</v>
      </c>
      <c r="G28" s="43">
        <f t="shared" si="4"/>
        <v>8109.456402305784</v>
      </c>
      <c r="H28" s="43">
        <f t="shared" si="4"/>
        <v>11061.186230320192</v>
      </c>
      <c r="I28" s="43">
        <f t="shared" si="4"/>
        <v>12730.075253828301</v>
      </c>
      <c r="J28" s="43">
        <f t="shared" si="4"/>
        <v>12521.959739863309</v>
      </c>
      <c r="K28" s="43">
        <f t="shared" si="4"/>
        <v>11611.505318357258</v>
      </c>
      <c r="L28" s="43"/>
      <c r="M28" s="43"/>
      <c r="N28" s="43"/>
      <c r="O28" s="43"/>
      <c r="P28" s="43"/>
      <c r="Q28" s="117"/>
      <c r="R28" s="137">
        <f>+R27+R22</f>
        <v>10931.143341046614</v>
      </c>
      <c r="S28" s="1"/>
    </row>
    <row r="29" spans="1:19" ht="14.25" thickBot="1" thickTop="1">
      <c r="A29" s="44"/>
      <c r="B29" s="2"/>
      <c r="C29" s="2"/>
      <c r="D29" s="2"/>
      <c r="E29" s="2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138"/>
      <c r="S29" s="1"/>
    </row>
    <row r="30" spans="1:18" ht="14.25" thickBot="1" thickTop="1">
      <c r="A30" s="46" t="s">
        <v>30</v>
      </c>
      <c r="B30" s="47"/>
      <c r="C30" s="47"/>
      <c r="D30" s="14"/>
      <c r="E30" s="48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139"/>
    </row>
    <row r="31" spans="1:18" ht="13.5" thickTop="1">
      <c r="A31" s="50" t="s">
        <v>31</v>
      </c>
      <c r="B31" s="18"/>
      <c r="C31" s="18"/>
      <c r="D31" s="51"/>
      <c r="E31" s="18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118"/>
      <c r="R31" s="131"/>
    </row>
    <row r="32" spans="1:18" ht="12.75">
      <c r="A32" s="17"/>
      <c r="B32" s="54" t="s">
        <v>32</v>
      </c>
      <c r="C32" s="55"/>
      <c r="D32" s="56"/>
      <c r="E32" s="57">
        <v>68494.89930555556</v>
      </c>
      <c r="F32" s="58">
        <f aca="true" t="shared" si="5" ref="F32:K32">SUM(F33:F44)</f>
        <v>72064</v>
      </c>
      <c r="G32" s="58">
        <f t="shared" si="5"/>
        <v>72466</v>
      </c>
      <c r="H32" s="58">
        <f t="shared" si="5"/>
        <v>72921</v>
      </c>
      <c r="I32" s="58">
        <f t="shared" si="5"/>
        <v>73009</v>
      </c>
      <c r="J32" s="58">
        <f t="shared" si="5"/>
        <v>73904</v>
      </c>
      <c r="K32" s="58">
        <f t="shared" si="5"/>
        <v>73788</v>
      </c>
      <c r="L32" s="58"/>
      <c r="M32" s="58"/>
      <c r="N32" s="58"/>
      <c r="O32" s="58"/>
      <c r="P32" s="58"/>
      <c r="Q32" s="115"/>
      <c r="R32" s="140">
        <f>AVERAGE(F32:Q32)</f>
        <v>73025.33333333333</v>
      </c>
    </row>
    <row r="33" spans="1:18" ht="12.75">
      <c r="A33" s="17"/>
      <c r="B33" s="59"/>
      <c r="C33" s="60" t="s">
        <v>33</v>
      </c>
      <c r="D33" s="56"/>
      <c r="E33" s="29" t="s">
        <v>20</v>
      </c>
      <c r="F33" s="62">
        <v>1012</v>
      </c>
      <c r="G33" s="62">
        <v>1026</v>
      </c>
      <c r="H33" s="62">
        <v>1032</v>
      </c>
      <c r="I33" s="62">
        <v>1032</v>
      </c>
      <c r="J33" s="62">
        <v>1044</v>
      </c>
      <c r="K33" s="62">
        <v>1036</v>
      </c>
      <c r="L33" s="129"/>
      <c r="M33" s="129"/>
      <c r="N33" s="129"/>
      <c r="O33" s="129"/>
      <c r="P33" s="129"/>
      <c r="Q33" s="181"/>
      <c r="R33" s="141">
        <f>AVERAGE(F33:Q33)</f>
        <v>1030.3333333333333</v>
      </c>
    </row>
    <row r="34" spans="1:18" ht="12.75">
      <c r="A34" s="17"/>
      <c r="B34" s="59"/>
      <c r="C34" s="60" t="s">
        <v>34</v>
      </c>
      <c r="D34" s="56"/>
      <c r="E34" s="29" t="s">
        <v>20</v>
      </c>
      <c r="F34" s="62">
        <v>6593</v>
      </c>
      <c r="G34" s="62">
        <v>6667</v>
      </c>
      <c r="H34" s="62">
        <v>6753</v>
      </c>
      <c r="I34" s="62">
        <v>6753</v>
      </c>
      <c r="J34" s="62">
        <v>6774</v>
      </c>
      <c r="K34" s="62">
        <v>6755</v>
      </c>
      <c r="L34" s="129"/>
      <c r="M34" s="129"/>
      <c r="N34" s="129"/>
      <c r="O34" s="129"/>
      <c r="P34" s="129"/>
      <c r="Q34" s="130"/>
      <c r="R34" s="141">
        <f aca="true" t="shared" si="6" ref="R34:R46">AVERAGE(F34:Q34)</f>
        <v>6715.833333333333</v>
      </c>
    </row>
    <row r="35" spans="1:18" ht="12.75">
      <c r="A35" s="17"/>
      <c r="B35" s="59"/>
      <c r="C35" s="60" t="s">
        <v>79</v>
      </c>
      <c r="D35" s="56"/>
      <c r="E35" s="29" t="s">
        <v>20</v>
      </c>
      <c r="F35" s="62">
        <v>22</v>
      </c>
      <c r="G35" s="62">
        <v>22</v>
      </c>
      <c r="H35" s="62">
        <v>22</v>
      </c>
      <c r="I35" s="62">
        <v>22</v>
      </c>
      <c r="J35" s="62">
        <v>22</v>
      </c>
      <c r="K35" s="62">
        <v>22</v>
      </c>
      <c r="L35" s="129"/>
      <c r="M35" s="129"/>
      <c r="N35" s="129"/>
      <c r="O35" s="129"/>
      <c r="P35" s="129"/>
      <c r="Q35" s="130"/>
      <c r="R35" s="141">
        <f t="shared" si="6"/>
        <v>22</v>
      </c>
    </row>
    <row r="36" spans="1:18" ht="12.75">
      <c r="A36" s="17"/>
      <c r="B36" s="59"/>
      <c r="C36" s="60" t="s">
        <v>35</v>
      </c>
      <c r="D36" s="56"/>
      <c r="E36" s="29" t="s">
        <v>20</v>
      </c>
      <c r="F36" s="62">
        <v>41786</v>
      </c>
      <c r="G36" s="62">
        <v>41965</v>
      </c>
      <c r="H36" s="62">
        <v>42062</v>
      </c>
      <c r="I36" s="62">
        <v>42150</v>
      </c>
      <c r="J36" s="62">
        <v>42731</v>
      </c>
      <c r="K36" s="62">
        <v>42687</v>
      </c>
      <c r="L36" s="129"/>
      <c r="M36" s="129"/>
      <c r="N36" s="129"/>
      <c r="O36" s="129"/>
      <c r="P36" s="129"/>
      <c r="Q36" s="130"/>
      <c r="R36" s="141">
        <f t="shared" si="6"/>
        <v>42230.166666666664</v>
      </c>
    </row>
    <row r="37" spans="1:18" ht="12.75">
      <c r="A37" s="17"/>
      <c r="B37" s="59"/>
      <c r="C37" s="60" t="s">
        <v>36</v>
      </c>
      <c r="D37" s="56"/>
      <c r="E37" s="29" t="s">
        <v>20</v>
      </c>
      <c r="F37" s="62">
        <v>5138</v>
      </c>
      <c r="G37" s="62">
        <v>5071</v>
      </c>
      <c r="H37" s="62">
        <v>4996</v>
      </c>
      <c r="I37" s="62">
        <v>4996</v>
      </c>
      <c r="J37" s="62">
        <v>4979</v>
      </c>
      <c r="K37" s="62">
        <v>4884</v>
      </c>
      <c r="L37" s="129"/>
      <c r="M37" s="129"/>
      <c r="N37" s="129"/>
      <c r="O37" s="129"/>
      <c r="P37" s="129"/>
      <c r="Q37" s="130"/>
      <c r="R37" s="141">
        <f t="shared" si="6"/>
        <v>5010.666666666667</v>
      </c>
    </row>
    <row r="38" spans="1:18" ht="12.75">
      <c r="A38" s="17"/>
      <c r="B38" s="59"/>
      <c r="C38" s="60" t="s">
        <v>37</v>
      </c>
      <c r="D38" s="56"/>
      <c r="E38" s="29" t="s">
        <v>20</v>
      </c>
      <c r="F38" s="62">
        <v>219</v>
      </c>
      <c r="G38" s="62">
        <v>217</v>
      </c>
      <c r="H38" s="62">
        <v>214</v>
      </c>
      <c r="I38" s="62">
        <v>214</v>
      </c>
      <c r="J38" s="62">
        <v>217</v>
      </c>
      <c r="K38" s="62">
        <v>213</v>
      </c>
      <c r="L38" s="129"/>
      <c r="M38" s="129"/>
      <c r="N38" s="129"/>
      <c r="O38" s="129"/>
      <c r="P38" s="129"/>
      <c r="Q38" s="130"/>
      <c r="R38" s="141">
        <f t="shared" si="6"/>
        <v>215.66666666666666</v>
      </c>
    </row>
    <row r="39" spans="1:18" ht="12.75">
      <c r="A39" s="17"/>
      <c r="B39" s="59"/>
      <c r="C39" s="60" t="s">
        <v>38</v>
      </c>
      <c r="D39" s="56"/>
      <c r="E39" s="29" t="s">
        <v>20</v>
      </c>
      <c r="F39" s="62">
        <v>28</v>
      </c>
      <c r="G39" s="62">
        <v>28</v>
      </c>
      <c r="H39" s="62">
        <v>26</v>
      </c>
      <c r="I39" s="62">
        <v>26</v>
      </c>
      <c r="J39" s="62">
        <v>29</v>
      </c>
      <c r="K39" s="62">
        <v>27</v>
      </c>
      <c r="L39" s="129"/>
      <c r="M39" s="129"/>
      <c r="N39" s="129"/>
      <c r="O39" s="129"/>
      <c r="P39" s="129"/>
      <c r="Q39" s="130"/>
      <c r="R39" s="141">
        <f t="shared" si="6"/>
        <v>27.333333333333332</v>
      </c>
    </row>
    <row r="40" spans="1:18" ht="12.75">
      <c r="A40" s="17"/>
      <c r="B40" s="59"/>
      <c r="C40" s="60" t="s">
        <v>39</v>
      </c>
      <c r="D40" s="56"/>
      <c r="E40" s="29" t="s">
        <v>20</v>
      </c>
      <c r="F40" s="62">
        <v>3</v>
      </c>
      <c r="G40" s="62">
        <v>2</v>
      </c>
      <c r="H40" s="62">
        <v>2</v>
      </c>
      <c r="I40" s="62">
        <v>2</v>
      </c>
      <c r="J40" s="62">
        <v>2</v>
      </c>
      <c r="K40" s="62">
        <v>2</v>
      </c>
      <c r="L40" s="129"/>
      <c r="M40" s="129"/>
      <c r="N40" s="129"/>
      <c r="O40" s="129"/>
      <c r="P40" s="129"/>
      <c r="Q40" s="130"/>
      <c r="R40" s="141">
        <f t="shared" si="6"/>
        <v>2.1666666666666665</v>
      </c>
    </row>
    <row r="41" spans="1:18" ht="12.75">
      <c r="A41" s="17"/>
      <c r="B41" s="59"/>
      <c r="C41" s="60" t="s">
        <v>76</v>
      </c>
      <c r="D41" s="56"/>
      <c r="E41" s="29" t="s">
        <v>20</v>
      </c>
      <c r="F41" s="62">
        <v>3</v>
      </c>
      <c r="G41" s="62">
        <v>3</v>
      </c>
      <c r="H41" s="62">
        <v>3</v>
      </c>
      <c r="I41" s="62">
        <v>3</v>
      </c>
      <c r="J41" s="62">
        <v>3</v>
      </c>
      <c r="K41" s="62">
        <v>3</v>
      </c>
      <c r="L41" s="129"/>
      <c r="M41" s="129"/>
      <c r="N41" s="129"/>
      <c r="O41" s="129"/>
      <c r="P41" s="129"/>
      <c r="Q41" s="130"/>
      <c r="R41" s="141">
        <f t="shared" si="6"/>
        <v>3</v>
      </c>
    </row>
    <row r="42" spans="1:18" ht="12.75">
      <c r="A42" s="17"/>
      <c r="B42" s="59"/>
      <c r="C42" s="60" t="s">
        <v>40</v>
      </c>
      <c r="D42" s="56"/>
      <c r="E42" s="29" t="s">
        <v>20</v>
      </c>
      <c r="F42" s="62">
        <v>17001</v>
      </c>
      <c r="G42" s="62">
        <v>17205</v>
      </c>
      <c r="H42" s="62">
        <v>17540</v>
      </c>
      <c r="I42" s="62">
        <v>17540</v>
      </c>
      <c r="J42" s="62">
        <v>17826</v>
      </c>
      <c r="K42" s="62">
        <v>17893</v>
      </c>
      <c r="L42" s="129"/>
      <c r="M42" s="129"/>
      <c r="N42" s="129"/>
      <c r="O42" s="129"/>
      <c r="P42" s="129"/>
      <c r="Q42" s="130"/>
      <c r="R42" s="141">
        <f t="shared" si="6"/>
        <v>17500.833333333332</v>
      </c>
    </row>
    <row r="43" spans="1:18" ht="12.75">
      <c r="A43" s="17"/>
      <c r="B43" s="59"/>
      <c r="C43" s="60" t="s">
        <v>77</v>
      </c>
      <c r="D43" s="56"/>
      <c r="E43" s="29" t="s">
        <v>20</v>
      </c>
      <c r="F43" s="62">
        <v>249</v>
      </c>
      <c r="G43" s="62">
        <v>248</v>
      </c>
      <c r="H43" s="62">
        <v>256</v>
      </c>
      <c r="I43" s="62">
        <v>256</v>
      </c>
      <c r="J43" s="62">
        <v>262</v>
      </c>
      <c r="K43" s="62">
        <v>251</v>
      </c>
      <c r="L43" s="129"/>
      <c r="M43" s="129"/>
      <c r="N43" s="129"/>
      <c r="O43" s="129"/>
      <c r="P43" s="129"/>
      <c r="Q43" s="130"/>
      <c r="R43" s="141">
        <f t="shared" si="6"/>
        <v>253.66666666666666</v>
      </c>
    </row>
    <row r="44" spans="1:18" ht="12.75">
      <c r="A44" s="17"/>
      <c r="B44" s="59"/>
      <c r="C44" s="60" t="s">
        <v>78</v>
      </c>
      <c r="D44" s="56"/>
      <c r="E44" s="29" t="s">
        <v>20</v>
      </c>
      <c r="F44" s="62">
        <v>10</v>
      </c>
      <c r="G44" s="62">
        <v>12</v>
      </c>
      <c r="H44" s="62">
        <v>15</v>
      </c>
      <c r="I44" s="62">
        <v>15</v>
      </c>
      <c r="J44" s="62">
        <v>15</v>
      </c>
      <c r="K44" s="62">
        <v>15</v>
      </c>
      <c r="L44" s="129"/>
      <c r="M44" s="129"/>
      <c r="N44" s="129"/>
      <c r="O44" s="129"/>
      <c r="P44" s="129"/>
      <c r="Q44" s="130"/>
      <c r="R44" s="141">
        <f t="shared" si="6"/>
        <v>13.666666666666666</v>
      </c>
    </row>
    <row r="45" spans="1:18" ht="12.75">
      <c r="A45" s="22"/>
      <c r="B45" s="2" t="s">
        <v>41</v>
      </c>
      <c r="C45" s="2"/>
      <c r="D45" s="23"/>
      <c r="E45" s="29" t="s">
        <v>20</v>
      </c>
      <c r="F45" s="164">
        <v>0.708</v>
      </c>
      <c r="G45" s="164">
        <v>0.692</v>
      </c>
      <c r="H45" s="164">
        <v>0.716</v>
      </c>
      <c r="I45" s="176">
        <v>0.6624813327340476</v>
      </c>
      <c r="J45" s="176">
        <v>0.6627210100880842</v>
      </c>
      <c r="K45" s="176">
        <v>0.6613970694488599</v>
      </c>
      <c r="L45" s="129"/>
      <c r="M45" s="129"/>
      <c r="N45" s="129"/>
      <c r="O45" s="129"/>
      <c r="P45" s="129"/>
      <c r="Q45" s="130"/>
      <c r="R45" s="142">
        <f>AVERAGE(F45:Q45)</f>
        <v>0.6837665687118318</v>
      </c>
    </row>
    <row r="46" spans="1:18" ht="12.75">
      <c r="A46" s="22"/>
      <c r="B46" s="2" t="s">
        <v>42</v>
      </c>
      <c r="C46" s="2"/>
      <c r="D46" s="23"/>
      <c r="E46" s="65">
        <v>12.536805772571261</v>
      </c>
      <c r="F46" s="163">
        <f aca="true" t="shared" si="7" ref="F46:K46">+F9*2000/(F32*2.16667*F45)</f>
        <v>42.219011847104795</v>
      </c>
      <c r="G46" s="163">
        <f t="shared" si="7"/>
        <v>35.236526105093986</v>
      </c>
      <c r="H46" s="163">
        <f t="shared" si="7"/>
        <v>38.83242025397834</v>
      </c>
      <c r="I46" s="163">
        <f t="shared" si="7"/>
        <v>42.70281977464948</v>
      </c>
      <c r="J46" s="163">
        <f t="shared" si="7"/>
        <v>43.52513791530774</v>
      </c>
      <c r="K46" s="163">
        <f t="shared" si="7"/>
        <v>40.76021768199558</v>
      </c>
      <c r="L46" s="129"/>
      <c r="M46" s="129"/>
      <c r="N46" s="129"/>
      <c r="O46" s="129"/>
      <c r="P46" s="129"/>
      <c r="Q46" s="130"/>
      <c r="R46" s="134">
        <f t="shared" si="6"/>
        <v>40.546022263021655</v>
      </c>
    </row>
    <row r="47" spans="1:18" ht="12.75">
      <c r="A47" s="17" t="s">
        <v>43</v>
      </c>
      <c r="B47" s="18"/>
      <c r="C47" s="18"/>
      <c r="D47" s="19"/>
      <c r="E47" s="18"/>
      <c r="F47" s="52"/>
      <c r="G47" s="52"/>
      <c r="H47" s="52"/>
      <c r="I47" s="52"/>
      <c r="J47" s="52"/>
      <c r="K47" s="52"/>
      <c r="L47" s="182"/>
      <c r="M47" s="182"/>
      <c r="N47" s="182"/>
      <c r="O47" s="182"/>
      <c r="P47" s="182"/>
      <c r="Q47" s="183"/>
      <c r="R47" s="143"/>
    </row>
    <row r="48" spans="1:32" ht="12.75">
      <c r="A48" s="17"/>
      <c r="B48" s="100" t="s">
        <v>32</v>
      </c>
      <c r="C48" s="18"/>
      <c r="D48" s="19"/>
      <c r="E48" s="29" t="s">
        <v>20</v>
      </c>
      <c r="F48" s="152">
        <f>22634+2120</f>
        <v>24754</v>
      </c>
      <c r="G48" s="152">
        <f>22765+2126</f>
        <v>24891</v>
      </c>
      <c r="H48" s="152">
        <f>23348+2135</f>
        <v>25483</v>
      </c>
      <c r="I48" s="152">
        <v>26225</v>
      </c>
      <c r="J48" s="152">
        <v>26723</v>
      </c>
      <c r="K48" s="152">
        <v>27204</v>
      </c>
      <c r="L48" s="152"/>
      <c r="M48" s="152"/>
      <c r="N48" s="152"/>
      <c r="O48" s="152"/>
      <c r="P48" s="152"/>
      <c r="Q48" s="153"/>
      <c r="R48" s="141">
        <f>AVERAGE(F48:Q48)</f>
        <v>25880</v>
      </c>
      <c r="AB48" s="64"/>
      <c r="AC48" s="64"/>
      <c r="AD48" s="64"/>
      <c r="AE48" s="64"/>
      <c r="AF48" s="64"/>
    </row>
    <row r="49" spans="1:18" ht="12.75">
      <c r="A49" s="22"/>
      <c r="B49" s="2" t="s">
        <v>44</v>
      </c>
      <c r="C49" s="2"/>
      <c r="D49" s="23"/>
      <c r="E49" s="29" t="s">
        <v>20</v>
      </c>
      <c r="F49" s="154">
        <v>0.51</v>
      </c>
      <c r="G49" s="154">
        <v>0.5</v>
      </c>
      <c r="H49" s="154">
        <v>0.497</v>
      </c>
      <c r="I49" s="177">
        <v>0.6861339630965666</v>
      </c>
      <c r="J49" s="177">
        <v>0.6141703648265466</v>
      </c>
      <c r="K49" s="177">
        <v>0.6207557178392464</v>
      </c>
      <c r="L49" s="154"/>
      <c r="M49" s="154"/>
      <c r="N49" s="154"/>
      <c r="O49" s="154"/>
      <c r="P49" s="154"/>
      <c r="Q49" s="155"/>
      <c r="R49" s="144">
        <f>AVERAGE(F49:Q49)</f>
        <v>0.5713433409603933</v>
      </c>
    </row>
    <row r="50" spans="1:18" ht="12.75">
      <c r="A50" s="22"/>
      <c r="B50" s="2" t="s">
        <v>42</v>
      </c>
      <c r="C50" s="2"/>
      <c r="D50" s="23"/>
      <c r="E50" s="101" t="s">
        <v>20</v>
      </c>
      <c r="F50" s="156">
        <f>+F20*2000/(F48*1*F49)</f>
        <v>43.5626017719644</v>
      </c>
      <c r="G50" s="156">
        <f>+G20*2000/(G48*1*G49)</f>
        <v>52.99188007495316</v>
      </c>
      <c r="H50" s="156">
        <f>+H20*2000/(H48*4.33333*H49)</f>
        <v>71.49477479405903</v>
      </c>
      <c r="I50" s="156">
        <f>+I20*2000/(I48*4.33333*I49)</f>
        <v>70.12463228745379</v>
      </c>
      <c r="J50" s="156">
        <f>+J20*2000/(J48*4.33333*J49)</f>
        <v>75.60143022588744</v>
      </c>
      <c r="K50" s="156">
        <f>+K20*2000/(K48*4.33333*K49)</f>
        <v>44.12750702750065</v>
      </c>
      <c r="L50" s="156"/>
      <c r="M50" s="156"/>
      <c r="N50" s="156"/>
      <c r="O50" s="156"/>
      <c r="P50" s="156"/>
      <c r="Q50" s="157"/>
      <c r="R50" s="134">
        <f>AVERAGE(F50:Q50)</f>
        <v>59.65047103030307</v>
      </c>
    </row>
    <row r="51" spans="1:18" ht="12.75">
      <c r="A51" s="17" t="s">
        <v>45</v>
      </c>
      <c r="B51" s="18"/>
      <c r="C51" s="18"/>
      <c r="D51" s="19"/>
      <c r="E51" s="18"/>
      <c r="F51" s="52"/>
      <c r="G51" s="52"/>
      <c r="H51" s="52"/>
      <c r="I51" s="52"/>
      <c r="J51" s="52"/>
      <c r="K51" s="52"/>
      <c r="L51" s="182"/>
      <c r="M51" s="182"/>
      <c r="N51" s="182"/>
      <c r="O51" s="182"/>
      <c r="P51" s="182"/>
      <c r="Q51" s="184"/>
      <c r="R51" s="143"/>
    </row>
    <row r="52" spans="1:18" ht="12.75">
      <c r="A52" s="17"/>
      <c r="B52" s="54" t="s">
        <v>32</v>
      </c>
      <c r="C52" s="55"/>
      <c r="D52" s="56"/>
      <c r="E52" s="67" t="s">
        <v>20</v>
      </c>
      <c r="F52" s="58">
        <f aca="true" t="shared" si="8" ref="F52:K52">SUM(F53:F63)</f>
        <v>764</v>
      </c>
      <c r="G52" s="58">
        <f t="shared" si="8"/>
        <v>764</v>
      </c>
      <c r="H52" s="58">
        <f t="shared" si="8"/>
        <v>764</v>
      </c>
      <c r="I52" s="58">
        <f t="shared" si="8"/>
        <v>764</v>
      </c>
      <c r="J52" s="58">
        <f t="shared" si="8"/>
        <v>764</v>
      </c>
      <c r="K52" s="58">
        <f t="shared" si="8"/>
        <v>764</v>
      </c>
      <c r="L52" s="58"/>
      <c r="M52" s="58"/>
      <c r="N52" s="58"/>
      <c r="O52" s="58"/>
      <c r="P52" s="58"/>
      <c r="Q52" s="58"/>
      <c r="R52" s="140">
        <f>AVERAGE(F52:Q52)</f>
        <v>764</v>
      </c>
    </row>
    <row r="53" spans="1:18" ht="12.75">
      <c r="A53" s="17"/>
      <c r="B53" s="59"/>
      <c r="C53" s="60" t="s">
        <v>46</v>
      </c>
      <c r="D53" s="68"/>
      <c r="E53" s="29" t="s">
        <v>20</v>
      </c>
      <c r="F53" s="62">
        <v>115</v>
      </c>
      <c r="G53" s="62">
        <v>115</v>
      </c>
      <c r="H53" s="62">
        <v>115</v>
      </c>
      <c r="I53" s="62">
        <v>115</v>
      </c>
      <c r="J53" s="62">
        <v>115</v>
      </c>
      <c r="K53" s="62">
        <v>115</v>
      </c>
      <c r="L53" s="129"/>
      <c r="M53" s="129"/>
      <c r="N53" s="129"/>
      <c r="O53" s="129"/>
      <c r="P53" s="129"/>
      <c r="Q53" s="129"/>
      <c r="R53" s="141">
        <f>AVERAGE(F53:Q53)</f>
        <v>115</v>
      </c>
    </row>
    <row r="54" spans="1:18" ht="12.75">
      <c r="A54" s="17"/>
      <c r="B54" s="59"/>
      <c r="C54" s="60" t="s">
        <v>47</v>
      </c>
      <c r="D54" s="68"/>
      <c r="E54" s="29" t="s">
        <v>20</v>
      </c>
      <c r="F54" s="62">
        <v>24</v>
      </c>
      <c r="G54" s="62">
        <v>24</v>
      </c>
      <c r="H54" s="62">
        <v>24</v>
      </c>
      <c r="I54" s="62">
        <v>24</v>
      </c>
      <c r="J54" s="62">
        <v>24</v>
      </c>
      <c r="K54" s="62">
        <v>24</v>
      </c>
      <c r="L54" s="129"/>
      <c r="M54" s="129"/>
      <c r="N54" s="129"/>
      <c r="O54" s="129"/>
      <c r="P54" s="129"/>
      <c r="Q54" s="129"/>
      <c r="R54" s="141">
        <f aca="true" t="shared" si="9" ref="R54:R62">AVERAGE(F54:Q54)</f>
        <v>24</v>
      </c>
    </row>
    <row r="55" spans="1:18" ht="12.75">
      <c r="A55" s="17"/>
      <c r="B55" s="59"/>
      <c r="C55" s="60" t="s">
        <v>48</v>
      </c>
      <c r="D55" s="68"/>
      <c r="E55" s="29" t="s">
        <v>20</v>
      </c>
      <c r="F55" s="62">
        <v>71</v>
      </c>
      <c r="G55" s="62">
        <v>71</v>
      </c>
      <c r="H55" s="62">
        <v>71</v>
      </c>
      <c r="I55" s="62">
        <v>71</v>
      </c>
      <c r="J55" s="62">
        <v>71</v>
      </c>
      <c r="K55" s="62">
        <v>71</v>
      </c>
      <c r="L55" s="129"/>
      <c r="M55" s="129"/>
      <c r="N55" s="129"/>
      <c r="O55" s="129"/>
      <c r="P55" s="129"/>
      <c r="Q55" s="129"/>
      <c r="R55" s="141">
        <f t="shared" si="9"/>
        <v>71</v>
      </c>
    </row>
    <row r="56" spans="1:18" ht="12.75">
      <c r="A56" s="17"/>
      <c r="B56" s="59"/>
      <c r="C56" s="60" t="s">
        <v>83</v>
      </c>
      <c r="D56" s="68"/>
      <c r="E56" s="29" t="s">
        <v>20</v>
      </c>
      <c r="F56" s="62">
        <v>5</v>
      </c>
      <c r="G56" s="62">
        <v>5</v>
      </c>
      <c r="H56" s="62">
        <v>5</v>
      </c>
      <c r="I56" s="62">
        <v>5</v>
      </c>
      <c r="J56" s="62">
        <v>5</v>
      </c>
      <c r="K56" s="62">
        <v>5</v>
      </c>
      <c r="L56" s="129"/>
      <c r="M56" s="129"/>
      <c r="N56" s="129"/>
      <c r="O56" s="129"/>
      <c r="P56" s="129"/>
      <c r="Q56" s="129"/>
      <c r="R56" s="141">
        <f t="shared" si="9"/>
        <v>5</v>
      </c>
    </row>
    <row r="57" spans="1:18" ht="12.75">
      <c r="A57" s="17"/>
      <c r="B57" s="59"/>
      <c r="C57" s="60" t="s">
        <v>49</v>
      </c>
      <c r="D57" s="68"/>
      <c r="E57" s="29" t="s">
        <v>20</v>
      </c>
      <c r="F57" s="62">
        <v>53</v>
      </c>
      <c r="G57" s="62">
        <v>53</v>
      </c>
      <c r="H57" s="62">
        <v>53</v>
      </c>
      <c r="I57" s="62">
        <v>53</v>
      </c>
      <c r="J57" s="62">
        <v>53</v>
      </c>
      <c r="K57" s="62">
        <v>53</v>
      </c>
      <c r="L57" s="129"/>
      <c r="M57" s="129"/>
      <c r="N57" s="129"/>
      <c r="O57" s="129"/>
      <c r="P57" s="129"/>
      <c r="Q57" s="129"/>
      <c r="R57" s="141">
        <f t="shared" si="9"/>
        <v>53</v>
      </c>
    </row>
    <row r="58" spans="1:18" ht="12.75">
      <c r="A58" s="17"/>
      <c r="B58" s="59"/>
      <c r="C58" s="60" t="s">
        <v>50</v>
      </c>
      <c r="D58" s="68"/>
      <c r="E58" s="29" t="s">
        <v>20</v>
      </c>
      <c r="F58" s="62">
        <v>62</v>
      </c>
      <c r="G58" s="62">
        <v>62</v>
      </c>
      <c r="H58" s="62">
        <v>62</v>
      </c>
      <c r="I58" s="62">
        <v>62</v>
      </c>
      <c r="J58" s="62">
        <v>62</v>
      </c>
      <c r="K58" s="62">
        <v>62</v>
      </c>
      <c r="L58" s="129"/>
      <c r="M58" s="129"/>
      <c r="N58" s="129"/>
      <c r="O58" s="129"/>
      <c r="P58" s="129"/>
      <c r="Q58" s="129"/>
      <c r="R58" s="141">
        <f t="shared" si="9"/>
        <v>62</v>
      </c>
    </row>
    <row r="59" spans="1:18" ht="12.75">
      <c r="A59" s="17"/>
      <c r="B59" s="59"/>
      <c r="C59" s="60" t="s">
        <v>51</v>
      </c>
      <c r="D59" s="68"/>
      <c r="E59" s="29" t="s">
        <v>20</v>
      </c>
      <c r="F59" s="62">
        <v>66</v>
      </c>
      <c r="G59" s="62">
        <v>66</v>
      </c>
      <c r="H59" s="62">
        <v>66</v>
      </c>
      <c r="I59" s="62">
        <v>66</v>
      </c>
      <c r="J59" s="62">
        <v>66</v>
      </c>
      <c r="K59" s="62">
        <v>66</v>
      </c>
      <c r="L59" s="129"/>
      <c r="M59" s="129"/>
      <c r="N59" s="129"/>
      <c r="O59" s="129"/>
      <c r="P59" s="129"/>
      <c r="Q59" s="129"/>
      <c r="R59" s="141">
        <f t="shared" si="9"/>
        <v>66</v>
      </c>
    </row>
    <row r="60" spans="1:18" ht="12.75">
      <c r="A60" s="17"/>
      <c r="B60" s="59"/>
      <c r="C60" s="60" t="s">
        <v>52</v>
      </c>
      <c r="D60" s="68"/>
      <c r="E60" s="29" t="s">
        <v>20</v>
      </c>
      <c r="F60" s="62">
        <v>121</v>
      </c>
      <c r="G60" s="62">
        <v>121</v>
      </c>
      <c r="H60" s="62">
        <v>121</v>
      </c>
      <c r="I60" s="62">
        <v>121</v>
      </c>
      <c r="J60" s="62">
        <v>121</v>
      </c>
      <c r="K60" s="62">
        <v>121</v>
      </c>
      <c r="L60" s="129"/>
      <c r="M60" s="129"/>
      <c r="N60" s="129"/>
      <c r="O60" s="129"/>
      <c r="P60" s="129"/>
      <c r="Q60" s="129"/>
      <c r="R60" s="141">
        <f t="shared" si="9"/>
        <v>121</v>
      </c>
    </row>
    <row r="61" spans="1:18" ht="12.75">
      <c r="A61" s="17"/>
      <c r="B61" s="59"/>
      <c r="C61" s="60" t="s">
        <v>53</v>
      </c>
      <c r="D61" s="68"/>
      <c r="E61" s="29" t="s">
        <v>20</v>
      </c>
      <c r="F61" s="62">
        <v>107</v>
      </c>
      <c r="G61" s="62">
        <v>107</v>
      </c>
      <c r="H61" s="62">
        <v>107</v>
      </c>
      <c r="I61" s="62">
        <v>107</v>
      </c>
      <c r="J61" s="62">
        <v>107</v>
      </c>
      <c r="K61" s="62">
        <v>107</v>
      </c>
      <c r="L61" s="129"/>
      <c r="M61" s="129"/>
      <c r="N61" s="129"/>
      <c r="O61" s="129"/>
      <c r="P61" s="129"/>
      <c r="Q61" s="129"/>
      <c r="R61" s="141">
        <f t="shared" si="9"/>
        <v>107</v>
      </c>
    </row>
    <row r="62" spans="1:18" ht="12.75">
      <c r="A62" s="17"/>
      <c r="B62" s="59"/>
      <c r="C62" s="60" t="s">
        <v>54</v>
      </c>
      <c r="D62" s="68"/>
      <c r="E62" s="29" t="s">
        <v>20</v>
      </c>
      <c r="F62" s="62">
        <v>119</v>
      </c>
      <c r="G62" s="62">
        <v>119</v>
      </c>
      <c r="H62" s="62">
        <v>119</v>
      </c>
      <c r="I62" s="62">
        <v>119</v>
      </c>
      <c r="J62" s="62">
        <v>119</v>
      </c>
      <c r="K62" s="62">
        <v>119</v>
      </c>
      <c r="L62" s="129"/>
      <c r="M62" s="129"/>
      <c r="N62" s="129"/>
      <c r="O62" s="129"/>
      <c r="P62" s="129"/>
      <c r="Q62" s="129"/>
      <c r="R62" s="141">
        <f t="shared" si="9"/>
        <v>119</v>
      </c>
    </row>
    <row r="63" spans="1:18" ht="13.5" thickBot="1">
      <c r="A63" s="17"/>
      <c r="B63" s="69"/>
      <c r="C63" s="70" t="s">
        <v>84</v>
      </c>
      <c r="D63" s="71"/>
      <c r="E63" s="102" t="s">
        <v>20</v>
      </c>
      <c r="F63" s="62">
        <v>21</v>
      </c>
      <c r="G63" s="62">
        <v>21</v>
      </c>
      <c r="H63" s="62">
        <v>21</v>
      </c>
      <c r="I63" s="62">
        <v>21</v>
      </c>
      <c r="J63" s="62">
        <v>21</v>
      </c>
      <c r="K63" s="62">
        <v>21</v>
      </c>
      <c r="L63" s="129"/>
      <c r="M63" s="129"/>
      <c r="N63" s="129"/>
      <c r="O63" s="129"/>
      <c r="P63" s="129"/>
      <c r="Q63" s="129"/>
      <c r="R63" s="141">
        <f>AVERAGE(F63:Q63)</f>
        <v>21</v>
      </c>
    </row>
    <row r="64" spans="1:18" ht="14.25" thickBot="1" thickTop="1">
      <c r="A64" s="175"/>
      <c r="B64" s="2"/>
      <c r="C64" s="2"/>
      <c r="D64" s="2"/>
      <c r="E64" s="2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138"/>
    </row>
    <row r="65" spans="1:18" ht="14.25" thickBot="1" thickTop="1">
      <c r="A65" s="46" t="s">
        <v>55</v>
      </c>
      <c r="B65" s="47"/>
      <c r="C65" s="47"/>
      <c r="D65" s="14"/>
      <c r="E65" s="48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139"/>
    </row>
    <row r="66" spans="1:18" ht="13.5" thickTop="1">
      <c r="A66" s="17" t="s">
        <v>56</v>
      </c>
      <c r="B66" s="18"/>
      <c r="C66" s="18"/>
      <c r="D66" s="72"/>
      <c r="E66" s="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3"/>
      <c r="R66" s="131"/>
    </row>
    <row r="67" spans="1:18" ht="12.75">
      <c r="A67" s="22"/>
      <c r="B67" s="2" t="s">
        <v>57</v>
      </c>
      <c r="C67" s="2"/>
      <c r="D67" s="23"/>
      <c r="E67" s="73" t="s">
        <v>20</v>
      </c>
      <c r="F67" s="63">
        <f aca="true" t="shared" si="10" ref="F67:K67">(+F9-F19)/F22</f>
        <v>0.28271203094827335</v>
      </c>
      <c r="G67" s="63">
        <f t="shared" si="10"/>
        <v>0.2790416753483789</v>
      </c>
      <c r="H67" s="63">
        <f t="shared" si="10"/>
        <v>0.22505849757988422</v>
      </c>
      <c r="I67" s="63">
        <f t="shared" si="10"/>
        <v>0.19194607807720954</v>
      </c>
      <c r="J67" s="63">
        <f t="shared" si="10"/>
        <v>0.20122426501498974</v>
      </c>
      <c r="K67" s="63">
        <f t="shared" si="10"/>
        <v>0.20675484945294945</v>
      </c>
      <c r="L67" s="63"/>
      <c r="M67" s="63"/>
      <c r="N67" s="63"/>
      <c r="O67" s="63"/>
      <c r="P67" s="63"/>
      <c r="Q67" s="120"/>
      <c r="R67" s="145">
        <f>+(R9-R19)/R22</f>
        <v>0.22498833985522923</v>
      </c>
    </row>
    <row r="68" spans="1:18" ht="12.75">
      <c r="A68" s="22"/>
      <c r="B68" s="2" t="s">
        <v>58</v>
      </c>
      <c r="C68" s="2"/>
      <c r="D68" s="23"/>
      <c r="E68" s="74" t="s">
        <v>20</v>
      </c>
      <c r="F68" s="75">
        <f aca="true" t="shared" si="11" ref="F68:K68">+F20/F22</f>
        <v>0.03621040476050107</v>
      </c>
      <c r="G68" s="75">
        <f t="shared" si="11"/>
        <v>0.052248843330190045</v>
      </c>
      <c r="H68" s="75">
        <f t="shared" si="11"/>
        <v>0.21850316386016</v>
      </c>
      <c r="I68" s="75">
        <f t="shared" si="11"/>
        <v>0.2549228827967977</v>
      </c>
      <c r="J68" s="75">
        <f t="shared" si="11"/>
        <v>0.25461662432326887</v>
      </c>
      <c r="K68" s="75">
        <f t="shared" si="11"/>
        <v>0.16837408874374216</v>
      </c>
      <c r="L68" s="75"/>
      <c r="M68" s="75"/>
      <c r="N68" s="75"/>
      <c r="O68" s="75"/>
      <c r="P68" s="75"/>
      <c r="Q68" s="121"/>
      <c r="R68" s="146">
        <f>+R20/R22</f>
        <v>0.17864938788690637</v>
      </c>
    </row>
    <row r="69" spans="1:18" s="1" customFormat="1" ht="13.5" thickBot="1">
      <c r="A69" s="32"/>
      <c r="B69" s="100" t="s">
        <v>59</v>
      </c>
      <c r="C69" s="100"/>
      <c r="D69" s="122"/>
      <c r="E69" s="29" t="s">
        <v>20</v>
      </c>
      <c r="F69" s="123">
        <f aca="true" t="shared" si="12" ref="F69:K69">+F68+F67</f>
        <v>0.31892243570877443</v>
      </c>
      <c r="G69" s="123">
        <f t="shared" si="12"/>
        <v>0.33129051867856896</v>
      </c>
      <c r="H69" s="123">
        <f t="shared" si="12"/>
        <v>0.4435616614400442</v>
      </c>
      <c r="I69" s="123">
        <f t="shared" si="12"/>
        <v>0.44686896087400724</v>
      </c>
      <c r="J69" s="123">
        <f t="shared" si="12"/>
        <v>0.4558408893382586</v>
      </c>
      <c r="K69" s="123">
        <f t="shared" si="12"/>
        <v>0.3751289381966916</v>
      </c>
      <c r="L69" s="123"/>
      <c r="M69" s="123"/>
      <c r="N69" s="123"/>
      <c r="O69" s="123"/>
      <c r="P69" s="124"/>
      <c r="Q69" s="125"/>
      <c r="R69" s="147">
        <f>+R68+R67</f>
        <v>0.4036377277421356</v>
      </c>
    </row>
    <row r="70" spans="1:18" ht="13.5" thickTop="1">
      <c r="A70" s="50" t="s">
        <v>60</v>
      </c>
      <c r="B70" s="76"/>
      <c r="C70" s="76"/>
      <c r="D70" s="72"/>
      <c r="E70" s="11"/>
      <c r="F70" s="77"/>
      <c r="G70" s="77"/>
      <c r="H70" s="77"/>
      <c r="I70" s="158"/>
      <c r="J70" s="158"/>
      <c r="K70" s="158"/>
      <c r="L70" s="158"/>
      <c r="M70" s="158"/>
      <c r="N70" s="158"/>
      <c r="O70" s="158"/>
      <c r="P70" s="63"/>
      <c r="Q70" s="78"/>
      <c r="R70" s="148"/>
    </row>
    <row r="71" spans="1:18" ht="12.75">
      <c r="A71" s="22"/>
      <c r="B71" s="2" t="s">
        <v>61</v>
      </c>
      <c r="C71" s="2"/>
      <c r="D71" s="23"/>
      <c r="E71" s="61" t="s">
        <v>20</v>
      </c>
      <c r="F71" s="127">
        <f aca="true" t="shared" si="13" ref="F71:K71">+F24/F27</f>
        <v>0.11233349460657475</v>
      </c>
      <c r="G71" s="127">
        <f t="shared" si="13"/>
        <v>0.12098370584165295</v>
      </c>
      <c r="H71" s="127">
        <f t="shared" si="13"/>
        <v>0.1271062803158262</v>
      </c>
      <c r="I71" s="127">
        <f t="shared" si="13"/>
        <v>0.13304537713327133</v>
      </c>
      <c r="J71" s="127">
        <f t="shared" si="13"/>
        <v>0.15463932682109818</v>
      </c>
      <c r="K71" s="127">
        <f t="shared" si="13"/>
        <v>0.14025503337103387</v>
      </c>
      <c r="L71" s="127"/>
      <c r="M71" s="127"/>
      <c r="N71" s="127"/>
      <c r="O71" s="127"/>
      <c r="P71" s="127"/>
      <c r="Q71" s="128"/>
      <c r="R71" s="144">
        <f>+R24/R27</f>
        <v>0.13155340194074056</v>
      </c>
    </row>
    <row r="72" spans="1:18" ht="12.75">
      <c r="A72" s="22"/>
      <c r="B72" s="2" t="s">
        <v>62</v>
      </c>
      <c r="C72" s="2"/>
      <c r="D72" s="23"/>
      <c r="E72" s="37" t="s">
        <v>20</v>
      </c>
      <c r="F72" s="63">
        <f aca="true" t="shared" si="14" ref="F72:K72">+F25/F27</f>
        <v>0</v>
      </c>
      <c r="G72" s="63">
        <f t="shared" si="14"/>
        <v>0</v>
      </c>
      <c r="H72" s="63">
        <f t="shared" si="14"/>
        <v>0</v>
      </c>
      <c r="I72" s="63">
        <f t="shared" si="14"/>
        <v>0</v>
      </c>
      <c r="J72" s="63">
        <f t="shared" si="14"/>
        <v>0</v>
      </c>
      <c r="K72" s="63">
        <f t="shared" si="14"/>
        <v>0</v>
      </c>
      <c r="L72" s="63"/>
      <c r="M72" s="63"/>
      <c r="N72" s="63"/>
      <c r="O72" s="63"/>
      <c r="P72" s="75"/>
      <c r="Q72" s="121"/>
      <c r="R72" s="149">
        <f>+R25/R27</f>
        <v>0</v>
      </c>
    </row>
    <row r="73" spans="1:18" s="1" customFormat="1" ht="13.5" thickBot="1">
      <c r="A73" s="32"/>
      <c r="B73" s="100" t="s">
        <v>63</v>
      </c>
      <c r="C73" s="100"/>
      <c r="D73" s="122"/>
      <c r="E73" s="79" t="s">
        <v>20</v>
      </c>
      <c r="F73" s="123">
        <f aca="true" t="shared" si="15" ref="F73:K73">+F72+F71</f>
        <v>0.11233349460657475</v>
      </c>
      <c r="G73" s="123">
        <f t="shared" si="15"/>
        <v>0.12098370584165295</v>
      </c>
      <c r="H73" s="123">
        <f t="shared" si="15"/>
        <v>0.1271062803158262</v>
      </c>
      <c r="I73" s="123">
        <f t="shared" si="15"/>
        <v>0.13304537713327133</v>
      </c>
      <c r="J73" s="123">
        <f t="shared" si="15"/>
        <v>0.15463932682109818</v>
      </c>
      <c r="K73" s="123">
        <f t="shared" si="15"/>
        <v>0.14025503337103387</v>
      </c>
      <c r="L73" s="123"/>
      <c r="M73" s="123"/>
      <c r="N73" s="123"/>
      <c r="O73" s="123"/>
      <c r="P73" s="123"/>
      <c r="Q73" s="126"/>
      <c r="R73" s="150">
        <f>+R72+R71</f>
        <v>0.13155340194074056</v>
      </c>
    </row>
    <row r="74" spans="1:18" ht="14.25" thickBot="1" thickTop="1">
      <c r="A74" s="80" t="s">
        <v>64</v>
      </c>
      <c r="B74" s="81"/>
      <c r="C74" s="81"/>
      <c r="D74" s="82"/>
      <c r="E74" s="83" t="s">
        <v>20</v>
      </c>
      <c r="F74" s="84">
        <f aca="true" t="shared" si="16" ref="F74:K74">+(F9-F19+F20+F24+F25)/(F28)</f>
        <v>0.27656178400244974</v>
      </c>
      <c r="G74" s="84">
        <f t="shared" si="16"/>
        <v>0.2846565386985242</v>
      </c>
      <c r="H74" s="84">
        <f t="shared" si="16"/>
        <v>0.38398377926552435</v>
      </c>
      <c r="I74" s="84">
        <f t="shared" si="16"/>
        <v>0.3974277915017</v>
      </c>
      <c r="J74" s="84">
        <f t="shared" si="16"/>
        <v>0.40861610479103105</v>
      </c>
      <c r="K74" s="84">
        <f t="shared" si="16"/>
        <v>0.334221046741441</v>
      </c>
      <c r="L74" s="84"/>
      <c r="M74" s="84"/>
      <c r="N74" s="84"/>
      <c r="O74" s="84"/>
      <c r="P74" s="85"/>
      <c r="Q74" s="86"/>
      <c r="R74" s="151">
        <f>+(R9-R19+R20+R24+R25)/(R28)</f>
        <v>0.3545588377866091</v>
      </c>
    </row>
    <row r="75" spans="1:18" ht="14.25" thickBot="1" thickTop="1">
      <c r="A75" s="80" t="s">
        <v>65</v>
      </c>
      <c r="B75" s="81"/>
      <c r="C75" s="81"/>
      <c r="D75" s="82"/>
      <c r="E75" s="87">
        <f>+E9/E22</f>
        <v>0.26378342960683915</v>
      </c>
      <c r="F75" s="88">
        <f aca="true" t="shared" si="17" ref="F75:K75">+(F9-F19+F20)/(F28-F20-F25)</f>
        <v>0.2610422650333572</v>
      </c>
      <c r="G75" s="88">
        <f t="shared" si="17"/>
        <v>0.26875780882347317</v>
      </c>
      <c r="H75" s="88">
        <f t="shared" si="17"/>
        <v>0.4376844602806817</v>
      </c>
      <c r="I75" s="88">
        <f t="shared" si="17"/>
        <v>0.479430238359127</v>
      </c>
      <c r="J75" s="88">
        <f t="shared" si="17"/>
        <v>0.4894542983500722</v>
      </c>
      <c r="K75" s="88">
        <f t="shared" si="17"/>
        <v>0.3598261512919919</v>
      </c>
      <c r="L75" s="88"/>
      <c r="M75" s="88"/>
      <c r="N75" s="88"/>
      <c r="O75" s="88"/>
      <c r="P75" s="89"/>
      <c r="Q75" s="86"/>
      <c r="R75" s="151">
        <f>+(R9-R19+R20)/(R28-R20-R25)</f>
        <v>0.38758029332764976</v>
      </c>
    </row>
    <row r="76" ht="13.5" thickTop="1"/>
  </sheetData>
  <printOptions/>
  <pageMargins left="0.75" right="0" top="0.5" bottom="0.5" header="0.5" footer="0"/>
  <pageSetup fitToHeight="2" horizontalDpi="600" verticalDpi="600" orientation="landscape" scale="63" r:id="rId3"/>
  <headerFooter alignWithMargins="0">
    <oddFooter>&amp;CPage &amp;P&amp;R2004 2nd Qtr Snohomish County Reports.xls</oddFooter>
  </headerFooter>
  <rowBreaks count="1" manualBreakCount="1">
    <brk id="64" max="1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workbookViewId="0" topLeftCell="A1">
      <selection activeCell="I34" sqref="I34"/>
    </sheetView>
  </sheetViews>
  <sheetFormatPr defaultColWidth="9.140625" defaultRowHeight="12.75"/>
  <cols>
    <col min="1" max="1" width="16.28125" style="0" customWidth="1"/>
    <col min="3" max="3" width="2.57421875" style="0" customWidth="1"/>
    <col min="4" max="5" width="10.28125" style="0" bestFit="1" customWidth="1"/>
    <col min="6" max="6" width="11.00390625" style="0" bestFit="1" customWidth="1"/>
    <col min="7" max="7" width="11.00390625" style="0" customWidth="1"/>
    <col min="8" max="8" width="3.00390625" style="0" customWidth="1"/>
    <col min="9" max="9" width="10.28125" style="0" bestFit="1" customWidth="1"/>
    <col min="10" max="10" width="12.28125" style="0" bestFit="1" customWidth="1"/>
    <col min="11" max="11" width="3.140625" style="0" customWidth="1"/>
    <col min="12" max="12" width="10.28125" style="0" bestFit="1" customWidth="1"/>
    <col min="13" max="13" width="12.28125" style="0" bestFit="1" customWidth="1"/>
    <col min="14" max="14" width="3.421875" style="0" customWidth="1"/>
    <col min="15" max="15" width="10.28125" style="0" bestFit="1" customWidth="1"/>
    <col min="16" max="16" width="12.28125" style="0" bestFit="1" customWidth="1"/>
    <col min="17" max="17" width="2.8515625" style="0" customWidth="1"/>
    <col min="18" max="18" width="10.28125" style="0" bestFit="1" customWidth="1"/>
    <col min="19" max="19" width="12.28125" style="0" bestFit="1" customWidth="1"/>
  </cols>
  <sheetData>
    <row r="1" ht="24">
      <c r="A1" s="119" t="s">
        <v>66</v>
      </c>
    </row>
    <row r="2" s="1" customFormat="1" ht="21">
      <c r="A2" s="90" t="s">
        <v>75</v>
      </c>
    </row>
    <row r="3" s="1" customFormat="1" ht="12.75"/>
    <row r="4" s="1" customFormat="1" ht="12.75"/>
    <row r="5" s="1" customFormat="1" ht="12.75"/>
    <row r="6" spans="1:6" s="1" customFormat="1" ht="13.5">
      <c r="A6" s="165" t="s">
        <v>98</v>
      </c>
      <c r="B6" s="166"/>
      <c r="C6" s="166"/>
      <c r="D6" s="166"/>
      <c r="E6" s="166"/>
      <c r="F6" s="166"/>
    </row>
    <row r="7" s="1" customFormat="1" ht="12.75"/>
    <row r="8" spans="2:19" s="4" customFormat="1" ht="12.75">
      <c r="B8" s="4" t="s">
        <v>68</v>
      </c>
      <c r="D8" s="185" t="s">
        <v>69</v>
      </c>
      <c r="E8" s="185"/>
      <c r="F8" s="185"/>
      <c r="G8" s="185"/>
      <c r="I8" s="185" t="s">
        <v>8</v>
      </c>
      <c r="J8" s="185"/>
      <c r="L8" s="185" t="s">
        <v>9</v>
      </c>
      <c r="M8" s="185"/>
      <c r="O8" s="185" t="s">
        <v>10</v>
      </c>
      <c r="P8" s="185"/>
      <c r="R8" s="185" t="s">
        <v>94</v>
      </c>
      <c r="S8" s="185"/>
    </row>
    <row r="9" spans="1:19" s="91" customFormat="1" ht="12.75">
      <c r="A9" s="91" t="s">
        <v>70</v>
      </c>
      <c r="B9" s="91" t="s">
        <v>71</v>
      </c>
      <c r="D9" s="91" t="s">
        <v>8</v>
      </c>
      <c r="E9" s="91" t="s">
        <v>9</v>
      </c>
      <c r="F9" s="91" t="s">
        <v>10</v>
      </c>
      <c r="G9" s="91" t="s">
        <v>72</v>
      </c>
      <c r="I9" s="91" t="s">
        <v>73</v>
      </c>
      <c r="J9" s="91" t="s">
        <v>74</v>
      </c>
      <c r="L9" s="91" t="s">
        <v>73</v>
      </c>
      <c r="M9" s="91" t="s">
        <v>74</v>
      </c>
      <c r="O9" s="91" t="s">
        <v>73</v>
      </c>
      <c r="P9" s="91" t="s">
        <v>74</v>
      </c>
      <c r="R9" s="91" t="s">
        <v>73</v>
      </c>
      <c r="S9" s="91" t="s">
        <v>74</v>
      </c>
    </row>
    <row r="11" spans="1:19" ht="12.75">
      <c r="A11" s="159" t="s">
        <v>2</v>
      </c>
      <c r="B11" s="94">
        <f>+G11/$G$21</f>
        <v>0.4487359936060222</v>
      </c>
      <c r="D11" s="24">
        <f>+'Waste Stream Report'!F10</f>
        <v>1132.5293876972644</v>
      </c>
      <c r="E11" s="24">
        <f>+'Waste Stream Report'!G10</f>
        <v>876.4259277888717</v>
      </c>
      <c r="F11" s="24">
        <f>+'Waste Stream Report'!H10</f>
        <v>882.8232591881357</v>
      </c>
      <c r="G11" s="24">
        <f>SUM(D11:F11)</f>
        <v>2891.7785746742716</v>
      </c>
      <c r="I11" s="92">
        <v>70.65</v>
      </c>
      <c r="J11" s="103">
        <f aca="true" t="shared" si="0" ref="J11:J20">+I11*D11</f>
        <v>80013.20124081173</v>
      </c>
      <c r="L11" s="92">
        <v>74.2</v>
      </c>
      <c r="M11" s="103">
        <f aca="true" t="shared" si="1" ref="M11:M20">+L11*E11</f>
        <v>65030.803841934285</v>
      </c>
      <c r="O11" s="92">
        <v>75.27</v>
      </c>
      <c r="P11" s="103">
        <f aca="true" t="shared" si="2" ref="P11:P20">+O11*F11</f>
        <v>66450.10671909097</v>
      </c>
      <c r="R11" s="92">
        <f>+S11/G11</f>
        <v>73.13634372080496</v>
      </c>
      <c r="S11" s="103">
        <f>+P11+M11+J11</f>
        <v>211494.111801837</v>
      </c>
    </row>
    <row r="12" spans="1:19" ht="12.75">
      <c r="A12" s="159" t="s">
        <v>1</v>
      </c>
      <c r="B12" s="94">
        <f aca="true" t="shared" si="3" ref="B12:B20">+G12/$G$21</f>
        <v>0.24300206990889042</v>
      </c>
      <c r="D12" s="24">
        <f>+'Waste Stream Report'!F11</f>
        <v>505.99507965732363</v>
      </c>
      <c r="E12" s="24">
        <f>+'Waste Stream Report'!G11</f>
        <v>452.46431972152516</v>
      </c>
      <c r="F12" s="24">
        <f>+'Waste Stream Report'!H11</f>
        <v>607.5129972570834</v>
      </c>
      <c r="G12" s="24">
        <f aca="true" t="shared" si="4" ref="G12:G20">SUM(D12:F12)</f>
        <v>1565.972396635932</v>
      </c>
      <c r="I12" s="92">
        <v>86.42</v>
      </c>
      <c r="J12" s="64">
        <f t="shared" si="0"/>
        <v>43728.09478398591</v>
      </c>
      <c r="L12" s="92">
        <v>88.89</v>
      </c>
      <c r="M12" s="93">
        <f t="shared" si="1"/>
        <v>40219.553380046375</v>
      </c>
      <c r="O12" s="92">
        <v>86.45</v>
      </c>
      <c r="P12" s="93">
        <f t="shared" si="2"/>
        <v>52519.49861287486</v>
      </c>
      <c r="R12" s="92">
        <f aca="true" t="shared" si="5" ref="R12:R20">+S12/G12</f>
        <v>87.14530796971255</v>
      </c>
      <c r="S12" s="93">
        <f aca="true" t="shared" si="6" ref="S12:S20">+P12+M12+J12</f>
        <v>136467.14677690715</v>
      </c>
    </row>
    <row r="13" spans="1:19" ht="12.75">
      <c r="A13" s="159" t="s">
        <v>3</v>
      </c>
      <c r="B13" s="94">
        <f t="shared" si="3"/>
        <v>0.00807252570634403</v>
      </c>
      <c r="D13" s="24">
        <f>+'Waste Stream Report'!F12</f>
        <v>20.167962499648173</v>
      </c>
      <c r="E13" s="24">
        <f>+'Waste Stream Report'!G12</f>
        <v>17.048378785793957</v>
      </c>
      <c r="F13" s="24">
        <f>+'Waste Stream Report'!H12</f>
        <v>14.805242036907337</v>
      </c>
      <c r="G13" s="24">
        <f t="shared" si="4"/>
        <v>52.021583322349464</v>
      </c>
      <c r="I13" s="92">
        <v>1210.7</v>
      </c>
      <c r="J13" s="64">
        <f t="shared" si="0"/>
        <v>24417.352198324043</v>
      </c>
      <c r="L13" s="92">
        <v>1128.22</v>
      </c>
      <c r="M13" s="93">
        <f t="shared" si="1"/>
        <v>19234.32191370846</v>
      </c>
      <c r="O13" s="92">
        <v>1034.97</v>
      </c>
      <c r="P13" s="93">
        <f t="shared" si="2"/>
        <v>15322.981350937987</v>
      </c>
      <c r="R13" s="92">
        <f t="shared" si="5"/>
        <v>1133.6574494001195</v>
      </c>
      <c r="S13" s="93">
        <f t="shared" si="6"/>
        <v>58974.65546297049</v>
      </c>
    </row>
    <row r="14" spans="1:19" ht="12.75">
      <c r="A14" s="159" t="s">
        <v>6</v>
      </c>
      <c r="B14" s="94">
        <f t="shared" si="3"/>
        <v>0.016541600140392194</v>
      </c>
      <c r="D14" s="24">
        <f>+'Waste Stream Report'!F13</f>
        <v>42.10200688027516</v>
      </c>
      <c r="E14" s="24">
        <f>+'Waste Stream Report'!G13</f>
        <v>34.917274731358425</v>
      </c>
      <c r="F14" s="24">
        <f>+'Waste Stream Report'!H13</f>
        <v>29.579354464822018</v>
      </c>
      <c r="G14" s="24">
        <f t="shared" si="4"/>
        <v>106.5986360764556</v>
      </c>
      <c r="I14" s="92">
        <v>48.45</v>
      </c>
      <c r="J14" s="64">
        <f t="shared" si="0"/>
        <v>2039.8422333493318</v>
      </c>
      <c r="L14" s="92">
        <v>69.7</v>
      </c>
      <c r="M14" s="93">
        <f t="shared" si="1"/>
        <v>2433.7340487756824</v>
      </c>
      <c r="O14" s="92">
        <v>59.74</v>
      </c>
      <c r="P14" s="93">
        <f t="shared" si="2"/>
        <v>1767.0706357284673</v>
      </c>
      <c r="R14" s="92">
        <f t="shared" si="5"/>
        <v>58.54340306359558</v>
      </c>
      <c r="S14" s="93">
        <f t="shared" si="6"/>
        <v>6240.646917853482</v>
      </c>
    </row>
    <row r="15" spans="1:19" ht="12.75">
      <c r="A15" s="159" t="s">
        <v>4</v>
      </c>
      <c r="B15" s="94">
        <f t="shared" si="3"/>
        <v>0.176987796572979</v>
      </c>
      <c r="D15" s="24">
        <f>+'Waste Stream Report'!F14</f>
        <v>388.5518654379333</v>
      </c>
      <c r="E15" s="24">
        <f>+'Waste Stream Report'!G14</f>
        <v>321.90098110696294</v>
      </c>
      <c r="F15" s="24">
        <f>+'Waste Stream Report'!H14</f>
        <v>430.10535560793517</v>
      </c>
      <c r="G15" s="24">
        <f t="shared" si="4"/>
        <v>1140.5582021528314</v>
      </c>
      <c r="I15" s="92">
        <v>-43.35</v>
      </c>
      <c r="J15" s="64">
        <f t="shared" si="0"/>
        <v>-16843.723366734408</v>
      </c>
      <c r="L15" s="92">
        <v>-43.35</v>
      </c>
      <c r="M15" s="93">
        <f t="shared" si="1"/>
        <v>-13954.407530986844</v>
      </c>
      <c r="O15" s="92">
        <v>-43.35</v>
      </c>
      <c r="P15" s="93">
        <f t="shared" si="2"/>
        <v>-18645.06716560399</v>
      </c>
      <c r="R15" s="92">
        <f t="shared" si="5"/>
        <v>-43.349999999999994</v>
      </c>
      <c r="S15" s="93">
        <f t="shared" si="6"/>
        <v>-49443.19806332524</v>
      </c>
    </row>
    <row r="16" spans="1:19" ht="12.75">
      <c r="A16" s="159" t="s">
        <v>5</v>
      </c>
      <c r="B16" s="94">
        <f t="shared" si="3"/>
        <v>0.009370339861404979</v>
      </c>
      <c r="D16" s="24">
        <f>+'Waste Stream Report'!F15</f>
        <v>22.09102943671399</v>
      </c>
      <c r="E16" s="24">
        <f>+'Waste Stream Report'!G15</f>
        <v>17.443414338579093</v>
      </c>
      <c r="F16" s="24">
        <f>+'Waste Stream Report'!H15</f>
        <v>20.850612103281193</v>
      </c>
      <c r="G16" s="24">
        <f t="shared" si="4"/>
        <v>60.38505587857428</v>
      </c>
      <c r="I16" s="92">
        <v>242.58</v>
      </c>
      <c r="J16" s="64">
        <f t="shared" si="0"/>
        <v>5358.841920758079</v>
      </c>
      <c r="L16" s="92">
        <v>278.4</v>
      </c>
      <c r="M16" s="93">
        <f t="shared" si="1"/>
        <v>4856.246551860419</v>
      </c>
      <c r="O16" s="92">
        <v>226.21</v>
      </c>
      <c r="P16" s="93">
        <f t="shared" si="2"/>
        <v>4716.616963883239</v>
      </c>
      <c r="R16" s="92">
        <f t="shared" si="5"/>
        <v>247.2748467191496</v>
      </c>
      <c r="S16" s="93">
        <f t="shared" si="6"/>
        <v>14931.705436501737</v>
      </c>
    </row>
    <row r="17" spans="1:19" ht="12.75">
      <c r="A17" s="159" t="s">
        <v>91</v>
      </c>
      <c r="B17" s="94">
        <f t="shared" si="3"/>
        <v>0.007547977207530088</v>
      </c>
      <c r="D17" s="24">
        <f>+'Waste Stream Report'!F16</f>
        <v>16.6450331527545</v>
      </c>
      <c r="E17" s="24">
        <f>+'Waste Stream Report'!G16</f>
        <v>17.278135758634946</v>
      </c>
      <c r="F17" s="24">
        <f>+'Waste Stream Report'!H16</f>
        <v>14.718079131727901</v>
      </c>
      <c r="G17" s="24">
        <f t="shared" si="4"/>
        <v>48.64124804311734</v>
      </c>
      <c r="I17" s="92">
        <v>83.92</v>
      </c>
      <c r="J17" s="64">
        <f t="shared" si="0"/>
        <v>1396.8511821791576</v>
      </c>
      <c r="L17" s="92">
        <v>37.16</v>
      </c>
      <c r="M17" s="93">
        <f t="shared" si="1"/>
        <v>642.0555247908745</v>
      </c>
      <c r="O17" s="92">
        <v>312.08</v>
      </c>
      <c r="P17" s="93">
        <f t="shared" si="2"/>
        <v>4593.218135429643</v>
      </c>
      <c r="R17" s="92">
        <f t="shared" si="5"/>
        <v>136.3477523545597</v>
      </c>
      <c r="S17" s="93">
        <f t="shared" si="6"/>
        <v>6632.124842399675</v>
      </c>
    </row>
    <row r="18" spans="1:19" ht="12.75">
      <c r="A18" s="159" t="s">
        <v>92</v>
      </c>
      <c r="B18" s="94">
        <f t="shared" si="3"/>
        <v>0.006209326896204113</v>
      </c>
      <c r="D18" s="24">
        <f>+'Waste Stream Report'!F17</f>
        <v>12.98820478743368</v>
      </c>
      <c r="E18" s="24">
        <f>+'Waste Stream Report'!G17</f>
        <v>12.750372555428154</v>
      </c>
      <c r="F18" s="24">
        <f>+'Waste Stream Report'!H17</f>
        <v>14.27603868403218</v>
      </c>
      <c r="G18" s="24">
        <f t="shared" si="4"/>
        <v>40.01461602689402</v>
      </c>
      <c r="I18" s="92">
        <v>287.55</v>
      </c>
      <c r="J18" s="64">
        <f t="shared" si="0"/>
        <v>3734.758286626555</v>
      </c>
      <c r="L18" s="92">
        <v>307.09</v>
      </c>
      <c r="M18" s="93">
        <f t="shared" si="1"/>
        <v>3915.5119080464315</v>
      </c>
      <c r="O18" s="92">
        <v>252.63</v>
      </c>
      <c r="P18" s="93">
        <f t="shared" si="2"/>
        <v>3606.5556527470494</v>
      </c>
      <c r="R18" s="92">
        <f t="shared" si="5"/>
        <v>281.3178524530704</v>
      </c>
      <c r="S18" s="93">
        <f t="shared" si="6"/>
        <v>11256.825847420036</v>
      </c>
    </row>
    <row r="19" spans="1:19" ht="12.75">
      <c r="A19" s="159" t="s">
        <v>93</v>
      </c>
      <c r="B19" s="94">
        <f t="shared" si="3"/>
        <v>0.0035323701002329543</v>
      </c>
      <c r="D19" s="24">
        <f>+'Waste Stream Report'!F18</f>
        <v>5.821877887249764</v>
      </c>
      <c r="E19" s="24">
        <f>+'Waste Stream Report'!G18</f>
        <v>10.871416067642048</v>
      </c>
      <c r="F19" s="24">
        <f>+'Waste Stream Report'!H18</f>
        <v>6.070273753567979</v>
      </c>
      <c r="G19" s="24">
        <f t="shared" si="4"/>
        <v>22.763567708459792</v>
      </c>
      <c r="I19" s="92">
        <v>-3.16</v>
      </c>
      <c r="J19" s="64">
        <f t="shared" si="0"/>
        <v>-18.397134123709254</v>
      </c>
      <c r="L19" s="92">
        <v>-2.18</v>
      </c>
      <c r="M19" s="93">
        <f t="shared" si="1"/>
        <v>-23.699687027459667</v>
      </c>
      <c r="O19" s="92">
        <v>30.34</v>
      </c>
      <c r="P19" s="93">
        <f t="shared" si="2"/>
        <v>184.17210568325248</v>
      </c>
      <c r="R19" s="92">
        <f t="shared" si="5"/>
        <v>6.241345221086897</v>
      </c>
      <c r="S19" s="93">
        <f t="shared" si="6"/>
        <v>142.07528453208354</v>
      </c>
    </row>
    <row r="20" spans="1:19" ht="15">
      <c r="A20" s="159" t="s">
        <v>7</v>
      </c>
      <c r="B20" s="104">
        <f t="shared" si="3"/>
        <v>0.07999999999999999</v>
      </c>
      <c r="D20" s="105">
        <f>+'Waste Stream Report'!F19</f>
        <v>186.68629977709534</v>
      </c>
      <c r="E20" s="105">
        <f>+'Waste Stream Report'!G19</f>
        <v>153.13914963954753</v>
      </c>
      <c r="F20" s="105">
        <f>+'Waste Stream Report'!H19</f>
        <v>175.71662715021677</v>
      </c>
      <c r="G20" s="105">
        <f t="shared" si="4"/>
        <v>515.5420765668596</v>
      </c>
      <c r="I20" s="114">
        <v>-69.5</v>
      </c>
      <c r="J20" s="106">
        <f t="shared" si="0"/>
        <v>-12974.697834508126</v>
      </c>
      <c r="L20" s="114">
        <v>-69.5</v>
      </c>
      <c r="M20" s="107">
        <f t="shared" si="1"/>
        <v>-10643.170899948553</v>
      </c>
      <c r="O20" s="114">
        <v>-69.5</v>
      </c>
      <c r="P20" s="107">
        <f t="shared" si="2"/>
        <v>-12212.305586940065</v>
      </c>
      <c r="R20" s="92">
        <f t="shared" si="5"/>
        <v>-69.5</v>
      </c>
      <c r="S20" s="107">
        <f t="shared" si="6"/>
        <v>-35830.17432139674</v>
      </c>
    </row>
    <row r="21" spans="2:19" ht="12.75">
      <c r="B21" s="109">
        <f>SUM(B11:B20)</f>
        <v>1</v>
      </c>
      <c r="C21" s="95"/>
      <c r="D21" s="110">
        <f>SUM(D11:D20)</f>
        <v>2333.5787472136917</v>
      </c>
      <c r="E21" s="110">
        <f>SUM(E11:E20)</f>
        <v>1914.239370494344</v>
      </c>
      <c r="F21" s="110">
        <f>SUM(F11:F20)</f>
        <v>2196.4578393777097</v>
      </c>
      <c r="G21" s="110">
        <f>SUM(G11:G20)</f>
        <v>6444.275957085745</v>
      </c>
      <c r="H21" s="110"/>
      <c r="I21" s="110"/>
      <c r="J21" s="111">
        <f>SUM(J11:J20)</f>
        <v>130852.12351066853</v>
      </c>
      <c r="L21" s="110"/>
      <c r="M21" s="111">
        <f>SUM(M11:M20)</f>
        <v>111710.94905119968</v>
      </c>
      <c r="O21" s="110"/>
      <c r="P21" s="111">
        <f>SUM(P11:P20)</f>
        <v>118302.84742383141</v>
      </c>
      <c r="R21" s="110"/>
      <c r="S21" s="111">
        <f>SUM(S11:S20)</f>
        <v>360865.91998569964</v>
      </c>
    </row>
    <row r="24" spans="1:6" ht="13.5">
      <c r="A24" s="165" t="s">
        <v>99</v>
      </c>
      <c r="B24" s="166"/>
      <c r="C24" s="166"/>
      <c r="D24" s="166"/>
      <c r="E24" s="166"/>
      <c r="F24" s="166"/>
    </row>
    <row r="26" spans="1:19" ht="12.75">
      <c r="A26" s="4"/>
      <c r="B26" s="4" t="s">
        <v>68</v>
      </c>
      <c r="C26" s="4"/>
      <c r="D26" s="185" t="s">
        <v>69</v>
      </c>
      <c r="E26" s="185"/>
      <c r="F26" s="185"/>
      <c r="G26" s="185"/>
      <c r="H26" s="4"/>
      <c r="I26" s="185" t="s">
        <v>95</v>
      </c>
      <c r="J26" s="185"/>
      <c r="K26" s="4"/>
      <c r="L26" s="185" t="s">
        <v>11</v>
      </c>
      <c r="M26" s="185"/>
      <c r="N26" s="4"/>
      <c r="O26" s="185" t="s">
        <v>96</v>
      </c>
      <c r="P26" s="185"/>
      <c r="Q26" s="4"/>
      <c r="R26" s="185" t="s">
        <v>97</v>
      </c>
      <c r="S26" s="185"/>
    </row>
    <row r="27" spans="1:19" ht="12.75">
      <c r="A27" s="91" t="s">
        <v>70</v>
      </c>
      <c r="B27" s="91" t="s">
        <v>71</v>
      </c>
      <c r="C27" s="91"/>
      <c r="D27" s="91" t="s">
        <v>95</v>
      </c>
      <c r="E27" s="91" t="s">
        <v>11</v>
      </c>
      <c r="F27" s="91" t="s">
        <v>96</v>
      </c>
      <c r="G27" s="91" t="s">
        <v>72</v>
      </c>
      <c r="H27" s="91"/>
      <c r="I27" s="91" t="s">
        <v>73</v>
      </c>
      <c r="J27" s="91" t="s">
        <v>74</v>
      </c>
      <c r="K27" s="91"/>
      <c r="L27" s="91" t="s">
        <v>73</v>
      </c>
      <c r="M27" s="91" t="s">
        <v>74</v>
      </c>
      <c r="N27" s="91"/>
      <c r="O27" s="91" t="s">
        <v>73</v>
      </c>
      <c r="P27" s="91" t="s">
        <v>74</v>
      </c>
      <c r="Q27" s="91"/>
      <c r="R27" s="91" t="s">
        <v>73</v>
      </c>
      <c r="S27" s="91" t="s">
        <v>74</v>
      </c>
    </row>
    <row r="29" spans="1:19" ht="12.75">
      <c r="A29" s="159" t="s">
        <v>2</v>
      </c>
      <c r="B29" s="94">
        <f>+G29/$G$39</f>
        <v>0.42647615309635917</v>
      </c>
      <c r="D29" s="24">
        <f>+'Waste Stream Report'!I10</f>
        <v>903.69</v>
      </c>
      <c r="E29" s="24">
        <f>+'Waste Stream Report'!J10</f>
        <v>989.78</v>
      </c>
      <c r="F29" s="24">
        <f>+'Waste Stream Report'!K10</f>
        <v>964.75</v>
      </c>
      <c r="G29" s="24">
        <f>SUM(D29:F29)</f>
        <v>2858.2200000000003</v>
      </c>
      <c r="I29" s="92">
        <v>76.23</v>
      </c>
      <c r="J29" s="103">
        <f aca="true" t="shared" si="7" ref="J29:J38">+I29*D29</f>
        <v>68888.2887</v>
      </c>
      <c r="L29" s="92">
        <v>77.77</v>
      </c>
      <c r="M29" s="103">
        <f aca="true" t="shared" si="8" ref="M29:M38">+L29*E29</f>
        <v>76975.19059999999</v>
      </c>
      <c r="O29" s="92">
        <v>76.62</v>
      </c>
      <c r="P29" s="103">
        <f aca="true" t="shared" si="9" ref="P29:P38">+O29*F29</f>
        <v>73919.145</v>
      </c>
      <c r="R29" s="92">
        <f>+S29/G29</f>
        <v>76.89492911672299</v>
      </c>
      <c r="S29" s="103">
        <f>+P29+M29+J29</f>
        <v>219782.6243</v>
      </c>
    </row>
    <row r="30" spans="1:19" ht="12.75">
      <c r="A30" s="159" t="s">
        <v>1</v>
      </c>
      <c r="B30" s="94">
        <f aca="true" t="shared" si="10" ref="B30:B38">+G30/$G$39</f>
        <v>0.2569597083261026</v>
      </c>
      <c r="D30" s="24">
        <f>+'Waste Stream Report'!I11</f>
        <v>617.23</v>
      </c>
      <c r="E30" s="24">
        <f>+'Waste Stream Report'!J11</f>
        <v>638.03</v>
      </c>
      <c r="F30" s="24">
        <f>+'Waste Stream Report'!K11</f>
        <v>466.87</v>
      </c>
      <c r="G30" s="24">
        <f aca="true" t="shared" si="11" ref="G30:G38">SUM(D30:F30)</f>
        <v>1722.13</v>
      </c>
      <c r="I30" s="92">
        <v>98.55</v>
      </c>
      <c r="J30" s="64">
        <f t="shared" si="7"/>
        <v>60828.0165</v>
      </c>
      <c r="L30" s="92">
        <v>101.07</v>
      </c>
      <c r="M30" s="93">
        <f t="shared" si="8"/>
        <v>64485.69209999999</v>
      </c>
      <c r="O30" s="92">
        <v>100.22</v>
      </c>
      <c r="P30" s="93">
        <f t="shared" si="9"/>
        <v>46789.7114</v>
      </c>
      <c r="R30" s="92">
        <f aca="true" t="shared" si="12" ref="R30:R38">+S30/G30</f>
        <v>99.93636949591493</v>
      </c>
      <c r="S30" s="93">
        <f aca="true" t="shared" si="13" ref="S30:S38">+P30+M30+J30</f>
        <v>172103.41999999998</v>
      </c>
    </row>
    <row r="31" spans="1:19" ht="12.75">
      <c r="A31" s="159" t="s">
        <v>3</v>
      </c>
      <c r="B31" s="94">
        <f t="shared" si="10"/>
        <v>0.00916599494955229</v>
      </c>
      <c r="D31" s="24">
        <f>+'Waste Stream Report'!I12</f>
        <v>20.77</v>
      </c>
      <c r="E31" s="24">
        <f>+'Waste Stream Report'!J12</f>
        <v>17.29</v>
      </c>
      <c r="F31" s="24">
        <f>+'Waste Stream Report'!K12</f>
        <v>23.37</v>
      </c>
      <c r="G31" s="24">
        <f t="shared" si="11"/>
        <v>61.43000000000001</v>
      </c>
      <c r="I31" s="92">
        <v>1176.82</v>
      </c>
      <c r="J31" s="64">
        <f t="shared" si="7"/>
        <v>24442.551399999997</v>
      </c>
      <c r="L31" s="92">
        <v>1146.77</v>
      </c>
      <c r="M31" s="93">
        <f t="shared" si="8"/>
        <v>19827.653299999998</v>
      </c>
      <c r="O31" s="92">
        <v>1152.56</v>
      </c>
      <c r="P31" s="93">
        <f t="shared" si="9"/>
        <v>26935.3272</v>
      </c>
      <c r="R31" s="92">
        <f t="shared" si="12"/>
        <v>1159.1328650496498</v>
      </c>
      <c r="S31" s="93">
        <f t="shared" si="13"/>
        <v>71205.5319</v>
      </c>
    </row>
    <row r="32" spans="1:19" ht="12.75">
      <c r="A32" s="159" t="s">
        <v>6</v>
      </c>
      <c r="B32" s="94">
        <f t="shared" si="10"/>
        <v>0.015820778845857548</v>
      </c>
      <c r="D32" s="24">
        <f>+'Waste Stream Report'!I13</f>
        <v>31.95</v>
      </c>
      <c r="E32" s="24">
        <f>+'Waste Stream Report'!J13</f>
        <v>40.99</v>
      </c>
      <c r="F32" s="24">
        <f>+'Waste Stream Report'!K13</f>
        <v>33.09</v>
      </c>
      <c r="G32" s="24">
        <f t="shared" si="11"/>
        <v>106.03</v>
      </c>
      <c r="I32" s="92">
        <v>48.27</v>
      </c>
      <c r="J32" s="64">
        <f t="shared" si="7"/>
        <v>1542.2265</v>
      </c>
      <c r="L32" s="92">
        <v>43.75</v>
      </c>
      <c r="M32" s="93">
        <f t="shared" si="8"/>
        <v>1793.3125</v>
      </c>
      <c r="O32" s="92">
        <v>45.54</v>
      </c>
      <c r="P32" s="93">
        <f t="shared" si="9"/>
        <v>1506.9186000000002</v>
      </c>
      <c r="R32" s="92">
        <f t="shared" si="12"/>
        <v>45.67063661227954</v>
      </c>
      <c r="S32" s="93">
        <f t="shared" si="13"/>
        <v>4842.4576</v>
      </c>
    </row>
    <row r="33" spans="1:19" ht="12.75">
      <c r="A33" s="159" t="s">
        <v>4</v>
      </c>
      <c r="B33" s="94">
        <f t="shared" si="10"/>
        <v>0.18164128197684318</v>
      </c>
      <c r="D33" s="24">
        <f>+'Waste Stream Report'!I14</f>
        <v>407.49</v>
      </c>
      <c r="E33" s="24">
        <f>+'Waste Stream Report'!J14</f>
        <v>379.01</v>
      </c>
      <c r="F33" s="24">
        <f>+'Waste Stream Report'!K14</f>
        <v>430.85</v>
      </c>
      <c r="G33" s="24">
        <f t="shared" si="11"/>
        <v>1217.35</v>
      </c>
      <c r="I33" s="92">
        <v>-43.35</v>
      </c>
      <c r="J33" s="64">
        <f t="shared" si="7"/>
        <v>-17664.6915</v>
      </c>
      <c r="L33" s="92">
        <v>-43.35</v>
      </c>
      <c r="M33" s="93">
        <f t="shared" si="8"/>
        <v>-16430.0835</v>
      </c>
      <c r="O33" s="92">
        <v>-43.35</v>
      </c>
      <c r="P33" s="93">
        <f t="shared" si="9"/>
        <v>-18677.3475</v>
      </c>
      <c r="R33" s="92">
        <f t="shared" si="12"/>
        <v>-43.35</v>
      </c>
      <c r="S33" s="93">
        <f t="shared" si="13"/>
        <v>-52772.1225</v>
      </c>
    </row>
    <row r="34" spans="1:19" ht="12.75">
      <c r="A34" s="159" t="s">
        <v>5</v>
      </c>
      <c r="B34" s="94">
        <f t="shared" si="10"/>
        <v>0.008710903225701816</v>
      </c>
      <c r="D34" s="24">
        <f>+'Waste Stream Report'!I15</f>
        <v>22.28</v>
      </c>
      <c r="E34" s="24">
        <f>+'Waste Stream Report'!J15</f>
        <v>17.68</v>
      </c>
      <c r="F34" s="24">
        <f>+'Waste Stream Report'!K15</f>
        <v>18.42</v>
      </c>
      <c r="G34" s="24">
        <f t="shared" si="11"/>
        <v>58.38</v>
      </c>
      <c r="I34" s="92">
        <v>130.5</v>
      </c>
      <c r="J34" s="64">
        <f t="shared" si="7"/>
        <v>2907.54</v>
      </c>
      <c r="L34" s="92">
        <v>290</v>
      </c>
      <c r="M34" s="93">
        <f t="shared" si="8"/>
        <v>5127.2</v>
      </c>
      <c r="O34" s="92">
        <v>301.07</v>
      </c>
      <c r="P34" s="93">
        <f t="shared" si="9"/>
        <v>5545.709400000001</v>
      </c>
      <c r="R34" s="92">
        <f t="shared" si="12"/>
        <v>232.6216067146283</v>
      </c>
      <c r="S34" s="93">
        <f t="shared" si="13"/>
        <v>13580.449400000001</v>
      </c>
    </row>
    <row r="35" spans="1:19" ht="12.75">
      <c r="A35" s="159" t="s">
        <v>91</v>
      </c>
      <c r="B35" s="94">
        <f t="shared" si="10"/>
        <v>0.008722840057802814</v>
      </c>
      <c r="D35" s="24">
        <f>+'Waste Stream Report'!I16</f>
        <v>19.41</v>
      </c>
      <c r="E35" s="24">
        <f>+'Waste Stream Report'!J16</f>
        <v>23.82</v>
      </c>
      <c r="F35" s="24">
        <f>+'Waste Stream Report'!K16</f>
        <v>15.23</v>
      </c>
      <c r="G35" s="24">
        <f t="shared" si="11"/>
        <v>58.46000000000001</v>
      </c>
      <c r="I35" s="92">
        <v>97.34</v>
      </c>
      <c r="J35" s="64">
        <f t="shared" si="7"/>
        <v>1889.3694</v>
      </c>
      <c r="L35" s="92">
        <v>130</v>
      </c>
      <c r="M35" s="93">
        <f t="shared" si="8"/>
        <v>3096.6</v>
      </c>
      <c r="O35" s="92">
        <v>140</v>
      </c>
      <c r="P35" s="93">
        <f t="shared" si="9"/>
        <v>2132.2000000000003</v>
      </c>
      <c r="R35" s="92">
        <f t="shared" si="12"/>
        <v>121.761365035922</v>
      </c>
      <c r="S35" s="93">
        <f t="shared" si="13"/>
        <v>7118.169400000001</v>
      </c>
    </row>
    <row r="36" spans="1:19" ht="12.75">
      <c r="A36" s="159" t="s">
        <v>92</v>
      </c>
      <c r="B36" s="94">
        <f t="shared" si="10"/>
        <v>0.004510630430163857</v>
      </c>
      <c r="D36" s="24">
        <f>+'Waste Stream Report'!I17</f>
        <v>11.85</v>
      </c>
      <c r="E36" s="24">
        <f>+'Waste Stream Report'!J17</f>
        <v>7.32</v>
      </c>
      <c r="F36" s="24">
        <f>+'Waste Stream Report'!K17</f>
        <v>11.06</v>
      </c>
      <c r="G36" s="24">
        <f t="shared" si="11"/>
        <v>30.230000000000004</v>
      </c>
      <c r="I36" s="92">
        <v>252.7</v>
      </c>
      <c r="J36" s="64">
        <f t="shared" si="7"/>
        <v>2994.495</v>
      </c>
      <c r="L36" s="92">
        <v>330</v>
      </c>
      <c r="M36" s="93">
        <f t="shared" si="8"/>
        <v>2415.6</v>
      </c>
      <c r="O36" s="92">
        <v>330</v>
      </c>
      <c r="P36" s="93">
        <f t="shared" si="9"/>
        <v>3649.8</v>
      </c>
      <c r="R36" s="92">
        <f t="shared" si="12"/>
        <v>299.69880913000327</v>
      </c>
      <c r="S36" s="93">
        <f t="shared" si="13"/>
        <v>9059.895</v>
      </c>
    </row>
    <row r="37" spans="1:19" ht="12.75">
      <c r="A37" s="159" t="s">
        <v>93</v>
      </c>
      <c r="B37" s="94">
        <f t="shared" si="10"/>
        <v>0.00799170909161681</v>
      </c>
      <c r="D37" s="24">
        <f>+'Waste Stream Report'!I18</f>
        <v>23.86</v>
      </c>
      <c r="E37" s="24">
        <f>+'Waste Stream Report'!J18</f>
        <v>10.74</v>
      </c>
      <c r="F37" s="24">
        <f>+'Waste Stream Report'!K18</f>
        <v>18.96</v>
      </c>
      <c r="G37" s="24">
        <f t="shared" si="11"/>
        <v>53.56</v>
      </c>
      <c r="I37" s="92">
        <v>7.17</v>
      </c>
      <c r="J37" s="64">
        <f t="shared" si="7"/>
        <v>171.0762</v>
      </c>
      <c r="L37" s="92">
        <v>0</v>
      </c>
      <c r="M37" s="93">
        <f t="shared" si="8"/>
        <v>0</v>
      </c>
      <c r="O37" s="92">
        <v>0</v>
      </c>
      <c r="P37" s="93">
        <f t="shared" si="9"/>
        <v>0</v>
      </c>
      <c r="R37" s="92">
        <f t="shared" si="12"/>
        <v>3.1941038088125464</v>
      </c>
      <c r="S37" s="93">
        <f t="shared" si="13"/>
        <v>171.0762</v>
      </c>
    </row>
    <row r="38" spans="1:19" ht="15">
      <c r="A38" s="159" t="s">
        <v>7</v>
      </c>
      <c r="B38" s="104">
        <f t="shared" si="10"/>
        <v>0.08</v>
      </c>
      <c r="D38" s="105">
        <f>+'Waste Stream Report'!I19</f>
        <v>179.0026086956522</v>
      </c>
      <c r="E38" s="105">
        <f>+'Waste Stream Report'!J19</f>
        <v>184.75304347826085</v>
      </c>
      <c r="F38" s="105">
        <f>+'Waste Stream Report'!K19</f>
        <v>172.4</v>
      </c>
      <c r="G38" s="105">
        <f t="shared" si="11"/>
        <v>536.155652173913</v>
      </c>
      <c r="I38" s="114">
        <v>-69.5</v>
      </c>
      <c r="J38" s="106">
        <f t="shared" si="7"/>
        <v>-12440.681304347829</v>
      </c>
      <c r="L38" s="114">
        <v>-69.5</v>
      </c>
      <c r="M38" s="107">
        <f t="shared" si="8"/>
        <v>-12840.33652173913</v>
      </c>
      <c r="O38" s="114">
        <v>-69.5</v>
      </c>
      <c r="P38" s="107">
        <f t="shared" si="9"/>
        <v>-11981.800000000001</v>
      </c>
      <c r="R38" s="92">
        <f t="shared" si="12"/>
        <v>-69.50000000000001</v>
      </c>
      <c r="S38" s="107">
        <f t="shared" si="13"/>
        <v>-37262.81782608696</v>
      </c>
    </row>
    <row r="39" spans="2:19" ht="12.75">
      <c r="B39" s="109">
        <f>SUM(B29:B38)</f>
        <v>1</v>
      </c>
      <c r="C39" s="95"/>
      <c r="D39" s="110">
        <f>SUM(D29:D38)</f>
        <v>2237.5326086956525</v>
      </c>
      <c r="E39" s="110">
        <f>SUM(E29:E38)</f>
        <v>2309.4130434782605</v>
      </c>
      <c r="F39" s="110">
        <f>SUM(F29:F38)</f>
        <v>2155</v>
      </c>
      <c r="G39" s="110">
        <f>SUM(G29:G38)</f>
        <v>6701.945652173913</v>
      </c>
      <c r="H39" s="110"/>
      <c r="I39" s="110"/>
      <c r="J39" s="111">
        <f>SUM(J29:J38)</f>
        <v>133558.19089565217</v>
      </c>
      <c r="L39" s="110"/>
      <c r="M39" s="111">
        <f>SUM(M29:M38)</f>
        <v>144450.82847826087</v>
      </c>
      <c r="O39" s="110"/>
      <c r="P39" s="111">
        <f>SUM(P29:P38)</f>
        <v>129819.66409999998</v>
      </c>
      <c r="R39" s="110"/>
      <c r="S39" s="111">
        <f>SUM(S29:S38)</f>
        <v>407828.68347391306</v>
      </c>
    </row>
  </sheetData>
  <mergeCells count="10">
    <mergeCell ref="R8:S8"/>
    <mergeCell ref="D8:G8"/>
    <mergeCell ref="I8:J8"/>
    <mergeCell ref="L8:M8"/>
    <mergeCell ref="O8:P8"/>
    <mergeCell ref="R26:S26"/>
    <mergeCell ref="D26:G26"/>
    <mergeCell ref="I26:J26"/>
    <mergeCell ref="L26:M26"/>
    <mergeCell ref="O26:P26"/>
  </mergeCells>
  <printOptions/>
  <pageMargins left="0.5" right="0.25" top="0.75" bottom="1" header="0.5" footer="0.5"/>
  <pageSetup fitToHeight="1" fitToWidth="1" horizontalDpi="600" verticalDpi="600" orientation="landscape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tabSelected="1" workbookViewId="0" topLeftCell="A1">
      <selection activeCell="A4" sqref="A4"/>
    </sheetView>
  </sheetViews>
  <sheetFormatPr defaultColWidth="9.140625" defaultRowHeight="12.75"/>
  <cols>
    <col min="1" max="1" width="13.00390625" style="0" customWidth="1"/>
    <col min="3" max="3" width="2.57421875" style="0" customWidth="1"/>
    <col min="8" max="8" width="2.8515625" style="0" customWidth="1"/>
    <col min="9" max="10" width="10.28125" style="0" bestFit="1" customWidth="1"/>
    <col min="11" max="11" width="3.00390625" style="0" customWidth="1"/>
    <col min="12" max="13" width="10.28125" style="0" bestFit="1" customWidth="1"/>
    <col min="14" max="14" width="2.421875" style="0" customWidth="1"/>
    <col min="15" max="16" width="10.28125" style="0" bestFit="1" customWidth="1"/>
    <col min="17" max="17" width="3.57421875" style="0" customWidth="1"/>
    <col min="18" max="18" width="10.28125" style="0" bestFit="1" customWidth="1"/>
  </cols>
  <sheetData>
    <row r="1" ht="24">
      <c r="A1" s="119" t="s">
        <v>66</v>
      </c>
    </row>
    <row r="2" ht="21">
      <c r="A2" s="90" t="s">
        <v>67</v>
      </c>
    </row>
    <row r="6" spans="1:6" ht="13.5">
      <c r="A6" s="165" t="s">
        <v>98</v>
      </c>
      <c r="B6" s="167"/>
      <c r="C6" s="167"/>
      <c r="D6" s="167"/>
      <c r="E6" s="167"/>
      <c r="F6" s="167"/>
    </row>
    <row r="8" spans="1:19" ht="12.75">
      <c r="A8" s="4"/>
      <c r="B8" s="4" t="s">
        <v>68</v>
      </c>
      <c r="C8" s="4"/>
      <c r="D8" s="185" t="s">
        <v>69</v>
      </c>
      <c r="E8" s="185"/>
      <c r="F8" s="185"/>
      <c r="G8" s="185"/>
      <c r="H8" s="4"/>
      <c r="I8" s="185" t="s">
        <v>8</v>
      </c>
      <c r="J8" s="185"/>
      <c r="K8" s="4"/>
      <c r="L8" s="185" t="s">
        <v>9</v>
      </c>
      <c r="M8" s="185"/>
      <c r="N8" s="4"/>
      <c r="O8" s="185" t="s">
        <v>10</v>
      </c>
      <c r="P8" s="185"/>
      <c r="R8" s="185" t="s">
        <v>94</v>
      </c>
      <c r="S8" s="185"/>
    </row>
    <row r="9" spans="1:19" ht="12.75">
      <c r="A9" s="91" t="s">
        <v>70</v>
      </c>
      <c r="B9" s="91" t="s">
        <v>71</v>
      </c>
      <c r="C9" s="91"/>
      <c r="D9" s="91" t="s">
        <v>8</v>
      </c>
      <c r="E9" s="91" t="s">
        <v>9</v>
      </c>
      <c r="F9" s="91" t="s">
        <v>10</v>
      </c>
      <c r="G9" s="91" t="s">
        <v>72</v>
      </c>
      <c r="H9" s="91"/>
      <c r="I9" s="91" t="s">
        <v>73</v>
      </c>
      <c r="J9" s="91" t="s">
        <v>74</v>
      </c>
      <c r="K9" s="91"/>
      <c r="L9" s="91" t="s">
        <v>73</v>
      </c>
      <c r="M9" s="91" t="s">
        <v>74</v>
      </c>
      <c r="N9" s="91"/>
      <c r="O9" s="91" t="s">
        <v>73</v>
      </c>
      <c r="P9" s="91" t="s">
        <v>74</v>
      </c>
      <c r="R9" s="91" t="s">
        <v>73</v>
      </c>
      <c r="S9" s="91" t="s">
        <v>74</v>
      </c>
    </row>
    <row r="11" spans="1:19" ht="12.75">
      <c r="A11" s="159" t="s">
        <v>2</v>
      </c>
      <c r="B11" s="94">
        <f>+G11/$G$21</f>
        <v>0.43014620093813255</v>
      </c>
      <c r="D11" s="24">
        <v>102.14374906041175</v>
      </c>
      <c r="E11" s="24">
        <v>99.60628429561095</v>
      </c>
      <c r="F11" s="24">
        <v>100.33334449531995</v>
      </c>
      <c r="G11" s="24">
        <f>SUM(D11:F11)</f>
        <v>302.0833778513427</v>
      </c>
      <c r="I11" s="92">
        <f>+'Res''l Revenue'!I11</f>
        <v>70.65</v>
      </c>
      <c r="J11" s="103">
        <f aca="true" t="shared" si="0" ref="J11:J20">+I11*D11</f>
        <v>7216.455871118091</v>
      </c>
      <c r="L11" s="92">
        <f>+'Res''l Revenue'!L11</f>
        <v>74.2</v>
      </c>
      <c r="M11" s="103">
        <f aca="true" t="shared" si="1" ref="M11:M20">+L11*E11</f>
        <v>7390.786294734333</v>
      </c>
      <c r="N11" s="92"/>
      <c r="O11" s="92">
        <f>+'Res''l Revenue'!O11</f>
        <v>75.27</v>
      </c>
      <c r="P11" s="103">
        <f aca="true" t="shared" si="2" ref="P11:P20">+O11*F11</f>
        <v>7552.090840162732</v>
      </c>
      <c r="R11" s="92">
        <f>+S11/G11</f>
        <v>73.3550225888957</v>
      </c>
      <c r="S11" s="103">
        <f>+P11+M11+J11</f>
        <v>22159.333006015157</v>
      </c>
    </row>
    <row r="12" spans="1:19" ht="13.5" customHeight="1">
      <c r="A12" s="159" t="s">
        <v>1</v>
      </c>
      <c r="B12" s="94">
        <f aca="true" t="shared" si="3" ref="B12:B20">+G12/$G$21</f>
        <v>0.23651953850333768</v>
      </c>
      <c r="D12" s="24">
        <v>45.63610887608719</v>
      </c>
      <c r="E12" s="24">
        <v>51.42281650373452</v>
      </c>
      <c r="F12" s="24">
        <v>69.04418319838312</v>
      </c>
      <c r="G12" s="24">
        <f aca="true" t="shared" si="4" ref="G12:G20">SUM(D12:F12)</f>
        <v>166.10310857820485</v>
      </c>
      <c r="I12" s="92">
        <f>+'Res''l Revenue'!I12</f>
        <v>86.42</v>
      </c>
      <c r="J12" s="64">
        <f t="shared" si="0"/>
        <v>3943.872529071455</v>
      </c>
      <c r="L12" s="92">
        <f>+'Res''l Revenue'!L12</f>
        <v>88.89</v>
      </c>
      <c r="M12" s="93">
        <f t="shared" si="1"/>
        <v>4570.9741590169615</v>
      </c>
      <c r="O12" s="92">
        <f>+'Res''l Revenue'!O12</f>
        <v>86.45</v>
      </c>
      <c r="P12" s="93">
        <f t="shared" si="2"/>
        <v>5968.869637500221</v>
      </c>
      <c r="R12" s="92">
        <f aca="true" t="shared" si="5" ref="R12:R21">+S12/G12</f>
        <v>87.19714188111898</v>
      </c>
      <c r="S12" s="93">
        <f aca="true" t="shared" si="6" ref="S12:S20">+P12+M12+J12</f>
        <v>14483.716325588639</v>
      </c>
    </row>
    <row r="13" spans="1:19" ht="13.5" customHeight="1">
      <c r="A13" s="159" t="s">
        <v>3</v>
      </c>
      <c r="B13" s="94">
        <f t="shared" si="3"/>
        <v>0.007744974766150557</v>
      </c>
      <c r="D13" s="24">
        <v>1.8189649849285172</v>
      </c>
      <c r="E13" s="24">
        <v>1.9375575394046631</v>
      </c>
      <c r="F13" s="24">
        <v>1.6826238255114376</v>
      </c>
      <c r="G13" s="24">
        <f t="shared" si="4"/>
        <v>5.439146349844618</v>
      </c>
      <c r="I13" s="92">
        <f>+'Res''l Revenue'!I13</f>
        <v>1210.7</v>
      </c>
      <c r="J13" s="64">
        <f t="shared" si="0"/>
        <v>2202.220907252956</v>
      </c>
      <c r="L13" s="92">
        <f>+'Res''l Revenue'!L13</f>
        <v>1128.22</v>
      </c>
      <c r="M13" s="93">
        <f t="shared" si="1"/>
        <v>2185.991167107129</v>
      </c>
      <c r="O13" s="92">
        <f>+'Res''l Revenue'!O13</f>
        <v>1034.97</v>
      </c>
      <c r="P13" s="93">
        <f t="shared" si="2"/>
        <v>1741.4651806895727</v>
      </c>
      <c r="R13" s="92">
        <f>+S13/G13</f>
        <v>1126.9557501839909</v>
      </c>
      <c r="S13" s="93">
        <f>+P13+M13+J13</f>
        <v>6129.677255049657</v>
      </c>
    </row>
    <row r="14" spans="1:19" ht="13.5" customHeight="1">
      <c r="A14" s="159" t="s">
        <v>6</v>
      </c>
      <c r="B14" s="94">
        <f t="shared" si="3"/>
        <v>0.01584450674587995</v>
      </c>
      <c r="D14" s="24">
        <v>3.7972143349520806</v>
      </c>
      <c r="E14" s="24">
        <v>3.968367301152544</v>
      </c>
      <c r="F14" s="24">
        <v>3.361709753996989</v>
      </c>
      <c r="G14" s="24">
        <f t="shared" si="4"/>
        <v>11.127291390101613</v>
      </c>
      <c r="I14" s="92">
        <f>+'Res''l Revenue'!I14</f>
        <v>48.45</v>
      </c>
      <c r="J14" s="64">
        <f t="shared" si="0"/>
        <v>183.97503452842832</v>
      </c>
      <c r="L14" s="92">
        <f>+'Res''l Revenue'!L14</f>
        <v>69.7</v>
      </c>
      <c r="M14" s="93">
        <f t="shared" si="1"/>
        <v>276.5952008903323</v>
      </c>
      <c r="O14" s="92">
        <f>+'Res''l Revenue'!O14</f>
        <v>59.74</v>
      </c>
      <c r="P14" s="93">
        <f t="shared" si="2"/>
        <v>200.82854070378013</v>
      </c>
      <c r="R14" s="92">
        <f>+S14/G14</f>
        <v>59.43933280213137</v>
      </c>
      <c r="S14" s="93">
        <f>+P14+M14+J14</f>
        <v>661.3987761225408</v>
      </c>
    </row>
    <row r="15" spans="1:19" ht="12.75">
      <c r="A15" s="159" t="s">
        <v>4</v>
      </c>
      <c r="B15" s="94">
        <f t="shared" si="3"/>
        <v>0.17159767950303356</v>
      </c>
      <c r="D15" s="24">
        <v>35.043809610047965</v>
      </c>
      <c r="E15" s="24">
        <v>36.58422192057764</v>
      </c>
      <c r="F15" s="24">
        <v>48.88170804785814</v>
      </c>
      <c r="G15" s="24">
        <f t="shared" si="4"/>
        <v>120.50973957848375</v>
      </c>
      <c r="I15" s="92">
        <f>+'Res''l Revenue'!I15</f>
        <v>-43.35</v>
      </c>
      <c r="J15" s="64">
        <f t="shared" si="0"/>
        <v>-1519.1491465955794</v>
      </c>
      <c r="L15" s="92">
        <f>+'Res''l Revenue'!L15</f>
        <v>-43.35</v>
      </c>
      <c r="M15" s="93">
        <f t="shared" si="1"/>
        <v>-1585.9260202570408</v>
      </c>
      <c r="O15" s="92">
        <f>+'Res''l Revenue'!O15</f>
        <v>-43.35</v>
      </c>
      <c r="P15" s="93">
        <f t="shared" si="2"/>
        <v>-2119.0220438746505</v>
      </c>
      <c r="R15" s="92">
        <f t="shared" si="5"/>
        <v>-43.35</v>
      </c>
      <c r="S15" s="93">
        <f t="shared" si="6"/>
        <v>-5224.097210727271</v>
      </c>
    </row>
    <row r="16" spans="1:19" ht="12.75">
      <c r="A16" s="159" t="s">
        <v>5</v>
      </c>
      <c r="B16" s="94">
        <f t="shared" si="3"/>
        <v>0.009365508176000736</v>
      </c>
      <c r="D16" s="24">
        <v>1.9924081594950294</v>
      </c>
      <c r="E16" s="24">
        <v>1.9824535472331104</v>
      </c>
      <c r="F16" s="24">
        <v>2.6023539909355136</v>
      </c>
      <c r="G16" s="24">
        <f t="shared" si="4"/>
        <v>6.577215697663654</v>
      </c>
      <c r="I16" s="92">
        <f>+'Res''l Revenue'!I16</f>
        <v>242.58</v>
      </c>
      <c r="J16" s="64">
        <f t="shared" si="0"/>
        <v>483.3183713303043</v>
      </c>
      <c r="L16" s="92">
        <f>+'Res''l Revenue'!L16</f>
        <v>278.4</v>
      </c>
      <c r="M16" s="93">
        <f t="shared" si="1"/>
        <v>551.9150675496979</v>
      </c>
      <c r="O16" s="92">
        <f>+'Res''l Revenue'!O16</f>
        <v>226.21</v>
      </c>
      <c r="P16" s="93">
        <f t="shared" si="2"/>
        <v>588.6784962895225</v>
      </c>
      <c r="R16" s="92">
        <f t="shared" si="5"/>
        <v>246.89960156641473</v>
      </c>
      <c r="S16" s="93">
        <f t="shared" si="6"/>
        <v>1623.9119351695247</v>
      </c>
    </row>
    <row r="17" spans="1:19" ht="12.75">
      <c r="A17" s="159" t="s">
        <v>91</v>
      </c>
      <c r="B17" s="94">
        <f t="shared" si="3"/>
        <v>0.0075494806005518495</v>
      </c>
      <c r="D17" s="24">
        <v>1.5012292642866716</v>
      </c>
      <c r="E17" s="24">
        <v>1.963669546536225</v>
      </c>
      <c r="F17" s="24">
        <v>1.8369557583074212</v>
      </c>
      <c r="G17" s="24">
        <f t="shared" si="4"/>
        <v>5.301854569130318</v>
      </c>
      <c r="I17" s="92">
        <f>+'Res''l Revenue'!I17</f>
        <v>83.92</v>
      </c>
      <c r="J17" s="64">
        <f t="shared" si="0"/>
        <v>125.98315985893748</v>
      </c>
      <c r="L17" s="92">
        <f>+'Res''l Revenue'!L17</f>
        <v>37.16</v>
      </c>
      <c r="M17" s="93">
        <f t="shared" si="1"/>
        <v>72.96996034928611</v>
      </c>
      <c r="O17" s="92">
        <f>+'Res''l Revenue'!O17</f>
        <v>312.08</v>
      </c>
      <c r="P17" s="93">
        <f t="shared" si="2"/>
        <v>573.2771530525799</v>
      </c>
      <c r="R17" s="92">
        <f t="shared" si="5"/>
        <v>145.65285848409744</v>
      </c>
      <c r="S17" s="93">
        <f t="shared" si="6"/>
        <v>772.2302732608035</v>
      </c>
    </row>
    <row r="18" spans="1:19" ht="12.75">
      <c r="A18" s="159" t="s">
        <v>92</v>
      </c>
      <c r="B18" s="94">
        <f t="shared" si="3"/>
        <v>0.006268559808883312</v>
      </c>
      <c r="D18" s="24">
        <v>1.1714168988733447</v>
      </c>
      <c r="E18" s="24">
        <v>1.4490867906031326</v>
      </c>
      <c r="F18" s="24">
        <v>1.7817849212347363</v>
      </c>
      <c r="G18" s="24">
        <f t="shared" si="4"/>
        <v>4.402288610711214</v>
      </c>
      <c r="I18" s="92">
        <f>+'Res''l Revenue'!I18</f>
        <v>287.55</v>
      </c>
      <c r="J18" s="64">
        <f t="shared" si="0"/>
        <v>336.8409292710303</v>
      </c>
      <c r="L18" s="92">
        <f>+'Res''l Revenue'!L18</f>
        <v>307.09</v>
      </c>
      <c r="M18" s="93">
        <f t="shared" si="1"/>
        <v>445.00006252631596</v>
      </c>
      <c r="O18" s="92">
        <f>+'Res''l Revenue'!O18</f>
        <v>252.63</v>
      </c>
      <c r="P18" s="93">
        <f t="shared" si="2"/>
        <v>450.1323246515314</v>
      </c>
      <c r="R18" s="92">
        <f t="shared" si="5"/>
        <v>279.84837555887674</v>
      </c>
      <c r="S18" s="93">
        <f t="shared" si="6"/>
        <v>1231.9733164488775</v>
      </c>
    </row>
    <row r="19" spans="1:19" ht="12.75">
      <c r="A19" s="159" t="s">
        <v>93</v>
      </c>
      <c r="B19" s="94">
        <f t="shared" si="3"/>
        <v>0.0035858168931547775</v>
      </c>
      <c r="D19" s="24">
        <v>0.5250799669327468</v>
      </c>
      <c r="E19" s="24">
        <v>1.2355423616280161</v>
      </c>
      <c r="F19" s="24">
        <v>0.7576276921953197</v>
      </c>
      <c r="G19" s="24">
        <f t="shared" si="4"/>
        <v>2.5182500207560827</v>
      </c>
      <c r="I19" s="92">
        <f>+'Res''l Revenue'!I19</f>
        <v>-3.16</v>
      </c>
      <c r="J19" s="64">
        <f t="shared" si="0"/>
        <v>-1.65925269550748</v>
      </c>
      <c r="L19" s="92">
        <f>+'Res''l Revenue'!L19</f>
        <v>-2.18</v>
      </c>
      <c r="M19" s="93">
        <f t="shared" si="1"/>
        <v>-2.6934823483490753</v>
      </c>
      <c r="O19" s="92">
        <f>+'Res''l Revenue'!O19</f>
        <v>30.34</v>
      </c>
      <c r="P19" s="93">
        <f t="shared" si="2"/>
        <v>22.986424181205997</v>
      </c>
      <c r="R19" s="92">
        <f t="shared" si="5"/>
        <v>7.39945953887249</v>
      </c>
      <c r="S19" s="93">
        <f t="shared" si="6"/>
        <v>18.633689137349442</v>
      </c>
    </row>
    <row r="20" spans="1:19" ht="15">
      <c r="A20" s="159" t="s">
        <v>7</v>
      </c>
      <c r="B20" s="104">
        <f t="shared" si="3"/>
        <v>0.11137773406487494</v>
      </c>
      <c r="D20" s="105">
        <f>+D21*0.12</f>
        <v>26.40408833945663</v>
      </c>
      <c r="E20" s="105">
        <f>+E21*0.08</f>
        <v>17.404347809259203</v>
      </c>
      <c r="F20" s="105">
        <f>+F21*0.13</f>
        <v>34.409997607915564</v>
      </c>
      <c r="G20" s="105">
        <f t="shared" si="4"/>
        <v>78.2184337566314</v>
      </c>
      <c r="I20" s="92">
        <f>+'Res''l Revenue'!I20</f>
        <v>-69.5</v>
      </c>
      <c r="J20" s="106">
        <f t="shared" si="0"/>
        <v>-1835.084139592236</v>
      </c>
      <c r="L20" s="92">
        <f>+'Res''l Revenue'!L20</f>
        <v>-69.5</v>
      </c>
      <c r="M20" s="107">
        <f t="shared" si="1"/>
        <v>-1209.6021727435145</v>
      </c>
      <c r="O20" s="92">
        <f>+'Res''l Revenue'!O20</f>
        <v>-69.5</v>
      </c>
      <c r="P20" s="107">
        <f t="shared" si="2"/>
        <v>-2391.494833750132</v>
      </c>
      <c r="R20" s="108">
        <f t="shared" si="5"/>
        <v>-69.5</v>
      </c>
      <c r="S20" s="107">
        <f t="shared" si="6"/>
        <v>-5436.181146085883</v>
      </c>
    </row>
    <row r="21" spans="2:19" ht="12.75">
      <c r="B21" s="109">
        <f>SUM(B11:B20)</f>
        <v>0.9999999999999998</v>
      </c>
      <c r="C21" s="95"/>
      <c r="D21" s="110">
        <f>SUM(D11:D20)</f>
        <v>220.03406949547193</v>
      </c>
      <c r="E21" s="110">
        <f>SUM(E11:E20)</f>
        <v>217.55434761574003</v>
      </c>
      <c r="F21" s="110">
        <f>SUM(F11:F20)</f>
        <v>264.6922892916582</v>
      </c>
      <c r="G21" s="110">
        <f>SUM(G11:G20)</f>
        <v>702.2807064028702</v>
      </c>
      <c r="H21" s="110"/>
      <c r="I21" s="110"/>
      <c r="J21" s="111">
        <f>SUM(J11:J20)</f>
        <v>11136.77426354788</v>
      </c>
      <c r="K21" s="112"/>
      <c r="L21" s="113"/>
      <c r="M21" s="111">
        <f>SUM(M11:M20)</f>
        <v>12696.010236825154</v>
      </c>
      <c r="N21" s="112"/>
      <c r="O21" s="113"/>
      <c r="P21" s="111">
        <f>SUM(P11:P20)</f>
        <v>12587.811719606363</v>
      </c>
      <c r="R21" s="96">
        <f t="shared" si="5"/>
        <v>51.860453929495215</v>
      </c>
      <c r="S21" s="111">
        <f>SUM(S11:S20)</f>
        <v>36420.59621997941</v>
      </c>
    </row>
    <row r="24" spans="1:6" ht="13.5">
      <c r="A24" s="165" t="s">
        <v>99</v>
      </c>
      <c r="B24" s="167"/>
      <c r="C24" s="167"/>
      <c r="D24" s="167"/>
      <c r="E24" s="167"/>
      <c r="F24" s="167"/>
    </row>
    <row r="26" spans="1:19" ht="12.75">
      <c r="A26" s="4"/>
      <c r="B26" s="4" t="s">
        <v>68</v>
      </c>
      <c r="C26" s="4"/>
      <c r="D26" s="185" t="s">
        <v>69</v>
      </c>
      <c r="E26" s="185"/>
      <c r="F26" s="185"/>
      <c r="G26" s="185"/>
      <c r="H26" s="4"/>
      <c r="I26" s="185" t="s">
        <v>95</v>
      </c>
      <c r="J26" s="185"/>
      <c r="K26" s="4"/>
      <c r="L26" s="185" t="s">
        <v>11</v>
      </c>
      <c r="M26" s="185"/>
      <c r="N26" s="4"/>
      <c r="O26" s="185" t="s">
        <v>96</v>
      </c>
      <c r="P26" s="185"/>
      <c r="R26" s="185" t="s">
        <v>94</v>
      </c>
      <c r="S26" s="185"/>
    </row>
    <row r="27" spans="1:19" ht="12.75">
      <c r="A27" s="91" t="s">
        <v>70</v>
      </c>
      <c r="B27" s="91" t="s">
        <v>71</v>
      </c>
      <c r="C27" s="91"/>
      <c r="D27" s="91" t="s">
        <v>95</v>
      </c>
      <c r="E27" s="91" t="s">
        <v>11</v>
      </c>
      <c r="F27" s="91" t="s">
        <v>96</v>
      </c>
      <c r="G27" s="91" t="s">
        <v>72</v>
      </c>
      <c r="H27" s="91"/>
      <c r="I27" s="91" t="s">
        <v>73</v>
      </c>
      <c r="J27" s="91" t="s">
        <v>74</v>
      </c>
      <c r="K27" s="91"/>
      <c r="L27" s="91" t="s">
        <v>73</v>
      </c>
      <c r="M27" s="91" t="s">
        <v>74</v>
      </c>
      <c r="N27" s="91"/>
      <c r="O27" s="91" t="s">
        <v>73</v>
      </c>
      <c r="P27" s="91" t="s">
        <v>74</v>
      </c>
      <c r="R27" s="91" t="s">
        <v>73</v>
      </c>
      <c r="S27" s="91" t="s">
        <v>74</v>
      </c>
    </row>
    <row r="29" spans="1:19" ht="12.75">
      <c r="A29" s="159" t="s">
        <v>2</v>
      </c>
      <c r="B29" s="94">
        <f>+G29/$G$39</f>
        <v>0.4080299099242937</v>
      </c>
      <c r="D29" s="168">
        <v>102.7</v>
      </c>
      <c r="E29" s="168">
        <f>96.56+27.91</f>
        <v>124.47</v>
      </c>
      <c r="F29" s="168">
        <f>97.6+23.72</f>
        <v>121.32</v>
      </c>
      <c r="G29" s="24">
        <f>SUM(D29:F29)</f>
        <v>348.49</v>
      </c>
      <c r="I29" s="92">
        <f>+'Res''l Revenue'!I29</f>
        <v>76.23</v>
      </c>
      <c r="J29" s="103">
        <f aca="true" t="shared" si="7" ref="J29:J38">+I29*D29</f>
        <v>7828.821000000001</v>
      </c>
      <c r="L29" s="92">
        <f>+'Res''l Revenue'!L29</f>
        <v>77.77</v>
      </c>
      <c r="M29" s="103">
        <f aca="true" t="shared" si="8" ref="M29:M38">+L29*E29</f>
        <v>9680.0319</v>
      </c>
      <c r="N29" s="92"/>
      <c r="O29" s="92">
        <f>+'Res''l Revenue'!O29</f>
        <v>76.62</v>
      </c>
      <c r="P29" s="103">
        <f aca="true" t="shared" si="9" ref="P29:P38">+O29*F29</f>
        <v>9295.5384</v>
      </c>
      <c r="R29" s="92">
        <f>+S29/G29</f>
        <v>76.91581193147579</v>
      </c>
      <c r="S29" s="103">
        <f>+P29+M29+J29</f>
        <v>26804.3913</v>
      </c>
    </row>
    <row r="30" spans="1:19" ht="12.75">
      <c r="A30" s="159" t="s">
        <v>1</v>
      </c>
      <c r="B30" s="94">
        <f aca="true" t="shared" si="10" ref="B30:B38">+G30/$G$39</f>
        <v>0.24481326255006047</v>
      </c>
      <c r="D30" s="168">
        <v>70.15</v>
      </c>
      <c r="E30" s="168">
        <v>80.23</v>
      </c>
      <c r="F30" s="168">
        <v>58.71</v>
      </c>
      <c r="G30" s="24">
        <f aca="true" t="shared" si="11" ref="G30:G38">SUM(D30:F30)</f>
        <v>209.09</v>
      </c>
      <c r="I30" s="92">
        <f>+'Res''l Revenue'!I30</f>
        <v>98.55</v>
      </c>
      <c r="J30" s="64">
        <f t="shared" si="7"/>
        <v>6913.2825</v>
      </c>
      <c r="L30" s="92">
        <f>+'Res''l Revenue'!L30</f>
        <v>101.07</v>
      </c>
      <c r="M30" s="93">
        <f t="shared" si="8"/>
        <v>8108.8461</v>
      </c>
      <c r="O30" s="92">
        <f>+'Res''l Revenue'!O30</f>
        <v>100.22</v>
      </c>
      <c r="P30" s="93">
        <f t="shared" si="9"/>
        <v>5883.9162</v>
      </c>
      <c r="R30" s="92">
        <f>+S30/G30</f>
        <v>99.98586637333206</v>
      </c>
      <c r="S30" s="93">
        <f>+P30+M30+J30</f>
        <v>20906.0448</v>
      </c>
    </row>
    <row r="31" spans="1:19" ht="12.75">
      <c r="A31" s="159" t="s">
        <v>3</v>
      </c>
      <c r="B31" s="94">
        <f t="shared" si="10"/>
        <v>0.00874625793318165</v>
      </c>
      <c r="D31" s="168">
        <v>2.36</v>
      </c>
      <c r="E31" s="168">
        <v>2.17</v>
      </c>
      <c r="F31" s="168">
        <v>2.94</v>
      </c>
      <c r="G31" s="24">
        <f t="shared" si="11"/>
        <v>7.469999999999999</v>
      </c>
      <c r="I31" s="92">
        <f>+'Res''l Revenue'!I31</f>
        <v>1176.82</v>
      </c>
      <c r="J31" s="64">
        <f t="shared" si="7"/>
        <v>2777.2951999999996</v>
      </c>
      <c r="L31" s="92">
        <f>+'Res''l Revenue'!L31</f>
        <v>1146.77</v>
      </c>
      <c r="M31" s="93">
        <f t="shared" si="8"/>
        <v>2488.4909</v>
      </c>
      <c r="O31" s="92">
        <f>+'Res''l Revenue'!O31</f>
        <v>1152.56</v>
      </c>
      <c r="P31" s="93">
        <f t="shared" si="9"/>
        <v>3388.5263999999997</v>
      </c>
      <c r="R31" s="92">
        <f>+S31/G31</f>
        <v>1158.5425033467204</v>
      </c>
      <c r="S31" s="93">
        <f>+P31+M31+J31</f>
        <v>8654.3125</v>
      </c>
    </row>
    <row r="32" spans="1:19" ht="12.75">
      <c r="A32" s="159" t="s">
        <v>6</v>
      </c>
      <c r="B32" s="94">
        <f t="shared" si="10"/>
        <v>0.015150813608483346</v>
      </c>
      <c r="D32" s="168">
        <v>3.63</v>
      </c>
      <c r="E32" s="168">
        <v>5.15</v>
      </c>
      <c r="F32" s="168">
        <v>4.16</v>
      </c>
      <c r="G32" s="24">
        <f t="shared" si="11"/>
        <v>12.940000000000001</v>
      </c>
      <c r="I32" s="92">
        <f>+'Res''l Revenue'!I32</f>
        <v>48.27</v>
      </c>
      <c r="J32" s="64">
        <f t="shared" si="7"/>
        <v>175.2201</v>
      </c>
      <c r="L32" s="92">
        <f>+'Res''l Revenue'!L32</f>
        <v>43.75</v>
      </c>
      <c r="M32" s="93">
        <f t="shared" si="8"/>
        <v>225.31250000000003</v>
      </c>
      <c r="O32" s="92">
        <f>+'Res''l Revenue'!O32</f>
        <v>45.54</v>
      </c>
      <c r="P32" s="93">
        <f t="shared" si="9"/>
        <v>189.4464</v>
      </c>
      <c r="R32" s="92">
        <f>+S32/G32</f>
        <v>45.59343122102009</v>
      </c>
      <c r="S32" s="93">
        <f>+P32+M32+J32</f>
        <v>589.979</v>
      </c>
    </row>
    <row r="33" spans="1:19" ht="12.75">
      <c r="A33" s="159" t="s">
        <v>4</v>
      </c>
      <c r="B33" s="94">
        <f t="shared" si="10"/>
        <v>0.17346159475245806</v>
      </c>
      <c r="D33" s="168">
        <v>46.31</v>
      </c>
      <c r="E33" s="168">
        <v>47.66</v>
      </c>
      <c r="F33" s="168">
        <v>54.18</v>
      </c>
      <c r="G33" s="24">
        <f t="shared" si="11"/>
        <v>148.15</v>
      </c>
      <c r="I33" s="92">
        <f>+'Res''l Revenue'!I33</f>
        <v>-43.35</v>
      </c>
      <c r="J33" s="64">
        <f t="shared" si="7"/>
        <v>-2007.5385</v>
      </c>
      <c r="L33" s="92">
        <f>+'Res''l Revenue'!L33</f>
        <v>-43.35</v>
      </c>
      <c r="M33" s="93">
        <f t="shared" si="8"/>
        <v>-2066.0609999999997</v>
      </c>
      <c r="O33" s="92">
        <f>+'Res''l Revenue'!O33</f>
        <v>-43.35</v>
      </c>
      <c r="P33" s="93">
        <f t="shared" si="9"/>
        <v>-2348.703</v>
      </c>
      <c r="R33" s="92">
        <f aca="true" t="shared" si="12" ref="R33:R39">+S33/G33</f>
        <v>-43.349999999999994</v>
      </c>
      <c r="S33" s="93">
        <f aca="true" t="shared" si="13" ref="S33:S38">+P33+M33+J33</f>
        <v>-6422.3025</v>
      </c>
    </row>
    <row r="34" spans="1:19" ht="12.75">
      <c r="A34" s="159" t="s">
        <v>5</v>
      </c>
      <c r="B34" s="94">
        <f t="shared" si="10"/>
        <v>0.008570630263840655</v>
      </c>
      <c r="D34" s="168">
        <v>2.78</v>
      </c>
      <c r="E34" s="168">
        <v>2.22</v>
      </c>
      <c r="F34" s="168">
        <v>2.32</v>
      </c>
      <c r="G34" s="24">
        <f t="shared" si="11"/>
        <v>7.32</v>
      </c>
      <c r="I34" s="92">
        <f>+'Res''l Revenue'!I34</f>
        <v>130.5</v>
      </c>
      <c r="J34" s="64">
        <f t="shared" si="7"/>
        <v>362.78999999999996</v>
      </c>
      <c r="L34" s="92">
        <f>+'Res''l Revenue'!L34</f>
        <v>290</v>
      </c>
      <c r="M34" s="93">
        <f t="shared" si="8"/>
        <v>643.8000000000001</v>
      </c>
      <c r="O34" s="92">
        <f>+'Res''l Revenue'!O34</f>
        <v>301.07</v>
      </c>
      <c r="P34" s="93">
        <f t="shared" si="9"/>
        <v>698.4824</v>
      </c>
      <c r="R34" s="92">
        <f t="shared" si="12"/>
        <v>232.93338797814206</v>
      </c>
      <c r="S34" s="93">
        <f t="shared" si="13"/>
        <v>1705.0724</v>
      </c>
    </row>
    <row r="35" spans="1:19" ht="12.75">
      <c r="A35" s="159" t="s">
        <v>91</v>
      </c>
      <c r="B35" s="94">
        <f t="shared" si="10"/>
        <v>0.008582338775130056</v>
      </c>
      <c r="D35" s="168">
        <v>2.42</v>
      </c>
      <c r="E35" s="168">
        <v>3</v>
      </c>
      <c r="F35" s="168">
        <v>1.91</v>
      </c>
      <c r="G35" s="24">
        <f t="shared" si="11"/>
        <v>7.33</v>
      </c>
      <c r="I35" s="92">
        <f>+'Res''l Revenue'!I35</f>
        <v>97.34</v>
      </c>
      <c r="J35" s="64">
        <f t="shared" si="7"/>
        <v>235.5628</v>
      </c>
      <c r="L35" s="92">
        <f>+'Res''l Revenue'!L35</f>
        <v>130</v>
      </c>
      <c r="M35" s="93">
        <f t="shared" si="8"/>
        <v>390</v>
      </c>
      <c r="O35" s="92">
        <f>+'Res''l Revenue'!O35</f>
        <v>140</v>
      </c>
      <c r="P35" s="93">
        <f t="shared" si="9"/>
        <v>267.4</v>
      </c>
      <c r="R35" s="92">
        <f t="shared" si="12"/>
        <v>121.82302864938609</v>
      </c>
      <c r="S35" s="93">
        <f t="shared" si="13"/>
        <v>892.9628</v>
      </c>
    </row>
    <row r="36" spans="1:19" ht="12.75">
      <c r="A36" s="159" t="s">
        <v>92</v>
      </c>
      <c r="B36" s="94">
        <f t="shared" si="10"/>
        <v>0.004788781117364519</v>
      </c>
      <c r="D36" s="168">
        <v>1.48</v>
      </c>
      <c r="E36" s="168">
        <v>0.92</v>
      </c>
      <c r="F36" s="168">
        <v>1.69</v>
      </c>
      <c r="G36" s="24">
        <f t="shared" si="11"/>
        <v>4.09</v>
      </c>
      <c r="I36" s="92">
        <f>+'Res''l Revenue'!I36</f>
        <v>252.7</v>
      </c>
      <c r="J36" s="64">
        <f t="shared" si="7"/>
        <v>373.996</v>
      </c>
      <c r="L36" s="92">
        <f>+'Res''l Revenue'!L36</f>
        <v>330</v>
      </c>
      <c r="M36" s="93">
        <f t="shared" si="8"/>
        <v>303.6</v>
      </c>
      <c r="O36" s="92">
        <f>+'Res''l Revenue'!O36</f>
        <v>330</v>
      </c>
      <c r="P36" s="93">
        <f t="shared" si="9"/>
        <v>557.6999999999999</v>
      </c>
      <c r="R36" s="92">
        <f t="shared" si="12"/>
        <v>302.0283618581907</v>
      </c>
      <c r="S36" s="93">
        <f t="shared" si="13"/>
        <v>1235.2959999999998</v>
      </c>
    </row>
    <row r="37" spans="1:19" ht="12.75">
      <c r="A37" s="159" t="s">
        <v>93</v>
      </c>
      <c r="B37" s="94">
        <f t="shared" si="10"/>
        <v>0.007856411075187267</v>
      </c>
      <c r="D37" s="168">
        <v>2.98</v>
      </c>
      <c r="E37" s="168">
        <v>1.35</v>
      </c>
      <c r="F37" s="168">
        <v>2.38</v>
      </c>
      <c r="G37" s="24">
        <f t="shared" si="11"/>
        <v>6.71</v>
      </c>
      <c r="I37" s="92">
        <f>+'Res''l Revenue'!I37</f>
        <v>7.17</v>
      </c>
      <c r="J37" s="64">
        <f t="shared" si="7"/>
        <v>21.3666</v>
      </c>
      <c r="L37" s="92">
        <f>+'Res''l Revenue'!L37</f>
        <v>0</v>
      </c>
      <c r="M37" s="93">
        <f t="shared" si="8"/>
        <v>0</v>
      </c>
      <c r="O37" s="92">
        <f>+'Res''l Revenue'!O37</f>
        <v>0</v>
      </c>
      <c r="P37" s="93">
        <f t="shared" si="9"/>
        <v>0</v>
      </c>
      <c r="R37" s="92">
        <f t="shared" si="12"/>
        <v>3.1842921013412813</v>
      </c>
      <c r="S37" s="93">
        <f t="shared" si="13"/>
        <v>21.3666</v>
      </c>
    </row>
    <row r="38" spans="1:19" ht="15">
      <c r="A38" s="159" t="s">
        <v>7</v>
      </c>
      <c r="B38" s="104">
        <f t="shared" si="10"/>
        <v>0.11999999999999994</v>
      </c>
      <c r="D38" s="105">
        <f>+D39*0.12</f>
        <v>32.01954545454545</v>
      </c>
      <c r="E38" s="105">
        <f>+E39*0.12</f>
        <v>36.432272727272725</v>
      </c>
      <c r="F38" s="105">
        <f>+F39*0.12</f>
        <v>34.03772727272727</v>
      </c>
      <c r="G38" s="105">
        <f t="shared" si="11"/>
        <v>102.48954545454544</v>
      </c>
      <c r="I38" s="92">
        <f>+'Res''l Revenue'!I38</f>
        <v>-69.5</v>
      </c>
      <c r="J38" s="106">
        <f t="shared" si="7"/>
        <v>-2225.358409090909</v>
      </c>
      <c r="L38" s="92">
        <f>+'Res''l Revenue'!L38</f>
        <v>-69.5</v>
      </c>
      <c r="M38" s="107">
        <f t="shared" si="8"/>
        <v>-2532.0429545454544</v>
      </c>
      <c r="O38" s="92">
        <f>+'Res''l Revenue'!O38</f>
        <v>-69.5</v>
      </c>
      <c r="P38" s="107">
        <f t="shared" si="9"/>
        <v>-2365.622045454545</v>
      </c>
      <c r="R38" s="108">
        <f t="shared" si="12"/>
        <v>-69.5</v>
      </c>
      <c r="S38" s="107">
        <f t="shared" si="13"/>
        <v>-7123.023409090908</v>
      </c>
    </row>
    <row r="39" spans="2:19" ht="12.75">
      <c r="B39" s="109">
        <f>SUM(B29:B38)</f>
        <v>0.9999999999999996</v>
      </c>
      <c r="C39" s="95"/>
      <c r="D39" s="110">
        <f>SUM(D29:D38)</f>
        <v>266.82954545454544</v>
      </c>
      <c r="E39" s="110">
        <f>SUM(E29:E38)</f>
        <v>303.60227272727275</v>
      </c>
      <c r="F39" s="110">
        <f>SUM(F29:F38)</f>
        <v>283.64772727272725</v>
      </c>
      <c r="G39" s="110">
        <f>SUM(G29:G38)</f>
        <v>854.0795454545457</v>
      </c>
      <c r="H39" s="110"/>
      <c r="I39" s="110"/>
      <c r="J39" s="111">
        <f>SUM(J29:J38)</f>
        <v>14455.437290909089</v>
      </c>
      <c r="K39" s="112"/>
      <c r="L39" s="113"/>
      <c r="M39" s="111">
        <f>SUM(M29:M38)</f>
        <v>17241.977445454544</v>
      </c>
      <c r="N39" s="112"/>
      <c r="O39" s="113"/>
      <c r="P39" s="111">
        <f>SUM(P29:P38)</f>
        <v>15566.684754545457</v>
      </c>
      <c r="R39" s="96">
        <f t="shared" si="12"/>
        <v>55.33922424726246</v>
      </c>
      <c r="S39" s="111">
        <f>SUM(S29:S38)</f>
        <v>47264.099490909095</v>
      </c>
    </row>
  </sheetData>
  <mergeCells count="10">
    <mergeCell ref="R8:S8"/>
    <mergeCell ref="D8:G8"/>
    <mergeCell ref="I8:J8"/>
    <mergeCell ref="L8:M8"/>
    <mergeCell ref="O8:P8"/>
    <mergeCell ref="R26:S26"/>
    <mergeCell ref="D26:G26"/>
    <mergeCell ref="I26:J26"/>
    <mergeCell ref="L26:M26"/>
    <mergeCell ref="O26:P26"/>
  </mergeCells>
  <printOptions/>
  <pageMargins left="0.5" right="0.25" top="0.75" bottom="1" header="0.5" footer="0.5"/>
  <pageSetup fitToHeight="1" fitToWidth="1" horizontalDpi="600" verticalDpi="6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Waste Management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Weinstein</dc:creator>
  <cp:keywords/>
  <dc:description/>
  <cp:lastModifiedBy>Mike Sommerville, Customer Service Specialist 3</cp:lastModifiedBy>
  <cp:lastPrinted>2004-09-09T20:43:48Z</cp:lastPrinted>
  <dcterms:created xsi:type="dcterms:W3CDTF">2004-01-28T15:58:20Z</dcterms:created>
  <dcterms:modified xsi:type="dcterms:W3CDTF">2004-10-19T19:50:01Z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-1977229625</vt:i4>
  </property>
  <property fmtid="{D5CDD505-2E9C-101B-9397-08002B2CF9AE}" pid="3" name="_EmailSubject">
    <vt:lpwstr>2nd Quarter Snohomish County Recycling Report</vt:lpwstr>
  </property>
  <property fmtid="{D5CDD505-2E9C-101B-9397-08002B2CF9AE}" pid="4" name="_AuthorEmail">
    <vt:lpwstr>mweinst@wm.com</vt:lpwstr>
  </property>
  <property fmtid="{D5CDD505-2E9C-101B-9397-08002B2CF9AE}" pid="5" name="_AuthorEmailDisplayName">
    <vt:lpwstr>Weinstein, Mike</vt:lpwstr>
  </property>
  <property fmtid="{D5CDD505-2E9C-101B-9397-08002B2CF9AE}" pid="6" name="DocumentSetType">
    <vt:lpwstr>Compliance</vt:lpwstr>
  </property>
  <property fmtid="{D5CDD505-2E9C-101B-9397-08002B2CF9AE}" pid="7" name="IsHighlyConfidential">
    <vt:lpwstr>0</vt:lpwstr>
  </property>
  <property fmtid="{D5CDD505-2E9C-101B-9397-08002B2CF9AE}" pid="8" name="DocketNumber">
    <vt:lpwstr>030711</vt:lpwstr>
  </property>
  <property fmtid="{D5CDD505-2E9C-101B-9397-08002B2CF9AE}" pid="9" name="IsConfidential">
    <vt:lpwstr>0</vt:lpwstr>
  </property>
  <property fmtid="{D5CDD505-2E9C-101B-9397-08002B2CF9AE}" pid="10" name="Date1">
    <vt:lpwstr>2004-10-19T00:00:00Z</vt:lpwstr>
  </property>
  <property fmtid="{D5CDD505-2E9C-101B-9397-08002B2CF9AE}" pid="11" name="CaseType">
    <vt:lpwstr>Tariff Revision</vt:lpwstr>
  </property>
  <property fmtid="{D5CDD505-2E9C-101B-9397-08002B2CF9AE}" pid="12" name="OpenedDate">
    <vt:lpwstr>2003-05-16T00:00:00Z</vt:lpwstr>
  </property>
  <property fmtid="{D5CDD505-2E9C-101B-9397-08002B2CF9AE}" pid="13" name="Prefix">
    <vt:lpwstr>TG</vt:lpwstr>
  </property>
  <property fmtid="{D5CDD505-2E9C-101B-9397-08002B2CF9AE}" pid="14" name="CaseCompanyNames">
    <vt:lpwstr>Waste Management of Washington, Inc.</vt:lpwstr>
  </property>
  <property fmtid="{D5CDD505-2E9C-101B-9397-08002B2CF9AE}" pid="15" name="IndustryCode">
    <vt:lpwstr>227</vt:lpwstr>
  </property>
  <property fmtid="{D5CDD505-2E9C-101B-9397-08002B2CF9AE}" pid="16" name="CaseStatus">
    <vt:lpwstr>Closed</vt:lpwstr>
  </property>
  <property fmtid="{D5CDD505-2E9C-101B-9397-08002B2CF9AE}" pid="17" name="_docset_NoMedatataSyncRequired">
    <vt:lpwstr>False</vt:lpwstr>
  </property>
  <property fmtid="{D5CDD505-2E9C-101B-9397-08002B2CF9AE}" pid="18" name="Nickname">
    <vt:lpwstr/>
  </property>
  <property fmtid="{D5CDD505-2E9C-101B-9397-08002B2CF9AE}" pid="19" name="Process">
    <vt:lpwstr/>
  </property>
  <property fmtid="{D5CDD505-2E9C-101B-9397-08002B2CF9AE}" pid="20" name="Visibility">
    <vt:lpwstr/>
  </property>
  <property fmtid="{D5CDD505-2E9C-101B-9397-08002B2CF9AE}" pid="21" name="DocumentGroup">
    <vt:lpwstr/>
  </property>
</Properties>
</file>