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1F28906-6AD8-4F56-85D0-F7CBF6515C7D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(2)(a)(i) One Time (all)" sheetId="4" r:id="rId1"/>
    <sheet name="(2)(a)(ii)Annual-2021, estimate" sheetId="10" r:id="rId2"/>
    <sheet name="(2)(a)(ii)Annual-2020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9" l="1"/>
  <c r="G33" i="6"/>
  <c r="E33" i="6"/>
  <c r="D33" i="6"/>
  <c r="B33" i="6"/>
  <c r="B32" i="6"/>
  <c r="E25" i="10"/>
  <c r="E33" i="10" s="1"/>
  <c r="E32" i="10"/>
  <c r="B32" i="10"/>
  <c r="E29" i="10"/>
  <c r="B29" i="10"/>
  <c r="B58" i="6" l="1"/>
  <c r="B43" i="4" l="1"/>
  <c r="D32" i="10" l="1"/>
  <c r="C44" i="9"/>
  <c r="F34" i="4"/>
  <c r="C34" i="4"/>
  <c r="C42" i="9"/>
  <c r="C43" i="9"/>
  <c r="B41" i="9"/>
  <c r="B42" i="9"/>
  <c r="B43" i="9"/>
  <c r="D44" i="9" l="1"/>
  <c r="F44" i="9" s="1"/>
  <c r="B45" i="4" l="1"/>
  <c r="B46" i="4"/>
  <c r="B48" i="4"/>
  <c r="B50" i="4"/>
  <c r="B54" i="4"/>
  <c r="D54" i="4"/>
  <c r="E54" i="4"/>
  <c r="F54" i="4" l="1"/>
  <c r="C54" i="4"/>
  <c r="G54" i="4"/>
  <c r="H54" i="4" s="1"/>
  <c r="C17" i="9" l="1"/>
  <c r="E25" i="6"/>
  <c r="D28" i="10" l="1"/>
  <c r="D33" i="10" s="1"/>
  <c r="D25" i="10"/>
  <c r="G25" i="10" s="1"/>
  <c r="G29" i="4"/>
  <c r="H29" i="4" s="1"/>
  <c r="B29" i="4"/>
  <c r="D25" i="6" l="1"/>
  <c r="G25" i="6" s="1"/>
  <c r="C39" i="9"/>
  <c r="C54" i="10"/>
  <c r="C39" i="6"/>
  <c r="B54" i="10"/>
  <c r="C36" i="9" l="1"/>
  <c r="F33" i="6" l="1"/>
  <c r="C33" i="6"/>
  <c r="F33" i="10"/>
  <c r="C33" i="10"/>
  <c r="B59" i="6"/>
  <c r="C14" i="9" l="1"/>
  <c r="C40" i="6"/>
  <c r="G45" i="10"/>
  <c r="F54" i="10"/>
  <c r="B25" i="10" s="1"/>
  <c r="D59" i="6" l="1"/>
  <c r="B25" i="6" s="1"/>
  <c r="F39" i="9" l="1"/>
  <c r="D28" i="6" l="1"/>
  <c r="G27" i="4"/>
  <c r="B27" i="6" s="1"/>
  <c r="G26" i="4"/>
  <c r="B26" i="6" s="1"/>
  <c r="G28" i="6" l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1" i="10"/>
  <c r="F37" i="10" l="1"/>
  <c r="F41" i="10" s="1"/>
  <c r="E41" i="6" l="1"/>
  <c r="E43" i="6" s="1"/>
  <c r="F41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1" i="6"/>
  <c r="D41" i="6"/>
  <c r="B41" i="6"/>
  <c r="C41" i="6"/>
  <c r="F43" i="10" l="1"/>
  <c r="H28" i="4" l="1"/>
  <c r="G43" i="6"/>
  <c r="F43" i="6"/>
  <c r="B39" i="9" l="1"/>
  <c r="D43" i="6" l="1"/>
  <c r="C34" i="6"/>
  <c r="C43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G34" i="4" l="1"/>
  <c r="E16" i="10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H34" i="4" l="1"/>
  <c r="G37" i="4" s="1"/>
  <c r="B33" i="10"/>
  <c r="B34" i="10" s="1"/>
  <c r="B43" i="10" s="1"/>
  <c r="D46" i="10" s="1"/>
  <c r="B47" i="10" s="1"/>
  <c r="B34" i="6"/>
  <c r="B43" i="6" s="1"/>
  <c r="D46" i="6" s="1"/>
  <c r="B47" i="6" s="1"/>
  <c r="B14" i="9"/>
  <c r="D14" i="9" s="1"/>
  <c r="G46" i="6"/>
  <c r="E47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jwg3596</author>
    <author>Gall, James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</author>
    <author>Gall, James</author>
    <author>James Gall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  <author>James Gall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<sst xmlns="http://schemas.openxmlformats.org/spreadsheetml/2006/main" count="217" uniqueCount="97">
  <si>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</si>
  <si>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</si>
  <si>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</si>
  <si>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</si>
  <si>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</si>
  <si>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</si>
  <si>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</si>
  <si>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</si>
  <si>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</si>
  <si>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</si>
  <si>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</si>
  <si>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</si>
  <si>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</si>
  <si>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</si>
  <si>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</si>
  <si>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</si>
  <si>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</si>
  <si>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</si>
  <si>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</si>
  <si>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</si>
  <si>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</si>
  <si>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</si>
  <si>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</si>
  <si>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</si>
  <si>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</si>
  <si>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</si>
  <si>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</si>
  <si>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</si>
  <si>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</si>
  <si>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</si>
  <si>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</si>
  <si>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</si>
  <si>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</si>
  <si>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</si>
  <si>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</si>
  <si>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</si>
  <si>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</si>
  <si>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</si>
  <si>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</si>
  <si>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</si>
  <si>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</si>
  <si>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</si>
  <si>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</si>
  <si>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</si>
  <si>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</si>
  <si>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</si>
  <si>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</si>
  <si>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</si>
  <si>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</si>
  <si>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</si>
  <si>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</si>
  <si>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</si>
  <si>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</si>
  <si>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</si>
  <si>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</si>
  <si>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</si>
  <si>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</si>
  <si>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</si>
  <si>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</si>
  <si>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</si>
  <si>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</si>
  <si>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</si>
  <si>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</si>
  <si>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</si>
  <si>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</si>
  <si>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</si>
  <si>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</si>
  <si>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</si>
  <si>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</si>
  <si>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</si>
  <si>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</si>
  <si>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</si>
  <si>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</si>
  <si>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</si>
  <si>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</si>
  <si>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</si>
  <si>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</si>
  <si>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</si>
  <si>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</si>
  <si>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</si>
  <si>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Rattlesnake Flat Wind</t>
  </si>
  <si>
    <t>RECS Assumed used for 2020 Compliance</t>
  </si>
  <si>
    <t>Rattlesnake</t>
  </si>
  <si>
    <t>(iii)(A) &amp; (B) Annual Reporting Summary Data: 2020 and 2021</t>
  </si>
  <si>
    <t>2020 Actual gen</t>
  </si>
  <si>
    <t>Reduced by 5,885 MWhs for CARB</t>
  </si>
  <si>
    <t>2020 Curtailed Gen</t>
  </si>
  <si>
    <t>2020 WA Rec's w/ Apprentice credits (A.C.)</t>
  </si>
  <si>
    <t>2020 WA Rec's w/ A.C. &amp; Curtailed gen</t>
  </si>
  <si>
    <t>2021 Expected Gen</t>
  </si>
  <si>
    <t>2021 Expected RECs</t>
  </si>
  <si>
    <t>* No curtailments for Rattlesnake Flat Wind since the project went online in December 2020.</t>
  </si>
  <si>
    <t>RECS Assumed used for 2021 Compliance</t>
  </si>
  <si>
    <t>2020 Actual</t>
  </si>
  <si>
    <t>Rattlesnake Flat</t>
  </si>
  <si>
    <t>2020 Actual Data: Annual Calculation of Revenue Requirement Ratio</t>
  </si>
  <si>
    <t>2021 Estimated Data: Annual Calculation of Revenue Requirement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</si>
</sst>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  <numFmt numFmtId="17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5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 applyAlignment="1">
      <alignment horizontal="right"/>
    </xf>
    <xf numFmtId="165" fontId="0" fillId="3" borderId="0" xfId="1" applyNumberFormat="1" applyFont="1" applyFill="1"/>
    <xf numFmtId="43" fontId="0" fillId="3" borderId="0" xfId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165" fontId="3" fillId="0" borderId="15" xfId="0" applyNumberFormat="1" applyFont="1" applyFill="1" applyBorder="1"/>
    <xf numFmtId="44" fontId="0" fillId="0" borderId="15" xfId="3" applyFont="1" applyFill="1" applyBorder="1"/>
    <xf numFmtId="44" fontId="0" fillId="0" borderId="16" xfId="3" applyFont="1" applyFill="1" applyBorder="1"/>
    <xf numFmtId="44" fontId="0" fillId="0" borderId="16" xfId="3" applyFont="1" applyFill="1" applyBorder="1" applyAlignment="1">
      <alignment horizontal="right"/>
    </xf>
    <xf numFmtId="44" fontId="0" fillId="0" borderId="15" xfId="3" applyFont="1" applyBorder="1"/>
    <xf numFmtId="44" fontId="0" fillId="0" borderId="34" xfId="3" applyFont="1" applyBorder="1"/>
    <xf numFmtId="0" fontId="0" fillId="0" borderId="0" xfId="0" applyFont="1" applyFill="1" applyBorder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43" fontId="0" fillId="0" borderId="0" xfId="1" applyFont="1"/>
    <xf numFmtId="0" fontId="0" fillId="0" borderId="39" xfId="0" applyFont="1" applyFill="1" applyBorder="1"/>
    <xf numFmtId="0" fontId="0" fillId="0" borderId="38" xfId="0" applyFont="1" applyFill="1" applyBorder="1"/>
    <xf numFmtId="37" fontId="0" fillId="0" borderId="40" xfId="1" applyNumberFormat="1" applyFont="1" applyBorder="1"/>
    <xf numFmtId="37" fontId="0" fillId="0" borderId="40" xfId="0" applyNumberFormat="1" applyBorder="1"/>
    <xf numFmtId="37" fontId="0" fillId="0" borderId="40" xfId="1" applyNumberFormat="1" applyFont="1" applyBorder="1" applyAlignment="1">
      <alignment horizontal="right"/>
    </xf>
    <xf numFmtId="0" fontId="1" fillId="0" borderId="21" xfId="0" applyFont="1" applyBorder="1" applyAlignment="1">
      <alignment horizontal="left" indent="1"/>
    </xf>
    <xf numFmtId="37" fontId="1" fillId="0" borderId="22" xfId="0" applyNumberFormat="1" applyFont="1" applyBorder="1"/>
    <xf numFmtId="37" fontId="1" fillId="0" borderId="23" xfId="0" applyNumberFormat="1" applyFont="1" applyBorder="1"/>
    <xf numFmtId="0" fontId="0" fillId="0" borderId="16" xfId="0" applyFill="1" applyBorder="1"/>
    <xf numFmtId="174" fontId="3" fillId="0" borderId="15" xfId="0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zoomScaleNormal="100" workbookViewId="0">
      <selection activeCell="E20" sqref="E20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55" t="s">
        <v>0</v>
      </c>
      <c r="B2" s="156"/>
      <c r="C2" s="156"/>
      <c r="D2" s="156"/>
      <c r="E2" s="156"/>
      <c r="F2" s="156"/>
      <c r="G2" s="156"/>
      <c r="H2" s="157"/>
    </row>
    <row r="3" spans="1:12" x14ac:dyDescent="0.25">
      <c r="A3" s="158"/>
      <c r="B3" s="159"/>
      <c r="C3" s="159"/>
      <c r="D3" s="159"/>
      <c r="E3" s="159"/>
      <c r="F3" s="159"/>
      <c r="G3" s="159"/>
      <c r="H3" s="160"/>
    </row>
    <row r="4" spans="1:12" ht="0.75" customHeight="1" thickBot="1" x14ac:dyDescent="0.3">
      <c r="A4" s="158"/>
      <c r="B4" s="159"/>
      <c r="C4" s="159"/>
      <c r="D4" s="159"/>
      <c r="E4" s="159"/>
      <c r="F4" s="159"/>
      <c r="G4" s="159"/>
      <c r="H4" s="160"/>
    </row>
    <row r="5" spans="1:12" ht="15.75" hidden="1" customHeight="1" thickBot="1" x14ac:dyDescent="0.3">
      <c r="A5" s="158"/>
      <c r="B5" s="159"/>
      <c r="C5" s="159"/>
      <c r="D5" s="159"/>
      <c r="E5" s="159"/>
      <c r="F5" s="159"/>
      <c r="G5" s="159"/>
      <c r="H5" s="160"/>
    </row>
    <row r="6" spans="1:12" ht="15" customHeight="1" x14ac:dyDescent="0.25">
      <c r="A6" s="161" t="s">
        <v>6</v>
      </c>
      <c r="B6" s="162"/>
      <c r="C6" s="162"/>
      <c r="D6" s="162"/>
      <c r="E6" s="162"/>
      <c r="F6" s="162"/>
      <c r="G6" s="162"/>
      <c r="H6" s="163"/>
    </row>
    <row r="7" spans="1:12" x14ac:dyDescent="0.25">
      <c r="A7" s="164"/>
      <c r="B7" s="165"/>
      <c r="C7" s="165"/>
      <c r="D7" s="165"/>
      <c r="E7" s="165"/>
      <c r="F7" s="165"/>
      <c r="G7" s="165"/>
      <c r="H7" s="166"/>
    </row>
    <row r="8" spans="1:12" x14ac:dyDescent="0.25">
      <c r="A8" s="164"/>
      <c r="B8" s="165"/>
      <c r="C8" s="165"/>
      <c r="D8" s="165"/>
      <c r="E8" s="165"/>
      <c r="F8" s="165"/>
      <c r="G8" s="165"/>
      <c r="H8" s="166"/>
    </row>
    <row r="9" spans="1:12" x14ac:dyDescent="0.25">
      <c r="A9" s="164"/>
      <c r="B9" s="165"/>
      <c r="C9" s="165"/>
      <c r="D9" s="165"/>
      <c r="E9" s="165"/>
      <c r="F9" s="165"/>
      <c r="G9" s="165"/>
      <c r="H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6"/>
    </row>
    <row r="11" spans="1:12" ht="86.25" customHeight="1" thickBot="1" x14ac:dyDescent="0.3">
      <c r="A11" s="167"/>
      <c r="B11" s="168"/>
      <c r="C11" s="168"/>
      <c r="D11" s="168"/>
      <c r="E11" s="168"/>
      <c r="F11" s="168"/>
      <c r="G11" s="168"/>
      <c r="H11" s="169"/>
    </row>
    <row r="12" spans="1:12" ht="15.75" thickBot="1" x14ac:dyDescent="0.3"/>
    <row r="13" spans="1:12" x14ac:dyDescent="0.25">
      <c r="A13" s="171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72"/>
      <c r="B14" s="173" t="s">
        <v>35</v>
      </c>
      <c r="C14" s="174" t="s">
        <v>45</v>
      </c>
      <c r="D14" s="175" t="s">
        <v>31</v>
      </c>
      <c r="E14" s="175" t="s">
        <v>32</v>
      </c>
      <c r="F14" s="175" t="s">
        <v>36</v>
      </c>
      <c r="G14" s="177" t="s">
        <v>37</v>
      </c>
      <c r="H14" s="170" t="s">
        <v>44</v>
      </c>
    </row>
    <row r="15" spans="1:12" ht="32.25" customHeight="1" x14ac:dyDescent="0.25">
      <c r="A15" s="172"/>
      <c r="B15" s="173"/>
      <c r="C15" s="174"/>
      <c r="D15" s="176"/>
      <c r="E15" s="176"/>
      <c r="F15" s="176"/>
      <c r="G15" s="178"/>
      <c r="H15" s="170"/>
    </row>
    <row r="16" spans="1:12" x14ac:dyDescent="0.25">
      <c r="A16" s="32" t="s">
        <v>21</v>
      </c>
      <c r="B16" s="88">
        <v>21.98760088690776</v>
      </c>
      <c r="C16" s="91">
        <v>106904.67166551256</v>
      </c>
      <c r="D16" s="96">
        <v>24.886676209781058</v>
      </c>
      <c r="E16" s="142">
        <v>141.72989845153248</v>
      </c>
      <c r="F16" s="91">
        <v>262730.00040611764</v>
      </c>
      <c r="G16" s="101">
        <f>C16-F16</f>
        <v>-155825.32874060509</v>
      </c>
      <c r="H16" s="102">
        <f t="shared" ref="H16:H28" si="0">G16*$G$36</f>
        <v>-102127.92045659258</v>
      </c>
      <c r="J16" s="86"/>
      <c r="K16" s="86"/>
      <c r="L16" s="85"/>
    </row>
    <row r="17" spans="1:15" x14ac:dyDescent="0.25">
      <c r="A17" s="34" t="s">
        <v>22</v>
      </c>
      <c r="B17" s="88">
        <v>6.1926865745684463</v>
      </c>
      <c r="C17" s="91">
        <v>87920.207028711826</v>
      </c>
      <c r="D17" s="96">
        <v>30.470651307883529</v>
      </c>
      <c r="E17" s="142">
        <v>149.48024651906192</v>
      </c>
      <c r="F17" s="91">
        <v>1105265.9148640644</v>
      </c>
      <c r="G17" s="101">
        <f t="shared" ref="G17:G27" si="1">C17-F17</f>
        <v>-1017345.7078353526</v>
      </c>
      <c r="H17" s="102">
        <f t="shared" si="0"/>
        <v>-666768.37691529014</v>
      </c>
      <c r="J17" s="86"/>
      <c r="K17" s="86"/>
      <c r="L17" s="39"/>
    </row>
    <row r="18" spans="1:15" x14ac:dyDescent="0.25">
      <c r="A18" s="34" t="s">
        <v>23</v>
      </c>
      <c r="B18" s="88">
        <v>21.898948298663917</v>
      </c>
      <c r="C18" s="91">
        <v>635250.92512515641</v>
      </c>
      <c r="D18" s="96">
        <v>35.439629398556704</v>
      </c>
      <c r="E18" s="142">
        <v>125.58040328426377</v>
      </c>
      <c r="F18" s="91">
        <v>3162909.7122512734</v>
      </c>
      <c r="G18" s="101">
        <f t="shared" si="1"/>
        <v>-2527658.7871261169</v>
      </c>
      <c r="H18" s="102">
        <f t="shared" si="0"/>
        <v>-1656627.5690824569</v>
      </c>
      <c r="J18" s="86"/>
      <c r="K18" s="86"/>
      <c r="L18" s="39"/>
    </row>
    <row r="19" spans="1:15" x14ac:dyDescent="0.25">
      <c r="A19" s="34" t="s">
        <v>24</v>
      </c>
      <c r="B19" s="88">
        <v>17.931516152005898</v>
      </c>
      <c r="C19" s="91">
        <v>821398.2451939655</v>
      </c>
      <c r="D19" s="96">
        <v>24.886676209781058</v>
      </c>
      <c r="E19" s="142">
        <v>141.72989845153248</v>
      </c>
      <c r="F19" s="91">
        <v>3549405.1369718444</v>
      </c>
      <c r="G19" s="101">
        <f t="shared" si="1"/>
        <v>-2728006.8917778786</v>
      </c>
      <c r="H19" s="102">
        <f t="shared" si="0"/>
        <v>-1787935.7168712215</v>
      </c>
      <c r="J19" s="86"/>
      <c r="K19" s="86"/>
      <c r="L19" s="39"/>
    </row>
    <row r="20" spans="1:15" x14ac:dyDescent="0.25">
      <c r="A20" s="34" t="s">
        <v>25</v>
      </c>
      <c r="B20" s="88">
        <v>22.708589659946956</v>
      </c>
      <c r="C20" s="91">
        <v>465906.65876672795</v>
      </c>
      <c r="D20" s="96">
        <v>59.174526475501438</v>
      </c>
      <c r="E20" s="142">
        <v>127.97436322695806</v>
      </c>
      <c r="F20" s="91">
        <v>2365838.7611225881</v>
      </c>
      <c r="G20" s="101">
        <f t="shared" si="1"/>
        <v>-1899932.1023558602</v>
      </c>
      <c r="H20" s="102">
        <f t="shared" si="0"/>
        <v>-1245215.4998840308</v>
      </c>
      <c r="J20" s="86"/>
      <c r="K20" s="86"/>
      <c r="L20" s="39"/>
    </row>
    <row r="21" spans="1:15" x14ac:dyDescent="0.25">
      <c r="A21" s="34" t="s">
        <v>26</v>
      </c>
      <c r="B21" s="88">
        <v>78.320827909577346</v>
      </c>
      <c r="C21" s="91">
        <v>1678784.6332489904</v>
      </c>
      <c r="D21" s="96">
        <v>62.936688211664844</v>
      </c>
      <c r="E21" s="142">
        <v>133.30170384463446</v>
      </c>
      <c r="F21" s="91">
        <v>2282141.9085580474</v>
      </c>
      <c r="G21" s="101">
        <f t="shared" si="1"/>
        <v>-603357.27530905697</v>
      </c>
      <c r="H21" s="102">
        <f t="shared" si="0"/>
        <v>-395440.35823755595</v>
      </c>
      <c r="J21" s="86"/>
      <c r="K21" s="86"/>
      <c r="L21" s="39"/>
    </row>
    <row r="22" spans="1:15" x14ac:dyDescent="0.25">
      <c r="A22" s="34" t="s">
        <v>27</v>
      </c>
      <c r="B22" s="88">
        <v>108.25979968562113</v>
      </c>
      <c r="C22" s="91">
        <v>834610.94835399883</v>
      </c>
      <c r="D22" s="96">
        <v>68.65780585105162</v>
      </c>
      <c r="E22" s="142">
        <v>139.56138875325837</v>
      </c>
      <c r="F22" s="91">
        <v>1506235.6743565341</v>
      </c>
      <c r="G22" s="101">
        <f t="shared" si="1"/>
        <v>-671624.72600253532</v>
      </c>
      <c r="H22" s="102">
        <f t="shared" si="0"/>
        <v>-440182.84542206163</v>
      </c>
      <c r="J22" s="86"/>
      <c r="K22" s="86"/>
      <c r="L22" s="39"/>
    </row>
    <row r="23" spans="1:15" x14ac:dyDescent="0.25">
      <c r="A23" s="34" t="s">
        <v>28</v>
      </c>
      <c r="B23" s="88">
        <v>56.305527815062071</v>
      </c>
      <c r="C23" s="91">
        <v>818040.09401332366</v>
      </c>
      <c r="D23" s="96">
        <v>65.536449480721032</v>
      </c>
      <c r="E23" s="142">
        <v>136.25894839012483</v>
      </c>
      <c r="F23" s="91">
        <v>1905965.0361046726</v>
      </c>
      <c r="G23" s="101">
        <f t="shared" si="1"/>
        <v>-1087924.942091349</v>
      </c>
      <c r="H23" s="102">
        <f t="shared" si="0"/>
        <v>-713026.00704667019</v>
      </c>
      <c r="J23" s="86"/>
      <c r="K23" s="86"/>
      <c r="L23" s="39"/>
    </row>
    <row r="24" spans="1:15" x14ac:dyDescent="0.25">
      <c r="A24" s="34" t="s">
        <v>29</v>
      </c>
      <c r="B24" s="88">
        <v>61.325729554193643</v>
      </c>
      <c r="C24" s="91">
        <v>737375.66412072093</v>
      </c>
      <c r="D24" s="96">
        <v>72.251623994533105</v>
      </c>
      <c r="E24" s="142">
        <v>143.17128574843883</v>
      </c>
      <c r="F24" s="91">
        <v>1870946.7446860233</v>
      </c>
      <c r="G24" s="101">
        <f t="shared" si="1"/>
        <v>-1133571.0805653024</v>
      </c>
      <c r="H24" s="102">
        <f t="shared" si="0"/>
        <v>-742942.48620249913</v>
      </c>
      <c r="J24" s="86"/>
      <c r="K24" s="86"/>
      <c r="L24" s="39"/>
    </row>
    <row r="25" spans="1:15" x14ac:dyDescent="0.25">
      <c r="A25" s="35" t="s">
        <v>30</v>
      </c>
      <c r="B25" s="89">
        <v>64.443246961558401</v>
      </c>
      <c r="C25" s="92">
        <v>26891394</v>
      </c>
      <c r="D25" s="97">
        <v>57.257693640773439</v>
      </c>
      <c r="E25" s="143">
        <v>202.7250461898401</v>
      </c>
      <c r="F25" s="91">
        <v>20638879.218978632</v>
      </c>
      <c r="G25" s="101">
        <v>2998445.1741237156</v>
      </c>
      <c r="H25" s="102">
        <f t="shared" si="0"/>
        <v>1965180.9671206831</v>
      </c>
      <c r="J25" s="86"/>
      <c r="K25" s="86"/>
      <c r="L25" s="39"/>
      <c r="O25" s="113"/>
    </row>
    <row r="26" spans="1:15" x14ac:dyDescent="0.25">
      <c r="A26" s="35" t="s">
        <v>42</v>
      </c>
      <c r="B26" s="90">
        <v>264.68534703908637</v>
      </c>
      <c r="C26" s="93">
        <v>2330195.5036013974</v>
      </c>
      <c r="D26" s="98">
        <v>62.503855753996319</v>
      </c>
      <c r="E26" s="144">
        <v>205.97224819897124</v>
      </c>
      <c r="F26" s="91">
        <v>660841.04218187043</v>
      </c>
      <c r="G26" s="101">
        <f t="shared" si="1"/>
        <v>1669354.461419527</v>
      </c>
      <c r="H26" s="102">
        <f t="shared" si="0"/>
        <v>1094094.9140143578</v>
      </c>
      <c r="J26" s="86"/>
      <c r="K26" s="86"/>
      <c r="L26" s="39"/>
    </row>
    <row r="27" spans="1:15" x14ac:dyDescent="0.25">
      <c r="A27" s="35" t="s">
        <v>43</v>
      </c>
      <c r="B27" s="90">
        <v>264.68534703908637</v>
      </c>
      <c r="C27" s="93">
        <v>3479613.525692042</v>
      </c>
      <c r="D27" s="98">
        <v>62.503855753996319</v>
      </c>
      <c r="E27" s="144">
        <v>205.97224819897124</v>
      </c>
      <c r="F27" s="91">
        <v>932269.20795482607</v>
      </c>
      <c r="G27" s="101">
        <f t="shared" si="1"/>
        <v>2547344.3177372161</v>
      </c>
      <c r="H27" s="102">
        <f t="shared" si="0"/>
        <v>1669529.4658449714</v>
      </c>
      <c r="J27" s="86"/>
      <c r="K27" s="86"/>
      <c r="L27" s="39"/>
    </row>
    <row r="28" spans="1:15" x14ac:dyDescent="0.25">
      <c r="A28" s="34" t="s">
        <v>4</v>
      </c>
      <c r="B28" s="87">
        <v>0</v>
      </c>
      <c r="C28" s="94">
        <v>0</v>
      </c>
      <c r="D28" s="99">
        <v>0</v>
      </c>
      <c r="E28" s="142">
        <v>0</v>
      </c>
      <c r="F28" s="91">
        <v>0</v>
      </c>
      <c r="G28" s="103">
        <v>0</v>
      </c>
      <c r="H28" s="102">
        <f t="shared" si="0"/>
        <v>0</v>
      </c>
    </row>
    <row r="29" spans="1:15" x14ac:dyDescent="0.25">
      <c r="A29" s="78" t="s">
        <v>46</v>
      </c>
      <c r="B29" s="75">
        <f>C29/50000</f>
        <v>14.5</v>
      </c>
      <c r="C29" s="9">
        <v>725000</v>
      </c>
      <c r="D29" s="9">
        <v>0</v>
      </c>
      <c r="E29" s="145">
        <v>0</v>
      </c>
      <c r="F29" s="9">
        <v>0</v>
      </c>
      <c r="G29" s="27">
        <f t="shared" ref="G29" si="2">C29-F29</f>
        <v>725000</v>
      </c>
      <c r="H29" s="33">
        <f>G29</f>
        <v>725000</v>
      </c>
    </row>
    <row r="30" spans="1:15" x14ac:dyDescent="0.25">
      <c r="A30" s="78" t="s">
        <v>76</v>
      </c>
      <c r="B30" s="87">
        <v>32.697570655107128</v>
      </c>
      <c r="C30" s="94">
        <v>34577.680967775785</v>
      </c>
      <c r="D30" s="99">
        <v>42.424156288060182</v>
      </c>
      <c r="E30" s="142">
        <v>163.37431679865247</v>
      </c>
      <c r="F30" s="91">
        <v>0</v>
      </c>
      <c r="G30" s="103">
        <v>-11668.011026964456</v>
      </c>
      <c r="H30" s="102">
        <v>0</v>
      </c>
    </row>
    <row r="31" spans="1:15" x14ac:dyDescent="0.25">
      <c r="A31" s="78" t="s">
        <v>77</v>
      </c>
      <c r="B31" s="87">
        <v>0</v>
      </c>
      <c r="C31" s="95">
        <v>0</v>
      </c>
      <c r="D31" s="100">
        <v>0</v>
      </c>
      <c r="E31" s="145">
        <v>0</v>
      </c>
      <c r="F31" s="104">
        <v>0</v>
      </c>
      <c r="G31" s="103">
        <v>0</v>
      </c>
      <c r="H31" s="102">
        <v>0</v>
      </c>
    </row>
    <row r="32" spans="1:15" x14ac:dyDescent="0.25">
      <c r="A32" s="225" t="s">
        <v>78</v>
      </c>
      <c r="B32" s="87">
        <v>0</v>
      </c>
      <c r="C32" s="95">
        <v>0</v>
      </c>
      <c r="D32" s="100">
        <v>0</v>
      </c>
      <c r="E32" s="145">
        <v>0</v>
      </c>
      <c r="F32" s="104">
        <v>0</v>
      </c>
      <c r="G32" s="103">
        <v>0</v>
      </c>
      <c r="H32" s="102">
        <v>0</v>
      </c>
    </row>
    <row r="33" spans="1:8" ht="15.75" thickBot="1" x14ac:dyDescent="0.3">
      <c r="A33" s="226" t="s">
        <v>80</v>
      </c>
      <c r="B33" s="128">
        <v>38.488643547710062</v>
      </c>
      <c r="C33" s="129">
        <v>21510425.337742265</v>
      </c>
      <c r="D33" s="130">
        <v>38.644814678994116</v>
      </c>
      <c r="E33" s="146">
        <v>170.63502182611117</v>
      </c>
      <c r="F33" s="131">
        <v>32148038</v>
      </c>
      <c r="G33" s="132">
        <v>-1315852.6417208656</v>
      </c>
      <c r="H33" s="133"/>
    </row>
    <row r="34" spans="1:8" ht="15.75" customHeight="1" thickBot="1" x14ac:dyDescent="0.3">
      <c r="A34" s="148" t="s">
        <v>38</v>
      </c>
      <c r="B34" s="149"/>
      <c r="C34" s="37">
        <f>SUM(C16:C33)</f>
        <v>61157398.095520586</v>
      </c>
      <c r="D34" s="38"/>
      <c r="E34" s="105"/>
      <c r="F34" s="105">
        <f>SUM(F16:F33)</f>
        <v>72391466.358436495</v>
      </c>
      <c r="G34" s="105">
        <f>SUM(G16:G33)</f>
        <v>-5212623.5412714295</v>
      </c>
      <c r="H34" s="106">
        <f>SUM(H16:H33)</f>
        <v>-2296461.4331383659</v>
      </c>
    </row>
    <row r="35" spans="1:8" ht="15.75" thickBot="1" x14ac:dyDescent="0.3"/>
    <row r="36" spans="1:8" ht="15.75" thickBot="1" x14ac:dyDescent="0.3">
      <c r="C36" s="39"/>
      <c r="D36" s="3"/>
      <c r="E36" s="3"/>
      <c r="F36" s="14" t="s">
        <v>39</v>
      </c>
      <c r="G36" s="41">
        <v>0.65539999999999998</v>
      </c>
    </row>
    <row r="37" spans="1:8" x14ac:dyDescent="0.25">
      <c r="F37" s="150" t="s">
        <v>5</v>
      </c>
      <c r="G37" s="152">
        <f>H34</f>
        <v>-2296461.4331383659</v>
      </c>
    </row>
    <row r="38" spans="1:8" x14ac:dyDescent="0.25">
      <c r="F38" s="150"/>
      <c r="G38" s="153"/>
    </row>
    <row r="39" spans="1:8" ht="15.75" thickBot="1" x14ac:dyDescent="0.3">
      <c r="F39" s="151"/>
      <c r="G39" s="154"/>
    </row>
    <row r="42" spans="1:8" x14ac:dyDescent="0.25">
      <c r="A42" s="28" t="s">
        <v>69</v>
      </c>
      <c r="B42" s="74" t="s">
        <v>13</v>
      </c>
      <c r="C42" s="28" t="s">
        <v>72</v>
      </c>
    </row>
    <row r="43" spans="1:8" x14ac:dyDescent="0.25">
      <c r="A43" s="126" t="s">
        <v>84</v>
      </c>
      <c r="B43" s="127">
        <f>302136-5885</f>
        <v>296251</v>
      </c>
      <c r="C43" s="28" t="s">
        <v>85</v>
      </c>
    </row>
    <row r="44" spans="1:8" x14ac:dyDescent="0.25">
      <c r="A44" s="126" t="s">
        <v>86</v>
      </c>
      <c r="B44" s="127">
        <v>2180</v>
      </c>
    </row>
    <row r="45" spans="1:8" x14ac:dyDescent="0.25">
      <c r="A45" s="126" t="s">
        <v>87</v>
      </c>
      <c r="B45" s="127">
        <f>B43*1.2</f>
        <v>355501.2</v>
      </c>
      <c r="C45" s="28" t="s">
        <v>79</v>
      </c>
    </row>
    <row r="46" spans="1:8" x14ac:dyDescent="0.25">
      <c r="A46" s="126" t="s">
        <v>88</v>
      </c>
      <c r="B46" s="127">
        <f>(B43+B44)*1.2</f>
        <v>358117.2</v>
      </c>
    </row>
    <row r="47" spans="1:8" x14ac:dyDescent="0.25">
      <c r="A47" s="126" t="s">
        <v>70</v>
      </c>
      <c r="B47" s="127">
        <v>349726.17979242501</v>
      </c>
    </row>
    <row r="48" spans="1:8" x14ac:dyDescent="0.25">
      <c r="A48" s="126" t="s">
        <v>71</v>
      </c>
      <c r="B48" s="127">
        <f>B47*1.2</f>
        <v>419671.41575091</v>
      </c>
      <c r="C48" s="28" t="s">
        <v>73</v>
      </c>
    </row>
    <row r="49" spans="1:8" x14ac:dyDescent="0.25">
      <c r="A49" s="126" t="s">
        <v>89</v>
      </c>
      <c r="B49" s="127">
        <v>335628</v>
      </c>
    </row>
    <row r="50" spans="1:8" x14ac:dyDescent="0.25">
      <c r="A50" s="126" t="s">
        <v>90</v>
      </c>
      <c r="B50" s="127">
        <f>B49*1.2</f>
        <v>402753.6</v>
      </c>
    </row>
    <row r="53" spans="1:8" x14ac:dyDescent="0.25">
      <c r="A53" s="76" t="s">
        <v>74</v>
      </c>
    </row>
    <row r="54" spans="1:8" x14ac:dyDescent="0.25">
      <c r="A54" s="36" t="s">
        <v>56</v>
      </c>
      <c r="B54" s="75">
        <f>B25</f>
        <v>64.443246961558401</v>
      </c>
      <c r="C54" s="9">
        <f>B54*B46</f>
        <v>23078235.160781804</v>
      </c>
      <c r="D54" s="75">
        <f>D25</f>
        <v>57.257693640773439</v>
      </c>
      <c r="E54" s="75">
        <f>E25</f>
        <v>202.7250461898401</v>
      </c>
      <c r="F54" s="83">
        <f>D54*B46</f>
        <v>20504964.925091591</v>
      </c>
      <c r="G54" s="9">
        <f t="shared" ref="G54" si="3">C54-F54</f>
        <v>2573270.2356902137</v>
      </c>
      <c r="H54" s="33">
        <f>G54*$G$36</f>
        <v>1686521.312471366</v>
      </c>
    </row>
    <row r="55" spans="1:8" x14ac:dyDescent="0.25">
      <c r="A55" s="147" t="s">
        <v>91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opLeftCell="A10" workbookViewId="0">
      <selection activeCell="E33" sqref="E33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88" t="s">
        <v>96</v>
      </c>
      <c r="B1" s="189"/>
      <c r="C1" s="189"/>
      <c r="D1" s="189"/>
      <c r="E1" s="189"/>
      <c r="F1" s="189"/>
      <c r="G1" s="189"/>
    </row>
    <row r="2" spans="1:7" x14ac:dyDescent="0.25">
      <c r="A2" s="190" t="s">
        <v>8</v>
      </c>
      <c r="B2" s="156"/>
      <c r="C2" s="156"/>
      <c r="D2" s="156"/>
      <c r="E2" s="156"/>
      <c r="F2" s="156"/>
      <c r="G2" s="157"/>
    </row>
    <row r="3" spans="1:7" x14ac:dyDescent="0.25">
      <c r="A3" s="158"/>
      <c r="B3" s="159"/>
      <c r="C3" s="159"/>
      <c r="D3" s="159"/>
      <c r="E3" s="159"/>
      <c r="F3" s="159"/>
      <c r="G3" s="160"/>
    </row>
    <row r="4" spans="1:7" ht="0.75" customHeight="1" thickBot="1" x14ac:dyDescent="0.3">
      <c r="A4" s="158"/>
      <c r="B4" s="159"/>
      <c r="C4" s="159"/>
      <c r="D4" s="159"/>
      <c r="E4" s="159"/>
      <c r="F4" s="159"/>
      <c r="G4" s="160"/>
    </row>
    <row r="5" spans="1:7" ht="15.75" hidden="1" thickBot="1" x14ac:dyDescent="0.3">
      <c r="A5" s="191"/>
      <c r="B5" s="192"/>
      <c r="C5" s="192"/>
      <c r="D5" s="192"/>
      <c r="E5" s="192"/>
      <c r="F5" s="192"/>
      <c r="G5" s="193"/>
    </row>
    <row r="6" spans="1:7" x14ac:dyDescent="0.25">
      <c r="A6" s="194" t="s">
        <v>9</v>
      </c>
      <c r="B6" s="195"/>
      <c r="C6" s="195"/>
      <c r="D6" s="195"/>
      <c r="E6" s="195"/>
      <c r="F6" s="195"/>
      <c r="G6" s="196"/>
    </row>
    <row r="7" spans="1:7" x14ac:dyDescent="0.25">
      <c r="A7" s="197"/>
      <c r="B7" s="198"/>
      <c r="C7" s="198"/>
      <c r="D7" s="198"/>
      <c r="E7" s="198"/>
      <c r="F7" s="198"/>
      <c r="G7" s="199"/>
    </row>
    <row r="8" spans="1:7" x14ac:dyDescent="0.25">
      <c r="A8" s="197"/>
      <c r="B8" s="198"/>
      <c r="C8" s="198"/>
      <c r="D8" s="198"/>
      <c r="E8" s="198"/>
      <c r="F8" s="198"/>
      <c r="G8" s="199"/>
    </row>
    <row r="9" spans="1:7" x14ac:dyDescent="0.25">
      <c r="A9" s="197"/>
      <c r="B9" s="198"/>
      <c r="C9" s="198"/>
      <c r="D9" s="198"/>
      <c r="E9" s="198"/>
      <c r="F9" s="198"/>
      <c r="G9" s="199"/>
    </row>
    <row r="10" spans="1:7" x14ac:dyDescent="0.25">
      <c r="A10" s="197"/>
      <c r="B10" s="198"/>
      <c r="C10" s="198"/>
      <c r="D10" s="198"/>
      <c r="E10" s="198"/>
      <c r="F10" s="198"/>
      <c r="G10" s="199"/>
    </row>
    <row r="11" spans="1:7" ht="86.25" customHeight="1" thickBot="1" x14ac:dyDescent="0.3">
      <c r="A11" s="200"/>
      <c r="B11" s="189"/>
      <c r="C11" s="189"/>
      <c r="D11" s="189"/>
      <c r="E11" s="189"/>
      <c r="F11" s="189"/>
      <c r="G11" s="201"/>
    </row>
    <row r="12" spans="1:7" ht="15.75" thickBot="1" x14ac:dyDescent="0.3"/>
    <row r="13" spans="1:7" ht="15.75" thickBot="1" x14ac:dyDescent="0.3">
      <c r="A13" s="202" t="s">
        <v>2</v>
      </c>
      <c r="B13" s="203" t="s">
        <v>64</v>
      </c>
      <c r="C13" s="203"/>
      <c r="D13" s="203"/>
      <c r="E13" s="203" t="s">
        <v>63</v>
      </c>
      <c r="F13" s="203"/>
      <c r="G13" s="203"/>
    </row>
    <row r="14" spans="1:7" ht="15" customHeight="1" thickBot="1" x14ac:dyDescent="0.3">
      <c r="A14" s="202"/>
      <c r="B14" s="204" t="s">
        <v>10</v>
      </c>
      <c r="C14" s="204" t="s">
        <v>18</v>
      </c>
      <c r="D14" s="204" t="s">
        <v>53</v>
      </c>
      <c r="E14" s="204" t="s">
        <v>10</v>
      </c>
      <c r="F14" s="204" t="s">
        <v>18</v>
      </c>
      <c r="G14" s="204" t="s">
        <v>19</v>
      </c>
    </row>
    <row r="15" spans="1:7" ht="15.75" thickBot="1" x14ac:dyDescent="0.3">
      <c r="A15" s="202"/>
      <c r="B15" s="204"/>
      <c r="C15" s="204"/>
      <c r="D15" s="204"/>
      <c r="E15" s="204"/>
      <c r="F15" s="204"/>
      <c r="G15" s="204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7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7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7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7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7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7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7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7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7" x14ac:dyDescent="0.25">
      <c r="A25" s="12" t="s">
        <v>30</v>
      </c>
      <c r="B25" s="52">
        <f>'(2)(a)(i) One Time (all)'!G25*(C54/F54)</f>
        <v>2877571.6976581686</v>
      </c>
      <c r="C25" s="53"/>
      <c r="D25" s="52">
        <f>D54*E54</f>
        <v>0</v>
      </c>
      <c r="E25" s="53">
        <f>'(2)(a)(i) One Time (all)'!G25</f>
        <v>2998445.1741237156</v>
      </c>
      <c r="F25" s="53"/>
      <c r="G25" s="53">
        <f>D25</f>
        <v>0</v>
      </c>
    </row>
    <row r="26" spans="1:7" x14ac:dyDescent="0.25">
      <c r="A26" s="35" t="s">
        <v>42</v>
      </c>
      <c r="B26" s="61">
        <f>'(2)(a)(i) One Time (all)'!G26</f>
        <v>1669354.461419527</v>
      </c>
      <c r="C26" s="54"/>
      <c r="D26" s="59"/>
      <c r="E26" s="61">
        <f>'(2)(a)(i) One Time (all)'!G26</f>
        <v>1669354.461419527</v>
      </c>
      <c r="F26" s="54"/>
      <c r="G26" s="54"/>
    </row>
    <row r="27" spans="1:7" x14ac:dyDescent="0.25">
      <c r="A27" s="35" t="s">
        <v>43</v>
      </c>
      <c r="B27" s="61">
        <f>'(2)(a)(i) One Time (all)'!G27</f>
        <v>2547344.3177372161</v>
      </c>
      <c r="C27" s="54"/>
      <c r="D27" s="59"/>
      <c r="E27" s="61">
        <f>'(2)(a)(i) One Time (all)'!G27</f>
        <v>2547344.3177372161</v>
      </c>
      <c r="F27" s="54"/>
      <c r="G27" s="54"/>
    </row>
    <row r="28" spans="1:7" x14ac:dyDescent="0.25">
      <c r="A28" s="13" t="s">
        <v>4</v>
      </c>
      <c r="B28" s="59">
        <f>'(2)(a)(i) One Time (all)'!G28</f>
        <v>0</v>
      </c>
      <c r="C28" s="54"/>
      <c r="D28" s="54">
        <f>D53*E53</f>
        <v>-42016</v>
      </c>
      <c r="E28" s="82">
        <f>'(2)(a)(i) One Time (all)'!G28</f>
        <v>0</v>
      </c>
      <c r="F28" s="54"/>
      <c r="G28" s="54">
        <f>D28</f>
        <v>-42016</v>
      </c>
    </row>
    <row r="29" spans="1:7" x14ac:dyDescent="0.25">
      <c r="A29" s="78" t="s">
        <v>76</v>
      </c>
      <c r="B29" s="52">
        <f>'(2)(a)(i) One Time (all)'!G30</f>
        <v>-11668.011026964456</v>
      </c>
      <c r="C29" s="53"/>
      <c r="D29" s="53"/>
      <c r="E29" s="61">
        <f>'(2)(a)(i) One Time (all)'!G30</f>
        <v>-11668.011026964456</v>
      </c>
      <c r="F29" s="53"/>
      <c r="G29" s="53"/>
    </row>
    <row r="30" spans="1:7" x14ac:dyDescent="0.25">
      <c r="A30" s="78" t="s">
        <v>77</v>
      </c>
      <c r="B30" s="52"/>
      <c r="C30" s="53"/>
      <c r="D30" s="53"/>
      <c r="E30" s="61"/>
      <c r="F30" s="53"/>
      <c r="G30" s="53"/>
    </row>
    <row r="31" spans="1:7" x14ac:dyDescent="0.25">
      <c r="A31" s="42" t="s">
        <v>78</v>
      </c>
      <c r="B31" s="59"/>
      <c r="C31" s="80"/>
      <c r="D31" s="80"/>
      <c r="E31" s="81"/>
      <c r="F31" s="80"/>
      <c r="G31" s="80"/>
    </row>
    <row r="32" spans="1:7" ht="15.75" thickBot="1" x14ac:dyDescent="0.3">
      <c r="A32" s="77" t="s">
        <v>80</v>
      </c>
      <c r="B32" s="227">
        <f>'(2)(a)(i) One Time (all)'!G33*(C55/F55)</f>
        <v>-1315852.6417208656</v>
      </c>
      <c r="C32" s="228"/>
      <c r="D32" s="228">
        <f>D55*E55</f>
        <v>0</v>
      </c>
      <c r="E32" s="229">
        <f>'(2)(a)(i) One Time (all)'!G33*(C55/F55)</f>
        <v>-1315852.6417208656</v>
      </c>
      <c r="F32" s="228"/>
      <c r="G32" s="228">
        <v>0</v>
      </c>
    </row>
    <row r="33" spans="1:7" ht="15.75" thickBot="1" x14ac:dyDescent="0.3">
      <c r="A33" s="16" t="s">
        <v>41</v>
      </c>
      <c r="B33" s="55">
        <f>SUM(B16:B32)</f>
        <v>-6058497.017736977</v>
      </c>
      <c r="C33" s="55">
        <f t="shared" ref="C33:F33" si="0">SUM(C16:C31)</f>
        <v>0</v>
      </c>
      <c r="D33" s="55">
        <f>SUM(D16:D32)</f>
        <v>-42016</v>
      </c>
      <c r="E33" s="55">
        <f>SUM(E16:E32)</f>
        <v>-5937623.5412714295</v>
      </c>
      <c r="F33" s="55">
        <f t="shared" si="0"/>
        <v>0</v>
      </c>
      <c r="G33" s="56">
        <f>SUM(G16:G32)</f>
        <v>-42016</v>
      </c>
    </row>
    <row r="34" spans="1:7" ht="15.75" thickBot="1" x14ac:dyDescent="0.3">
      <c r="A34" s="43" t="s">
        <v>49</v>
      </c>
      <c r="B34" s="57">
        <f>B33*'(2)(a)(i) One Time (all)'!$G$36</f>
        <v>-3970738.9454248147</v>
      </c>
      <c r="C34" s="57">
        <f>C33*'(2)(a)(i) One Time (all)'!$G$36</f>
        <v>0</v>
      </c>
      <c r="D34" s="57">
        <f>D33*'(2)(a)(i) One Time (all)'!$G$36</f>
        <v>-27537.286400000001</v>
      </c>
      <c r="E34" s="57">
        <f>E33*'(2)(a)(i) One Time (all)'!$G$36</f>
        <v>-3891518.4689492946</v>
      </c>
      <c r="F34" s="57">
        <f>F33*'(2)(a)(i) One Time (all)'!$G$36</f>
        <v>0</v>
      </c>
      <c r="G34" s="58">
        <f>G33*'(2)(a)(i) One Time (all)'!$G$36</f>
        <v>-27537.286400000001</v>
      </c>
    </row>
    <row r="35" spans="1:7" x14ac:dyDescent="0.25">
      <c r="A35" s="67"/>
      <c r="B35" s="68"/>
      <c r="C35" s="68"/>
      <c r="D35" s="68"/>
      <c r="E35" s="68"/>
      <c r="F35" s="68"/>
      <c r="G35" s="66"/>
    </row>
    <row r="36" spans="1:7" x14ac:dyDescent="0.25">
      <c r="A36" s="69" t="s">
        <v>50</v>
      </c>
      <c r="B36" s="70"/>
      <c r="C36" s="70"/>
      <c r="D36" s="70"/>
      <c r="E36" s="70"/>
      <c r="F36" s="70"/>
      <c r="G36" s="66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7" x14ac:dyDescent="0.25">
      <c r="A39" s="26" t="s">
        <v>59</v>
      </c>
      <c r="B39" s="59"/>
      <c r="C39" s="59">
        <f>(C53*(1-'(2)(a)(i) One Time (all)'!$G$36))*E53</f>
        <v>861996.22400000005</v>
      </c>
      <c r="D39" s="59"/>
      <c r="E39" s="54"/>
      <c r="F39" s="54">
        <f>B53/C53*C39</f>
        <v>137840</v>
      </c>
      <c r="G39" s="54"/>
    </row>
    <row r="40" spans="1:7" ht="15.75" thickBot="1" x14ac:dyDescent="0.3">
      <c r="A40" s="26" t="s">
        <v>58</v>
      </c>
      <c r="B40" s="54"/>
      <c r="C40" s="59">
        <f>(C54*(1-'(2)(a)(i) One Time (all)'!$G$36))*E54</f>
        <v>0</v>
      </c>
      <c r="D40" s="54"/>
      <c r="E40" s="59"/>
      <c r="F40" s="54">
        <f>B54/C54*C40</f>
        <v>0</v>
      </c>
      <c r="G40" s="54"/>
    </row>
    <row r="41" spans="1:7" ht="15.75" thickBot="1" x14ac:dyDescent="0.3">
      <c r="A41" s="44" t="s">
        <v>51</v>
      </c>
      <c r="B41" s="57">
        <f>SUM(B37:B40)</f>
        <v>0</v>
      </c>
      <c r="C41" s="57">
        <f>SUM(C37:C40)</f>
        <v>861996.22400000005</v>
      </c>
      <c r="D41" s="57">
        <f t="shared" ref="D41:G41" si="1">SUM(D37:D40)</f>
        <v>0</v>
      </c>
      <c r="E41" s="57">
        <f t="shared" si="1"/>
        <v>0</v>
      </c>
      <c r="F41" s="57">
        <f>SUM(F37:F40)</f>
        <v>137840</v>
      </c>
      <c r="G41" s="58">
        <f t="shared" si="1"/>
        <v>0</v>
      </c>
    </row>
    <row r="42" spans="1:7" ht="15.75" thickBot="1" x14ac:dyDescent="0.3">
      <c r="A42" s="17"/>
      <c r="B42" s="60"/>
      <c r="C42" s="60"/>
      <c r="D42" s="60"/>
      <c r="E42" s="60"/>
      <c r="F42" s="60"/>
      <c r="G42" s="55"/>
    </row>
    <row r="43" spans="1:7" ht="15.75" thickBot="1" x14ac:dyDescent="0.3">
      <c r="A43" s="48" t="s">
        <v>52</v>
      </c>
      <c r="B43" s="57">
        <f t="shared" ref="B43:G43" si="2">B34+B41</f>
        <v>-3970738.9454248147</v>
      </c>
      <c r="C43" s="57">
        <f t="shared" si="2"/>
        <v>861996.22400000005</v>
      </c>
      <c r="D43" s="57">
        <f t="shared" si="2"/>
        <v>-27537.286400000001</v>
      </c>
      <c r="E43" s="57">
        <f t="shared" si="2"/>
        <v>-3891518.4689492946</v>
      </c>
      <c r="F43" s="57">
        <f t="shared" si="2"/>
        <v>137840</v>
      </c>
      <c r="G43" s="58">
        <f t="shared" si="2"/>
        <v>-27537.286400000001</v>
      </c>
    </row>
    <row r="44" spans="1:7" ht="15.75" thickBot="1" x14ac:dyDescent="0.3">
      <c r="A44" s="45"/>
      <c r="B44" s="46"/>
      <c r="C44" s="46"/>
      <c r="D44" s="46"/>
      <c r="E44" s="47"/>
      <c r="F44" s="47"/>
      <c r="G44" s="46"/>
    </row>
    <row r="45" spans="1:7" ht="15.75" thickBot="1" x14ac:dyDescent="0.3">
      <c r="A45" s="179" t="s">
        <v>11</v>
      </c>
      <c r="B45" s="180"/>
      <c r="C45" s="181"/>
      <c r="D45" s="114">
        <v>560000000</v>
      </c>
      <c r="E45" s="116"/>
      <c r="F45" s="116"/>
      <c r="G45" s="114">
        <f>D45</f>
        <v>560000000</v>
      </c>
    </row>
    <row r="46" spans="1:7" x14ac:dyDescent="0.25">
      <c r="A46" s="117"/>
      <c r="B46" s="118" t="s">
        <v>54</v>
      </c>
      <c r="C46" s="67"/>
      <c r="D46" s="119">
        <f>SUM(B43:D43)*1.029768</f>
        <v>-3229640.7910977439</v>
      </c>
      <c r="E46" s="118" t="s">
        <v>55</v>
      </c>
      <c r="F46" s="67"/>
      <c r="G46" s="119">
        <f>SUM(E43:G43)*1.029768</f>
        <v>-3893774.9859545324</v>
      </c>
    </row>
    <row r="47" spans="1:7" ht="15" customHeight="1" x14ac:dyDescent="0.25">
      <c r="A47" s="117"/>
      <c r="B47" s="182">
        <f>D46/D45</f>
        <v>-5.7672156983888286E-3</v>
      </c>
      <c r="C47" s="183"/>
      <c r="D47" s="184"/>
      <c r="E47" s="182">
        <f>G46/G45</f>
        <v>-6.9531696177759506E-3</v>
      </c>
      <c r="F47" s="183"/>
      <c r="G47" s="184"/>
    </row>
    <row r="48" spans="1:7" ht="15.75" thickBot="1" x14ac:dyDescent="0.3">
      <c r="A48" s="117"/>
      <c r="B48" s="185"/>
      <c r="C48" s="186"/>
      <c r="D48" s="187"/>
      <c r="E48" s="185"/>
      <c r="F48" s="186"/>
      <c r="G48" s="187"/>
    </row>
    <row r="49" spans="1:7" x14ac:dyDescent="0.25">
      <c r="A49" s="117"/>
      <c r="B49" s="117"/>
      <c r="C49" s="117"/>
      <c r="D49" s="117"/>
      <c r="E49" s="117"/>
      <c r="F49" s="120"/>
      <c r="G49" s="116"/>
    </row>
    <row r="50" spans="1:7" x14ac:dyDescent="0.25">
      <c r="A50" s="117"/>
      <c r="B50" s="117"/>
      <c r="C50" s="117"/>
      <c r="D50" s="117"/>
      <c r="E50" s="117"/>
      <c r="F50" s="120"/>
      <c r="G50" s="116"/>
    </row>
    <row r="51" spans="1:7" x14ac:dyDescent="0.25">
      <c r="A51" s="121" t="s">
        <v>60</v>
      </c>
      <c r="B51" s="117"/>
      <c r="C51" s="117"/>
      <c r="D51" s="117"/>
      <c r="E51" s="117"/>
      <c r="F51" s="120"/>
      <c r="G51" s="116"/>
    </row>
    <row r="52" spans="1:7" s="64" customFormat="1" ht="30" x14ac:dyDescent="0.25">
      <c r="A52" s="122" t="s">
        <v>65</v>
      </c>
      <c r="B52" s="123" t="s">
        <v>92</v>
      </c>
      <c r="C52" s="123" t="s">
        <v>75</v>
      </c>
      <c r="D52" s="123" t="s">
        <v>61</v>
      </c>
      <c r="E52" s="123" t="s">
        <v>62</v>
      </c>
      <c r="F52" s="122" t="s">
        <v>68</v>
      </c>
      <c r="G52" s="122"/>
    </row>
    <row r="53" spans="1:7" x14ac:dyDescent="0.25">
      <c r="A53" s="117" t="s">
        <v>4</v>
      </c>
      <c r="B53" s="134">
        <v>50000</v>
      </c>
      <c r="C53" s="134">
        <v>312680</v>
      </c>
      <c r="D53" s="134">
        <v>-5252</v>
      </c>
      <c r="E53" s="135">
        <v>8</v>
      </c>
      <c r="F53" s="136"/>
      <c r="G53" s="117"/>
    </row>
    <row r="54" spans="1:7" x14ac:dyDescent="0.25">
      <c r="A54" s="117" t="s">
        <v>56</v>
      </c>
      <c r="B54" s="134">
        <f>'(2)(a)(iii)(A) and (B)'!E36</f>
        <v>402754</v>
      </c>
      <c r="C54" s="134">
        <f>'(2)(a)(i) One Time (all)'!B50</f>
        <v>402753.6</v>
      </c>
      <c r="D54" s="134">
        <v>0</v>
      </c>
      <c r="E54" s="135">
        <v>0</v>
      </c>
      <c r="F54" s="134">
        <f>'(2)(a)(i) One Time (all)'!B48</f>
        <v>419671.41575091</v>
      </c>
      <c r="G54" s="117"/>
    </row>
    <row r="55" spans="1:7" x14ac:dyDescent="0.25">
      <c r="A55" s="117" t="s">
        <v>82</v>
      </c>
      <c r="B55" s="134">
        <v>465731</v>
      </c>
      <c r="C55" s="134">
        <v>465731</v>
      </c>
      <c r="D55" s="134">
        <v>0</v>
      </c>
      <c r="E55" s="135">
        <v>0</v>
      </c>
      <c r="F55" s="134">
        <v>465731</v>
      </c>
      <c r="G55" s="117"/>
    </row>
    <row r="56" spans="1:7" x14ac:dyDescent="0.25">
      <c r="A56" s="117"/>
      <c r="B56" s="117"/>
      <c r="C56" s="117"/>
      <c r="D56" s="117"/>
      <c r="E56" s="117"/>
      <c r="F56" s="117"/>
      <c r="G56" s="117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opLeftCell="A23" workbookViewId="0">
      <selection activeCell="A59" sqref="A59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05" t="s">
        <v>95</v>
      </c>
      <c r="B1" s="206"/>
      <c r="C1" s="206"/>
      <c r="D1" s="206"/>
      <c r="E1" s="206"/>
      <c r="F1" s="206"/>
      <c r="G1" s="206"/>
    </row>
    <row r="2" spans="1:7" x14ac:dyDescent="0.25">
      <c r="A2" s="190" t="s">
        <v>8</v>
      </c>
      <c r="B2" s="156"/>
      <c r="C2" s="156"/>
      <c r="D2" s="156"/>
      <c r="E2" s="156"/>
      <c r="F2" s="156"/>
      <c r="G2" s="157"/>
    </row>
    <row r="3" spans="1:7" x14ac:dyDescent="0.25">
      <c r="A3" s="158"/>
      <c r="B3" s="159"/>
      <c r="C3" s="159"/>
      <c r="D3" s="159"/>
      <c r="E3" s="159"/>
      <c r="F3" s="159"/>
      <c r="G3" s="160"/>
    </row>
    <row r="4" spans="1:7" ht="0.75" customHeight="1" thickBot="1" x14ac:dyDescent="0.3">
      <c r="A4" s="158"/>
      <c r="B4" s="159"/>
      <c r="C4" s="159"/>
      <c r="D4" s="159"/>
      <c r="E4" s="159"/>
      <c r="F4" s="159"/>
      <c r="G4" s="160"/>
    </row>
    <row r="5" spans="1:7" ht="15.75" hidden="1" thickBot="1" x14ac:dyDescent="0.3">
      <c r="A5" s="191"/>
      <c r="B5" s="192"/>
      <c r="C5" s="192"/>
      <c r="D5" s="192"/>
      <c r="E5" s="192"/>
      <c r="F5" s="192"/>
      <c r="G5" s="193"/>
    </row>
    <row r="6" spans="1:7" x14ac:dyDescent="0.25">
      <c r="A6" s="194" t="s">
        <v>9</v>
      </c>
      <c r="B6" s="195"/>
      <c r="C6" s="195"/>
      <c r="D6" s="195"/>
      <c r="E6" s="195"/>
      <c r="F6" s="195"/>
      <c r="G6" s="196"/>
    </row>
    <row r="7" spans="1:7" x14ac:dyDescent="0.25">
      <c r="A7" s="197"/>
      <c r="B7" s="198"/>
      <c r="C7" s="198"/>
      <c r="D7" s="198"/>
      <c r="E7" s="198"/>
      <c r="F7" s="198"/>
      <c r="G7" s="199"/>
    </row>
    <row r="8" spans="1:7" x14ac:dyDescent="0.25">
      <c r="A8" s="197"/>
      <c r="B8" s="198"/>
      <c r="C8" s="198"/>
      <c r="D8" s="198"/>
      <c r="E8" s="198"/>
      <c r="F8" s="198"/>
      <c r="G8" s="199"/>
    </row>
    <row r="9" spans="1:7" x14ac:dyDescent="0.25">
      <c r="A9" s="197"/>
      <c r="B9" s="198"/>
      <c r="C9" s="198"/>
      <c r="D9" s="198"/>
      <c r="E9" s="198"/>
      <c r="F9" s="198"/>
      <c r="G9" s="199"/>
    </row>
    <row r="10" spans="1:7" x14ac:dyDescent="0.25">
      <c r="A10" s="197"/>
      <c r="B10" s="198"/>
      <c r="C10" s="198"/>
      <c r="D10" s="198"/>
      <c r="E10" s="198"/>
      <c r="F10" s="198"/>
      <c r="G10" s="199"/>
    </row>
    <row r="11" spans="1:7" ht="86.25" customHeight="1" thickBot="1" x14ac:dyDescent="0.3">
      <c r="A11" s="200"/>
      <c r="B11" s="189"/>
      <c r="C11" s="189"/>
      <c r="D11" s="189"/>
      <c r="E11" s="189"/>
      <c r="F11" s="189"/>
      <c r="G11" s="201"/>
    </row>
    <row r="12" spans="1:7" ht="15.75" thickBot="1" x14ac:dyDescent="0.3"/>
    <row r="13" spans="1:7" ht="15.75" thickBot="1" x14ac:dyDescent="0.3">
      <c r="A13" s="202" t="s">
        <v>2</v>
      </c>
      <c r="B13" s="203" t="s">
        <v>47</v>
      </c>
      <c r="C13" s="203"/>
      <c r="D13" s="203"/>
      <c r="E13" s="203" t="s">
        <v>48</v>
      </c>
      <c r="F13" s="203"/>
      <c r="G13" s="203"/>
    </row>
    <row r="14" spans="1:7" ht="15" customHeight="1" thickBot="1" x14ac:dyDescent="0.3">
      <c r="A14" s="202"/>
      <c r="B14" s="204" t="s">
        <v>10</v>
      </c>
      <c r="C14" s="204" t="s">
        <v>18</v>
      </c>
      <c r="D14" s="204" t="s">
        <v>53</v>
      </c>
      <c r="E14" s="204" t="s">
        <v>10</v>
      </c>
      <c r="F14" s="204" t="s">
        <v>18</v>
      </c>
      <c r="G14" s="204" t="s">
        <v>19</v>
      </c>
    </row>
    <row r="15" spans="1:7" ht="15.75" thickBot="1" x14ac:dyDescent="0.3">
      <c r="A15" s="202"/>
      <c r="B15" s="204"/>
      <c r="C15" s="204"/>
      <c r="D15" s="204"/>
      <c r="E15" s="204"/>
      <c r="F15" s="204"/>
      <c r="G15" s="204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(all)'!G25*($B$59/$D$59)</f>
        <v>2539965.3574878443</v>
      </c>
      <c r="C25" s="53"/>
      <c r="D25" s="52">
        <f>-D54*E54</f>
        <v>0</v>
      </c>
      <c r="E25" s="52">
        <f>'(2)(a)(i) One Time (all)'!G25</f>
        <v>2998445.1741237156</v>
      </c>
      <c r="F25" s="53"/>
      <c r="G25" s="53">
        <f>D25</f>
        <v>0</v>
      </c>
      <c r="H25" s="10"/>
      <c r="I25" s="84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4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-D53*E53</f>
        <v>-576082.54</v>
      </c>
      <c r="E28" s="52">
        <v>0</v>
      </c>
      <c r="F28" s="54"/>
      <c r="G28" s="53">
        <f>D28</f>
        <v>-576082.54</v>
      </c>
      <c r="H28" s="10"/>
      <c r="I28" s="62"/>
    </row>
    <row r="29" spans="1:9" s="10" customFormat="1" x14ac:dyDescent="0.25">
      <c r="A29" s="78" t="s">
        <v>76</v>
      </c>
      <c r="B29" s="52"/>
      <c r="C29" s="53"/>
      <c r="D29" s="53"/>
      <c r="E29" s="61"/>
      <c r="F29" s="53"/>
      <c r="G29" s="53"/>
      <c r="I29" s="62"/>
    </row>
    <row r="30" spans="1:9" s="10" customFormat="1" x14ac:dyDescent="0.25">
      <c r="A30" s="78" t="s">
        <v>77</v>
      </c>
      <c r="B30" s="52"/>
      <c r="C30" s="53"/>
      <c r="D30" s="53"/>
      <c r="E30" s="61"/>
      <c r="F30" s="53"/>
      <c r="G30" s="53"/>
      <c r="I30" s="62"/>
    </row>
    <row r="31" spans="1:9" s="10" customFormat="1" x14ac:dyDescent="0.25">
      <c r="A31" s="78" t="s">
        <v>78</v>
      </c>
      <c r="B31" s="52"/>
      <c r="C31" s="53"/>
      <c r="D31" s="53"/>
      <c r="E31" s="61"/>
      <c r="F31" s="53"/>
      <c r="G31" s="53"/>
      <c r="I31" s="62"/>
    </row>
    <row r="32" spans="1:9" s="10" customFormat="1" ht="15.75" thickBot="1" x14ac:dyDescent="0.3">
      <c r="A32" s="77" t="s">
        <v>80</v>
      </c>
      <c r="B32" s="79">
        <f>'(2)(a)(i) One Time (all)'!G33*(B60/'(2)(a)(ii)Annual-2021, estimate'!B55)</f>
        <v>-13756.624559110076</v>
      </c>
      <c r="C32" s="80"/>
      <c r="D32" s="80"/>
      <c r="E32" s="81">
        <v>0</v>
      </c>
      <c r="F32" s="80"/>
      <c r="G32" s="228"/>
      <c r="I32" s="62"/>
    </row>
    <row r="33" spans="1:9" s="10" customFormat="1" ht="15.75" thickBot="1" x14ac:dyDescent="0.3">
      <c r="A33" s="16" t="s">
        <v>41</v>
      </c>
      <c r="B33" s="55">
        <f>SUM(B16:B32)</f>
        <v>-5082339.3297185805</v>
      </c>
      <c r="C33" s="55">
        <f t="shared" ref="C33:G33" si="0">SUM(C16:C31)</f>
        <v>0</v>
      </c>
      <c r="D33" s="55">
        <f>SUM(D16:D32)</f>
        <v>-576082.54</v>
      </c>
      <c r="E33" s="55">
        <f>SUM(E16:E32)</f>
        <v>-4610102.8885235991</v>
      </c>
      <c r="F33" s="55">
        <f t="shared" si="0"/>
        <v>0</v>
      </c>
      <c r="G33" s="55">
        <f>SUM(G16:G32)</f>
        <v>-576082.54</v>
      </c>
      <c r="I33" s="62"/>
    </row>
    <row r="34" spans="1:9" s="10" customFormat="1" ht="15.75" thickBot="1" x14ac:dyDescent="0.3">
      <c r="A34" s="43" t="s">
        <v>49</v>
      </c>
      <c r="B34" s="57">
        <f>B33*'(2)(a)(i) One Time (all)'!$G$36</f>
        <v>-3330965.1966975573</v>
      </c>
      <c r="C34" s="57">
        <f>C33*'(2)(a)(i) One Time (all)'!$G$36</f>
        <v>0</v>
      </c>
      <c r="D34" s="57">
        <f>D33*'(2)(a)(i) One Time (all)'!$G$36</f>
        <v>-377564.49671600002</v>
      </c>
      <c r="E34" s="57">
        <v>-769620.81985370815</v>
      </c>
      <c r="F34" s="57">
        <v>0</v>
      </c>
      <c r="G34" s="58">
        <v>-1441310.0149770002</v>
      </c>
    </row>
    <row r="35" spans="1:9" s="10" customFormat="1" x14ac:dyDescent="0.25">
      <c r="A35" s="71"/>
      <c r="B35" s="68"/>
      <c r="C35" s="68"/>
      <c r="D35" s="68"/>
      <c r="E35" s="68"/>
      <c r="F35" s="68"/>
      <c r="G35" s="66"/>
    </row>
    <row r="36" spans="1:9" s="10" customFormat="1" x14ac:dyDescent="0.25">
      <c r="A36" s="72" t="s">
        <v>50</v>
      </c>
      <c r="B36" s="70"/>
      <c r="C36" s="70"/>
      <c r="D36" s="70"/>
      <c r="E36" s="70"/>
      <c r="F36" s="70"/>
      <c r="G36" s="66"/>
    </row>
    <row r="37" spans="1:9" s="10" customFormat="1" x14ac:dyDescent="0.25">
      <c r="A37" s="42" t="s">
        <v>46</v>
      </c>
      <c r="B37" s="52"/>
      <c r="C37" s="52">
        <v>0</v>
      </c>
      <c r="D37" s="52"/>
      <c r="E37" s="53"/>
      <c r="F37" s="54">
        <v>0</v>
      </c>
      <c r="G37" s="53"/>
    </row>
    <row r="38" spans="1:9" s="10" customFormat="1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9" s="10" customFormat="1" x14ac:dyDescent="0.25">
      <c r="A39" s="26" t="s">
        <v>59</v>
      </c>
      <c r="B39" s="59"/>
      <c r="C39" s="59">
        <f>B58*E53*(1-'(2)(a)(i) One Time (all)'!$G$36)</f>
        <v>344464.654904</v>
      </c>
      <c r="D39" s="59"/>
      <c r="E39" s="54"/>
      <c r="F39" s="54">
        <v>760974.22319999989</v>
      </c>
      <c r="G39" s="54"/>
    </row>
    <row r="40" spans="1:9" ht="15.75" thickBot="1" x14ac:dyDescent="0.3">
      <c r="A40" s="26" t="s">
        <v>58</v>
      </c>
      <c r="B40" s="54"/>
      <c r="C40" s="59">
        <f>B59*E54*(1-'(2)(a)(i) One Time (all)'!$G$36)</f>
        <v>0</v>
      </c>
      <c r="D40" s="54"/>
      <c r="E40" s="59"/>
      <c r="F40" s="54">
        <v>1053309.3293875677</v>
      </c>
      <c r="G40" s="54"/>
    </row>
    <row r="41" spans="1:9" s="10" customFormat="1" x14ac:dyDescent="0.25">
      <c r="A41" s="230" t="s">
        <v>51</v>
      </c>
      <c r="B41" s="231">
        <f>SUM(B37:B40)</f>
        <v>0</v>
      </c>
      <c r="C41" s="231">
        <f t="shared" ref="C41:G41" si="1">SUM(C37:C40)</f>
        <v>344464.654904</v>
      </c>
      <c r="D41" s="231">
        <f t="shared" si="1"/>
        <v>0</v>
      </c>
      <c r="E41" s="231">
        <f t="shared" si="1"/>
        <v>0</v>
      </c>
      <c r="F41" s="231">
        <f t="shared" si="1"/>
        <v>1814283.5525875676</v>
      </c>
      <c r="G41" s="232">
        <f t="shared" si="1"/>
        <v>0</v>
      </c>
    </row>
    <row r="42" spans="1:9" s="10" customFormat="1" ht="15.75" thickBot="1" x14ac:dyDescent="0.3">
      <c r="A42" s="233"/>
      <c r="B42" s="54"/>
      <c r="C42" s="54"/>
      <c r="D42" s="54"/>
      <c r="E42" s="54"/>
      <c r="F42" s="54"/>
      <c r="G42" s="54"/>
    </row>
    <row r="43" spans="1:9" s="10" customFormat="1" ht="15.75" thickBot="1" x14ac:dyDescent="0.3">
      <c r="A43" s="48" t="s">
        <v>52</v>
      </c>
      <c r="B43" s="57">
        <f t="shared" ref="B43:G43" si="2">B34+B41</f>
        <v>-3330965.1966975573</v>
      </c>
      <c r="C43" s="57">
        <f>C34+C41</f>
        <v>344464.654904</v>
      </c>
      <c r="D43" s="57">
        <f t="shared" si="2"/>
        <v>-377564.49671600002</v>
      </c>
      <c r="E43" s="57">
        <f>E34+E41</f>
        <v>-769620.81985370815</v>
      </c>
      <c r="F43" s="57">
        <f t="shared" si="2"/>
        <v>1814283.5525875676</v>
      </c>
      <c r="G43" s="58">
        <f t="shared" si="2"/>
        <v>-1441310.0149770002</v>
      </c>
    </row>
    <row r="44" spans="1:9" s="10" customFormat="1" ht="15.75" thickBot="1" x14ac:dyDescent="0.3">
      <c r="A44" s="45"/>
      <c r="B44" s="46"/>
      <c r="C44" s="46"/>
      <c r="D44" s="46"/>
      <c r="E44" s="47"/>
      <c r="F44" s="47"/>
      <c r="G44" s="46"/>
    </row>
    <row r="45" spans="1:9" ht="15.75" thickBot="1" x14ac:dyDescent="0.3">
      <c r="A45" s="200" t="s">
        <v>11</v>
      </c>
      <c r="B45" s="189"/>
      <c r="C45" s="201"/>
      <c r="D45" s="114">
        <v>530519000</v>
      </c>
      <c r="E45" s="116"/>
      <c r="F45" s="116"/>
      <c r="G45" s="114">
        <v>530519000</v>
      </c>
    </row>
    <row r="46" spans="1:9" x14ac:dyDescent="0.25">
      <c r="B46" s="1" t="s">
        <v>54</v>
      </c>
      <c r="C46" s="2"/>
      <c r="D46" s="15">
        <f>SUM(B43:D43)*1.029768</f>
        <v>-3464206.5265759099</v>
      </c>
      <c r="E46" s="1" t="s">
        <v>55</v>
      </c>
      <c r="F46" s="2"/>
      <c r="G46" s="15">
        <f>SUM(E43:G43)*1.029768</f>
        <v>-408454.67854095454</v>
      </c>
    </row>
    <row r="47" spans="1:9" ht="15" customHeight="1" x14ac:dyDescent="0.25">
      <c r="B47" s="207">
        <f>D46/D45</f>
        <v>-6.5298444100511197E-3</v>
      </c>
      <c r="C47" s="208"/>
      <c r="D47" s="209"/>
      <c r="E47" s="207">
        <f>G46/G45</f>
        <v>-7.6991526889886046E-4</v>
      </c>
      <c r="F47" s="208"/>
      <c r="G47" s="209"/>
    </row>
    <row r="48" spans="1:9" ht="15.75" thickBot="1" x14ac:dyDescent="0.3">
      <c r="B48" s="210"/>
      <c r="C48" s="211"/>
      <c r="D48" s="212"/>
      <c r="E48" s="210"/>
      <c r="F48" s="211"/>
      <c r="G48" s="212"/>
    </row>
    <row r="49" spans="1:7" x14ac:dyDescent="0.25">
      <c r="F49" s="6"/>
      <c r="G49" s="7"/>
    </row>
    <row r="50" spans="1:7" x14ac:dyDescent="0.25">
      <c r="F50" s="6"/>
      <c r="G50" s="7"/>
    </row>
    <row r="51" spans="1:7" x14ac:dyDescent="0.25">
      <c r="A51" s="63" t="s">
        <v>60</v>
      </c>
      <c r="B51" s="10"/>
      <c r="C51" s="10"/>
      <c r="D51" s="10"/>
      <c r="E51" s="10"/>
    </row>
    <row r="52" spans="1:7" ht="30" x14ac:dyDescent="0.25">
      <c r="A52" s="64" t="s">
        <v>65</v>
      </c>
      <c r="B52" s="123" t="s">
        <v>81</v>
      </c>
      <c r="C52" s="123" t="s">
        <v>75</v>
      </c>
      <c r="D52" s="65" t="s">
        <v>61</v>
      </c>
      <c r="E52" s="65" t="s">
        <v>67</v>
      </c>
    </row>
    <row r="53" spans="1:7" x14ac:dyDescent="0.25">
      <c r="A53" t="s">
        <v>4</v>
      </c>
      <c r="B53" s="137"/>
      <c r="C53" s="137"/>
      <c r="D53" s="134">
        <v>95854</v>
      </c>
      <c r="E53" s="138">
        <v>6.01</v>
      </c>
    </row>
    <row r="54" spans="1:7" x14ac:dyDescent="0.25">
      <c r="A54" s="10" t="s">
        <v>56</v>
      </c>
      <c r="B54" s="134"/>
      <c r="C54" s="134"/>
      <c r="D54" s="134">
        <v>0</v>
      </c>
      <c r="E54" s="139">
        <v>0</v>
      </c>
    </row>
    <row r="55" spans="1:7" x14ac:dyDescent="0.25">
      <c r="A55" t="s">
        <v>94</v>
      </c>
      <c r="D55">
        <v>0</v>
      </c>
      <c r="E55">
        <v>0</v>
      </c>
    </row>
    <row r="56" spans="1:7" s="10" customFormat="1" x14ac:dyDescent="0.25"/>
    <row r="57" spans="1:7" s="10" customFormat="1" ht="30" x14ac:dyDescent="0.25">
      <c r="B57" s="73" t="s">
        <v>93</v>
      </c>
      <c r="C57" s="73"/>
      <c r="D57" s="64" t="s">
        <v>68</v>
      </c>
    </row>
    <row r="58" spans="1:7" x14ac:dyDescent="0.25">
      <c r="A58" t="s">
        <v>4</v>
      </c>
      <c r="B58" s="134">
        <f>265219-95854-3041</f>
        <v>166324</v>
      </c>
      <c r="C58" s="134"/>
      <c r="D58" s="136"/>
    </row>
    <row r="59" spans="1:7" x14ac:dyDescent="0.25">
      <c r="A59" s="10" t="s">
        <v>66</v>
      </c>
      <c r="B59" s="140">
        <f>'(2)(a)(i) One Time (all)'!B45</f>
        <v>355501.2</v>
      </c>
      <c r="C59" s="140"/>
      <c r="D59" s="134">
        <f>'(2)(a)(i) One Time (all)'!B48</f>
        <v>419671.41575091</v>
      </c>
    </row>
    <row r="60" spans="1:7" x14ac:dyDescent="0.25">
      <c r="A60" t="s">
        <v>94</v>
      </c>
      <c r="B60" s="224">
        <v>4869</v>
      </c>
    </row>
  </sheetData>
  <mergeCells count="15">
    <mergeCell ref="A1:G1"/>
    <mergeCell ref="G14:G15"/>
    <mergeCell ref="A45:C45"/>
    <mergeCell ref="B47:D48"/>
    <mergeCell ref="E47:G48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16" workbookViewId="0">
      <selection activeCell="B45" sqref="B45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05" t="s">
        <v>83</v>
      </c>
      <c r="B1" s="213"/>
      <c r="C1" s="213"/>
      <c r="D1" s="213"/>
      <c r="E1" s="213"/>
      <c r="F1" s="213"/>
    </row>
    <row r="2" spans="1:6" ht="50.25" customHeight="1" thickBot="1" x14ac:dyDescent="0.4">
      <c r="A2" s="109">
        <v>2020</v>
      </c>
      <c r="B2" s="220" t="s">
        <v>17</v>
      </c>
      <c r="C2" s="221"/>
      <c r="D2" s="221"/>
      <c r="E2" s="221"/>
      <c r="F2" s="221"/>
    </row>
    <row r="3" spans="1:6" ht="15.75" customHeight="1" thickBot="1" x14ac:dyDescent="0.4">
      <c r="A3" s="11"/>
      <c r="B3" s="214" t="s">
        <v>1</v>
      </c>
      <c r="C3" s="215"/>
      <c r="D3" s="216"/>
      <c r="E3" s="214" t="s">
        <v>15</v>
      </c>
      <c r="F3" s="216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7">
        <f>'(2)(a)(i) One Time (all)'!G16</f>
        <v>-155825.32874060509</v>
      </c>
      <c r="C5" s="19">
        <v>2214</v>
      </c>
      <c r="D5" s="108">
        <f>B5/C5</f>
        <v>-70.381810632612954</v>
      </c>
      <c r="E5" s="124">
        <v>2214</v>
      </c>
      <c r="F5" s="23">
        <f>E5*D5</f>
        <v>-155825.32874060507</v>
      </c>
    </row>
    <row r="6" spans="1:6" x14ac:dyDescent="0.25">
      <c r="A6" s="24" t="s">
        <v>22</v>
      </c>
      <c r="B6" s="107">
        <f>'(2)(a)(i) One Time (all)'!G17</f>
        <v>-1017345.7078353526</v>
      </c>
      <c r="C6" s="19">
        <v>15967</v>
      </c>
      <c r="D6" s="108">
        <f t="shared" ref="D6:D12" si="0">B6/C6</f>
        <v>-63.715519999708938</v>
      </c>
      <c r="E6" s="124">
        <v>15967</v>
      </c>
      <c r="F6" s="23">
        <f t="shared" ref="F6:F15" si="1">E6*D6</f>
        <v>-1017345.7078353526</v>
      </c>
    </row>
    <row r="7" spans="1:6" x14ac:dyDescent="0.25">
      <c r="A7" s="24" t="s">
        <v>23</v>
      </c>
      <c r="B7" s="107">
        <f>'(2)(a)(i) One Time (all)'!G18</f>
        <v>-2527658.7871261169</v>
      </c>
      <c r="C7" s="19">
        <v>33542</v>
      </c>
      <c r="D7" s="108">
        <f t="shared" si="0"/>
        <v>-75.358022393599569</v>
      </c>
      <c r="E7" s="124">
        <v>33542</v>
      </c>
      <c r="F7" s="23">
        <f t="shared" si="1"/>
        <v>-2527658.7871261169</v>
      </c>
    </row>
    <row r="8" spans="1:6" x14ac:dyDescent="0.25">
      <c r="A8" s="24" t="s">
        <v>24</v>
      </c>
      <c r="B8" s="107">
        <f>'(2)(a)(i) One Time (all)'!G19</f>
        <v>-2728006.8917778786</v>
      </c>
      <c r="C8" s="19">
        <v>20576</v>
      </c>
      <c r="D8" s="108">
        <f t="shared" si="0"/>
        <v>-132.58198346509909</v>
      </c>
      <c r="E8" s="124">
        <v>20576</v>
      </c>
      <c r="F8" s="23">
        <f t="shared" si="1"/>
        <v>-2728006.8917778786</v>
      </c>
    </row>
    <row r="9" spans="1:6" x14ac:dyDescent="0.25">
      <c r="A9" s="24" t="s">
        <v>25</v>
      </c>
      <c r="B9" s="107">
        <f>'(2)(a)(i) One Time (all)'!G20</f>
        <v>-1899932.1023558602</v>
      </c>
      <c r="C9" s="19">
        <v>302</v>
      </c>
      <c r="D9" s="108">
        <f t="shared" si="0"/>
        <v>-6291.1659018405962</v>
      </c>
      <c r="E9" s="124">
        <v>302</v>
      </c>
      <c r="F9" s="23">
        <f t="shared" si="1"/>
        <v>-1899932.1023558602</v>
      </c>
    </row>
    <row r="10" spans="1:6" x14ac:dyDescent="0.25">
      <c r="A10" s="24" t="s">
        <v>26</v>
      </c>
      <c r="B10" s="107">
        <f>'(2)(a)(i) One Time (all)'!G21</f>
        <v>-603357.27530905697</v>
      </c>
      <c r="C10" s="19">
        <v>36795</v>
      </c>
      <c r="D10" s="108">
        <f t="shared" si="0"/>
        <v>-16.397806096183096</v>
      </c>
      <c r="E10" s="124">
        <v>36795</v>
      </c>
      <c r="F10" s="23">
        <f t="shared" si="1"/>
        <v>-603357.27530905697</v>
      </c>
    </row>
    <row r="11" spans="1:6" x14ac:dyDescent="0.25">
      <c r="A11" s="24" t="s">
        <v>27</v>
      </c>
      <c r="B11" s="107">
        <f>'(2)(a)(i) One Time (all)'!G22</f>
        <v>-671624.72600253532</v>
      </c>
      <c r="C11" s="19">
        <v>9701</v>
      </c>
      <c r="D11" s="108">
        <f t="shared" si="0"/>
        <v>-69.232525100766452</v>
      </c>
      <c r="E11" s="124">
        <v>9701</v>
      </c>
      <c r="F11" s="23">
        <f t="shared" si="1"/>
        <v>-671624.72600253532</v>
      </c>
    </row>
    <row r="12" spans="1:6" x14ac:dyDescent="0.25">
      <c r="A12" s="24" t="s">
        <v>28</v>
      </c>
      <c r="B12" s="107">
        <f>'(2)(a)(i) One Time (all)'!G23</f>
        <v>-1087924.942091349</v>
      </c>
      <c r="C12" s="19">
        <v>35835</v>
      </c>
      <c r="D12" s="108">
        <f t="shared" si="0"/>
        <v>-30.359283998642361</v>
      </c>
      <c r="E12" s="124">
        <v>35835</v>
      </c>
      <c r="F12" s="23">
        <f t="shared" si="1"/>
        <v>-1087924.942091349</v>
      </c>
    </row>
    <row r="13" spans="1:6" x14ac:dyDescent="0.25">
      <c r="A13" s="24" t="s">
        <v>29</v>
      </c>
      <c r="B13" s="107">
        <f>'(2)(a)(i) One Time (all)'!G24</f>
        <v>-1133571.0805653024</v>
      </c>
      <c r="C13" s="19">
        <v>14994</v>
      </c>
      <c r="D13" s="108">
        <f>B13/C13</f>
        <v>-75.601646029431933</v>
      </c>
      <c r="E13" s="124">
        <v>14994</v>
      </c>
      <c r="F13" s="23">
        <f>E13*D13</f>
        <v>-1133571.0805653024</v>
      </c>
    </row>
    <row r="14" spans="1:6" x14ac:dyDescent="0.25">
      <c r="A14" s="24" t="s">
        <v>30</v>
      </c>
      <c r="B14" s="107">
        <f>'(2)(a)(ii)Annual-2020 actual'!B25</f>
        <v>2539965.3574878443</v>
      </c>
      <c r="C14" s="19">
        <f>'(2)(a)(ii)Annual-2020 actual'!B59</f>
        <v>355501.2</v>
      </c>
      <c r="D14" s="108">
        <f>B14/C14</f>
        <v>7.1447448207990414</v>
      </c>
      <c r="E14" s="124">
        <v>355501</v>
      </c>
      <c r="F14" s="23">
        <f>E14*D14</f>
        <v>2539963.9285388798</v>
      </c>
    </row>
    <row r="15" spans="1:6" x14ac:dyDescent="0.25">
      <c r="A15" s="24" t="s">
        <v>42</v>
      </c>
      <c r="B15" s="107">
        <f>'(2)(a)(i) One Time (all)'!G26</f>
        <v>1669354.461419527</v>
      </c>
      <c r="C15" s="19">
        <v>3395</v>
      </c>
      <c r="D15" s="108">
        <f>B15/C15</f>
        <v>491.70970881282091</v>
      </c>
      <c r="E15" s="124">
        <v>3395</v>
      </c>
      <c r="F15" s="23">
        <f t="shared" si="1"/>
        <v>1669354.461419527</v>
      </c>
    </row>
    <row r="16" spans="1:6" x14ac:dyDescent="0.25">
      <c r="A16" s="24" t="s">
        <v>43</v>
      </c>
      <c r="B16" s="107">
        <f>'(2)(a)(i) One Time (all)'!G27</f>
        <v>2547344.3177372161</v>
      </c>
      <c r="C16" s="19">
        <v>5343</v>
      </c>
      <c r="D16" s="108">
        <f t="shared" ref="D16:D17" si="2">B16/C16</f>
        <v>476.76292677095569</v>
      </c>
      <c r="E16" s="124">
        <v>5343</v>
      </c>
      <c r="F16" s="23">
        <f>E16*D16</f>
        <v>2547344.3177372161</v>
      </c>
    </row>
    <row r="17" spans="1:12" x14ac:dyDescent="0.25">
      <c r="A17" s="24" t="s">
        <v>4</v>
      </c>
      <c r="B17" s="107">
        <v>0</v>
      </c>
      <c r="C17" s="19">
        <f>'(2)(a)(ii)Annual-2020 actual'!B58</f>
        <v>166324</v>
      </c>
      <c r="D17" s="108">
        <f t="shared" si="2"/>
        <v>0</v>
      </c>
      <c r="E17" s="124">
        <v>166324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4">
        <v>0</v>
      </c>
      <c r="F18" s="18">
        <v>0</v>
      </c>
      <c r="K18" s="115"/>
      <c r="L18" s="115"/>
    </row>
    <row r="19" spans="1:12" x14ac:dyDescent="0.25">
      <c r="A19" s="25" t="s">
        <v>76</v>
      </c>
      <c r="B19" s="18">
        <v>0</v>
      </c>
      <c r="C19" s="18">
        <v>0</v>
      </c>
      <c r="D19" s="18">
        <v>0</v>
      </c>
      <c r="E19" s="124">
        <v>0</v>
      </c>
      <c r="F19" s="18"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8">
        <v>0</v>
      </c>
      <c r="E20" s="124">
        <v>0</v>
      </c>
      <c r="F20" s="18"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8">
        <v>0</v>
      </c>
      <c r="E21" s="124">
        <v>0</v>
      </c>
      <c r="F21" s="18">
        <v>0</v>
      </c>
    </row>
    <row r="22" spans="1:12" x14ac:dyDescent="0.25">
      <c r="A22" s="25" t="s">
        <v>80</v>
      </c>
      <c r="B22" s="18">
        <v>0</v>
      </c>
      <c r="C22" s="18">
        <v>0</v>
      </c>
      <c r="D22" s="18">
        <v>0</v>
      </c>
      <c r="E22" s="124">
        <v>0</v>
      </c>
      <c r="F22" s="18"/>
    </row>
    <row r="24" spans="1:12" ht="52.5" customHeight="1" thickBot="1" x14ac:dyDescent="0.4">
      <c r="A24" s="125">
        <v>2021</v>
      </c>
      <c r="B24" s="222" t="s">
        <v>17</v>
      </c>
      <c r="C24" s="223"/>
      <c r="D24" s="223"/>
      <c r="E24" s="223"/>
      <c r="F24" s="223"/>
    </row>
    <row r="25" spans="1:12" ht="18" customHeight="1" x14ac:dyDescent="0.35">
      <c r="A25" s="109"/>
      <c r="B25" s="217" t="s">
        <v>1</v>
      </c>
      <c r="C25" s="218"/>
      <c r="D25" s="219"/>
      <c r="E25" s="217" t="s">
        <v>15</v>
      </c>
      <c r="F25" s="219"/>
    </row>
    <row r="26" spans="1:12" ht="45" x14ac:dyDescent="0.25">
      <c r="A26" s="110" t="s">
        <v>2</v>
      </c>
      <c r="B26" s="110" t="s">
        <v>12</v>
      </c>
      <c r="C26" s="110" t="s">
        <v>13</v>
      </c>
      <c r="D26" s="110" t="s">
        <v>16</v>
      </c>
      <c r="E26" s="110" t="s">
        <v>14</v>
      </c>
      <c r="F26" s="110" t="s">
        <v>20</v>
      </c>
    </row>
    <row r="27" spans="1:12" x14ac:dyDescent="0.25">
      <c r="A27" s="111" t="s">
        <v>21</v>
      </c>
      <c r="B27" s="19">
        <f>'(2)(a)(i) One Time (all)'!G16</f>
        <v>-155825.32874060509</v>
      </c>
      <c r="C27" s="19">
        <v>1623</v>
      </c>
      <c r="D27" s="107">
        <f>B27/C27</f>
        <v>-96.010676981272397</v>
      </c>
      <c r="E27" s="124">
        <v>1623</v>
      </c>
      <c r="F27" s="107">
        <f>E27*D27</f>
        <v>-155825.32874060509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18706</v>
      </c>
      <c r="D28" s="107">
        <f t="shared" ref="D28:D38" si="3">B28/C28</f>
        <v>-54.386063714067816</v>
      </c>
      <c r="E28" s="124">
        <v>18706</v>
      </c>
      <c r="F28" s="107">
        <f t="shared" ref="F28:F39" si="4">E28*D28</f>
        <v>-1017345.7078353526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32818</v>
      </c>
      <c r="D29" s="107">
        <f t="shared" si="3"/>
        <v>-77.020500552322417</v>
      </c>
      <c r="E29" s="124">
        <v>32818</v>
      </c>
      <c r="F29" s="107">
        <f>E29*D29</f>
        <v>-2527658.7871261169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18024</v>
      </c>
      <c r="D30" s="107">
        <f t="shared" si="3"/>
        <v>-151.35413292154232</v>
      </c>
      <c r="E30" s="124">
        <v>18024</v>
      </c>
      <c r="F30" s="107">
        <f t="shared" si="4"/>
        <v>-2728006.8917778786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579</v>
      </c>
      <c r="D31" s="107">
        <f t="shared" si="3"/>
        <v>-3281.4025947424184</v>
      </c>
      <c r="E31" s="124">
        <v>579</v>
      </c>
      <c r="F31" s="107">
        <f t="shared" si="4"/>
        <v>-1899932.1023558602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37094</v>
      </c>
      <c r="D32" s="107">
        <f t="shared" si="3"/>
        <v>-16.265629894566693</v>
      </c>
      <c r="E32" s="124">
        <v>37094</v>
      </c>
      <c r="F32" s="107">
        <f t="shared" si="4"/>
        <v>-603357.27530905697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11031</v>
      </c>
      <c r="D33" s="107">
        <f t="shared" si="3"/>
        <v>-60.885207687656177</v>
      </c>
      <c r="E33" s="124">
        <v>11031</v>
      </c>
      <c r="F33" s="107">
        <f t="shared" si="4"/>
        <v>-671624.72600253532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36973</v>
      </c>
      <c r="D34" s="107">
        <f t="shared" si="3"/>
        <v>-29.424849000388097</v>
      </c>
      <c r="E34" s="124">
        <v>36973</v>
      </c>
      <c r="F34" s="107">
        <f t="shared" si="4"/>
        <v>-1087924.942091349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13969</v>
      </c>
      <c r="D35" s="107">
        <f t="shared" si="3"/>
        <v>-81.149050079841246</v>
      </c>
      <c r="E35" s="124">
        <v>13969</v>
      </c>
      <c r="F35" s="107">
        <f t="shared" si="4"/>
        <v>-1133571.0805653024</v>
      </c>
    </row>
    <row r="36" spans="1:11" x14ac:dyDescent="0.25">
      <c r="A36" s="25" t="s">
        <v>30</v>
      </c>
      <c r="B36" s="19">
        <f>'(2)(a)(ii)Annual-2021, estimate'!B25</f>
        <v>2877571.6976581686</v>
      </c>
      <c r="C36" s="19">
        <f>'(2)(a)(ii)Annual-2021, estimate'!C54</f>
        <v>402753.6</v>
      </c>
      <c r="D36" s="108">
        <f>B36/C36</f>
        <v>7.1447448207990414</v>
      </c>
      <c r="E36" s="124">
        <v>402754</v>
      </c>
      <c r="F36" s="107">
        <f>E36*D36</f>
        <v>2877574.5555560971</v>
      </c>
      <c r="J36" s="115"/>
      <c r="K36" s="115"/>
    </row>
    <row r="37" spans="1:11" x14ac:dyDescent="0.25">
      <c r="A37" s="25" t="s">
        <v>42</v>
      </c>
      <c r="B37" s="112">
        <f>'(2)(a)(i) One Time (all)'!G26</f>
        <v>1669354.461419527</v>
      </c>
      <c r="C37" s="19">
        <v>7460</v>
      </c>
      <c r="D37" s="107">
        <f t="shared" si="3"/>
        <v>223.77405649055322</v>
      </c>
      <c r="E37" s="124">
        <v>7460</v>
      </c>
      <c r="F37" s="107">
        <f t="shared" ref="F37:F38" si="5">E37*D37</f>
        <v>1669354.461419527</v>
      </c>
    </row>
    <row r="38" spans="1:11" x14ac:dyDescent="0.25">
      <c r="A38" s="25" t="s">
        <v>43</v>
      </c>
      <c r="B38" s="112">
        <f>'(2)(a)(i) One Time (all)'!G27</f>
        <v>2547344.3177372161</v>
      </c>
      <c r="C38" s="19">
        <v>6433</v>
      </c>
      <c r="D38" s="107">
        <f t="shared" si="3"/>
        <v>395.9807737816285</v>
      </c>
      <c r="E38" s="124">
        <v>6433</v>
      </c>
      <c r="F38" s="107">
        <f t="shared" si="5"/>
        <v>2547344.3177372161</v>
      </c>
    </row>
    <row r="39" spans="1:11" x14ac:dyDescent="0.25">
      <c r="A39" s="25" t="s">
        <v>4</v>
      </c>
      <c r="B39" s="19">
        <f>'(2)(a)(i) One Time (all)'!G28</f>
        <v>0</v>
      </c>
      <c r="C39" s="19">
        <f>'(2)(a)(ii)Annual-2021, estimate'!C53</f>
        <v>312680</v>
      </c>
      <c r="D39" s="107">
        <v>0</v>
      </c>
      <c r="E39" s="124">
        <v>312680</v>
      </c>
      <c r="F39" s="107">
        <f t="shared" si="4"/>
        <v>0</v>
      </c>
    </row>
    <row r="40" spans="1:11" x14ac:dyDescent="0.25">
      <c r="A40" s="25" t="s">
        <v>46</v>
      </c>
      <c r="B40" s="19">
        <v>0</v>
      </c>
      <c r="C40" s="19">
        <v>0</v>
      </c>
      <c r="D40" s="19">
        <v>0</v>
      </c>
      <c r="E40" s="124">
        <v>0</v>
      </c>
      <c r="F40" s="19">
        <v>0</v>
      </c>
    </row>
    <row r="41" spans="1:11" x14ac:dyDescent="0.25">
      <c r="A41" s="25" t="s">
        <v>76</v>
      </c>
      <c r="B41" s="19">
        <f>'(2)(a)(i) One Time (all)'!G30</f>
        <v>-11668.011026964456</v>
      </c>
      <c r="C41" s="19">
        <v>970</v>
      </c>
      <c r="D41" s="19">
        <v>0</v>
      </c>
      <c r="E41" s="124">
        <v>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'(2)(a)(ii)Annual-2021, estimate'!C56</f>
        <v>0</v>
      </c>
      <c r="D42" s="19">
        <v>0</v>
      </c>
      <c r="E42" s="124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'(2)(a)(ii)Annual-2021, estimate'!C57</f>
        <v>0</v>
      </c>
      <c r="D43" s="19">
        <v>0</v>
      </c>
      <c r="E43" s="124">
        <v>0</v>
      </c>
      <c r="F43" s="19">
        <v>0</v>
      </c>
    </row>
    <row r="44" spans="1:11" x14ac:dyDescent="0.25">
      <c r="A44" s="25" t="s">
        <v>80</v>
      </c>
      <c r="B44" s="19">
        <f>'(2)(a)(ii)Annual-2021, estimate'!B32</f>
        <v>-1315852.6417208656</v>
      </c>
      <c r="C44" s="19">
        <f>'(2)(a)(ii)Annual-2021, estimate'!C55</f>
        <v>465731</v>
      </c>
      <c r="D44" s="234">
        <f>B44/C44</f>
        <v>-2.8253490571185202</v>
      </c>
      <c r="E44" s="124">
        <v>465731</v>
      </c>
      <c r="F44" s="141">
        <f>E44*D44</f>
        <v>-1315852.6417208656</v>
      </c>
    </row>
    <row r="47" spans="1:11" x14ac:dyDescent="0.25">
      <c r="E47" s="115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5D01A751DFB4DA7C423895574590A" ma:contentTypeVersion="36" ma:contentTypeDescription="" ma:contentTypeScope="" ma:versionID="c53804fc3a95a3ad802fffd632039d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54AF73-BE11-4690-8AB6-3E4460D929E9}"/>
</file>

<file path=customXml/itemProps2.xml><?xml version="1.0" encoding="utf-8"?>
<ds:datastoreItem xmlns:ds="http://schemas.openxmlformats.org/officeDocument/2006/customXml" ds:itemID="{0D71587A-E60D-47AE-AD8F-52B6FB135796}"/>
</file>

<file path=customXml/itemProps3.xml><?xml version="1.0" encoding="utf-8"?>
<ds:datastoreItem xmlns:ds="http://schemas.openxmlformats.org/officeDocument/2006/customXml" ds:itemID="{61B8507A-0662-4C8C-8C6E-6FBFCFB49CB1}"/>
</file>

<file path=customXml/itemProps4.xml><?xml version="1.0" encoding="utf-8"?>
<ds:datastoreItem xmlns:ds="http://schemas.openxmlformats.org/officeDocument/2006/customXml" ds:itemID="{41024342-8D82-4C2A-83E3-8B3DF861C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(2)(a)(ii)Annual-2021, estimate</vt:lpstr>
      <vt:lpstr>(2)(a)(ii)Annual-2020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Gall, James</cp:lastModifiedBy>
  <dcterms:created xsi:type="dcterms:W3CDTF">2016-07-07T17:22:29Z</dcterms:created>
  <dcterms:modified xsi:type="dcterms:W3CDTF">2021-05-27T22:22:11Z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0x0101006E56B4D1795A2E4DB2F0B01679ED314A00F465D01A751DFB4DA7C423895574590A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