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J:\Regulatory Filings\2024 Regulatory Filings\EIA I-937\Annual EIA Filing\"/>
    </mc:Choice>
  </mc:AlternateContent>
  <xr:revisionPtr revIDLastSave="0" documentId="13_ncr:1_{BBB29BBA-AE73-4C71-820E-94D62D839B4D}" xr6:coauthVersionLast="47" xr6:coauthVersionMax="47" xr10:uidLastSave="{00000000-0000-0000-0000-000000000000}"/>
  <bookViews>
    <workbookView xWindow="-120" yWindow="-120" windowWidth="25230" windowHeight="14205" tabRatio="653" activeTab="1" xr2:uid="{00000000-000D-0000-FFFF-FFFF00000000}"/>
  </bookViews>
  <sheets>
    <sheet name="Summary" sheetId="6" r:id="rId1"/>
    <sheet name="Facility Detail" sheetId="1" r:id="rId2"/>
    <sheet name="Generation Rollup" sheetId="9"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Facility">'Facility Detail'!$B$619:$B$628</definedName>
    <definedName name="LaborBonus" localSheetId="2">'Facility Detail'!$B$608:$B$610</definedName>
    <definedName name="LaborBonus">'Facility Detail'!$B$608:$B$610</definedName>
    <definedName name="OwnedCont">#REF!</definedName>
    <definedName name="_xlnm.Print_Area" localSheetId="1">'Facility Detail'!$A$1:$P$796</definedName>
    <definedName name="_xlnm.Print_Area" localSheetId="2">'Generation Rollup'!$A$1:$O$40</definedName>
    <definedName name="_xlnm.Print_Area" localSheetId="0">Summary!$A$1:$O$51</definedName>
    <definedName name="REN_Expenditure_Amount_2014">#REF!</definedName>
    <definedName name="REN_Load_2012">#REF!</definedName>
    <definedName name="REN_Load_2013">#REF!</definedName>
    <definedName name="REN_RetailRevenueRequirement_2014">#REF!</definedName>
    <definedName name="Resourc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9" i="6" l="1"/>
  <c r="N19" i="6"/>
  <c r="O17" i="6"/>
  <c r="N17" i="6"/>
  <c r="O13" i="6"/>
  <c r="N13" i="6"/>
  <c r="O12" i="6"/>
  <c r="N12" i="6"/>
  <c r="O563" i="1"/>
  <c r="M6" i="9" l="1"/>
  <c r="M5" i="9"/>
  <c r="O40" i="9"/>
  <c r="N40" i="9"/>
  <c r="M40" i="9"/>
  <c r="L40" i="9"/>
  <c r="K40" i="9"/>
  <c r="J40" i="9"/>
  <c r="I40" i="9"/>
  <c r="H40" i="9"/>
  <c r="G40" i="9"/>
  <c r="F40" i="9"/>
  <c r="E40" i="9"/>
  <c r="D40" i="9"/>
  <c r="C40" i="9"/>
  <c r="B40" i="9"/>
  <c r="A40" i="9"/>
  <c r="O30" i="9"/>
  <c r="O31" i="9"/>
  <c r="O32" i="9"/>
  <c r="N5" i="9" s="1"/>
  <c r="O35" i="9"/>
  <c r="N8" i="9" s="1"/>
  <c r="O36" i="9"/>
  <c r="N6" i="9" s="1"/>
  <c r="O37" i="9"/>
  <c r="O38" i="9"/>
  <c r="O39" i="9"/>
  <c r="N9" i="9"/>
  <c r="N10" i="9"/>
  <c r="N11" i="9"/>
  <c r="N12" i="9"/>
  <c r="N13" i="9"/>
  <c r="N729" i="1" l="1"/>
  <c r="M729" i="1"/>
  <c r="N563" i="1" l="1"/>
  <c r="O552" i="1"/>
  <c r="N552" i="1"/>
  <c r="M552" i="1"/>
  <c r="M563" i="1"/>
  <c r="P411" i="1"/>
  <c r="O411" i="1"/>
  <c r="N411" i="1"/>
  <c r="M411" i="1"/>
  <c r="P75" i="1" l="1"/>
  <c r="P79" i="1"/>
  <c r="P81" i="1"/>
  <c r="P82" i="1"/>
  <c r="P84" i="1" s="1"/>
  <c r="P83" i="1"/>
  <c r="P86" i="1"/>
  <c r="P90" i="1"/>
  <c r="P92" i="1"/>
  <c r="P100" i="1"/>
  <c r="P111" i="1"/>
  <c r="P115" i="1"/>
  <c r="P117" i="1"/>
  <c r="P118" i="1"/>
  <c r="P119" i="1"/>
  <c r="P122" i="1"/>
  <c r="P126" i="1"/>
  <c r="P128" i="1"/>
  <c r="P136" i="1"/>
  <c r="P147" i="1"/>
  <c r="P151" i="1"/>
  <c r="P153" i="1"/>
  <c r="P154" i="1"/>
  <c r="P155" i="1"/>
  <c r="P158" i="1"/>
  <c r="P162" i="1"/>
  <c r="P164" i="1"/>
  <c r="P172" i="1"/>
  <c r="P183" i="1"/>
  <c r="P187" i="1"/>
  <c r="P189" i="1"/>
  <c r="P190" i="1"/>
  <c r="P192" i="1" s="1"/>
  <c r="P212" i="1" s="1"/>
  <c r="O25" i="9" s="1"/>
  <c r="P191" i="1"/>
  <c r="P194" i="1"/>
  <c r="P198" i="1"/>
  <c r="P200" i="1"/>
  <c r="P208" i="1"/>
  <c r="P219" i="1"/>
  <c r="P223" i="1"/>
  <c r="P225" i="1"/>
  <c r="P226" i="1"/>
  <c r="P228" i="1" s="1"/>
  <c r="P227" i="1"/>
  <c r="P230" i="1"/>
  <c r="P234" i="1"/>
  <c r="P236" i="1"/>
  <c r="P244" i="1"/>
  <c r="P255" i="1"/>
  <c r="P259" i="1"/>
  <c r="P261" i="1"/>
  <c r="P262" i="1"/>
  <c r="P263" i="1"/>
  <c r="P266" i="1"/>
  <c r="P270" i="1"/>
  <c r="P280" i="1"/>
  <c r="P291" i="1"/>
  <c r="P295" i="1"/>
  <c r="P297" i="1"/>
  <c r="P298" i="1"/>
  <c r="P300" i="1" s="1"/>
  <c r="P320" i="1" s="1"/>
  <c r="O28" i="9" s="1"/>
  <c r="P299" i="1"/>
  <c r="P302" i="1"/>
  <c r="P306" i="1"/>
  <c r="P308" i="1"/>
  <c r="P316" i="1"/>
  <c r="P327" i="1"/>
  <c r="P331" i="1"/>
  <c r="P333" i="1"/>
  <c r="P334" i="1"/>
  <c r="P335" i="1"/>
  <c r="P336" i="1" s="1"/>
  <c r="P338" i="1"/>
  <c r="P342" i="1"/>
  <c r="P344" i="1"/>
  <c r="P352" i="1"/>
  <c r="P363" i="1"/>
  <c r="P367" i="1"/>
  <c r="P369" i="1"/>
  <c r="P370" i="1"/>
  <c r="P372" i="1" s="1"/>
  <c r="P392" i="1" s="1"/>
  <c r="P371" i="1"/>
  <c r="P374" i="1"/>
  <c r="P378" i="1"/>
  <c r="P380" i="1"/>
  <c r="P388" i="1"/>
  <c r="P399" i="1"/>
  <c r="P403" i="1"/>
  <c r="P405" i="1"/>
  <c r="P407" i="1"/>
  <c r="P410" i="1"/>
  <c r="P413" i="1"/>
  <c r="P414" i="1"/>
  <c r="P416" i="1"/>
  <c r="P434" i="1"/>
  <c r="P443" i="1"/>
  <c r="P447" i="1"/>
  <c r="P449" i="1"/>
  <c r="P450" i="1"/>
  <c r="P452" i="1" s="1"/>
  <c r="P451" i="1"/>
  <c r="P454" i="1"/>
  <c r="P458" i="1"/>
  <c r="P460" i="1"/>
  <c r="P468" i="1"/>
  <c r="P479" i="1"/>
  <c r="P483" i="1"/>
  <c r="P485" i="1"/>
  <c r="P486" i="1"/>
  <c r="P488" i="1" s="1"/>
  <c r="P487" i="1"/>
  <c r="P490" i="1"/>
  <c r="P494" i="1"/>
  <c r="P496" i="1"/>
  <c r="P504" i="1"/>
  <c r="P515" i="1"/>
  <c r="P519" i="1"/>
  <c r="P521" i="1"/>
  <c r="P522" i="1"/>
  <c r="P523" i="1"/>
  <c r="P526" i="1"/>
  <c r="P530" i="1"/>
  <c r="P532" i="1"/>
  <c r="P540" i="1"/>
  <c r="P551" i="1"/>
  <c r="P555" i="1"/>
  <c r="P557" i="1"/>
  <c r="P558" i="1"/>
  <c r="P560" i="1" s="1"/>
  <c r="P590" i="1" s="1"/>
  <c r="P559" i="1"/>
  <c r="P562" i="1"/>
  <c r="P566" i="1"/>
  <c r="P568" i="1"/>
  <c r="P586" i="1"/>
  <c r="P597" i="1"/>
  <c r="P601" i="1"/>
  <c r="P605" i="1" s="1"/>
  <c r="P606" i="1" s="1"/>
  <c r="P630" i="1" s="1"/>
  <c r="P603" i="1"/>
  <c r="P604" i="1"/>
  <c r="P608" i="1"/>
  <c r="P612" i="1"/>
  <c r="P626" i="1"/>
  <c r="P637" i="1"/>
  <c r="P641" i="1"/>
  <c r="P643" i="1"/>
  <c r="P644" i="1"/>
  <c r="P648" i="1"/>
  <c r="P652" i="1"/>
  <c r="P654" i="1"/>
  <c r="P677" i="1"/>
  <c r="P681" i="1"/>
  <c r="P683" i="1"/>
  <c r="P684" i="1"/>
  <c r="P686" i="1" s="1"/>
  <c r="P685" i="1"/>
  <c r="P688" i="1"/>
  <c r="P692" i="1"/>
  <c r="P694" i="1"/>
  <c r="P706" i="1"/>
  <c r="P717" i="1"/>
  <c r="P721" i="1"/>
  <c r="P723" i="1"/>
  <c r="P725" i="1"/>
  <c r="P728" i="1"/>
  <c r="P731" i="1"/>
  <c r="P732" i="1" s="1"/>
  <c r="P734" i="1"/>
  <c r="P748" i="1"/>
  <c r="O44" i="6" s="1"/>
  <c r="P758" i="1"/>
  <c r="P762" i="1"/>
  <c r="P764" i="1"/>
  <c r="P765" i="1"/>
  <c r="P766" i="1"/>
  <c r="P767" i="1"/>
  <c r="P769" i="1"/>
  <c r="P772" i="1"/>
  <c r="P773" i="1" s="1"/>
  <c r="P775" i="1"/>
  <c r="P789" i="1"/>
  <c r="P38" i="1"/>
  <c r="P42" i="1"/>
  <c r="P68" i="1" s="1"/>
  <c r="O21" i="9" s="1"/>
  <c r="P44" i="1"/>
  <c r="P47" i="1"/>
  <c r="P49" i="1"/>
  <c r="P53" i="1"/>
  <c r="P55" i="1"/>
  <c r="P64" i="1"/>
  <c r="C756" i="1"/>
  <c r="B759" i="1" s="1"/>
  <c r="E758" i="1"/>
  <c r="F758" i="1"/>
  <c r="G758" i="1"/>
  <c r="H758" i="1" s="1"/>
  <c r="I758" i="1" s="1"/>
  <c r="J758" i="1" s="1"/>
  <c r="K758" i="1" s="1"/>
  <c r="L758" i="1" s="1"/>
  <c r="M758" i="1" s="1"/>
  <c r="N758" i="1" s="1"/>
  <c r="O758" i="1" s="1"/>
  <c r="D762" i="1"/>
  <c r="E762" i="1"/>
  <c r="F762" i="1"/>
  <c r="F793" i="1" s="1"/>
  <c r="G762" i="1"/>
  <c r="H762" i="1"/>
  <c r="I762" i="1"/>
  <c r="J762" i="1"/>
  <c r="J793" i="1" s="1"/>
  <c r="K762" i="1"/>
  <c r="L762" i="1"/>
  <c r="M762" i="1"/>
  <c r="N762" i="1"/>
  <c r="O762" i="1"/>
  <c r="D764" i="1"/>
  <c r="E764" i="1" s="1"/>
  <c r="F764" i="1" s="1"/>
  <c r="G764" i="1" s="1"/>
  <c r="H764" i="1" s="1"/>
  <c r="I764" i="1" s="1"/>
  <c r="J764" i="1" s="1"/>
  <c r="K764" i="1" s="1"/>
  <c r="L764" i="1" s="1"/>
  <c r="M764" i="1" s="1"/>
  <c r="N764" i="1" s="1"/>
  <c r="O764" i="1" s="1"/>
  <c r="D765" i="1"/>
  <c r="E765" i="1"/>
  <c r="F765" i="1"/>
  <c r="G765" i="1"/>
  <c r="H765" i="1"/>
  <c r="I765" i="1"/>
  <c r="J765" i="1"/>
  <c r="K765" i="1"/>
  <c r="L765" i="1"/>
  <c r="M765" i="1"/>
  <c r="N765" i="1"/>
  <c r="N767" i="1" s="1"/>
  <c r="O765" i="1"/>
  <c r="O767" i="1" s="1"/>
  <c r="D766" i="1"/>
  <c r="E766" i="1"/>
  <c r="F766" i="1"/>
  <c r="G766" i="1"/>
  <c r="H766" i="1"/>
  <c r="I766" i="1"/>
  <c r="J766" i="1"/>
  <c r="K766" i="1"/>
  <c r="L766" i="1"/>
  <c r="M766" i="1"/>
  <c r="N766" i="1"/>
  <c r="O766" i="1"/>
  <c r="D767" i="1"/>
  <c r="E767" i="1"/>
  <c r="F767" i="1"/>
  <c r="G767" i="1"/>
  <c r="H767" i="1"/>
  <c r="I767" i="1"/>
  <c r="J767" i="1"/>
  <c r="K767" i="1"/>
  <c r="L767" i="1"/>
  <c r="M767" i="1"/>
  <c r="D769" i="1"/>
  <c r="E769" i="1"/>
  <c r="F769" i="1"/>
  <c r="G769" i="1" s="1"/>
  <c r="H769" i="1" s="1"/>
  <c r="I769" i="1" s="1"/>
  <c r="J769" i="1" s="1"/>
  <c r="K769" i="1" s="1"/>
  <c r="L769" i="1" s="1"/>
  <c r="M769" i="1" s="1"/>
  <c r="N769" i="1" s="1"/>
  <c r="O769" i="1" s="1"/>
  <c r="K772" i="1"/>
  <c r="L772" i="1"/>
  <c r="M772" i="1"/>
  <c r="M773" i="1" s="1"/>
  <c r="M793" i="1" s="1"/>
  <c r="N772" i="1"/>
  <c r="O772" i="1"/>
  <c r="D773" i="1"/>
  <c r="E773" i="1"/>
  <c r="F773" i="1"/>
  <c r="G773" i="1"/>
  <c r="G793" i="1" s="1"/>
  <c r="H773" i="1"/>
  <c r="I773" i="1"/>
  <c r="J773" i="1"/>
  <c r="K773" i="1"/>
  <c r="L773" i="1"/>
  <c r="L793" i="1" s="1"/>
  <c r="N773" i="1"/>
  <c r="O773" i="1"/>
  <c r="D775" i="1"/>
  <c r="E775" i="1" s="1"/>
  <c r="F775" i="1" s="1"/>
  <c r="G775" i="1" s="1"/>
  <c r="H775" i="1" s="1"/>
  <c r="I775" i="1" s="1"/>
  <c r="J775" i="1" s="1"/>
  <c r="K775" i="1" s="1"/>
  <c r="L775" i="1" s="1"/>
  <c r="M775" i="1" s="1"/>
  <c r="N775" i="1" s="1"/>
  <c r="O775" i="1" s="1"/>
  <c r="B776" i="1"/>
  <c r="E776" i="1"/>
  <c r="B777" i="1"/>
  <c r="D777" i="1"/>
  <c r="D789" i="1" s="1"/>
  <c r="D793" i="1" s="1"/>
  <c r="B778" i="1"/>
  <c r="F778" i="1"/>
  <c r="B779" i="1"/>
  <c r="E779" i="1"/>
  <c r="B780" i="1"/>
  <c r="G780" i="1"/>
  <c r="I780" i="1"/>
  <c r="J780" i="1"/>
  <c r="J789" i="1" s="1"/>
  <c r="B781" i="1"/>
  <c r="F781" i="1"/>
  <c r="B782" i="1"/>
  <c r="H782" i="1"/>
  <c r="B783" i="1"/>
  <c r="G783" i="1"/>
  <c r="B784" i="1"/>
  <c r="I784" i="1"/>
  <c r="J784" i="1" s="1"/>
  <c r="B785" i="1"/>
  <c r="H785" i="1"/>
  <c r="B786" i="1"/>
  <c r="B787" i="1"/>
  <c r="B788" i="1"/>
  <c r="E789" i="1"/>
  <c r="F789" i="1"/>
  <c r="G789" i="1"/>
  <c r="H789" i="1"/>
  <c r="I789" i="1"/>
  <c r="K789" i="1"/>
  <c r="L789" i="1"/>
  <c r="M789" i="1"/>
  <c r="N789" i="1"/>
  <c r="O789" i="1"/>
  <c r="E793" i="1"/>
  <c r="H793" i="1"/>
  <c r="I793" i="1"/>
  <c r="O9" i="6"/>
  <c r="O18" i="6"/>
  <c r="O38" i="6"/>
  <c r="O42" i="6" s="1"/>
  <c r="P524" i="1" l="1"/>
  <c r="P544" i="1" s="1"/>
  <c r="O34" i="9" s="1"/>
  <c r="P356" i="1"/>
  <c r="O29" i="9" s="1"/>
  <c r="P120" i="1"/>
  <c r="P264" i="1"/>
  <c r="P248" i="1"/>
  <c r="O26" i="9" s="1"/>
  <c r="P104" i="1"/>
  <c r="O22" i="9" s="1"/>
  <c r="P156" i="1"/>
  <c r="P176" i="1" s="1"/>
  <c r="O24" i="9" s="1"/>
  <c r="P140" i="1"/>
  <c r="O23" i="9" s="1"/>
  <c r="P793" i="1"/>
  <c r="O793" i="1"/>
  <c r="P724" i="1"/>
  <c r="P726" i="1" s="1"/>
  <c r="P752" i="1" s="1"/>
  <c r="P710" i="1"/>
  <c r="P508" i="1"/>
  <c r="O33" i="9" s="1"/>
  <c r="P472" i="1"/>
  <c r="P284" i="1"/>
  <c r="O27" i="9" s="1"/>
  <c r="P645" i="1"/>
  <c r="P646" i="1" s="1"/>
  <c r="P406" i="1"/>
  <c r="P408" i="1" s="1"/>
  <c r="P438" i="1" s="1"/>
  <c r="N793" i="1"/>
  <c r="K793" i="1"/>
  <c r="O20" i="6"/>
  <c r="N7" i="9" l="1"/>
  <c r="N14" i="9" s="1"/>
  <c r="O14" i="6"/>
  <c r="O46" i="6" s="1"/>
  <c r="P670" i="1"/>
  <c r="O42" i="1"/>
  <c r="O47" i="1"/>
  <c r="O53" i="1"/>
  <c r="O64" i="1"/>
  <c r="O79" i="1"/>
  <c r="O82" i="1"/>
  <c r="O83" i="1"/>
  <c r="O90" i="1"/>
  <c r="O100" i="1"/>
  <c r="O115" i="1"/>
  <c r="O118" i="1"/>
  <c r="O119" i="1"/>
  <c r="O126" i="1"/>
  <c r="O136" i="1"/>
  <c r="O151" i="1"/>
  <c r="O154" i="1"/>
  <c r="O155" i="1"/>
  <c r="O162" i="1"/>
  <c r="O172" i="1"/>
  <c r="O187" i="1"/>
  <c r="O190" i="1"/>
  <c r="O191" i="1"/>
  <c r="O192" i="1" s="1"/>
  <c r="O198" i="1"/>
  <c r="O208" i="1"/>
  <c r="O223" i="1"/>
  <c r="O226" i="1"/>
  <c r="O227" i="1"/>
  <c r="O234" i="1"/>
  <c r="O244" i="1"/>
  <c r="O259" i="1"/>
  <c r="O262" i="1"/>
  <c r="O263" i="1"/>
  <c r="O270" i="1"/>
  <c r="O280" i="1"/>
  <c r="O295" i="1"/>
  <c r="O298" i="1"/>
  <c r="O299" i="1"/>
  <c r="O306" i="1"/>
  <c r="O316" i="1"/>
  <c r="O331" i="1"/>
  <c r="O334" i="1"/>
  <c r="O335" i="1"/>
  <c r="O342" i="1"/>
  <c r="O352" i="1"/>
  <c r="O367" i="1"/>
  <c r="O370" i="1"/>
  <c r="O371" i="1"/>
  <c r="O378" i="1"/>
  <c r="O388" i="1"/>
  <c r="O403" i="1"/>
  <c r="O406" i="1" s="1"/>
  <c r="O407" i="1"/>
  <c r="O413" i="1"/>
  <c r="O414" i="1" s="1"/>
  <c r="O434" i="1"/>
  <c r="O447" i="1"/>
  <c r="O450" i="1"/>
  <c r="O451" i="1"/>
  <c r="O458" i="1"/>
  <c r="O468" i="1"/>
  <c r="O483" i="1"/>
  <c r="O486" i="1"/>
  <c r="O487" i="1"/>
  <c r="O494" i="1"/>
  <c r="O504" i="1"/>
  <c r="O519" i="1"/>
  <c r="O522" i="1"/>
  <c r="O523" i="1"/>
  <c r="O530" i="1"/>
  <c r="O540" i="1"/>
  <c r="O555" i="1"/>
  <c r="O559" i="1"/>
  <c r="O566" i="1"/>
  <c r="O586" i="1"/>
  <c r="O601" i="1"/>
  <c r="O605" i="1"/>
  <c r="O612" i="1"/>
  <c r="O626" i="1"/>
  <c r="O641" i="1"/>
  <c r="O645" i="1"/>
  <c r="O652" i="1"/>
  <c r="O681" i="1"/>
  <c r="O684" i="1"/>
  <c r="O685" i="1"/>
  <c r="O692" i="1"/>
  <c r="O706" i="1"/>
  <c r="O721" i="1"/>
  <c r="O724" i="1" s="1"/>
  <c r="O725" i="1"/>
  <c r="O731" i="1"/>
  <c r="O732" i="1" s="1"/>
  <c r="O748" i="1"/>
  <c r="O408" i="1" l="1"/>
  <c r="O264" i="1"/>
  <c r="O284" i="1" s="1"/>
  <c r="N27" i="9" s="1"/>
  <c r="O120" i="1"/>
  <c r="O140" i="1" s="1"/>
  <c r="N23" i="9" s="1"/>
  <c r="O488" i="1"/>
  <c r="O508" i="1" s="1"/>
  <c r="N33" i="9" s="1"/>
  <c r="O524" i="1"/>
  <c r="O544" i="1" s="1"/>
  <c r="N34" i="9" s="1"/>
  <c r="O372" i="1"/>
  <c r="O392" i="1" s="1"/>
  <c r="N30" i="9" s="1"/>
  <c r="O300" i="1"/>
  <c r="O320" i="1" s="1"/>
  <c r="N28" i="9" s="1"/>
  <c r="O452" i="1"/>
  <c r="O472" i="1" s="1"/>
  <c r="N32" i="9" s="1"/>
  <c r="O336" i="1"/>
  <c r="O356" i="1" s="1"/>
  <c r="N29" i="9" s="1"/>
  <c r="O68" i="1"/>
  <c r="N21" i="9" s="1"/>
  <c r="O438" i="1"/>
  <c r="N31" i="9" s="1"/>
  <c r="O686" i="1"/>
  <c r="O710" i="1" s="1"/>
  <c r="N38" i="9" s="1"/>
  <c r="O228" i="1"/>
  <c r="O248" i="1" s="1"/>
  <c r="N26" i="9" s="1"/>
  <c r="O212" i="1"/>
  <c r="N25" i="9" s="1"/>
  <c r="O156" i="1"/>
  <c r="O176" i="1" s="1"/>
  <c r="N24" i="9" s="1"/>
  <c r="O84" i="1"/>
  <c r="O104" i="1" s="1"/>
  <c r="N22" i="9" s="1"/>
  <c r="O726" i="1"/>
  <c r="O752" i="1" s="1"/>
  <c r="N39" i="9" s="1"/>
  <c r="N9" i="6"/>
  <c r="N18" i="6"/>
  <c r="N38" i="6"/>
  <c r="N42" i="6" s="1"/>
  <c r="N44" i="6"/>
  <c r="K748" i="1"/>
  <c r="L586" i="1"/>
  <c r="K586" i="1"/>
  <c r="K411" i="1"/>
  <c r="K563" i="1"/>
  <c r="M7" i="9" l="1"/>
  <c r="N20" i="6"/>
  <c r="K731" i="1" l="1"/>
  <c r="M731" i="1"/>
  <c r="N731" i="1"/>
  <c r="L729" i="1"/>
  <c r="L731" i="1" s="1"/>
  <c r="L411" i="1"/>
  <c r="L563" i="1"/>
  <c r="L552" i="1" l="1"/>
  <c r="N721" i="1" l="1"/>
  <c r="N724" i="1" s="1"/>
  <c r="N725" i="1"/>
  <c r="N732" i="1"/>
  <c r="N748" i="1"/>
  <c r="M44" i="6" s="1"/>
  <c r="N681" i="1"/>
  <c r="N684" i="1"/>
  <c r="N685" i="1"/>
  <c r="N692" i="1"/>
  <c r="N706" i="1"/>
  <c r="N641" i="1"/>
  <c r="N645" i="1" s="1"/>
  <c r="N652" i="1"/>
  <c r="N601" i="1"/>
  <c r="N605" i="1" s="1"/>
  <c r="N612" i="1"/>
  <c r="N626" i="1"/>
  <c r="N555" i="1"/>
  <c r="N559" i="1"/>
  <c r="N566" i="1"/>
  <c r="N586" i="1"/>
  <c r="N519" i="1"/>
  <c r="N522" i="1"/>
  <c r="N524" i="1" s="1"/>
  <c r="N523" i="1"/>
  <c r="N530" i="1"/>
  <c r="N540" i="1"/>
  <c r="N483" i="1"/>
  <c r="N486" i="1"/>
  <c r="N487" i="1"/>
  <c r="N494" i="1"/>
  <c r="N504" i="1"/>
  <c r="N447" i="1"/>
  <c r="N450" i="1"/>
  <c r="N451" i="1"/>
  <c r="N458" i="1"/>
  <c r="N468" i="1"/>
  <c r="N403" i="1"/>
  <c r="N406" i="1" s="1"/>
  <c r="N407" i="1"/>
  <c r="N413" i="1"/>
  <c r="N414" i="1" s="1"/>
  <c r="N434" i="1"/>
  <c r="N367" i="1"/>
  <c r="N370" i="1"/>
  <c r="N371" i="1"/>
  <c r="N378" i="1"/>
  <c r="N388" i="1"/>
  <c r="N331" i="1"/>
  <c r="N334" i="1"/>
  <c r="N335" i="1"/>
  <c r="N342" i="1"/>
  <c r="N352" i="1"/>
  <c r="N295" i="1"/>
  <c r="N298" i="1"/>
  <c r="N299" i="1"/>
  <c r="N306" i="1"/>
  <c r="N316" i="1"/>
  <c r="N259" i="1"/>
  <c r="N262" i="1"/>
  <c r="N263" i="1"/>
  <c r="N270" i="1"/>
  <c r="N280" i="1"/>
  <c r="N223" i="1"/>
  <c r="N226" i="1"/>
  <c r="N227" i="1"/>
  <c r="N234" i="1"/>
  <c r="N244" i="1"/>
  <c r="N187" i="1"/>
  <c r="N190" i="1"/>
  <c r="N191" i="1"/>
  <c r="N198" i="1"/>
  <c r="N208" i="1"/>
  <c r="N151" i="1"/>
  <c r="N154" i="1"/>
  <c r="N155" i="1"/>
  <c r="N162" i="1"/>
  <c r="N172" i="1"/>
  <c r="N115" i="1"/>
  <c r="N118" i="1"/>
  <c r="N119" i="1"/>
  <c r="N126" i="1"/>
  <c r="N136" i="1"/>
  <c r="N79" i="1"/>
  <c r="N82" i="1"/>
  <c r="N83" i="1"/>
  <c r="N90" i="1"/>
  <c r="N100" i="1"/>
  <c r="N47" i="1"/>
  <c r="N53" i="1"/>
  <c r="N64" i="1"/>
  <c r="N42" i="1"/>
  <c r="D42" i="6"/>
  <c r="H42" i="6"/>
  <c r="C42" i="6"/>
  <c r="J44" i="6"/>
  <c r="N84" i="1" l="1"/>
  <c r="N104" i="1" s="1"/>
  <c r="M22" i="9" s="1"/>
  <c r="N372" i="1"/>
  <c r="N392" i="1" s="1"/>
  <c r="M30" i="9" s="1"/>
  <c r="N686" i="1"/>
  <c r="N710" i="1" s="1"/>
  <c r="M38" i="9" s="1"/>
  <c r="N264" i="1"/>
  <c r="N284" i="1" s="1"/>
  <c r="M27" i="9" s="1"/>
  <c r="N300" i="1"/>
  <c r="N320" i="1" s="1"/>
  <c r="M28" i="9" s="1"/>
  <c r="N452" i="1"/>
  <c r="N726" i="1"/>
  <c r="N752" i="1" s="1"/>
  <c r="M39" i="9" s="1"/>
  <c r="N156" i="1"/>
  <c r="N176" i="1" s="1"/>
  <c r="M24" i="9" s="1"/>
  <c r="N488" i="1"/>
  <c r="N508" i="1" s="1"/>
  <c r="M33" i="9" s="1"/>
  <c r="N336" i="1"/>
  <c r="N356" i="1" s="1"/>
  <c r="M29" i="9" s="1"/>
  <c r="N228" i="1"/>
  <c r="N248" i="1" s="1"/>
  <c r="M26" i="9" s="1"/>
  <c r="N408" i="1"/>
  <c r="N438" i="1" s="1"/>
  <c r="M31" i="9" s="1"/>
  <c r="N192" i="1"/>
  <c r="N212" i="1" s="1"/>
  <c r="M25" i="9" s="1"/>
  <c r="N120" i="1"/>
  <c r="N140" i="1" s="1"/>
  <c r="M23" i="9" s="1"/>
  <c r="N68" i="1"/>
  <c r="M21" i="9" s="1"/>
  <c r="N544" i="1"/>
  <c r="M34" i="9" s="1"/>
  <c r="N472" i="1"/>
  <c r="M32" i="9" s="1"/>
  <c r="A41" i="6" l="1"/>
  <c r="A40" i="6"/>
  <c r="M9" i="6" l="1"/>
  <c r="M12" i="6"/>
  <c r="M17" i="6"/>
  <c r="M18" i="6"/>
  <c r="M19" i="6"/>
  <c r="M38" i="6"/>
  <c r="M42" i="6" s="1"/>
  <c r="M20" i="6" l="1"/>
  <c r="I33" i="6"/>
  <c r="I42" i="6" s="1"/>
  <c r="J434" i="1" l="1"/>
  <c r="J411" i="1"/>
  <c r="J563" i="1"/>
  <c r="B585" i="1"/>
  <c r="B584" i="1"/>
  <c r="B583" i="1"/>
  <c r="B582" i="1"/>
  <c r="B581" i="1"/>
  <c r="B580" i="1"/>
  <c r="J579" i="1"/>
  <c r="J586" i="1" s="1"/>
  <c r="H586" i="1"/>
  <c r="M721" i="1" l="1"/>
  <c r="M724" i="1" s="1"/>
  <c r="M725" i="1"/>
  <c r="M732" i="1"/>
  <c r="M748" i="1"/>
  <c r="L44" i="6" s="1"/>
  <c r="M681" i="1"/>
  <c r="M684" i="1"/>
  <c r="M685" i="1"/>
  <c r="M692" i="1"/>
  <c r="M706" i="1"/>
  <c r="M641" i="1"/>
  <c r="M645" i="1" s="1"/>
  <c r="M652" i="1"/>
  <c r="M601" i="1"/>
  <c r="M605" i="1" s="1"/>
  <c r="M612" i="1"/>
  <c r="M626" i="1"/>
  <c r="M555" i="1"/>
  <c r="M559" i="1"/>
  <c r="M566" i="1"/>
  <c r="M586" i="1"/>
  <c r="M519" i="1"/>
  <c r="M522" i="1"/>
  <c r="M523" i="1"/>
  <c r="M530" i="1"/>
  <c r="M540" i="1"/>
  <c r="M483" i="1"/>
  <c r="M486" i="1"/>
  <c r="M487" i="1"/>
  <c r="M494" i="1"/>
  <c r="M504" i="1"/>
  <c r="M447" i="1"/>
  <c r="M450" i="1"/>
  <c r="M451" i="1"/>
  <c r="M458" i="1"/>
  <c r="M468" i="1"/>
  <c r="M403" i="1"/>
  <c r="M406" i="1" s="1"/>
  <c r="M407" i="1"/>
  <c r="M413" i="1"/>
  <c r="M414" i="1" s="1"/>
  <c r="M434" i="1"/>
  <c r="L38" i="6" s="1"/>
  <c r="L42" i="6" s="1"/>
  <c r="M367" i="1"/>
  <c r="M370" i="1"/>
  <c r="M371" i="1"/>
  <c r="M378" i="1"/>
  <c r="M388" i="1"/>
  <c r="M331" i="1"/>
  <c r="M334" i="1"/>
  <c r="M335" i="1"/>
  <c r="M342" i="1"/>
  <c r="M352" i="1"/>
  <c r="M295" i="1"/>
  <c r="M298" i="1"/>
  <c r="M299" i="1"/>
  <c r="M306" i="1"/>
  <c r="M316" i="1"/>
  <c r="M259" i="1"/>
  <c r="M262" i="1"/>
  <c r="M263" i="1"/>
  <c r="M270" i="1"/>
  <c r="M280" i="1"/>
  <c r="M223" i="1"/>
  <c r="M226" i="1"/>
  <c r="M227" i="1"/>
  <c r="M234" i="1"/>
  <c r="M244" i="1"/>
  <c r="M187" i="1"/>
  <c r="M190" i="1"/>
  <c r="M191" i="1"/>
  <c r="M198" i="1"/>
  <c r="M208" i="1"/>
  <c r="M151" i="1"/>
  <c r="M154" i="1"/>
  <c r="M155" i="1"/>
  <c r="M162" i="1"/>
  <c r="M172" i="1"/>
  <c r="M115" i="1"/>
  <c r="M118" i="1"/>
  <c r="M119" i="1"/>
  <c r="M126" i="1"/>
  <c r="M136" i="1"/>
  <c r="M79" i="1"/>
  <c r="M82" i="1"/>
  <c r="M83" i="1"/>
  <c r="M90" i="1"/>
  <c r="M100" i="1"/>
  <c r="M42" i="1"/>
  <c r="M47" i="1"/>
  <c r="M53" i="1"/>
  <c r="M64" i="1"/>
  <c r="L9" i="6"/>
  <c r="L17" i="6"/>
  <c r="L18" i="6"/>
  <c r="M264" i="1" l="1"/>
  <c r="M524" i="1"/>
  <c r="M544" i="1" s="1"/>
  <c r="L34" i="9" s="1"/>
  <c r="M192" i="1"/>
  <c r="M408" i="1"/>
  <c r="M438" i="1" s="1"/>
  <c r="L31" i="9" s="1"/>
  <c r="M156" i="1"/>
  <c r="M176" i="1" s="1"/>
  <c r="L24" i="9" s="1"/>
  <c r="M726" i="1"/>
  <c r="M752" i="1" s="1"/>
  <c r="L39" i="9" s="1"/>
  <c r="M84" i="1"/>
  <c r="M104" i="1" s="1"/>
  <c r="L22" i="9" s="1"/>
  <c r="M336" i="1"/>
  <c r="M356" i="1" s="1"/>
  <c r="L29" i="9" s="1"/>
  <c r="M284" i="1"/>
  <c r="L27" i="9" s="1"/>
  <c r="M300" i="1"/>
  <c r="M320" i="1" s="1"/>
  <c r="L28" i="9" s="1"/>
  <c r="M68" i="1"/>
  <c r="L21" i="9" s="1"/>
  <c r="M212" i="1"/>
  <c r="L25" i="9" s="1"/>
  <c r="M228" i="1"/>
  <c r="M248" i="1" s="1"/>
  <c r="L26" i="9" s="1"/>
  <c r="M488" i="1"/>
  <c r="M508" i="1" s="1"/>
  <c r="L33" i="9" s="1"/>
  <c r="M452" i="1"/>
  <c r="M472" i="1" s="1"/>
  <c r="L32" i="9" s="1"/>
  <c r="M120" i="1"/>
  <c r="M140" i="1" s="1"/>
  <c r="L23" i="9" s="1"/>
  <c r="M686" i="1"/>
  <c r="M710" i="1" s="1"/>
  <c r="L38" i="9" s="1"/>
  <c r="M372" i="1"/>
  <c r="M392" i="1" s="1"/>
  <c r="L30" i="9" s="1"/>
  <c r="L19" i="6"/>
  <c r="L20" i="6" s="1"/>
  <c r="L12" i="6"/>
  <c r="A39" i="6"/>
  <c r="A38" i="6"/>
  <c r="L434" i="1" l="1"/>
  <c r="K38" i="6" s="1"/>
  <c r="K42" i="6" s="1"/>
  <c r="K432" i="1"/>
  <c r="K434" i="1" s="1"/>
  <c r="B433" i="1"/>
  <c r="B432" i="1"/>
  <c r="B431" i="1"/>
  <c r="B430" i="1"/>
  <c r="B429" i="1"/>
  <c r="B428" i="1"/>
  <c r="J38" i="6" l="1"/>
  <c r="K367" i="1"/>
  <c r="L367" i="1"/>
  <c r="J187" i="1" l="1"/>
  <c r="K187" i="1"/>
  <c r="L187" i="1"/>
  <c r="J151" i="1"/>
  <c r="K151" i="1"/>
  <c r="L151" i="1"/>
  <c r="J115" i="1"/>
  <c r="K115" i="1"/>
  <c r="L115" i="1"/>
  <c r="J223" i="1" l="1"/>
  <c r="H18" i="6" l="1"/>
  <c r="I18" i="6"/>
  <c r="J18" i="6"/>
  <c r="I17" i="6"/>
  <c r="H17" i="6"/>
  <c r="G17" i="6"/>
  <c r="F17" i="6"/>
  <c r="A37" i="6"/>
  <c r="A36" i="6"/>
  <c r="A34" i="6"/>
  <c r="K18" i="6"/>
  <c r="K17" i="6"/>
  <c r="J17" i="6"/>
  <c r="B39" i="9"/>
  <c r="A39" i="9"/>
  <c r="K9" i="6" l="1"/>
  <c r="J34" i="6"/>
  <c r="J42" i="6" s="1"/>
  <c r="A35" i="6"/>
  <c r="J9" i="6"/>
  <c r="B747" i="1" l="1"/>
  <c r="B746" i="1"/>
  <c r="B744" i="1"/>
  <c r="C715" i="1"/>
  <c r="L748" i="1"/>
  <c r="K44" i="6" s="1"/>
  <c r="H748" i="1"/>
  <c r="G44" i="6" s="1"/>
  <c r="B745" i="1"/>
  <c r="H744" i="1"/>
  <c r="I743" i="1"/>
  <c r="J743" i="1" s="1"/>
  <c r="B743" i="1"/>
  <c r="G742" i="1"/>
  <c r="B742" i="1"/>
  <c r="H741" i="1"/>
  <c r="B741" i="1"/>
  <c r="F740" i="1"/>
  <c r="B740" i="1"/>
  <c r="I739" i="1"/>
  <c r="I748" i="1" s="1"/>
  <c r="H44" i="6" s="1"/>
  <c r="G739" i="1"/>
  <c r="G748" i="1" s="1"/>
  <c r="F44" i="6" s="1"/>
  <c r="B739" i="1"/>
  <c r="E738" i="1"/>
  <c r="B738" i="1"/>
  <c r="F737" i="1"/>
  <c r="B737" i="1"/>
  <c r="D736" i="1"/>
  <c r="D748" i="1" s="1"/>
  <c r="C44" i="6" s="1"/>
  <c r="B736" i="1"/>
  <c r="E735" i="1"/>
  <c r="B735" i="1"/>
  <c r="D734" i="1"/>
  <c r="E734" i="1" s="1"/>
  <c r="F734" i="1" s="1"/>
  <c r="G734" i="1" s="1"/>
  <c r="H734" i="1" s="1"/>
  <c r="I734" i="1" s="1"/>
  <c r="J734" i="1" s="1"/>
  <c r="K734" i="1" s="1"/>
  <c r="L734" i="1" s="1"/>
  <c r="M734" i="1" s="1"/>
  <c r="N734" i="1" s="1"/>
  <c r="O734" i="1" s="1"/>
  <c r="K732" i="1"/>
  <c r="J732" i="1"/>
  <c r="I732" i="1"/>
  <c r="H732" i="1"/>
  <c r="G732" i="1"/>
  <c r="F732" i="1"/>
  <c r="E732" i="1"/>
  <c r="D732" i="1"/>
  <c r="D728" i="1"/>
  <c r="E728" i="1" s="1"/>
  <c r="F728" i="1" s="1"/>
  <c r="G728" i="1" s="1"/>
  <c r="H728" i="1" s="1"/>
  <c r="I728" i="1" s="1"/>
  <c r="J728" i="1" s="1"/>
  <c r="K728" i="1" s="1"/>
  <c r="L728" i="1" s="1"/>
  <c r="M728" i="1" s="1"/>
  <c r="N728" i="1" s="1"/>
  <c r="O728" i="1" s="1"/>
  <c r="L725" i="1"/>
  <c r="K725" i="1"/>
  <c r="J725" i="1"/>
  <c r="I725" i="1"/>
  <c r="H725" i="1"/>
  <c r="G725" i="1"/>
  <c r="F725" i="1"/>
  <c r="E725" i="1"/>
  <c r="D725" i="1"/>
  <c r="J724" i="1"/>
  <c r="I724" i="1"/>
  <c r="H724" i="1"/>
  <c r="G724" i="1"/>
  <c r="F724" i="1"/>
  <c r="E724" i="1"/>
  <c r="D724" i="1"/>
  <c r="D723" i="1"/>
  <c r="E723" i="1" s="1"/>
  <c r="F723" i="1" s="1"/>
  <c r="G723" i="1" s="1"/>
  <c r="H723" i="1" s="1"/>
  <c r="I723" i="1" s="1"/>
  <c r="J723" i="1" s="1"/>
  <c r="K723" i="1" s="1"/>
  <c r="L723" i="1" s="1"/>
  <c r="M723" i="1" s="1"/>
  <c r="N723" i="1" s="1"/>
  <c r="O723" i="1" s="1"/>
  <c r="L721" i="1"/>
  <c r="L724" i="1" s="1"/>
  <c r="K721" i="1"/>
  <c r="K724" i="1" s="1"/>
  <c r="J721" i="1"/>
  <c r="I721" i="1"/>
  <c r="H721" i="1"/>
  <c r="G721" i="1"/>
  <c r="F721" i="1"/>
  <c r="E721" i="1"/>
  <c r="D721" i="1"/>
  <c r="E717" i="1"/>
  <c r="F717" i="1" s="1"/>
  <c r="G717" i="1" s="1"/>
  <c r="H717" i="1" s="1"/>
  <c r="I717" i="1" s="1"/>
  <c r="J717" i="1" s="1"/>
  <c r="K717" i="1" s="1"/>
  <c r="L717" i="1" s="1"/>
  <c r="M717" i="1" s="1"/>
  <c r="N717" i="1" s="1"/>
  <c r="O717" i="1" s="1"/>
  <c r="E748" i="1" l="1"/>
  <c r="D44" i="6" s="1"/>
  <c r="L726" i="1"/>
  <c r="D726" i="1"/>
  <c r="D752" i="1" s="1"/>
  <c r="C39" i="9" s="1"/>
  <c r="H726" i="1"/>
  <c r="H752" i="1" s="1"/>
  <c r="G39" i="9" s="1"/>
  <c r="F748" i="1"/>
  <c r="E44" i="6" s="1"/>
  <c r="F726" i="1"/>
  <c r="J726" i="1"/>
  <c r="E726" i="1"/>
  <c r="E752" i="1" s="1"/>
  <c r="D39" i="9" s="1"/>
  <c r="G726" i="1"/>
  <c r="G752" i="1" s="1"/>
  <c r="F39" i="9" s="1"/>
  <c r="K726" i="1"/>
  <c r="K752" i="1" s="1"/>
  <c r="J39" i="9" s="1"/>
  <c r="I726" i="1"/>
  <c r="I752" i="1" s="1"/>
  <c r="H39" i="9" s="1"/>
  <c r="J739" i="1"/>
  <c r="F752" i="1" l="1"/>
  <c r="E39" i="9" s="1"/>
  <c r="J748" i="1"/>
  <c r="I44" i="6" s="1"/>
  <c r="L706" i="1"/>
  <c r="L692" i="1"/>
  <c r="L685" i="1"/>
  <c r="L684" i="1"/>
  <c r="L681" i="1"/>
  <c r="L652" i="1"/>
  <c r="L641" i="1"/>
  <c r="L645" i="1" s="1"/>
  <c r="L626" i="1"/>
  <c r="L612" i="1"/>
  <c r="L601" i="1"/>
  <c r="L566" i="1"/>
  <c r="L559" i="1"/>
  <c r="L555" i="1"/>
  <c r="L540" i="1"/>
  <c r="L530" i="1"/>
  <c r="L523" i="1"/>
  <c r="L522" i="1"/>
  <c r="L519" i="1"/>
  <c r="L504" i="1"/>
  <c r="L494" i="1"/>
  <c r="L487" i="1"/>
  <c r="L486" i="1"/>
  <c r="L483" i="1"/>
  <c r="L468" i="1"/>
  <c r="L458" i="1"/>
  <c r="L451" i="1"/>
  <c r="L450" i="1"/>
  <c r="L447" i="1"/>
  <c r="L413" i="1"/>
  <c r="L407" i="1"/>
  <c r="L403" i="1"/>
  <c r="L388" i="1"/>
  <c r="L378" i="1"/>
  <c r="L371" i="1"/>
  <c r="L370" i="1"/>
  <c r="L352" i="1"/>
  <c r="L342" i="1"/>
  <c r="L335" i="1"/>
  <c r="L334" i="1"/>
  <c r="L331" i="1"/>
  <c r="L316" i="1"/>
  <c r="L306" i="1"/>
  <c r="L299" i="1"/>
  <c r="L298" i="1"/>
  <c r="L295" i="1"/>
  <c r="L280" i="1"/>
  <c r="L270" i="1"/>
  <c r="L263" i="1"/>
  <c r="L262" i="1"/>
  <c r="L259" i="1"/>
  <c r="L244" i="1"/>
  <c r="L234" i="1"/>
  <c r="L227" i="1"/>
  <c r="L226" i="1"/>
  <c r="L223" i="1"/>
  <c r="L208" i="1"/>
  <c r="L198" i="1"/>
  <c r="L191" i="1"/>
  <c r="L190" i="1"/>
  <c r="L172" i="1"/>
  <c r="L162" i="1"/>
  <c r="L155" i="1"/>
  <c r="L154" i="1"/>
  <c r="L136" i="1"/>
  <c r="L126" i="1"/>
  <c r="L119" i="1"/>
  <c r="L118" i="1"/>
  <c r="L100" i="1"/>
  <c r="L90" i="1"/>
  <c r="L83" i="1"/>
  <c r="L82" i="1"/>
  <c r="L79" i="1"/>
  <c r="L64" i="1"/>
  <c r="L53" i="1"/>
  <c r="L47" i="1"/>
  <c r="L42" i="1"/>
  <c r="L488" i="1" l="1"/>
  <c r="L508" i="1" s="1"/>
  <c r="K33" i="9" s="1"/>
  <c r="L452" i="1"/>
  <c r="L472" i="1" s="1"/>
  <c r="K32" i="9" s="1"/>
  <c r="L414" i="1"/>
  <c r="J752" i="1"/>
  <c r="I39" i="9" s="1"/>
  <c r="L84" i="1"/>
  <c r="L104" i="1" s="1"/>
  <c r="K22" i="9" s="1"/>
  <c r="L120" i="1"/>
  <c r="L140" i="1" s="1"/>
  <c r="K23" i="9" s="1"/>
  <c r="L192" i="1"/>
  <c r="L212" i="1" s="1"/>
  <c r="K25" i="9" s="1"/>
  <c r="L264" i="1"/>
  <c r="L284" i="1" s="1"/>
  <c r="K27" i="9" s="1"/>
  <c r="L300" i="1"/>
  <c r="L320" i="1" s="1"/>
  <c r="K28" i="9" s="1"/>
  <c r="L524" i="1"/>
  <c r="L544" i="1" s="1"/>
  <c r="K34" i="9" s="1"/>
  <c r="L686" i="1"/>
  <c r="L710" i="1" s="1"/>
  <c r="K38" i="9" s="1"/>
  <c r="L372" i="1"/>
  <c r="L392" i="1" s="1"/>
  <c r="K30" i="9" s="1"/>
  <c r="L336" i="1"/>
  <c r="L356" i="1" s="1"/>
  <c r="K29" i="9" s="1"/>
  <c r="L228" i="1"/>
  <c r="L248" i="1" s="1"/>
  <c r="K26" i="9" s="1"/>
  <c r="L156" i="1"/>
  <c r="L176" i="1" s="1"/>
  <c r="K24" i="9" s="1"/>
  <c r="K12" i="6"/>
  <c r="L68" i="1"/>
  <c r="K21" i="9" s="1"/>
  <c r="L406" i="1"/>
  <c r="L408" i="1" s="1"/>
  <c r="K706" i="1"/>
  <c r="K692" i="1"/>
  <c r="K684" i="1"/>
  <c r="K685" i="1"/>
  <c r="K681" i="1"/>
  <c r="K626" i="1"/>
  <c r="K612" i="1"/>
  <c r="K601" i="1"/>
  <c r="K605" i="1" s="1"/>
  <c r="K566" i="1"/>
  <c r="K559" i="1"/>
  <c r="K555" i="1"/>
  <c r="K540" i="1"/>
  <c r="K530" i="1"/>
  <c r="K522" i="1"/>
  <c r="K523" i="1"/>
  <c r="K519" i="1"/>
  <c r="K652" i="1"/>
  <c r="K641" i="1"/>
  <c r="K645" i="1" s="1"/>
  <c r="K280" i="1"/>
  <c r="K352" i="1"/>
  <c r="K468" i="1"/>
  <c r="K504" i="1"/>
  <c r="K494" i="1"/>
  <c r="K486" i="1"/>
  <c r="K487" i="1"/>
  <c r="K483" i="1"/>
  <c r="K458" i="1"/>
  <c r="K450" i="1"/>
  <c r="K451" i="1"/>
  <c r="K447" i="1"/>
  <c r="K413" i="1"/>
  <c r="K686" i="1" l="1"/>
  <c r="K710" i="1" s="1"/>
  <c r="J38" i="9" s="1"/>
  <c r="K414" i="1"/>
  <c r="J19" i="6"/>
  <c r="J20" i="6" s="1"/>
  <c r="K488" i="1"/>
  <c r="K508" i="1" s="1"/>
  <c r="J33" i="9" s="1"/>
  <c r="K452" i="1"/>
  <c r="K472" i="1" s="1"/>
  <c r="J32" i="9" s="1"/>
  <c r="K524" i="1"/>
  <c r="K544" i="1" s="1"/>
  <c r="J34" i="9" s="1"/>
  <c r="K407" i="1" l="1"/>
  <c r="K403" i="1"/>
  <c r="K388" i="1"/>
  <c r="K378" i="1"/>
  <c r="K370" i="1"/>
  <c r="K371" i="1"/>
  <c r="K334" i="1"/>
  <c r="K335" i="1"/>
  <c r="K342" i="1"/>
  <c r="K316" i="1"/>
  <c r="K331" i="1"/>
  <c r="K306" i="1"/>
  <c r="K298" i="1"/>
  <c r="K299" i="1"/>
  <c r="K295" i="1"/>
  <c r="K406" i="1" l="1"/>
  <c r="K408" i="1" s="1"/>
  <c r="K438" i="1" s="1"/>
  <c r="K372" i="1"/>
  <c r="K392" i="1" s="1"/>
  <c r="J30" i="9" s="1"/>
  <c r="K300" i="1"/>
  <c r="K320" i="1" s="1"/>
  <c r="J28" i="9" s="1"/>
  <c r="K336" i="1"/>
  <c r="K356" i="1" s="1"/>
  <c r="J29" i="9" s="1"/>
  <c r="K270" i="1"/>
  <c r="K262" i="1"/>
  <c r="K263" i="1"/>
  <c r="K259" i="1"/>
  <c r="K244" i="1"/>
  <c r="K234" i="1"/>
  <c r="K226" i="1"/>
  <c r="K227" i="1"/>
  <c r="K223" i="1"/>
  <c r="K208" i="1"/>
  <c r="K198" i="1"/>
  <c r="K190" i="1"/>
  <c r="K191" i="1"/>
  <c r="K172" i="1"/>
  <c r="K162" i="1"/>
  <c r="K154" i="1"/>
  <c r="K155" i="1"/>
  <c r="K228" i="1" l="1"/>
  <c r="K248" i="1" s="1"/>
  <c r="J26" i="9" s="1"/>
  <c r="K192" i="1"/>
  <c r="K212" i="1" s="1"/>
  <c r="J25" i="9" s="1"/>
  <c r="K264" i="1"/>
  <c r="K284" i="1" s="1"/>
  <c r="J27" i="9" s="1"/>
  <c r="K156" i="1"/>
  <c r="K176" i="1" s="1"/>
  <c r="J24" i="9" s="1"/>
  <c r="K136" i="1"/>
  <c r="K100" i="1"/>
  <c r="K64" i="1"/>
  <c r="K53" i="1"/>
  <c r="K47" i="1"/>
  <c r="K79" i="1"/>
  <c r="K90" i="1"/>
  <c r="K82" i="1"/>
  <c r="K83" i="1"/>
  <c r="J31" i="9" l="1"/>
  <c r="K84" i="1"/>
  <c r="K104" i="1" l="1"/>
  <c r="J22" i="9" s="1"/>
  <c r="K118" i="1"/>
  <c r="K119" i="1"/>
  <c r="K126" i="1"/>
  <c r="K42" i="1"/>
  <c r="K68" i="1" l="1"/>
  <c r="J21" i="9" s="1"/>
  <c r="J12" i="6"/>
  <c r="K120" i="1"/>
  <c r="B351" i="1"/>
  <c r="B350" i="1"/>
  <c r="B349" i="1"/>
  <c r="B348" i="1"/>
  <c r="B347" i="1"/>
  <c r="B346" i="1"/>
  <c r="B345" i="1"/>
  <c r="B315" i="1"/>
  <c r="B314" i="1"/>
  <c r="B313" i="1"/>
  <c r="B312" i="1"/>
  <c r="B311" i="1"/>
  <c r="B310" i="1"/>
  <c r="B309" i="1"/>
  <c r="B279" i="1"/>
  <c r="B278" i="1"/>
  <c r="B277" i="1"/>
  <c r="B276" i="1"/>
  <c r="B275" i="1"/>
  <c r="A33" i="6"/>
  <c r="A32" i="6"/>
  <c r="A31" i="6"/>
  <c r="A30" i="6"/>
  <c r="A29" i="6"/>
  <c r="A28" i="6"/>
  <c r="A27" i="6"/>
  <c r="A26" i="6"/>
  <c r="A25" i="6"/>
  <c r="A24" i="6"/>
  <c r="A23" i="6"/>
  <c r="C45" i="6"/>
  <c r="D45" i="6" s="1"/>
  <c r="E45" i="6" s="1"/>
  <c r="F45" i="6" s="1"/>
  <c r="G45" i="6" s="1"/>
  <c r="H45" i="6" s="1"/>
  <c r="I45" i="6" s="1"/>
  <c r="J45" i="6" s="1"/>
  <c r="K45" i="6" s="1"/>
  <c r="L45" i="6" s="1"/>
  <c r="M45" i="6" s="1"/>
  <c r="N45" i="6" s="1"/>
  <c r="O45" i="6" s="1"/>
  <c r="C16" i="6"/>
  <c r="C11" i="6"/>
  <c r="C22" i="6"/>
  <c r="C6" i="6"/>
  <c r="B274" i="1"/>
  <c r="B273" i="1"/>
  <c r="B207" i="1"/>
  <c r="B206" i="1"/>
  <c r="B205" i="1"/>
  <c r="B204" i="1"/>
  <c r="B203" i="1"/>
  <c r="B202" i="1"/>
  <c r="B201" i="1"/>
  <c r="B171" i="1"/>
  <c r="B170" i="1"/>
  <c r="B169" i="1"/>
  <c r="B168" i="1"/>
  <c r="B167" i="1"/>
  <c r="B166" i="1"/>
  <c r="B165" i="1"/>
  <c r="B135" i="1"/>
  <c r="B134" i="1"/>
  <c r="B133" i="1"/>
  <c r="B132" i="1"/>
  <c r="B131" i="1"/>
  <c r="B130" i="1"/>
  <c r="B129" i="1"/>
  <c r="B99" i="1"/>
  <c r="B98" i="1"/>
  <c r="B97" i="1"/>
  <c r="B96" i="1"/>
  <c r="B95" i="1"/>
  <c r="B94" i="1"/>
  <c r="B93" i="1"/>
  <c r="B62" i="1"/>
  <c r="B61" i="1"/>
  <c r="B60" i="1"/>
  <c r="B59" i="1"/>
  <c r="B718" i="1" s="1"/>
  <c r="B58" i="1"/>
  <c r="B243" i="1"/>
  <c r="B242" i="1"/>
  <c r="B241" i="1"/>
  <c r="B240" i="1"/>
  <c r="K140" i="1" l="1"/>
  <c r="J23" i="9" s="1"/>
  <c r="B239" i="1"/>
  <c r="B238" i="1"/>
  <c r="B237" i="1"/>
  <c r="B57" i="1"/>
  <c r="B56" i="1"/>
  <c r="B705" i="1"/>
  <c r="B704" i="1"/>
  <c r="B703" i="1"/>
  <c r="B702" i="1"/>
  <c r="B701" i="1"/>
  <c r="B700" i="1"/>
  <c r="B699" i="1"/>
  <c r="B698" i="1"/>
  <c r="B697" i="1"/>
  <c r="B696" i="1"/>
  <c r="B695" i="1"/>
  <c r="B665" i="1"/>
  <c r="B664" i="1"/>
  <c r="B663" i="1"/>
  <c r="B662" i="1"/>
  <c r="B661" i="1"/>
  <c r="B660" i="1"/>
  <c r="B659" i="1"/>
  <c r="B658" i="1"/>
  <c r="B657" i="1"/>
  <c r="B656" i="1"/>
  <c r="B655" i="1"/>
  <c r="B625" i="1"/>
  <c r="B624" i="1"/>
  <c r="B623" i="1"/>
  <c r="B622" i="1"/>
  <c r="B621" i="1"/>
  <c r="B620" i="1"/>
  <c r="B619" i="1"/>
  <c r="B618" i="1"/>
  <c r="B617" i="1"/>
  <c r="B616" i="1"/>
  <c r="B615" i="1"/>
  <c r="B579" i="1"/>
  <c r="B578" i="1"/>
  <c r="B577" i="1"/>
  <c r="B576" i="1"/>
  <c r="B575" i="1"/>
  <c r="B574" i="1"/>
  <c r="B573" i="1"/>
  <c r="B572" i="1"/>
  <c r="B571" i="1"/>
  <c r="B570" i="1"/>
  <c r="B569" i="1"/>
  <c r="B539" i="1"/>
  <c r="B538" i="1"/>
  <c r="B537" i="1"/>
  <c r="B536" i="1"/>
  <c r="B535" i="1"/>
  <c r="B534" i="1"/>
  <c r="B533" i="1"/>
  <c r="B503" i="1"/>
  <c r="B502" i="1"/>
  <c r="B501" i="1"/>
  <c r="B500" i="1"/>
  <c r="B499" i="1"/>
  <c r="B498" i="1"/>
  <c r="B497" i="1"/>
  <c r="B386" i="1"/>
  <c r="B385" i="1"/>
  <c r="B384" i="1"/>
  <c r="B383" i="1"/>
  <c r="B382" i="1"/>
  <c r="B381" i="1"/>
  <c r="B387" i="1"/>
  <c r="B467" i="1" l="1"/>
  <c r="B466" i="1"/>
  <c r="B465" i="1"/>
  <c r="B464" i="1"/>
  <c r="B463" i="1"/>
  <c r="B462" i="1"/>
  <c r="B461" i="1"/>
  <c r="B427" i="1"/>
  <c r="B426" i="1"/>
  <c r="B425" i="1"/>
  <c r="B424" i="1"/>
  <c r="B423" i="1"/>
  <c r="B422" i="1"/>
  <c r="B421" i="1"/>
  <c r="B420" i="1"/>
  <c r="B419" i="1"/>
  <c r="B418" i="1"/>
  <c r="B417" i="1"/>
  <c r="J685" i="1" l="1"/>
  <c r="I685" i="1"/>
  <c r="H685" i="1"/>
  <c r="G685" i="1"/>
  <c r="F685" i="1"/>
  <c r="E685" i="1"/>
  <c r="D685" i="1"/>
  <c r="J559" i="1"/>
  <c r="I559" i="1"/>
  <c r="H559" i="1"/>
  <c r="D559" i="1"/>
  <c r="E559" i="1"/>
  <c r="F559" i="1"/>
  <c r="G559" i="1"/>
  <c r="J487" i="1"/>
  <c r="I487" i="1"/>
  <c r="H487" i="1"/>
  <c r="F487" i="1"/>
  <c r="E487" i="1"/>
  <c r="D487" i="1"/>
  <c r="J451" i="1"/>
  <c r="I451" i="1"/>
  <c r="H451" i="1"/>
  <c r="D451" i="1"/>
  <c r="E451" i="1"/>
  <c r="F451" i="1"/>
  <c r="D684" i="1"/>
  <c r="E684" i="1"/>
  <c r="F684" i="1"/>
  <c r="F686" i="1" s="1"/>
  <c r="H684" i="1"/>
  <c r="I684" i="1"/>
  <c r="J684" i="1"/>
  <c r="G684" i="1"/>
  <c r="D522" i="1"/>
  <c r="E522" i="1"/>
  <c r="F522" i="1"/>
  <c r="H522" i="1"/>
  <c r="I522" i="1"/>
  <c r="J522" i="1"/>
  <c r="G522" i="1"/>
  <c r="D486" i="1"/>
  <c r="E486" i="1"/>
  <c r="F486" i="1"/>
  <c r="H486" i="1"/>
  <c r="I486" i="1"/>
  <c r="J486" i="1"/>
  <c r="G486" i="1"/>
  <c r="D450" i="1"/>
  <c r="E450" i="1"/>
  <c r="F450" i="1"/>
  <c r="H450" i="1"/>
  <c r="I450" i="1"/>
  <c r="J450" i="1"/>
  <c r="G450" i="1"/>
  <c r="D523" i="1" l="1"/>
  <c r="E523" i="1"/>
  <c r="F523" i="1"/>
  <c r="H523" i="1"/>
  <c r="I523" i="1"/>
  <c r="J523" i="1"/>
  <c r="G523" i="1"/>
  <c r="G487" i="1"/>
  <c r="G451" i="1"/>
  <c r="C675" i="1" l="1"/>
  <c r="C635" i="1"/>
  <c r="H706" i="1"/>
  <c r="F706" i="1"/>
  <c r="H704" i="1"/>
  <c r="I703" i="1"/>
  <c r="J703" i="1" s="1"/>
  <c r="G702" i="1"/>
  <c r="H701" i="1"/>
  <c r="F700" i="1"/>
  <c r="I699" i="1"/>
  <c r="I706" i="1" s="1"/>
  <c r="G699" i="1"/>
  <c r="G706" i="1" s="1"/>
  <c r="E698" i="1"/>
  <c r="F697" i="1"/>
  <c r="D696" i="1"/>
  <c r="D706" i="1" s="1"/>
  <c r="E695" i="1"/>
  <c r="D694" i="1"/>
  <c r="E694" i="1" s="1"/>
  <c r="F694" i="1" s="1"/>
  <c r="G694" i="1" s="1"/>
  <c r="H694" i="1" s="1"/>
  <c r="I694" i="1" s="1"/>
  <c r="J694" i="1" s="1"/>
  <c r="K694" i="1" s="1"/>
  <c r="L694" i="1" s="1"/>
  <c r="M694" i="1" s="1"/>
  <c r="N694" i="1" s="1"/>
  <c r="O694" i="1" s="1"/>
  <c r="J692" i="1"/>
  <c r="I692" i="1"/>
  <c r="H692" i="1"/>
  <c r="G692" i="1"/>
  <c r="F692" i="1"/>
  <c r="E692" i="1"/>
  <c r="D692" i="1"/>
  <c r="D688" i="1"/>
  <c r="E688" i="1" s="1"/>
  <c r="F688" i="1" s="1"/>
  <c r="G688" i="1" s="1"/>
  <c r="H688" i="1" s="1"/>
  <c r="I688" i="1" s="1"/>
  <c r="J688" i="1" s="1"/>
  <c r="K688" i="1" s="1"/>
  <c r="L688" i="1" s="1"/>
  <c r="M688" i="1" s="1"/>
  <c r="N688" i="1" s="1"/>
  <c r="O688" i="1" s="1"/>
  <c r="J686" i="1"/>
  <c r="G686" i="1"/>
  <c r="I686" i="1"/>
  <c r="H686" i="1"/>
  <c r="E686" i="1"/>
  <c r="D686" i="1"/>
  <c r="D683" i="1"/>
  <c r="E683" i="1" s="1"/>
  <c r="F683" i="1" s="1"/>
  <c r="G683" i="1" s="1"/>
  <c r="H683" i="1" s="1"/>
  <c r="I683" i="1" s="1"/>
  <c r="J683" i="1" s="1"/>
  <c r="K683" i="1" s="1"/>
  <c r="L683" i="1" s="1"/>
  <c r="M683" i="1" s="1"/>
  <c r="N683" i="1" s="1"/>
  <c r="O683" i="1" s="1"/>
  <c r="J681" i="1"/>
  <c r="I681" i="1"/>
  <c r="H681" i="1"/>
  <c r="G681" i="1"/>
  <c r="F681" i="1"/>
  <c r="F710" i="1" s="1"/>
  <c r="E38" i="9" s="1"/>
  <c r="E681" i="1"/>
  <c r="D681" i="1"/>
  <c r="E677" i="1"/>
  <c r="F677" i="1" s="1"/>
  <c r="G677" i="1" s="1"/>
  <c r="H677" i="1" s="1"/>
  <c r="I677" i="1" s="1"/>
  <c r="J677" i="1" s="1"/>
  <c r="K677" i="1" s="1"/>
  <c r="L677" i="1" s="1"/>
  <c r="M677" i="1" s="1"/>
  <c r="N677" i="1" s="1"/>
  <c r="O677" i="1" s="1"/>
  <c r="H666" i="1"/>
  <c r="H664" i="1"/>
  <c r="I663" i="1"/>
  <c r="J663" i="1" s="1"/>
  <c r="G662" i="1"/>
  <c r="H661" i="1"/>
  <c r="F660" i="1"/>
  <c r="I659" i="1"/>
  <c r="I666" i="1" s="1"/>
  <c r="G659" i="1"/>
  <c r="G666" i="1" s="1"/>
  <c r="E658" i="1"/>
  <c r="F657" i="1"/>
  <c r="D656" i="1"/>
  <c r="D666" i="1" s="1"/>
  <c r="E655" i="1"/>
  <c r="D654" i="1"/>
  <c r="E654" i="1" s="1"/>
  <c r="F654" i="1" s="1"/>
  <c r="G654" i="1" s="1"/>
  <c r="H654" i="1" s="1"/>
  <c r="I654" i="1" s="1"/>
  <c r="J654" i="1" s="1"/>
  <c r="K654" i="1" s="1"/>
  <c r="L654" i="1" s="1"/>
  <c r="M654" i="1" s="1"/>
  <c r="N654" i="1" s="1"/>
  <c r="O654" i="1" s="1"/>
  <c r="F652" i="1"/>
  <c r="E652" i="1"/>
  <c r="D652" i="1"/>
  <c r="D648" i="1"/>
  <c r="E648" i="1" s="1"/>
  <c r="F648" i="1" s="1"/>
  <c r="G648" i="1" s="1"/>
  <c r="H648" i="1" s="1"/>
  <c r="I648" i="1" s="1"/>
  <c r="J648" i="1" s="1"/>
  <c r="K648" i="1" s="1"/>
  <c r="L648" i="1" s="1"/>
  <c r="M648" i="1" s="1"/>
  <c r="N648" i="1" s="1"/>
  <c r="O648" i="1" s="1"/>
  <c r="D643" i="1"/>
  <c r="E643" i="1" s="1"/>
  <c r="F643" i="1" s="1"/>
  <c r="G643" i="1" s="1"/>
  <c r="H643" i="1" s="1"/>
  <c r="I643" i="1" s="1"/>
  <c r="J643" i="1" s="1"/>
  <c r="K643" i="1" s="1"/>
  <c r="L643" i="1" s="1"/>
  <c r="M643" i="1" s="1"/>
  <c r="N643" i="1" s="1"/>
  <c r="O643" i="1" s="1"/>
  <c r="J641" i="1"/>
  <c r="I641" i="1"/>
  <c r="H641" i="1"/>
  <c r="G641" i="1"/>
  <c r="F641" i="1"/>
  <c r="F645" i="1" s="1"/>
  <c r="E641" i="1"/>
  <c r="E645" i="1" s="1"/>
  <c r="D641" i="1"/>
  <c r="D645" i="1" s="1"/>
  <c r="E637" i="1"/>
  <c r="F637" i="1" s="1"/>
  <c r="G637" i="1" s="1"/>
  <c r="H637" i="1" s="1"/>
  <c r="I637" i="1" s="1"/>
  <c r="J637" i="1" s="1"/>
  <c r="K637" i="1" s="1"/>
  <c r="L637" i="1" s="1"/>
  <c r="M637" i="1" s="1"/>
  <c r="N637" i="1" s="1"/>
  <c r="O637" i="1" s="1"/>
  <c r="E706" i="1" l="1"/>
  <c r="E710" i="1" s="1"/>
  <c r="D38" i="9" s="1"/>
  <c r="D710" i="1"/>
  <c r="C38" i="9" s="1"/>
  <c r="E666" i="1"/>
  <c r="H710" i="1"/>
  <c r="G38" i="9" s="1"/>
  <c r="F666" i="1"/>
  <c r="G710" i="1"/>
  <c r="F38" i="9" s="1"/>
  <c r="I710" i="1"/>
  <c r="H38" i="9" s="1"/>
  <c r="J645" i="1"/>
  <c r="I645" i="1"/>
  <c r="H645" i="1"/>
  <c r="G645" i="1"/>
  <c r="J699" i="1"/>
  <c r="J706" i="1" s="1"/>
  <c r="J710" i="1" s="1"/>
  <c r="I38" i="9" s="1"/>
  <c r="J659" i="1"/>
  <c r="J666" i="1" s="1"/>
  <c r="C595" i="1"/>
  <c r="B37" i="9"/>
  <c r="B38" i="9"/>
  <c r="A37" i="9"/>
  <c r="A38" i="9"/>
  <c r="B36" i="9"/>
  <c r="A36" i="9"/>
  <c r="H626" i="1"/>
  <c r="H624" i="1"/>
  <c r="I623" i="1"/>
  <c r="J623" i="1" s="1"/>
  <c r="G622" i="1"/>
  <c r="H621" i="1"/>
  <c r="F620" i="1"/>
  <c r="I619" i="1"/>
  <c r="I626" i="1" s="1"/>
  <c r="G619" i="1"/>
  <c r="G626" i="1" s="1"/>
  <c r="E618" i="1"/>
  <c r="F617" i="1"/>
  <c r="D616" i="1"/>
  <c r="D626" i="1" s="1"/>
  <c r="E615" i="1"/>
  <c r="D614" i="1"/>
  <c r="E614" i="1" s="1"/>
  <c r="F614" i="1" s="1"/>
  <c r="G614" i="1" s="1"/>
  <c r="H614" i="1" s="1"/>
  <c r="I614" i="1" s="1"/>
  <c r="J614" i="1" s="1"/>
  <c r="I612" i="1"/>
  <c r="H612" i="1"/>
  <c r="G612" i="1"/>
  <c r="F612" i="1"/>
  <c r="E612" i="1"/>
  <c r="D612" i="1"/>
  <c r="D608" i="1"/>
  <c r="E608" i="1" s="1"/>
  <c r="F608" i="1" s="1"/>
  <c r="G608" i="1" s="1"/>
  <c r="H608" i="1" s="1"/>
  <c r="I608" i="1" s="1"/>
  <c r="J608" i="1" s="1"/>
  <c r="K608" i="1" s="1"/>
  <c r="L608" i="1" s="1"/>
  <c r="M608" i="1" s="1"/>
  <c r="N608" i="1" s="1"/>
  <c r="O608" i="1" s="1"/>
  <c r="D603" i="1"/>
  <c r="E603" i="1" s="1"/>
  <c r="F603" i="1" s="1"/>
  <c r="G603" i="1" s="1"/>
  <c r="H603" i="1" s="1"/>
  <c r="I603" i="1" s="1"/>
  <c r="J603" i="1" s="1"/>
  <c r="K603" i="1" s="1"/>
  <c r="L603" i="1" s="1"/>
  <c r="M603" i="1" s="1"/>
  <c r="N603" i="1" s="1"/>
  <c r="O603" i="1" s="1"/>
  <c r="J601" i="1"/>
  <c r="J605" i="1" s="1"/>
  <c r="I601" i="1"/>
  <c r="I605" i="1" s="1"/>
  <c r="H601" i="1"/>
  <c r="H605" i="1" s="1"/>
  <c r="G601" i="1"/>
  <c r="G605" i="1" s="1"/>
  <c r="F601" i="1"/>
  <c r="F605" i="1" s="1"/>
  <c r="E601" i="1"/>
  <c r="D601" i="1"/>
  <c r="E597" i="1"/>
  <c r="F597" i="1" s="1"/>
  <c r="G597" i="1" s="1"/>
  <c r="H597" i="1" s="1"/>
  <c r="I597" i="1" s="1"/>
  <c r="J597" i="1" s="1"/>
  <c r="K597" i="1" s="1"/>
  <c r="L597" i="1" s="1"/>
  <c r="M597" i="1" s="1"/>
  <c r="N597" i="1" s="1"/>
  <c r="O597" i="1" s="1"/>
  <c r="E626" i="1" l="1"/>
  <c r="F626" i="1"/>
  <c r="D605" i="1"/>
  <c r="E605" i="1"/>
  <c r="J619" i="1"/>
  <c r="J626" i="1" s="1"/>
  <c r="J652" i="1"/>
  <c r="I652" i="1"/>
  <c r="J566" i="1"/>
  <c r="J555" i="1"/>
  <c r="J530" i="1"/>
  <c r="J519" i="1"/>
  <c r="J494" i="1"/>
  <c r="J483" i="1"/>
  <c r="J468" i="1"/>
  <c r="J458" i="1"/>
  <c r="J447" i="1"/>
  <c r="J413" i="1"/>
  <c r="I19" i="6" s="1"/>
  <c r="J407" i="1"/>
  <c r="J403" i="1"/>
  <c r="J378" i="1"/>
  <c r="J371" i="1"/>
  <c r="J370" i="1"/>
  <c r="J367" i="1"/>
  <c r="J342" i="1"/>
  <c r="J335" i="1"/>
  <c r="J334" i="1"/>
  <c r="J331" i="1"/>
  <c r="J306" i="1"/>
  <c r="J299" i="1"/>
  <c r="J298" i="1"/>
  <c r="J295" i="1"/>
  <c r="J270" i="1"/>
  <c r="J263" i="1"/>
  <c r="J262" i="1"/>
  <c r="J259" i="1"/>
  <c r="J234" i="1"/>
  <c r="J227" i="1"/>
  <c r="J226" i="1"/>
  <c r="J198" i="1"/>
  <c r="J191" i="1"/>
  <c r="J190" i="1"/>
  <c r="J162" i="1"/>
  <c r="J155" i="1"/>
  <c r="J154" i="1"/>
  <c r="J126" i="1"/>
  <c r="J119" i="1"/>
  <c r="J118" i="1"/>
  <c r="J90" i="1"/>
  <c r="J83" i="1"/>
  <c r="J82" i="1"/>
  <c r="J79" i="1"/>
  <c r="J53" i="1"/>
  <c r="J46" i="1"/>
  <c r="J45" i="1"/>
  <c r="J42" i="1"/>
  <c r="I12" i="6" l="1"/>
  <c r="J84" i="1"/>
  <c r="J120" i="1"/>
  <c r="J156" i="1"/>
  <c r="J192" i="1"/>
  <c r="J264" i="1"/>
  <c r="J336" i="1"/>
  <c r="J372" i="1"/>
  <c r="J406" i="1"/>
  <c r="J408" i="1" s="1"/>
  <c r="J228" i="1"/>
  <c r="J414" i="1"/>
  <c r="J47" i="1"/>
  <c r="J300" i="1"/>
  <c r="G652" i="1"/>
  <c r="H652" i="1"/>
  <c r="I9" i="6"/>
  <c r="J612" i="1" l="1"/>
  <c r="I20" i="6"/>
  <c r="B14" i="6"/>
  <c r="B20" i="6"/>
  <c r="B46" i="6" l="1"/>
  <c r="H426" i="1"/>
  <c r="H413" i="1" l="1"/>
  <c r="G19" i="6" s="1"/>
  <c r="I413" i="1"/>
  <c r="H19" i="6" s="1"/>
  <c r="G413" i="1"/>
  <c r="F19" i="6" s="1"/>
  <c r="G30" i="6"/>
  <c r="H9" i="6"/>
  <c r="F466" i="1"/>
  <c r="I425" i="1"/>
  <c r="G424" i="1"/>
  <c r="H423" i="1"/>
  <c r="H434" i="1" s="1"/>
  <c r="E420" i="1"/>
  <c r="H578" i="1"/>
  <c r="I577" i="1"/>
  <c r="G576" i="1"/>
  <c r="H575" i="1"/>
  <c r="G573" i="1"/>
  <c r="G586" i="1" s="1"/>
  <c r="I573" i="1"/>
  <c r="I555" i="1"/>
  <c r="I566" i="1"/>
  <c r="I42" i="1"/>
  <c r="I45" i="1"/>
  <c r="I46" i="1"/>
  <c r="I53" i="1"/>
  <c r="I79" i="1"/>
  <c r="I82" i="1"/>
  <c r="I83" i="1"/>
  <c r="I90" i="1"/>
  <c r="I115" i="1"/>
  <c r="I118" i="1"/>
  <c r="I119" i="1"/>
  <c r="I126" i="1"/>
  <c r="I151" i="1"/>
  <c r="I154" i="1"/>
  <c r="I155" i="1"/>
  <c r="I162" i="1"/>
  <c r="I187" i="1"/>
  <c r="I190" i="1"/>
  <c r="I191" i="1"/>
  <c r="I198" i="1"/>
  <c r="I223" i="1"/>
  <c r="I226" i="1"/>
  <c r="I227" i="1"/>
  <c r="I234" i="1"/>
  <c r="I259" i="1"/>
  <c r="I262" i="1"/>
  <c r="I264" i="1" s="1"/>
  <c r="I263" i="1"/>
  <c r="I270" i="1"/>
  <c r="I295" i="1"/>
  <c r="I298" i="1"/>
  <c r="I300" i="1" s="1"/>
  <c r="I299" i="1"/>
  <c r="I306" i="1"/>
  <c r="I331" i="1"/>
  <c r="I334" i="1"/>
  <c r="I335" i="1"/>
  <c r="I342" i="1"/>
  <c r="I367" i="1"/>
  <c r="I370" i="1"/>
  <c r="I371" i="1"/>
  <c r="I378" i="1"/>
  <c r="I403" i="1"/>
  <c r="I406" i="1" s="1"/>
  <c r="I407" i="1"/>
  <c r="I447" i="1"/>
  <c r="I458" i="1"/>
  <c r="I468" i="1"/>
  <c r="I483" i="1"/>
  <c r="I494" i="1"/>
  <c r="I519" i="1"/>
  <c r="I530" i="1"/>
  <c r="J577" i="1" l="1"/>
  <c r="I586" i="1"/>
  <c r="H12" i="6"/>
  <c r="J425" i="1"/>
  <c r="I434" i="1"/>
  <c r="I228" i="1"/>
  <c r="I372" i="1"/>
  <c r="I414" i="1"/>
  <c r="H20" i="6"/>
  <c r="J573" i="1"/>
  <c r="I156" i="1"/>
  <c r="I120" i="1"/>
  <c r="I84" i="1"/>
  <c r="I47" i="1"/>
  <c r="I408" i="1"/>
  <c r="I336" i="1"/>
  <c r="I192" i="1"/>
  <c r="G32" i="6" l="1"/>
  <c r="G42" i="6" s="1"/>
  <c r="J438" i="1"/>
  <c r="I31" i="9" s="1"/>
  <c r="D568" i="1"/>
  <c r="D562" i="1"/>
  <c r="D557" i="1"/>
  <c r="E557" i="1" s="1"/>
  <c r="E551" i="1"/>
  <c r="D532" i="1"/>
  <c r="D526" i="1"/>
  <c r="D521" i="1"/>
  <c r="E521" i="1" s="1"/>
  <c r="E515" i="1"/>
  <c r="D496" i="1" l="1"/>
  <c r="D490" i="1"/>
  <c r="E490" i="1" s="1"/>
  <c r="D485" i="1"/>
  <c r="E485" i="1" s="1"/>
  <c r="E479" i="1"/>
  <c r="D460" i="1"/>
  <c r="D454" i="1"/>
  <c r="D449" i="1"/>
  <c r="E449" i="1" s="1"/>
  <c r="E443" i="1"/>
  <c r="E399" i="1"/>
  <c r="D416" i="1"/>
  <c r="D410" i="1"/>
  <c r="D405" i="1"/>
  <c r="E405" i="1" s="1"/>
  <c r="D380" i="1"/>
  <c r="D374" i="1"/>
  <c r="D369" i="1"/>
  <c r="D344" i="1"/>
  <c r="D338" i="1"/>
  <c r="D333" i="1"/>
  <c r="D308" i="1"/>
  <c r="D302" i="1"/>
  <c r="D297" i="1"/>
  <c r="D272" i="1"/>
  <c r="D266" i="1"/>
  <c r="D261" i="1"/>
  <c r="D236" i="1"/>
  <c r="D230" i="1"/>
  <c r="D225" i="1"/>
  <c r="D200" i="1"/>
  <c r="D194" i="1"/>
  <c r="D189" i="1"/>
  <c r="D164" i="1"/>
  <c r="D158" i="1"/>
  <c r="D153" i="1"/>
  <c r="D128" i="1"/>
  <c r="D122" i="1"/>
  <c r="D117" i="1"/>
  <c r="D92" i="1"/>
  <c r="D86" i="1"/>
  <c r="D81" i="1"/>
  <c r="D55" i="1"/>
  <c r="D44" i="1"/>
  <c r="A35" i="9" l="1"/>
  <c r="B34" i="9"/>
  <c r="B35" i="9"/>
  <c r="A34" i="9"/>
  <c r="C549" i="1" l="1"/>
  <c r="B552" i="1" s="1"/>
  <c r="E572" i="1"/>
  <c r="F571" i="1"/>
  <c r="D570" i="1"/>
  <c r="D586" i="1" s="1"/>
  <c r="E569" i="1"/>
  <c r="E568" i="1"/>
  <c r="F568" i="1" s="1"/>
  <c r="G568" i="1" s="1"/>
  <c r="H568" i="1" s="1"/>
  <c r="I568" i="1" s="1"/>
  <c r="J568" i="1" s="1"/>
  <c r="K568" i="1" s="1"/>
  <c r="L568" i="1" s="1"/>
  <c r="M568" i="1" s="1"/>
  <c r="N568" i="1" s="1"/>
  <c r="O568" i="1" s="1"/>
  <c r="H566" i="1"/>
  <c r="G566" i="1"/>
  <c r="F566" i="1"/>
  <c r="E566" i="1"/>
  <c r="D566" i="1"/>
  <c r="E562" i="1"/>
  <c r="F562" i="1" s="1"/>
  <c r="G562" i="1" s="1"/>
  <c r="H562" i="1" s="1"/>
  <c r="I562" i="1" s="1"/>
  <c r="J562" i="1" s="1"/>
  <c r="K562" i="1" s="1"/>
  <c r="L562" i="1" s="1"/>
  <c r="M562" i="1" s="1"/>
  <c r="N562" i="1" s="1"/>
  <c r="O562" i="1" s="1"/>
  <c r="F557" i="1"/>
  <c r="G557" i="1" s="1"/>
  <c r="H557" i="1" s="1"/>
  <c r="I557" i="1" s="1"/>
  <c r="J557" i="1" s="1"/>
  <c r="K557" i="1" s="1"/>
  <c r="L557" i="1" s="1"/>
  <c r="M557" i="1" s="1"/>
  <c r="N557" i="1" s="1"/>
  <c r="O557" i="1" s="1"/>
  <c r="H555" i="1"/>
  <c r="G555" i="1"/>
  <c r="F555" i="1"/>
  <c r="E555" i="1"/>
  <c r="D555" i="1"/>
  <c r="F551" i="1"/>
  <c r="G551" i="1" s="1"/>
  <c r="H551" i="1" s="1"/>
  <c r="I551" i="1" s="1"/>
  <c r="J551" i="1" s="1"/>
  <c r="K551" i="1" s="1"/>
  <c r="L551" i="1" s="1"/>
  <c r="M551" i="1" s="1"/>
  <c r="N551" i="1" s="1"/>
  <c r="O551" i="1" s="1"/>
  <c r="E586" i="1" l="1"/>
  <c r="F413" i="1"/>
  <c r="B33" i="9" l="1"/>
  <c r="A33" i="9"/>
  <c r="B32" i="9"/>
  <c r="C513" i="1" l="1"/>
  <c r="B516" i="1" s="1"/>
  <c r="C477" i="1"/>
  <c r="F538" i="1"/>
  <c r="G537" i="1"/>
  <c r="H537" i="1" s="1"/>
  <c r="E536" i="1"/>
  <c r="F535" i="1"/>
  <c r="D534" i="1"/>
  <c r="D540" i="1" s="1"/>
  <c r="E533" i="1"/>
  <c r="E532" i="1"/>
  <c r="F532" i="1" s="1"/>
  <c r="G532" i="1" s="1"/>
  <c r="H532" i="1" s="1"/>
  <c r="I532" i="1" s="1"/>
  <c r="J532" i="1" s="1"/>
  <c r="K532" i="1" s="1"/>
  <c r="L532" i="1" s="1"/>
  <c r="M532" i="1" s="1"/>
  <c r="N532" i="1" s="1"/>
  <c r="O532" i="1" s="1"/>
  <c r="H530" i="1"/>
  <c r="G530" i="1"/>
  <c r="F530" i="1"/>
  <c r="E530" i="1"/>
  <c r="D530" i="1"/>
  <c r="E526" i="1"/>
  <c r="F526" i="1" s="1"/>
  <c r="G526" i="1" s="1"/>
  <c r="H526" i="1" s="1"/>
  <c r="I526" i="1" s="1"/>
  <c r="J526" i="1" s="1"/>
  <c r="K526" i="1" s="1"/>
  <c r="L526" i="1" s="1"/>
  <c r="M526" i="1" s="1"/>
  <c r="N526" i="1" s="1"/>
  <c r="O526" i="1" s="1"/>
  <c r="F521" i="1"/>
  <c r="G521" i="1" s="1"/>
  <c r="H521" i="1" s="1"/>
  <c r="I521" i="1" s="1"/>
  <c r="J521" i="1" s="1"/>
  <c r="K521" i="1" s="1"/>
  <c r="L521" i="1" s="1"/>
  <c r="M521" i="1" s="1"/>
  <c r="N521" i="1" s="1"/>
  <c r="O521" i="1" s="1"/>
  <c r="H519" i="1"/>
  <c r="G519" i="1"/>
  <c r="F519" i="1"/>
  <c r="E519" i="1"/>
  <c r="D519" i="1"/>
  <c r="F515" i="1"/>
  <c r="G515" i="1" s="1"/>
  <c r="H515" i="1" s="1"/>
  <c r="I515" i="1" s="1"/>
  <c r="J515" i="1" s="1"/>
  <c r="K515" i="1" s="1"/>
  <c r="L515" i="1" s="1"/>
  <c r="M515" i="1" s="1"/>
  <c r="N515" i="1" s="1"/>
  <c r="O515" i="1" s="1"/>
  <c r="H494" i="1"/>
  <c r="H483" i="1"/>
  <c r="H458" i="1"/>
  <c r="H447" i="1"/>
  <c r="H414" i="1"/>
  <c r="H407" i="1"/>
  <c r="H403" i="1"/>
  <c r="H406" i="1" s="1"/>
  <c r="H378" i="1"/>
  <c r="H371" i="1"/>
  <c r="H370" i="1"/>
  <c r="H367" i="1"/>
  <c r="H342" i="1"/>
  <c r="H335" i="1"/>
  <c r="H334" i="1"/>
  <c r="H331" i="1"/>
  <c r="H306" i="1"/>
  <c r="H299" i="1"/>
  <c r="H298" i="1"/>
  <c r="H295" i="1"/>
  <c r="H270" i="1"/>
  <c r="H263" i="1"/>
  <c r="H262" i="1"/>
  <c r="H259" i="1"/>
  <c r="H234" i="1"/>
  <c r="H227" i="1"/>
  <c r="H226" i="1"/>
  <c r="H223" i="1"/>
  <c r="H198" i="1"/>
  <c r="H191" i="1"/>
  <c r="H190" i="1"/>
  <c r="H187" i="1"/>
  <c r="H162" i="1"/>
  <c r="H155" i="1"/>
  <c r="H154" i="1"/>
  <c r="H151" i="1"/>
  <c r="H126" i="1"/>
  <c r="H119" i="1"/>
  <c r="H118" i="1"/>
  <c r="H115" i="1"/>
  <c r="H90" i="1"/>
  <c r="H83" i="1"/>
  <c r="H82" i="1"/>
  <c r="H84" i="1" s="1"/>
  <c r="H79" i="1"/>
  <c r="H53" i="1"/>
  <c r="H46" i="1"/>
  <c r="H45" i="1"/>
  <c r="H47" i="1" s="1"/>
  <c r="H42" i="1"/>
  <c r="H156" i="1" l="1"/>
  <c r="E540" i="1"/>
  <c r="H228" i="1"/>
  <c r="H336" i="1"/>
  <c r="H372" i="1"/>
  <c r="F540" i="1"/>
  <c r="G12" i="6"/>
  <c r="H540" i="1"/>
  <c r="I537" i="1"/>
  <c r="H264" i="1"/>
  <c r="H120" i="1"/>
  <c r="G540" i="1"/>
  <c r="H192" i="1"/>
  <c r="H300" i="1"/>
  <c r="H408" i="1"/>
  <c r="H438" i="1" s="1"/>
  <c r="I540" i="1" l="1"/>
  <c r="J537" i="1"/>
  <c r="J540" i="1" s="1"/>
  <c r="F502" i="1"/>
  <c r="G501" i="1"/>
  <c r="E500" i="1"/>
  <c r="F499" i="1"/>
  <c r="D498" i="1"/>
  <c r="D504" i="1" s="1"/>
  <c r="E497" i="1"/>
  <c r="E496" i="1"/>
  <c r="F496" i="1" s="1"/>
  <c r="G496" i="1" s="1"/>
  <c r="H496" i="1" s="1"/>
  <c r="I496" i="1" s="1"/>
  <c r="J496" i="1" s="1"/>
  <c r="K496" i="1" s="1"/>
  <c r="L496" i="1" s="1"/>
  <c r="M496" i="1" s="1"/>
  <c r="N496" i="1" s="1"/>
  <c r="O496" i="1" s="1"/>
  <c r="G494" i="1"/>
  <c r="F494" i="1"/>
  <c r="E494" i="1"/>
  <c r="D494" i="1"/>
  <c r="F490" i="1"/>
  <c r="G490" i="1" s="1"/>
  <c r="H490" i="1" s="1"/>
  <c r="I490" i="1" s="1"/>
  <c r="J490" i="1" s="1"/>
  <c r="K490" i="1" s="1"/>
  <c r="L490" i="1" s="1"/>
  <c r="M490" i="1" s="1"/>
  <c r="N490" i="1" s="1"/>
  <c r="O490" i="1" s="1"/>
  <c r="F485" i="1"/>
  <c r="G485" i="1" s="1"/>
  <c r="H485" i="1" s="1"/>
  <c r="I485" i="1" s="1"/>
  <c r="J485" i="1" s="1"/>
  <c r="K485" i="1" s="1"/>
  <c r="L485" i="1" s="1"/>
  <c r="M485" i="1" s="1"/>
  <c r="N485" i="1" s="1"/>
  <c r="O485" i="1" s="1"/>
  <c r="G483" i="1"/>
  <c r="F483" i="1"/>
  <c r="E483" i="1"/>
  <c r="D483" i="1"/>
  <c r="F479" i="1"/>
  <c r="G479" i="1" s="1"/>
  <c r="H479" i="1" s="1"/>
  <c r="I479" i="1" s="1"/>
  <c r="J479" i="1" s="1"/>
  <c r="K479" i="1" s="1"/>
  <c r="L479" i="1" s="1"/>
  <c r="M479" i="1" s="1"/>
  <c r="N479" i="1" s="1"/>
  <c r="O479" i="1" s="1"/>
  <c r="B480" i="1"/>
  <c r="E504" i="1" l="1"/>
  <c r="G504" i="1"/>
  <c r="H501" i="1"/>
  <c r="F504" i="1"/>
  <c r="F18" i="6"/>
  <c r="G18" i="6"/>
  <c r="G9" i="6"/>
  <c r="H504" i="1" l="1"/>
  <c r="I501" i="1"/>
  <c r="F20" i="6"/>
  <c r="G20" i="6"/>
  <c r="C441" i="1"/>
  <c r="B444" i="1" s="1"/>
  <c r="G465" i="1"/>
  <c r="G468" i="1" s="1"/>
  <c r="F27" i="6" s="1"/>
  <c r="E464" i="1"/>
  <c r="F463" i="1"/>
  <c r="D462" i="1"/>
  <c r="D468" i="1" s="1"/>
  <c r="E461" i="1"/>
  <c r="E460" i="1"/>
  <c r="F460" i="1" s="1"/>
  <c r="G460" i="1" s="1"/>
  <c r="H460" i="1" s="1"/>
  <c r="I460" i="1" s="1"/>
  <c r="J460" i="1" s="1"/>
  <c r="K460" i="1" s="1"/>
  <c r="L460" i="1" s="1"/>
  <c r="M460" i="1" s="1"/>
  <c r="N460" i="1" s="1"/>
  <c r="O460" i="1" s="1"/>
  <c r="G458" i="1"/>
  <c r="F458" i="1"/>
  <c r="E458" i="1"/>
  <c r="D458" i="1"/>
  <c r="E454" i="1"/>
  <c r="F454" i="1" s="1"/>
  <c r="G454" i="1" s="1"/>
  <c r="H454" i="1" s="1"/>
  <c r="I454" i="1" s="1"/>
  <c r="J454" i="1" s="1"/>
  <c r="K454" i="1" s="1"/>
  <c r="L454" i="1" s="1"/>
  <c r="M454" i="1" s="1"/>
  <c r="N454" i="1" s="1"/>
  <c r="O454" i="1" s="1"/>
  <c r="F449" i="1"/>
  <c r="G449" i="1" s="1"/>
  <c r="H449" i="1" s="1"/>
  <c r="I449" i="1" s="1"/>
  <c r="J449" i="1" s="1"/>
  <c r="K449" i="1" s="1"/>
  <c r="L449" i="1" s="1"/>
  <c r="M449" i="1" s="1"/>
  <c r="N449" i="1" s="1"/>
  <c r="O449" i="1" s="1"/>
  <c r="G447" i="1"/>
  <c r="F447" i="1"/>
  <c r="E447" i="1"/>
  <c r="D447" i="1"/>
  <c r="F443" i="1"/>
  <c r="G443" i="1" s="1"/>
  <c r="H443" i="1" s="1"/>
  <c r="I443" i="1" s="1"/>
  <c r="J443" i="1" s="1"/>
  <c r="K443" i="1" s="1"/>
  <c r="L443" i="1" s="1"/>
  <c r="M443" i="1" s="1"/>
  <c r="N443" i="1" s="1"/>
  <c r="O443" i="1" s="1"/>
  <c r="E27" i="6" l="1"/>
  <c r="E42" i="6" s="1"/>
  <c r="J501" i="1"/>
  <c r="J504" i="1" s="1"/>
  <c r="I504" i="1"/>
  <c r="H468" i="1"/>
  <c r="F468" i="1"/>
  <c r="E468" i="1"/>
  <c r="A32" i="9"/>
  <c r="F422" i="1" l="1"/>
  <c r="G421" i="1"/>
  <c r="G434" i="1" s="1"/>
  <c r="F419" i="1"/>
  <c r="F434" i="1" s="1"/>
  <c r="D418" i="1"/>
  <c r="D434" i="1" s="1"/>
  <c r="E417" i="1"/>
  <c r="E434" i="1" s="1"/>
  <c r="F386" i="1"/>
  <c r="G385" i="1"/>
  <c r="E384" i="1"/>
  <c r="F383" i="1"/>
  <c r="D382" i="1"/>
  <c r="D388" i="1" s="1"/>
  <c r="E381" i="1"/>
  <c r="F350" i="1"/>
  <c r="G349" i="1"/>
  <c r="E348" i="1"/>
  <c r="F347" i="1"/>
  <c r="D346" i="1"/>
  <c r="D352" i="1" s="1"/>
  <c r="E345" i="1"/>
  <c r="F314" i="1"/>
  <c r="G313" i="1"/>
  <c r="E312" i="1"/>
  <c r="F311" i="1"/>
  <c r="D310" i="1"/>
  <c r="D316" i="1" s="1"/>
  <c r="E309" i="1"/>
  <c r="F278" i="1"/>
  <c r="G277" i="1"/>
  <c r="E276" i="1"/>
  <c r="F275" i="1"/>
  <c r="D274" i="1"/>
  <c r="D280" i="1" s="1"/>
  <c r="E273" i="1"/>
  <c r="F242" i="1"/>
  <c r="G241" i="1"/>
  <c r="E240" i="1"/>
  <c r="F239" i="1"/>
  <c r="D238" i="1"/>
  <c r="D244" i="1" s="1"/>
  <c r="E237" i="1"/>
  <c r="F206" i="1"/>
  <c r="G205" i="1"/>
  <c r="E204" i="1"/>
  <c r="F203" i="1"/>
  <c r="D202" i="1"/>
  <c r="D208" i="1" s="1"/>
  <c r="E201" i="1"/>
  <c r="F170" i="1"/>
  <c r="G169" i="1"/>
  <c r="E168" i="1"/>
  <c r="F167" i="1"/>
  <c r="D166" i="1"/>
  <c r="D172" i="1" s="1"/>
  <c r="E165" i="1"/>
  <c r="F134" i="1"/>
  <c r="G133" i="1"/>
  <c r="E132" i="1"/>
  <c r="F131" i="1"/>
  <c r="D130" i="1"/>
  <c r="D136" i="1" s="1"/>
  <c r="E129" i="1"/>
  <c r="F98" i="1"/>
  <c r="G97" i="1"/>
  <c r="E96" i="1"/>
  <c r="F95" i="1"/>
  <c r="D94" i="1"/>
  <c r="D100" i="1" s="1"/>
  <c r="E93" i="1"/>
  <c r="F61" i="1"/>
  <c r="G60" i="1"/>
  <c r="E59" i="1"/>
  <c r="E280" i="1" l="1"/>
  <c r="E100" i="1"/>
  <c r="E244" i="1"/>
  <c r="F280" i="1"/>
  <c r="E388" i="1"/>
  <c r="E208" i="1"/>
  <c r="F244" i="1"/>
  <c r="F388" i="1"/>
  <c r="G208" i="1"/>
  <c r="H205" i="1"/>
  <c r="G352" i="1"/>
  <c r="H349" i="1"/>
  <c r="G316" i="1"/>
  <c r="H313" i="1"/>
  <c r="G136" i="1"/>
  <c r="H133" i="1"/>
  <c r="G280" i="1"/>
  <c r="H277" i="1"/>
  <c r="G64" i="1"/>
  <c r="H60" i="1"/>
  <c r="G172" i="1"/>
  <c r="H169" i="1"/>
  <c r="G100" i="1"/>
  <c r="H97" i="1"/>
  <c r="G244" i="1"/>
  <c r="H241" i="1"/>
  <c r="H421" i="1"/>
  <c r="G388" i="1"/>
  <c r="H385" i="1"/>
  <c r="E172" i="1"/>
  <c r="F208" i="1"/>
  <c r="E136" i="1"/>
  <c r="F172" i="1"/>
  <c r="F136" i="1"/>
  <c r="E352" i="1"/>
  <c r="F316" i="1"/>
  <c r="F100" i="1"/>
  <c r="E316" i="1"/>
  <c r="F352" i="1"/>
  <c r="E19" i="6"/>
  <c r="E18" i="6"/>
  <c r="E17" i="6"/>
  <c r="E9" i="6"/>
  <c r="G414" i="1"/>
  <c r="G407" i="1"/>
  <c r="G403" i="1"/>
  <c r="G406" i="1" s="1"/>
  <c r="G378" i="1"/>
  <c r="G371" i="1"/>
  <c r="G370" i="1"/>
  <c r="G367" i="1"/>
  <c r="G342" i="1"/>
  <c r="G335" i="1"/>
  <c r="G334" i="1"/>
  <c r="G331" i="1"/>
  <c r="G306" i="1"/>
  <c r="G299" i="1"/>
  <c r="G298" i="1"/>
  <c r="G295" i="1"/>
  <c r="G270" i="1"/>
  <c r="G263" i="1"/>
  <c r="G262" i="1"/>
  <c r="G259" i="1"/>
  <c r="G234" i="1"/>
  <c r="G227" i="1"/>
  <c r="G226" i="1"/>
  <c r="G223" i="1"/>
  <c r="G198" i="1"/>
  <c r="G191" i="1"/>
  <c r="G190" i="1"/>
  <c r="G187" i="1"/>
  <c r="G162" i="1"/>
  <c r="G155" i="1"/>
  <c r="G154" i="1"/>
  <c r="G151" i="1"/>
  <c r="G126" i="1"/>
  <c r="G119" i="1"/>
  <c r="G118" i="1"/>
  <c r="G115" i="1"/>
  <c r="G90" i="1"/>
  <c r="G83" i="1"/>
  <c r="G82" i="1"/>
  <c r="G79" i="1"/>
  <c r="G53" i="1"/>
  <c r="G46" i="1"/>
  <c r="G45" i="1"/>
  <c r="G42" i="1"/>
  <c r="F12" i="6" s="1"/>
  <c r="D19" i="6"/>
  <c r="D17" i="6"/>
  <c r="C19" i="6"/>
  <c r="C17" i="6"/>
  <c r="H172" i="1" l="1"/>
  <c r="H176" i="1" s="1"/>
  <c r="G24" i="9" s="1"/>
  <c r="I169" i="1"/>
  <c r="H316" i="1"/>
  <c r="H320" i="1" s="1"/>
  <c r="G28" i="9" s="1"/>
  <c r="I313" i="1"/>
  <c r="H388" i="1"/>
  <c r="H392" i="1" s="1"/>
  <c r="G30" i="9" s="1"/>
  <c r="I385" i="1"/>
  <c r="H64" i="1"/>
  <c r="I60" i="1"/>
  <c r="H352" i="1"/>
  <c r="H356" i="1" s="1"/>
  <c r="G29" i="9" s="1"/>
  <c r="I349" i="1"/>
  <c r="H244" i="1"/>
  <c r="H248" i="1" s="1"/>
  <c r="G26" i="9" s="1"/>
  <c r="I241" i="1"/>
  <c r="H280" i="1"/>
  <c r="H284" i="1" s="1"/>
  <c r="G27" i="9" s="1"/>
  <c r="I277" i="1"/>
  <c r="H208" i="1"/>
  <c r="H212" i="1" s="1"/>
  <c r="G25" i="9" s="1"/>
  <c r="I205" i="1"/>
  <c r="H100" i="1"/>
  <c r="H104" i="1" s="1"/>
  <c r="G22" i="9" s="1"/>
  <c r="I97" i="1"/>
  <c r="H136" i="1"/>
  <c r="H140" i="1" s="1"/>
  <c r="G23" i="9" s="1"/>
  <c r="I133" i="1"/>
  <c r="G31" i="9"/>
  <c r="I421" i="1"/>
  <c r="H68" i="1"/>
  <c r="G21" i="9" s="1"/>
  <c r="G47" i="1"/>
  <c r="G120" i="1"/>
  <c r="G264" i="1"/>
  <c r="G408" i="1"/>
  <c r="G438" i="1" s="1"/>
  <c r="G84" i="1"/>
  <c r="G228" i="1"/>
  <c r="G372" i="1"/>
  <c r="G192" i="1"/>
  <c r="G336" i="1"/>
  <c r="G156" i="1"/>
  <c r="G300" i="1"/>
  <c r="E20" i="6"/>
  <c r="J349" i="1" l="1"/>
  <c r="J352" i="1" s="1"/>
  <c r="J356" i="1" s="1"/>
  <c r="I29" i="9" s="1"/>
  <c r="I352" i="1"/>
  <c r="I356" i="1" s="1"/>
  <c r="H29" i="9" s="1"/>
  <c r="I172" i="1"/>
  <c r="I176" i="1" s="1"/>
  <c r="H24" i="9" s="1"/>
  <c r="J169" i="1"/>
  <c r="J172" i="1" s="1"/>
  <c r="J176" i="1" s="1"/>
  <c r="I24" i="9" s="1"/>
  <c r="J205" i="1"/>
  <c r="J208" i="1" s="1"/>
  <c r="J212" i="1" s="1"/>
  <c r="I25" i="9" s="1"/>
  <c r="I208" i="1"/>
  <c r="I212" i="1" s="1"/>
  <c r="H25" i="9" s="1"/>
  <c r="J60" i="1"/>
  <c r="J64" i="1" s="1"/>
  <c r="J68" i="1" s="1"/>
  <c r="I21" i="9" s="1"/>
  <c r="I64" i="1"/>
  <c r="I68" i="1" s="1"/>
  <c r="H21" i="9" s="1"/>
  <c r="I438" i="1"/>
  <c r="H31" i="9" s="1"/>
  <c r="J421" i="1"/>
  <c r="J277" i="1"/>
  <c r="J280" i="1" s="1"/>
  <c r="J284" i="1" s="1"/>
  <c r="I27" i="9" s="1"/>
  <c r="I280" i="1"/>
  <c r="I284" i="1" s="1"/>
  <c r="H27" i="9" s="1"/>
  <c r="I388" i="1"/>
  <c r="I392" i="1" s="1"/>
  <c r="H30" i="9" s="1"/>
  <c r="J385" i="1"/>
  <c r="J388" i="1" s="1"/>
  <c r="J392" i="1" s="1"/>
  <c r="I30" i="9" s="1"/>
  <c r="J133" i="1"/>
  <c r="J136" i="1" s="1"/>
  <c r="J140" i="1" s="1"/>
  <c r="I23" i="9" s="1"/>
  <c r="I136" i="1"/>
  <c r="I140" i="1" s="1"/>
  <c r="H23" i="9" s="1"/>
  <c r="I244" i="1"/>
  <c r="I248" i="1" s="1"/>
  <c r="H26" i="9" s="1"/>
  <c r="J241" i="1"/>
  <c r="J244" i="1" s="1"/>
  <c r="J248" i="1" s="1"/>
  <c r="I26" i="9" s="1"/>
  <c r="I316" i="1"/>
  <c r="I320" i="1" s="1"/>
  <c r="H28" i="9" s="1"/>
  <c r="J313" i="1"/>
  <c r="J316" i="1" s="1"/>
  <c r="J320" i="1" s="1"/>
  <c r="I28" i="9" s="1"/>
  <c r="I100" i="1"/>
  <c r="I104" i="1" s="1"/>
  <c r="H22" i="9" s="1"/>
  <c r="J97" i="1"/>
  <c r="J100" i="1" s="1"/>
  <c r="J104" i="1" s="1"/>
  <c r="I22" i="9" s="1"/>
  <c r="D18" i="6"/>
  <c r="C18" i="6"/>
  <c r="C20" i="6" l="1"/>
  <c r="E187" i="1"/>
  <c r="F187" i="1"/>
  <c r="A48" i="6"/>
  <c r="F58" i="1" l="1"/>
  <c r="F64" i="1" s="1"/>
  <c r="D57" i="1"/>
  <c r="E56" i="1"/>
  <c r="G104" i="1"/>
  <c r="F22" i="9" s="1"/>
  <c r="G140" i="1"/>
  <c r="F23" i="9" s="1"/>
  <c r="G176" i="1"/>
  <c r="F24" i="9" s="1"/>
  <c r="G212" i="1"/>
  <c r="F25" i="9" s="1"/>
  <c r="G248" i="1"/>
  <c r="F26" i="9" s="1"/>
  <c r="G284" i="1"/>
  <c r="F27" i="9" s="1"/>
  <c r="G320" i="1"/>
  <c r="F28" i="9" s="1"/>
  <c r="G356" i="1"/>
  <c r="F29" i="9" s="1"/>
  <c r="F31" i="9" l="1"/>
  <c r="B31" i="9"/>
  <c r="A31" i="9"/>
  <c r="B30" i="9"/>
  <c r="A30" i="9"/>
  <c r="B29" i="9"/>
  <c r="A29" i="9"/>
  <c r="B28" i="9"/>
  <c r="A28" i="9"/>
  <c r="B27" i="9"/>
  <c r="A27" i="9"/>
  <c r="B26" i="9"/>
  <c r="A26" i="9"/>
  <c r="B25" i="9"/>
  <c r="A25" i="9"/>
  <c r="B24" i="9"/>
  <c r="A24" i="9"/>
  <c r="B23" i="9"/>
  <c r="A23" i="9"/>
  <c r="B22" i="9"/>
  <c r="A22" i="9"/>
  <c r="B21" i="9"/>
  <c r="A21" i="9"/>
  <c r="M9" i="9" l="1"/>
  <c r="M10" i="9"/>
  <c r="M11" i="9"/>
  <c r="M12" i="9"/>
  <c r="M13" i="9"/>
  <c r="L9" i="9"/>
  <c r="L13" i="9"/>
  <c r="L11" i="9"/>
  <c r="L10" i="9"/>
  <c r="L12" i="9"/>
  <c r="L7" i="9"/>
  <c r="L5" i="9"/>
  <c r="K9" i="9"/>
  <c r="K13" i="9"/>
  <c r="K11" i="9"/>
  <c r="K10" i="9"/>
  <c r="K12" i="9"/>
  <c r="K5" i="9"/>
  <c r="K7" i="9"/>
  <c r="I5" i="9"/>
  <c r="I12" i="9"/>
  <c r="H12" i="9"/>
  <c r="C11" i="9"/>
  <c r="B10" i="9"/>
  <c r="D9" i="9"/>
  <c r="D13" i="9"/>
  <c r="E12" i="9"/>
  <c r="F11" i="9"/>
  <c r="G12" i="9"/>
  <c r="J11" i="9"/>
  <c r="I9" i="9"/>
  <c r="I13" i="9"/>
  <c r="H11" i="9"/>
  <c r="C12" i="9"/>
  <c r="B11" i="9"/>
  <c r="D10" i="9"/>
  <c r="E9" i="9"/>
  <c r="E13" i="9"/>
  <c r="F12" i="9"/>
  <c r="G9" i="9"/>
  <c r="G13" i="9"/>
  <c r="J12" i="9"/>
  <c r="I10" i="9"/>
  <c r="H10" i="9"/>
  <c r="C9" i="9"/>
  <c r="C13" i="9"/>
  <c r="B12" i="9"/>
  <c r="D11" i="9"/>
  <c r="E10" i="9"/>
  <c r="F9" i="9"/>
  <c r="F13" i="9"/>
  <c r="G10" i="9"/>
  <c r="J9" i="9"/>
  <c r="J13" i="9"/>
  <c r="I11" i="9"/>
  <c r="H9" i="9"/>
  <c r="H13" i="9"/>
  <c r="C10" i="9"/>
  <c r="B9" i="9"/>
  <c r="B13" i="9"/>
  <c r="D12" i="9"/>
  <c r="E11" i="9"/>
  <c r="F10" i="9"/>
  <c r="G11" i="9"/>
  <c r="J10" i="9"/>
  <c r="J7" i="9"/>
  <c r="I7" i="9"/>
  <c r="D9" i="6"/>
  <c r="E367" i="1"/>
  <c r="G68" i="1" l="1"/>
  <c r="F21" i="9" s="1"/>
  <c r="F403" i="1"/>
  <c r="F406" i="1" s="1"/>
  <c r="E403" i="1"/>
  <c r="E406" i="1" s="1"/>
  <c r="D403" i="1"/>
  <c r="D406" i="1" s="1"/>
  <c r="F367" i="1"/>
  <c r="D367" i="1"/>
  <c r="D370" i="1" s="1"/>
  <c r="F331" i="1"/>
  <c r="E331" i="1"/>
  <c r="D331" i="1"/>
  <c r="F295" i="1"/>
  <c r="E295" i="1"/>
  <c r="D295" i="1"/>
  <c r="F259" i="1"/>
  <c r="E259" i="1"/>
  <c r="D259" i="1"/>
  <c r="F223" i="1"/>
  <c r="E223" i="1"/>
  <c r="D223" i="1"/>
  <c r="D187" i="1"/>
  <c r="F151" i="1"/>
  <c r="E151" i="1"/>
  <c r="D151" i="1"/>
  <c r="F115" i="1"/>
  <c r="E115" i="1"/>
  <c r="D115" i="1"/>
  <c r="F79" i="1"/>
  <c r="E79" i="1"/>
  <c r="D79" i="1"/>
  <c r="F42" i="1"/>
  <c r="E42" i="1"/>
  <c r="D42" i="1"/>
  <c r="A20" i="6"/>
  <c r="F414" i="1"/>
  <c r="E414" i="1"/>
  <c r="D414" i="1"/>
  <c r="F378" i="1"/>
  <c r="E378" i="1"/>
  <c r="D378" i="1"/>
  <c r="F342" i="1"/>
  <c r="E342" i="1"/>
  <c r="D342" i="1"/>
  <c r="F306" i="1"/>
  <c r="E306" i="1"/>
  <c r="D306" i="1"/>
  <c r="F270" i="1"/>
  <c r="E270" i="1"/>
  <c r="D270" i="1"/>
  <c r="F234" i="1"/>
  <c r="E234" i="1"/>
  <c r="D234" i="1"/>
  <c r="F198" i="1"/>
  <c r="E198" i="1"/>
  <c r="D198" i="1"/>
  <c r="F162" i="1"/>
  <c r="E162" i="1"/>
  <c r="D162" i="1"/>
  <c r="F126" i="1"/>
  <c r="E126" i="1"/>
  <c r="F90" i="1"/>
  <c r="E90" i="1"/>
  <c r="D90" i="1"/>
  <c r="F53" i="1"/>
  <c r="E53" i="1"/>
  <c r="D53" i="1"/>
  <c r="C397" i="1"/>
  <c r="C361" i="1"/>
  <c r="B364" i="1" s="1"/>
  <c r="C325" i="1"/>
  <c r="B328" i="1" s="1"/>
  <c r="C289" i="1"/>
  <c r="B292" i="1" s="1"/>
  <c r="C253" i="1"/>
  <c r="B256" i="1" s="1"/>
  <c r="C217" i="1"/>
  <c r="B220" i="1" s="1"/>
  <c r="C181" i="1"/>
  <c r="B184" i="1" s="1"/>
  <c r="C145" i="1"/>
  <c r="B148" i="1" s="1"/>
  <c r="C109" i="1"/>
  <c r="B112" i="1" s="1"/>
  <c r="C73" i="1"/>
  <c r="B76" i="1" s="1"/>
  <c r="F45" i="1"/>
  <c r="F46" i="1"/>
  <c r="F82" i="1"/>
  <c r="F83" i="1"/>
  <c r="F118" i="1"/>
  <c r="F119" i="1"/>
  <c r="F154" i="1"/>
  <c r="F155" i="1"/>
  <c r="F190" i="1"/>
  <c r="F191" i="1"/>
  <c r="F226" i="1"/>
  <c r="F227" i="1"/>
  <c r="F262" i="1"/>
  <c r="F263" i="1"/>
  <c r="F298" i="1"/>
  <c r="F299" i="1"/>
  <c r="F334" i="1"/>
  <c r="F335" i="1"/>
  <c r="F370" i="1"/>
  <c r="F371" i="1"/>
  <c r="F407" i="1"/>
  <c r="E45" i="1"/>
  <c r="E46" i="1"/>
  <c r="E82" i="1"/>
  <c r="E83" i="1"/>
  <c r="E118" i="1"/>
  <c r="E119" i="1"/>
  <c r="E154" i="1"/>
  <c r="E155" i="1"/>
  <c r="E190" i="1"/>
  <c r="E191" i="1"/>
  <c r="E226" i="1"/>
  <c r="E227" i="1"/>
  <c r="E262" i="1"/>
  <c r="E263" i="1"/>
  <c r="E298" i="1"/>
  <c r="E299" i="1"/>
  <c r="E334" i="1"/>
  <c r="E335" i="1"/>
  <c r="E370" i="1"/>
  <c r="E371" i="1"/>
  <c r="D45" i="1"/>
  <c r="D46" i="1"/>
  <c r="D82" i="1"/>
  <c r="D83" i="1"/>
  <c r="D118" i="1"/>
  <c r="D119" i="1"/>
  <c r="D154" i="1"/>
  <c r="D155" i="1"/>
  <c r="D190" i="1"/>
  <c r="D191" i="1"/>
  <c r="D226" i="1"/>
  <c r="D227" i="1"/>
  <c r="D262" i="1"/>
  <c r="D263" i="1"/>
  <c r="D298" i="1"/>
  <c r="D299" i="1"/>
  <c r="D334" i="1"/>
  <c r="D335" i="1"/>
  <c r="D371" i="1"/>
  <c r="D64" i="1"/>
  <c r="E416" i="1"/>
  <c r="F416" i="1" s="1"/>
  <c r="G416" i="1" s="1"/>
  <c r="H416" i="1" s="1"/>
  <c r="I416" i="1" s="1"/>
  <c r="J416" i="1" s="1"/>
  <c r="K416" i="1" s="1"/>
  <c r="L416" i="1" s="1"/>
  <c r="M416" i="1" s="1"/>
  <c r="N416" i="1" s="1"/>
  <c r="O416" i="1" s="1"/>
  <c r="E380" i="1"/>
  <c r="F380" i="1" s="1"/>
  <c r="G380" i="1" s="1"/>
  <c r="H380" i="1" s="1"/>
  <c r="I380" i="1" s="1"/>
  <c r="J380" i="1" s="1"/>
  <c r="K380" i="1" s="1"/>
  <c r="L380" i="1" s="1"/>
  <c r="M380" i="1" s="1"/>
  <c r="N380" i="1" s="1"/>
  <c r="O380" i="1" s="1"/>
  <c r="E344" i="1"/>
  <c r="F344" i="1" s="1"/>
  <c r="G344" i="1" s="1"/>
  <c r="H344" i="1" s="1"/>
  <c r="I344" i="1" s="1"/>
  <c r="J344" i="1" s="1"/>
  <c r="K344" i="1" s="1"/>
  <c r="L344" i="1" s="1"/>
  <c r="M344" i="1" s="1"/>
  <c r="N344" i="1" s="1"/>
  <c r="O344" i="1" s="1"/>
  <c r="E308" i="1"/>
  <c r="F308" i="1" s="1"/>
  <c r="G308" i="1" s="1"/>
  <c r="H308" i="1" s="1"/>
  <c r="I308" i="1" s="1"/>
  <c r="J308" i="1" s="1"/>
  <c r="K308" i="1" s="1"/>
  <c r="L308" i="1" s="1"/>
  <c r="M308" i="1" s="1"/>
  <c r="N308" i="1" s="1"/>
  <c r="O308" i="1" s="1"/>
  <c r="E272" i="1"/>
  <c r="F272" i="1" s="1"/>
  <c r="G272" i="1" s="1"/>
  <c r="H272" i="1" s="1"/>
  <c r="I272" i="1" s="1"/>
  <c r="J272" i="1" s="1"/>
  <c r="E236" i="1"/>
  <c r="F236" i="1" s="1"/>
  <c r="G236" i="1" s="1"/>
  <c r="H236" i="1" s="1"/>
  <c r="I236" i="1" s="1"/>
  <c r="J236" i="1" s="1"/>
  <c r="K236" i="1" s="1"/>
  <c r="L236" i="1" s="1"/>
  <c r="M236" i="1" s="1"/>
  <c r="N236" i="1" s="1"/>
  <c r="O236" i="1" s="1"/>
  <c r="E200" i="1"/>
  <c r="F200" i="1" s="1"/>
  <c r="G200" i="1" s="1"/>
  <c r="H200" i="1" s="1"/>
  <c r="I200" i="1" s="1"/>
  <c r="J200" i="1" s="1"/>
  <c r="K200" i="1" s="1"/>
  <c r="L200" i="1" s="1"/>
  <c r="M200" i="1" s="1"/>
  <c r="N200" i="1" s="1"/>
  <c r="O200" i="1" s="1"/>
  <c r="E164" i="1"/>
  <c r="F164" i="1" s="1"/>
  <c r="G164" i="1" s="1"/>
  <c r="H164" i="1" s="1"/>
  <c r="I164" i="1" s="1"/>
  <c r="J164" i="1" s="1"/>
  <c r="K164" i="1" s="1"/>
  <c r="L164" i="1" s="1"/>
  <c r="M164" i="1" s="1"/>
  <c r="N164" i="1" s="1"/>
  <c r="O164" i="1" s="1"/>
  <c r="E128" i="1"/>
  <c r="F128" i="1" s="1"/>
  <c r="G128" i="1" s="1"/>
  <c r="H128" i="1" s="1"/>
  <c r="I128" i="1" s="1"/>
  <c r="J128" i="1" s="1"/>
  <c r="K128" i="1" s="1"/>
  <c r="L128" i="1" s="1"/>
  <c r="M128" i="1" s="1"/>
  <c r="N128" i="1" s="1"/>
  <c r="O128" i="1" s="1"/>
  <c r="E92" i="1"/>
  <c r="F92" i="1" s="1"/>
  <c r="G92" i="1" s="1"/>
  <c r="H92" i="1" s="1"/>
  <c r="I92" i="1" s="1"/>
  <c r="J92" i="1" s="1"/>
  <c r="K92" i="1" s="1"/>
  <c r="L92" i="1" s="1"/>
  <c r="M92" i="1" s="1"/>
  <c r="N92" i="1" s="1"/>
  <c r="O92" i="1" s="1"/>
  <c r="E55" i="1"/>
  <c r="F55" i="1" s="1"/>
  <c r="G55" i="1" s="1"/>
  <c r="H55" i="1" s="1"/>
  <c r="I55" i="1" s="1"/>
  <c r="J55" i="1" s="1"/>
  <c r="K55" i="1" s="1"/>
  <c r="L55" i="1" s="1"/>
  <c r="M55" i="1" s="1"/>
  <c r="N55" i="1" s="1"/>
  <c r="O55" i="1" s="1"/>
  <c r="E410" i="1"/>
  <c r="F410" i="1" s="1"/>
  <c r="G410" i="1" s="1"/>
  <c r="H410" i="1" s="1"/>
  <c r="I410" i="1" s="1"/>
  <c r="J410" i="1" s="1"/>
  <c r="K410" i="1" s="1"/>
  <c r="L410" i="1" s="1"/>
  <c r="M410" i="1" s="1"/>
  <c r="N410" i="1" s="1"/>
  <c r="O410" i="1" s="1"/>
  <c r="F405" i="1"/>
  <c r="G405" i="1" s="1"/>
  <c r="H405" i="1" s="1"/>
  <c r="I405" i="1" s="1"/>
  <c r="J405" i="1" s="1"/>
  <c r="K405" i="1" s="1"/>
  <c r="L405" i="1" s="1"/>
  <c r="M405" i="1" s="1"/>
  <c r="N405" i="1" s="1"/>
  <c r="O405" i="1" s="1"/>
  <c r="E374" i="1"/>
  <c r="F374" i="1" s="1"/>
  <c r="G374" i="1" s="1"/>
  <c r="H374" i="1" s="1"/>
  <c r="I374" i="1" s="1"/>
  <c r="J374" i="1" s="1"/>
  <c r="K374" i="1" s="1"/>
  <c r="L374" i="1" s="1"/>
  <c r="M374" i="1" s="1"/>
  <c r="N374" i="1" s="1"/>
  <c r="O374" i="1" s="1"/>
  <c r="E369" i="1"/>
  <c r="F369" i="1" s="1"/>
  <c r="G369" i="1" s="1"/>
  <c r="H369" i="1" s="1"/>
  <c r="I369" i="1" s="1"/>
  <c r="J369" i="1" s="1"/>
  <c r="K369" i="1" s="1"/>
  <c r="L369" i="1" s="1"/>
  <c r="M369" i="1" s="1"/>
  <c r="N369" i="1" s="1"/>
  <c r="O369" i="1" s="1"/>
  <c r="E338" i="1"/>
  <c r="F338" i="1" s="1"/>
  <c r="G338" i="1" s="1"/>
  <c r="H338" i="1" s="1"/>
  <c r="I338" i="1" s="1"/>
  <c r="J338" i="1" s="1"/>
  <c r="K338" i="1" s="1"/>
  <c r="L338" i="1" s="1"/>
  <c r="M338" i="1" s="1"/>
  <c r="N338" i="1" s="1"/>
  <c r="O338" i="1" s="1"/>
  <c r="E333" i="1"/>
  <c r="F333" i="1" s="1"/>
  <c r="G333" i="1" s="1"/>
  <c r="H333" i="1" s="1"/>
  <c r="I333" i="1" s="1"/>
  <c r="J333" i="1" s="1"/>
  <c r="K333" i="1" s="1"/>
  <c r="L333" i="1" s="1"/>
  <c r="M333" i="1" s="1"/>
  <c r="N333" i="1" s="1"/>
  <c r="O333" i="1" s="1"/>
  <c r="E302" i="1"/>
  <c r="F302" i="1" s="1"/>
  <c r="G302" i="1" s="1"/>
  <c r="H302" i="1" s="1"/>
  <c r="I302" i="1" s="1"/>
  <c r="J302" i="1" s="1"/>
  <c r="K302" i="1" s="1"/>
  <c r="L302" i="1" s="1"/>
  <c r="M302" i="1" s="1"/>
  <c r="N302" i="1" s="1"/>
  <c r="O302" i="1" s="1"/>
  <c r="E297" i="1"/>
  <c r="F297" i="1" s="1"/>
  <c r="G297" i="1" s="1"/>
  <c r="H297" i="1" s="1"/>
  <c r="I297" i="1" s="1"/>
  <c r="J297" i="1" s="1"/>
  <c r="K297" i="1" s="1"/>
  <c r="L297" i="1" s="1"/>
  <c r="M297" i="1" s="1"/>
  <c r="N297" i="1" s="1"/>
  <c r="O297" i="1" s="1"/>
  <c r="E266" i="1"/>
  <c r="F266" i="1" s="1"/>
  <c r="G266" i="1" s="1"/>
  <c r="H266" i="1" s="1"/>
  <c r="I266" i="1" s="1"/>
  <c r="J266" i="1" s="1"/>
  <c r="K266" i="1" s="1"/>
  <c r="L266" i="1" s="1"/>
  <c r="M266" i="1" s="1"/>
  <c r="N266" i="1" s="1"/>
  <c r="O266" i="1" s="1"/>
  <c r="E261" i="1"/>
  <c r="F261" i="1" s="1"/>
  <c r="G261" i="1" s="1"/>
  <c r="H261" i="1" s="1"/>
  <c r="I261" i="1" s="1"/>
  <c r="J261" i="1" s="1"/>
  <c r="K261" i="1" s="1"/>
  <c r="L261" i="1" s="1"/>
  <c r="M261" i="1" s="1"/>
  <c r="N261" i="1" s="1"/>
  <c r="O261" i="1" s="1"/>
  <c r="E230" i="1"/>
  <c r="F230" i="1" s="1"/>
  <c r="G230" i="1" s="1"/>
  <c r="H230" i="1" s="1"/>
  <c r="I230" i="1" s="1"/>
  <c r="J230" i="1" s="1"/>
  <c r="K230" i="1" s="1"/>
  <c r="L230" i="1" s="1"/>
  <c r="M230" i="1" s="1"/>
  <c r="N230" i="1" s="1"/>
  <c r="O230" i="1" s="1"/>
  <c r="E225" i="1"/>
  <c r="F225" i="1" s="1"/>
  <c r="G225" i="1" s="1"/>
  <c r="H225" i="1" s="1"/>
  <c r="I225" i="1" s="1"/>
  <c r="J225" i="1" s="1"/>
  <c r="K225" i="1" s="1"/>
  <c r="L225" i="1" s="1"/>
  <c r="M225" i="1" s="1"/>
  <c r="N225" i="1" s="1"/>
  <c r="O225" i="1" s="1"/>
  <c r="E194" i="1"/>
  <c r="E189" i="1"/>
  <c r="F189" i="1" s="1"/>
  <c r="G189" i="1" s="1"/>
  <c r="H189" i="1" s="1"/>
  <c r="I189" i="1" s="1"/>
  <c r="J189" i="1" s="1"/>
  <c r="K189" i="1" s="1"/>
  <c r="L189" i="1" s="1"/>
  <c r="M189" i="1" s="1"/>
  <c r="N189" i="1" s="1"/>
  <c r="O189" i="1" s="1"/>
  <c r="E158" i="1"/>
  <c r="F158" i="1" s="1"/>
  <c r="G158" i="1" s="1"/>
  <c r="H158" i="1" s="1"/>
  <c r="I158" i="1" s="1"/>
  <c r="J158" i="1" s="1"/>
  <c r="K158" i="1" s="1"/>
  <c r="L158" i="1" s="1"/>
  <c r="M158" i="1" s="1"/>
  <c r="N158" i="1" s="1"/>
  <c r="O158" i="1" s="1"/>
  <c r="E153" i="1"/>
  <c r="F153" i="1" s="1"/>
  <c r="G153" i="1" s="1"/>
  <c r="H153" i="1" s="1"/>
  <c r="I153" i="1" s="1"/>
  <c r="J153" i="1" s="1"/>
  <c r="K153" i="1" s="1"/>
  <c r="L153" i="1" s="1"/>
  <c r="M153" i="1" s="1"/>
  <c r="N153" i="1" s="1"/>
  <c r="O153" i="1" s="1"/>
  <c r="E122" i="1"/>
  <c r="F122" i="1" s="1"/>
  <c r="G122" i="1" s="1"/>
  <c r="H122" i="1" s="1"/>
  <c r="I122" i="1" s="1"/>
  <c r="J122" i="1" s="1"/>
  <c r="K122" i="1" s="1"/>
  <c r="L122" i="1" s="1"/>
  <c r="M122" i="1" s="1"/>
  <c r="N122" i="1" s="1"/>
  <c r="O122" i="1" s="1"/>
  <c r="E117" i="1"/>
  <c r="F117" i="1" s="1"/>
  <c r="G117" i="1" s="1"/>
  <c r="H117" i="1" s="1"/>
  <c r="I117" i="1" s="1"/>
  <c r="J117" i="1" s="1"/>
  <c r="K117" i="1" s="1"/>
  <c r="L117" i="1" s="1"/>
  <c r="M117" i="1" s="1"/>
  <c r="N117" i="1" s="1"/>
  <c r="O117" i="1" s="1"/>
  <c r="E86" i="1"/>
  <c r="F86" i="1" s="1"/>
  <c r="G86" i="1" s="1"/>
  <c r="H86" i="1" s="1"/>
  <c r="I86" i="1" s="1"/>
  <c r="J86" i="1" s="1"/>
  <c r="K86" i="1" s="1"/>
  <c r="L86" i="1" s="1"/>
  <c r="M86" i="1" s="1"/>
  <c r="N86" i="1" s="1"/>
  <c r="O86" i="1" s="1"/>
  <c r="E81" i="1"/>
  <c r="F81" i="1" s="1"/>
  <c r="G81" i="1" s="1"/>
  <c r="H81" i="1" s="1"/>
  <c r="I81" i="1" s="1"/>
  <c r="J81" i="1" s="1"/>
  <c r="K81" i="1" s="1"/>
  <c r="L81" i="1" s="1"/>
  <c r="M81" i="1" s="1"/>
  <c r="N81" i="1" s="1"/>
  <c r="O81" i="1" s="1"/>
  <c r="C36" i="1"/>
  <c r="B39" i="1" s="1"/>
  <c r="E147" i="1"/>
  <c r="F147" i="1" s="1"/>
  <c r="G147" i="1" s="1"/>
  <c r="H147" i="1" s="1"/>
  <c r="I147" i="1" s="1"/>
  <c r="J147" i="1" s="1"/>
  <c r="K147" i="1" s="1"/>
  <c r="L147" i="1" s="1"/>
  <c r="M147" i="1" s="1"/>
  <c r="N147" i="1" s="1"/>
  <c r="O147" i="1" s="1"/>
  <c r="E111" i="1"/>
  <c r="F111" i="1" s="1"/>
  <c r="G111" i="1" s="1"/>
  <c r="H111" i="1" s="1"/>
  <c r="I111" i="1" s="1"/>
  <c r="J111" i="1" s="1"/>
  <c r="K111" i="1" s="1"/>
  <c r="L111" i="1" s="1"/>
  <c r="M111" i="1" s="1"/>
  <c r="N111" i="1" s="1"/>
  <c r="O111" i="1" s="1"/>
  <c r="F399" i="1"/>
  <c r="G399" i="1" s="1"/>
  <c r="H399" i="1" s="1"/>
  <c r="I399" i="1" s="1"/>
  <c r="J399" i="1" s="1"/>
  <c r="K399" i="1" s="1"/>
  <c r="L399" i="1" s="1"/>
  <c r="M399" i="1" s="1"/>
  <c r="N399" i="1" s="1"/>
  <c r="O399" i="1" s="1"/>
  <c r="E363" i="1"/>
  <c r="F363" i="1" s="1"/>
  <c r="G363" i="1" s="1"/>
  <c r="H363" i="1" s="1"/>
  <c r="I363" i="1" s="1"/>
  <c r="J363" i="1" s="1"/>
  <c r="K363" i="1" s="1"/>
  <c r="L363" i="1" s="1"/>
  <c r="M363" i="1" s="1"/>
  <c r="N363" i="1" s="1"/>
  <c r="O363" i="1" s="1"/>
  <c r="E327" i="1"/>
  <c r="F327" i="1" s="1"/>
  <c r="G327" i="1" s="1"/>
  <c r="H327" i="1" s="1"/>
  <c r="I327" i="1" s="1"/>
  <c r="J327" i="1" s="1"/>
  <c r="K327" i="1" s="1"/>
  <c r="L327" i="1" s="1"/>
  <c r="M327" i="1" s="1"/>
  <c r="N327" i="1" s="1"/>
  <c r="O327" i="1" s="1"/>
  <c r="E291" i="1"/>
  <c r="F291" i="1" s="1"/>
  <c r="G291" i="1" s="1"/>
  <c r="H291" i="1" s="1"/>
  <c r="I291" i="1" s="1"/>
  <c r="J291" i="1" s="1"/>
  <c r="K291" i="1" s="1"/>
  <c r="L291" i="1" s="1"/>
  <c r="M291" i="1" s="1"/>
  <c r="N291" i="1" s="1"/>
  <c r="O291" i="1" s="1"/>
  <c r="E255" i="1"/>
  <c r="F255" i="1" s="1"/>
  <c r="G255" i="1" s="1"/>
  <c r="H255" i="1" s="1"/>
  <c r="I255" i="1" s="1"/>
  <c r="J255" i="1" s="1"/>
  <c r="K255" i="1" s="1"/>
  <c r="L255" i="1" s="1"/>
  <c r="M255" i="1" s="1"/>
  <c r="N255" i="1" s="1"/>
  <c r="O255" i="1" s="1"/>
  <c r="E219" i="1"/>
  <c r="F219" i="1" s="1"/>
  <c r="G219" i="1" s="1"/>
  <c r="H219" i="1" s="1"/>
  <c r="I219" i="1" s="1"/>
  <c r="J219" i="1" s="1"/>
  <c r="K219" i="1" s="1"/>
  <c r="L219" i="1" s="1"/>
  <c r="M219" i="1" s="1"/>
  <c r="N219" i="1" s="1"/>
  <c r="O219" i="1" s="1"/>
  <c r="E183" i="1"/>
  <c r="F183" i="1" s="1"/>
  <c r="G183" i="1" s="1"/>
  <c r="H183" i="1" s="1"/>
  <c r="I183" i="1" s="1"/>
  <c r="J183" i="1" s="1"/>
  <c r="K183" i="1" s="1"/>
  <c r="L183" i="1" s="1"/>
  <c r="M183" i="1" s="1"/>
  <c r="N183" i="1" s="1"/>
  <c r="O183" i="1" s="1"/>
  <c r="E75" i="1"/>
  <c r="F75" i="1" s="1"/>
  <c r="G75" i="1" s="1"/>
  <c r="H75" i="1" s="1"/>
  <c r="I75" i="1" s="1"/>
  <c r="J75" i="1" s="1"/>
  <c r="K75" i="1" s="1"/>
  <c r="L75" i="1" s="1"/>
  <c r="M75" i="1" s="1"/>
  <c r="N75" i="1" s="1"/>
  <c r="O75" i="1" s="1"/>
  <c r="E38" i="1"/>
  <c r="E49" i="1" s="1"/>
  <c r="M604" i="1" l="1"/>
  <c r="M606" i="1" s="1"/>
  <c r="M630" i="1" s="1"/>
  <c r="L36" i="9" s="1"/>
  <c r="O604" i="1"/>
  <c r="O606" i="1" s="1"/>
  <c r="O630" i="1" s="1"/>
  <c r="N36" i="9" s="1"/>
  <c r="N604" i="1"/>
  <c r="N606" i="1" s="1"/>
  <c r="N630" i="1" s="1"/>
  <c r="M36" i="9" s="1"/>
  <c r="L6" i="9" s="1"/>
  <c r="M558" i="1"/>
  <c r="M560" i="1" s="1"/>
  <c r="M590" i="1" s="1"/>
  <c r="O558" i="1"/>
  <c r="O560" i="1" s="1"/>
  <c r="N558" i="1"/>
  <c r="N560" i="1" s="1"/>
  <c r="M644" i="1"/>
  <c r="M646" i="1" s="1"/>
  <c r="M670" i="1" s="1"/>
  <c r="L37" i="9" s="1"/>
  <c r="O644" i="1"/>
  <c r="O646" i="1" s="1"/>
  <c r="O670" i="1" s="1"/>
  <c r="N37" i="9" s="1"/>
  <c r="N644" i="1"/>
  <c r="N646" i="1" s="1"/>
  <c r="N670" i="1" s="1"/>
  <c r="M37" i="9" s="1"/>
  <c r="K604" i="1"/>
  <c r="K606" i="1" s="1"/>
  <c r="K630" i="1" s="1"/>
  <c r="J36" i="9" s="1"/>
  <c r="L604" i="1"/>
  <c r="L606" i="1" s="1"/>
  <c r="K644" i="1"/>
  <c r="K646" i="1" s="1"/>
  <c r="K670" i="1" s="1"/>
  <c r="J37" i="9" s="1"/>
  <c r="L644" i="1"/>
  <c r="L646" i="1" s="1"/>
  <c r="L670" i="1" s="1"/>
  <c r="K37" i="9" s="1"/>
  <c r="K558" i="1"/>
  <c r="K560" i="1" s="1"/>
  <c r="L558" i="1"/>
  <c r="L560" i="1" s="1"/>
  <c r="F194" i="1"/>
  <c r="G194" i="1" s="1"/>
  <c r="H194" i="1" s="1"/>
  <c r="I194" i="1" s="1"/>
  <c r="J194" i="1" s="1"/>
  <c r="K194" i="1" s="1"/>
  <c r="L194" i="1" s="1"/>
  <c r="M194" i="1" s="1"/>
  <c r="N194" i="1" s="1"/>
  <c r="O194" i="1" s="1"/>
  <c r="D604" i="1"/>
  <c r="D606" i="1" s="1"/>
  <c r="D630" i="1" s="1"/>
  <c r="C36" i="9" s="1"/>
  <c r="E604" i="1"/>
  <c r="E606" i="1" s="1"/>
  <c r="E630" i="1" s="1"/>
  <c r="D36" i="9" s="1"/>
  <c r="J604" i="1"/>
  <c r="J606" i="1" s="1"/>
  <c r="J630" i="1" s="1"/>
  <c r="I36" i="9" s="1"/>
  <c r="F604" i="1"/>
  <c r="F606" i="1" s="1"/>
  <c r="F630" i="1" s="1"/>
  <c r="E36" i="9" s="1"/>
  <c r="H604" i="1"/>
  <c r="H606" i="1" s="1"/>
  <c r="H630" i="1" s="1"/>
  <c r="G36" i="9" s="1"/>
  <c r="I604" i="1"/>
  <c r="I606" i="1" s="1"/>
  <c r="I630" i="1" s="1"/>
  <c r="H36" i="9" s="1"/>
  <c r="G604" i="1"/>
  <c r="G606" i="1" s="1"/>
  <c r="G630" i="1" s="1"/>
  <c r="F36" i="9" s="1"/>
  <c r="H644" i="1"/>
  <c r="H646" i="1" s="1"/>
  <c r="H670" i="1" s="1"/>
  <c r="G37" i="9" s="1"/>
  <c r="I644" i="1"/>
  <c r="I646" i="1" s="1"/>
  <c r="I670" i="1" s="1"/>
  <c r="H37" i="9" s="1"/>
  <c r="D644" i="1"/>
  <c r="D646" i="1" s="1"/>
  <c r="D670" i="1" s="1"/>
  <c r="C37" i="9" s="1"/>
  <c r="J644" i="1"/>
  <c r="J646" i="1" s="1"/>
  <c r="J670" i="1" s="1"/>
  <c r="I37" i="9" s="1"/>
  <c r="E644" i="1"/>
  <c r="E646" i="1" s="1"/>
  <c r="E670" i="1" s="1"/>
  <c r="D37" i="9" s="1"/>
  <c r="F644" i="1"/>
  <c r="F646" i="1" s="1"/>
  <c r="F670" i="1" s="1"/>
  <c r="E37" i="9" s="1"/>
  <c r="G644" i="1"/>
  <c r="G646" i="1" s="1"/>
  <c r="G670" i="1" s="1"/>
  <c r="F37" i="9" s="1"/>
  <c r="D558" i="1"/>
  <c r="E558" i="1"/>
  <c r="F558" i="1"/>
  <c r="G558" i="1"/>
  <c r="H558" i="1"/>
  <c r="H560" i="1" s="1"/>
  <c r="J558" i="1"/>
  <c r="J560" i="1" s="1"/>
  <c r="I558" i="1"/>
  <c r="I560" i="1" s="1"/>
  <c r="I590" i="1" s="1"/>
  <c r="H35" i="9" s="1"/>
  <c r="G8" i="9" s="1"/>
  <c r="J524" i="1"/>
  <c r="J544" i="1" s="1"/>
  <c r="I34" i="9" s="1"/>
  <c r="J452" i="1"/>
  <c r="I524" i="1"/>
  <c r="I544" i="1" s="1"/>
  <c r="H34" i="9" s="1"/>
  <c r="J488" i="1"/>
  <c r="J508" i="1" s="1"/>
  <c r="I33" i="9" s="1"/>
  <c r="E12" i="6"/>
  <c r="I488" i="1"/>
  <c r="I508" i="1" s="1"/>
  <c r="H33" i="9" s="1"/>
  <c r="F336" i="1"/>
  <c r="F356" i="1" s="1"/>
  <c r="D300" i="1"/>
  <c r="D320" i="1" s="1"/>
  <c r="C28" i="9" s="1"/>
  <c r="C12" i="6"/>
  <c r="D12" i="6"/>
  <c r="E120" i="1"/>
  <c r="E140" i="1" s="1"/>
  <c r="D23" i="9" s="1"/>
  <c r="F192" i="1"/>
  <c r="F212" i="1" s="1"/>
  <c r="D228" i="1"/>
  <c r="D248" i="1" s="1"/>
  <c r="C26" i="9" s="1"/>
  <c r="F300" i="1"/>
  <c r="F320" i="1" s="1"/>
  <c r="F156" i="1"/>
  <c r="F176" i="1" s="1"/>
  <c r="F47" i="1"/>
  <c r="D372" i="1"/>
  <c r="D392" i="1" s="1"/>
  <c r="C30" i="9" s="1"/>
  <c r="E300" i="1"/>
  <c r="E320" i="1" s="1"/>
  <c r="D28" i="9" s="1"/>
  <c r="E192" i="1"/>
  <c r="E47" i="1"/>
  <c r="B400" i="1"/>
  <c r="D49" i="1"/>
  <c r="E44" i="1"/>
  <c r="F38" i="1"/>
  <c r="F49" i="1" s="1"/>
  <c r="D336" i="1"/>
  <c r="D356" i="1" s="1"/>
  <c r="C29" i="9" s="1"/>
  <c r="D192" i="1"/>
  <c r="D212" i="1" s="1"/>
  <c r="C25" i="9" s="1"/>
  <c r="D47" i="1"/>
  <c r="D120" i="1"/>
  <c r="E84" i="1"/>
  <c r="E104" i="1" s="1"/>
  <c r="D22" i="9" s="1"/>
  <c r="E264" i="1"/>
  <c r="E284" i="1" s="1"/>
  <c r="D27" i="9" s="1"/>
  <c r="F264" i="1"/>
  <c r="F284" i="1" s="1"/>
  <c r="D264" i="1"/>
  <c r="D284" i="1" s="1"/>
  <c r="C27" i="9" s="1"/>
  <c r="E372" i="1"/>
  <c r="D407" i="1"/>
  <c r="D408" i="1" s="1"/>
  <c r="F408" i="1"/>
  <c r="F438" i="1" s="1"/>
  <c r="D20" i="6"/>
  <c r="E64" i="1"/>
  <c r="E407" i="1"/>
  <c r="E408" i="1" s="1"/>
  <c r="F372" i="1"/>
  <c r="E336" i="1"/>
  <c r="F228" i="1"/>
  <c r="F248" i="1" s="1"/>
  <c r="E228" i="1"/>
  <c r="F84" i="1"/>
  <c r="F104" i="1" s="1"/>
  <c r="D84" i="1"/>
  <c r="D104" i="1" s="1"/>
  <c r="C22" i="9" s="1"/>
  <c r="D156" i="1"/>
  <c r="E156" i="1"/>
  <c r="F120" i="1"/>
  <c r="F140" i="1" s="1"/>
  <c r="L13" i="6" l="1"/>
  <c r="L14" i="6" s="1"/>
  <c r="L46" i="6" s="1"/>
  <c r="L35" i="9"/>
  <c r="K8" i="9" s="1"/>
  <c r="N590" i="1"/>
  <c r="M35" i="9" s="1"/>
  <c r="L8" i="9" s="1"/>
  <c r="L14" i="9" s="1"/>
  <c r="M13" i="6"/>
  <c r="M14" i="6" s="1"/>
  <c r="M46" i="6" s="1"/>
  <c r="O590" i="1"/>
  <c r="N35" i="9" s="1"/>
  <c r="N14" i="6"/>
  <c r="N46" i="6" s="1"/>
  <c r="K6" i="9"/>
  <c r="L630" i="1"/>
  <c r="K36" i="9" s="1"/>
  <c r="J6" i="9" s="1"/>
  <c r="H7" i="9"/>
  <c r="G7" i="9"/>
  <c r="E6" i="9"/>
  <c r="F6" i="9"/>
  <c r="I6" i="9"/>
  <c r="G6" i="9"/>
  <c r="D6" i="9"/>
  <c r="C6" i="9"/>
  <c r="H6" i="9"/>
  <c r="B6" i="9"/>
  <c r="L590" i="1"/>
  <c r="K35" i="9" s="1"/>
  <c r="J8" i="9" s="1"/>
  <c r="K13" i="6"/>
  <c r="K14" i="6" s="1"/>
  <c r="K590" i="1"/>
  <c r="J35" i="9" s="1"/>
  <c r="I8" i="9" s="1"/>
  <c r="J13" i="6"/>
  <c r="J14" i="6" s="1"/>
  <c r="J46" i="6" s="1"/>
  <c r="J590" i="1"/>
  <c r="I35" i="9" s="1"/>
  <c r="H8" i="9" s="1"/>
  <c r="I13" i="6"/>
  <c r="I14" i="6" s="1"/>
  <c r="I46" i="6" s="1"/>
  <c r="J472" i="1"/>
  <c r="I32" i="9" s="1"/>
  <c r="H5" i="9" s="1"/>
  <c r="G560" i="1"/>
  <c r="H452" i="1"/>
  <c r="E524" i="1"/>
  <c r="E544" i="1" s="1"/>
  <c r="D34" i="9" s="1"/>
  <c r="F560" i="1"/>
  <c r="I452" i="1"/>
  <c r="H13" i="6" s="1"/>
  <c r="H524" i="1"/>
  <c r="H544" i="1" s="1"/>
  <c r="G34" i="9" s="1"/>
  <c r="E560" i="1"/>
  <c r="E590" i="1" s="1"/>
  <c r="D35" i="9" s="1"/>
  <c r="C8" i="9" s="1"/>
  <c r="D560" i="1"/>
  <c r="D590" i="1" s="1"/>
  <c r="C35" i="9" s="1"/>
  <c r="B8" i="9" s="1"/>
  <c r="F524" i="1"/>
  <c r="F544" i="1" s="1"/>
  <c r="E34" i="9" s="1"/>
  <c r="D524" i="1"/>
  <c r="D544" i="1" s="1"/>
  <c r="C34" i="9" s="1"/>
  <c r="G524" i="1"/>
  <c r="G544" i="1" s="1"/>
  <c r="F34" i="9" s="1"/>
  <c r="F488" i="1"/>
  <c r="F508" i="1" s="1"/>
  <c r="E33" i="9" s="1"/>
  <c r="G488" i="1"/>
  <c r="G508" i="1" s="1"/>
  <c r="F33" i="9" s="1"/>
  <c r="D488" i="1"/>
  <c r="D508" i="1" s="1"/>
  <c r="C33" i="9" s="1"/>
  <c r="E488" i="1"/>
  <c r="E508" i="1" s="1"/>
  <c r="D33" i="9" s="1"/>
  <c r="H488" i="1"/>
  <c r="H508" i="1" s="1"/>
  <c r="G33" i="9" s="1"/>
  <c r="D452" i="1"/>
  <c r="D472" i="1" s="1"/>
  <c r="C32" i="9" s="1"/>
  <c r="E452" i="1"/>
  <c r="E472" i="1" s="1"/>
  <c r="D32" i="9" s="1"/>
  <c r="F452" i="1"/>
  <c r="F472" i="1" s="1"/>
  <c r="E32" i="9" s="1"/>
  <c r="D68" i="1"/>
  <c r="C21" i="9" s="1"/>
  <c r="G452" i="1"/>
  <c r="F44" i="1"/>
  <c r="G38" i="1"/>
  <c r="H38" i="1" s="1"/>
  <c r="I38" i="1" s="1"/>
  <c r="F68" i="1"/>
  <c r="E21" i="9" s="1"/>
  <c r="E23" i="9"/>
  <c r="E22" i="9"/>
  <c r="E26" i="9"/>
  <c r="E27" i="9"/>
  <c r="E29" i="9"/>
  <c r="E24" i="9"/>
  <c r="E28" i="9"/>
  <c r="E25" i="9"/>
  <c r="E356" i="1"/>
  <c r="D29" i="9" s="1"/>
  <c r="E248" i="1"/>
  <c r="D26" i="9" s="1"/>
  <c r="E212" i="1"/>
  <c r="D25" i="9" s="1"/>
  <c r="E68" i="1"/>
  <c r="D21" i="9" s="1"/>
  <c r="D176" i="1"/>
  <c r="C24" i="9" s="1"/>
  <c r="E176" i="1"/>
  <c r="D24" i="9" s="1"/>
  <c r="D126" i="1"/>
  <c r="D140" i="1" s="1"/>
  <c r="C23" i="9" s="1"/>
  <c r="M8" i="9" l="1"/>
  <c r="M14" i="9" s="1"/>
  <c r="K14" i="9"/>
  <c r="I14" i="9"/>
  <c r="F13" i="6"/>
  <c r="F7" i="9"/>
  <c r="B7" i="9"/>
  <c r="E13" i="6"/>
  <c r="E14" i="6" s="1"/>
  <c r="E46" i="6" s="1"/>
  <c r="C13" i="6"/>
  <c r="C14" i="6" s="1"/>
  <c r="C46" i="6" s="1"/>
  <c r="G13" i="6"/>
  <c r="G14" i="6" s="1"/>
  <c r="G46" i="6" s="1"/>
  <c r="D13" i="6"/>
  <c r="D14" i="6" s="1"/>
  <c r="D46" i="6" s="1"/>
  <c r="I49" i="1"/>
  <c r="J38" i="1"/>
  <c r="K38" i="1" s="1"/>
  <c r="L38" i="1" s="1"/>
  <c r="M38" i="1" s="1"/>
  <c r="N38" i="1" s="1"/>
  <c r="I44" i="1"/>
  <c r="H14" i="9"/>
  <c r="G472" i="1"/>
  <c r="F32" i="9" s="1"/>
  <c r="E5" i="9" s="1"/>
  <c r="F14" i="6"/>
  <c r="H472" i="1"/>
  <c r="G32" i="9" s="1"/>
  <c r="F5" i="9" s="1"/>
  <c r="I472" i="1"/>
  <c r="H32" i="9" s="1"/>
  <c r="G5" i="9" s="1"/>
  <c r="H14" i="6"/>
  <c r="H46" i="6" s="1"/>
  <c r="H44" i="1"/>
  <c r="H49" i="1"/>
  <c r="G44" i="1"/>
  <c r="G49" i="1"/>
  <c r="E31" i="9"/>
  <c r="D5" i="9" s="1"/>
  <c r="O38" i="1" l="1"/>
  <c r="N44" i="1"/>
  <c r="N49" i="1"/>
  <c r="M49" i="1"/>
  <c r="M44" i="1"/>
  <c r="L49" i="1"/>
  <c r="L44" i="1"/>
  <c r="K49" i="1"/>
  <c r="K44" i="1"/>
  <c r="J44" i="1"/>
  <c r="J49" i="1"/>
  <c r="G14" i="9"/>
  <c r="E392" i="1"/>
  <c r="D30" i="9" s="1"/>
  <c r="C7" i="9" s="1"/>
  <c r="F392" i="1"/>
  <c r="E30" i="9" s="1"/>
  <c r="D7" i="9" s="1"/>
  <c r="D438" i="1"/>
  <c r="C31" i="9" s="1"/>
  <c r="B5" i="9" s="1"/>
  <c r="O44" i="1" l="1"/>
  <c r="O49" i="1"/>
  <c r="E438" i="1"/>
  <c r="D31" i="9" s="1"/>
  <c r="C5" i="9" s="1"/>
  <c r="G392" i="1"/>
  <c r="F30" i="9" s="1"/>
  <c r="E7" i="9" s="1"/>
  <c r="B14" i="9"/>
  <c r="C14" i="9" l="1"/>
  <c r="H590" i="1" l="1"/>
  <c r="G35" i="9" s="1"/>
  <c r="F8" i="9" s="1"/>
  <c r="F574" i="1"/>
  <c r="F586" i="1" l="1"/>
  <c r="F590" i="1" s="1"/>
  <c r="E35" i="9" s="1"/>
  <c r="D8" i="9" s="1"/>
  <c r="D14" i="9" s="1"/>
  <c r="G590" i="1"/>
  <c r="F35" i="9" s="1"/>
  <c r="E8" i="9" s="1"/>
  <c r="E14" i="9" s="1"/>
  <c r="F30" i="6"/>
  <c r="F42" i="6" s="1"/>
  <c r="F46" i="6" s="1"/>
  <c r="F14" i="9"/>
  <c r="B598" i="1" l="1"/>
  <c r="B638" i="1" l="1"/>
  <c r="B678" i="1"/>
  <c r="B11" i="6" l="1"/>
  <c r="B16" i="6"/>
  <c r="D11" i="6"/>
  <c r="E11" i="6" s="1"/>
  <c r="F11" i="6" s="1"/>
  <c r="G11" i="6" s="1"/>
  <c r="H11" i="6" s="1"/>
  <c r="I11" i="6" s="1"/>
  <c r="J11" i="6" s="1"/>
  <c r="K11" i="6" s="1"/>
  <c r="L11" i="6" s="1"/>
  <c r="M11" i="6" s="1"/>
  <c r="N11" i="6" s="1"/>
  <c r="O11" i="6" s="1"/>
  <c r="B22" i="6"/>
  <c r="D22" i="6"/>
  <c r="E22" i="6" s="1"/>
  <c r="F22" i="6" s="1"/>
  <c r="G22" i="6" s="1"/>
  <c r="H22" i="6" s="1"/>
  <c r="I22" i="6" s="1"/>
  <c r="J22" i="6" s="1"/>
  <c r="K22" i="6" s="1"/>
  <c r="L22" i="6" s="1"/>
  <c r="M22" i="6" s="1"/>
  <c r="N22" i="6" s="1"/>
  <c r="O22" i="6" s="1"/>
  <c r="B6" i="6"/>
  <c r="D6" i="6"/>
  <c r="E6" i="6" s="1"/>
  <c r="F6" i="6" s="1"/>
  <c r="G6" i="6" s="1"/>
  <c r="H6" i="6" s="1"/>
  <c r="I6" i="6" s="1"/>
  <c r="J6" i="6" s="1"/>
  <c r="K6" i="6" s="1"/>
  <c r="L6" i="6" s="1"/>
  <c r="M6" i="6" s="1"/>
  <c r="N6" i="6" s="1"/>
  <c r="O6" i="6" s="1"/>
  <c r="D16" i="6"/>
  <c r="E16" i="6" s="1"/>
  <c r="F16" i="6" s="1"/>
  <c r="G16" i="6" s="1"/>
  <c r="H16" i="6" s="1"/>
  <c r="I16" i="6" s="1"/>
  <c r="J16" i="6" s="1"/>
  <c r="K16" i="6" s="1"/>
  <c r="L16" i="6" s="1"/>
  <c r="M16" i="6" s="1"/>
  <c r="N16" i="6" s="1"/>
  <c r="O16" i="6" s="1"/>
  <c r="B45" i="6" l="1"/>
  <c r="L438" i="1" l="1"/>
  <c r="K439" i="1" s="1"/>
  <c r="K31" i="9" l="1"/>
  <c r="L732" i="1"/>
  <c r="L752" i="1" s="1"/>
  <c r="K39" i="9" s="1"/>
  <c r="J5" i="9" s="1"/>
  <c r="J14" i="9" s="1"/>
  <c r="K19" i="6"/>
  <c r="K20" i="6" s="1"/>
  <c r="K46" i="6" s="1"/>
</calcChain>
</file>

<file path=xl/sharedStrings.xml><?xml version="1.0" encoding="utf-8"?>
<sst xmlns="http://schemas.openxmlformats.org/spreadsheetml/2006/main" count="581" uniqueCount="132">
  <si>
    <t>Eligible</t>
  </si>
  <si>
    <t>Not Eligible</t>
  </si>
  <si>
    <t>---</t>
  </si>
  <si>
    <t>Reporting Entity:</t>
  </si>
  <si>
    <t>Facility Name:</t>
  </si>
  <si>
    <t>Reporting Date:</t>
  </si>
  <si>
    <t>Distributed Generation Bonus</t>
  </si>
  <si>
    <t>Quantity Required for Compliance</t>
  </si>
  <si>
    <t>WA State RCW 19.285 Requirement</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</si>
  <si>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</si>
  <si>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</si>
  <si>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</si>
  <si>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</si>
  <si>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</si>
  <si>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</si>
  <si>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</si>
  <si>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</si>
  <si>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</si>
  <si>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</si>
  <si>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</si>
  <si>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</si>
  <si>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</si>
  <si>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</si>
  <si>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</si>
  <si>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</si>
  <si>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Net Surplus Adjustments</t>
  </si>
  <si>
    <t>Percent of Qualifying MWh Allocated to WA</t>
  </si>
  <si>
    <t>MWh Allocated to WA Compliance</t>
  </si>
  <si>
    <t>Eligible MWh Available for RCW 19.285 Compliance</t>
  </si>
  <si>
    <t>Bonus Incentives Transferred</t>
  </si>
  <si>
    <t>Renewable Bonus Incentives</t>
  </si>
  <si>
    <t>Total Quantity Available for RCW 19.285 Compliance</t>
  </si>
  <si>
    <t>Percent of MWh Qualifying Under RCW 19.285</t>
  </si>
  <si>
    <t>Contribution to RCW 19.285 Compliance</t>
  </si>
  <si>
    <t>RCW 19.285 Compliance Surplus / (Deficit)</t>
  </si>
  <si>
    <t>REC Sales / Transfers</t>
  </si>
  <si>
    <t>Quantity from Bonus Incentives</t>
  </si>
  <si>
    <t>Total Quantity from Bonus Incentives</t>
  </si>
  <si>
    <t>Qualifying MWh Allocated to WA</t>
  </si>
  <si>
    <t>Quantity of RECs Sold</t>
  </si>
  <si>
    <t>Facility Name</t>
  </si>
  <si>
    <t>Bonus Incentives Not Realized</t>
  </si>
  <si>
    <t>Total Sold / Transferred / Unrealized</t>
  </si>
  <si>
    <t>Adjustments</t>
  </si>
  <si>
    <t>Palouse Wind</t>
  </si>
  <si>
    <t>Avista</t>
  </si>
  <si>
    <t>Long Lake #3</t>
  </si>
  <si>
    <t>Little Falls #4</t>
  </si>
  <si>
    <t>Cabinet Gorge #2</t>
  </si>
  <si>
    <t>Cabinet Gorge #3</t>
  </si>
  <si>
    <t>Cabinet Gorge #4</t>
  </si>
  <si>
    <t>Noxon Rapids #1</t>
  </si>
  <si>
    <t>Noxon Rapids #2</t>
  </si>
  <si>
    <t>Noxon Rapids #3</t>
  </si>
  <si>
    <t>Noxon Rapids #4</t>
  </si>
  <si>
    <t>Total</t>
  </si>
  <si>
    <t>W2103</t>
  </si>
  <si>
    <t>W2102</t>
  </si>
  <si>
    <t>W1560</t>
  </si>
  <si>
    <t>W1561</t>
  </si>
  <si>
    <t>W1562</t>
  </si>
  <si>
    <t>W1530</t>
  </si>
  <si>
    <t>W1552</t>
  </si>
  <si>
    <t>W1554</t>
  </si>
  <si>
    <t>W1555</t>
  </si>
  <si>
    <t>N/A</t>
  </si>
  <si>
    <t>Type</t>
  </si>
  <si>
    <t>Wind</t>
  </si>
  <si>
    <t>Contract</t>
  </si>
  <si>
    <t>4/2008</t>
  </si>
  <si>
    <t>Water (Incremental Hydro)</t>
  </si>
  <si>
    <t>Compliance Contribution by Generation Type</t>
  </si>
  <si>
    <t>Solar</t>
  </si>
  <si>
    <t>Biomass</t>
  </si>
  <si>
    <t>Geothermal</t>
  </si>
  <si>
    <t>Landfill Gas</t>
  </si>
  <si>
    <t>Sewage Treatment Gas</t>
  </si>
  <si>
    <t>Wave, Ocean, Tidal</t>
  </si>
  <si>
    <t>Biodiesel Fuel</t>
  </si>
  <si>
    <t>Facility Type</t>
  </si>
  <si>
    <t>On-Line Date:</t>
  </si>
  <si>
    <t>Ownership/Contract:</t>
  </si>
  <si>
    <t>Ownership</t>
  </si>
  <si>
    <t>Eligible Quantity Acquired **</t>
  </si>
  <si>
    <t>W2906</t>
  </si>
  <si>
    <t>MWh Allocated to WA Compliance *</t>
  </si>
  <si>
    <t>* 2012 only shows a partial year to reflect the qualified generation in 2012 after the upgrade project at Noxon Rapids #4 was completed.</t>
  </si>
  <si>
    <t>RCW 19.285 Compliance Need</t>
  </si>
  <si>
    <t xml:space="preserve">Sales and Transfers </t>
  </si>
  <si>
    <t>Bonus Incentives Not Realized***</t>
  </si>
  <si>
    <t>W249</t>
  </si>
  <si>
    <t xml:space="preserve">** In 2008, Avista purchased 50,000 renewable energy certificates per year generated from the Stateline Wind Project for the 2012 through 2015 period to comply with RCW 19.285 requirements.  The renewable energy certificates for 2012 through 2014 were sold because they were determined to be surplus of the Company’s needs in 2011 because of the acquisition of the Palouse Wind Power Purchase Agreement and decisions concerning the need for reserves for qualifying hydroelectric upgrades. The 2015 renewable energy certificates were not sold since they are eligible to be used for 2016 compliance obligations. </t>
  </si>
  <si>
    <t>Nine Mile #1</t>
  </si>
  <si>
    <t>Nine Mile #2</t>
  </si>
  <si>
    <t>EWEB (Stateline) Wind REC Purchase</t>
  </si>
  <si>
    <t>W216</t>
  </si>
  <si>
    <t>W283</t>
  </si>
  <si>
    <t>Kettle Falls</t>
  </si>
  <si>
    <t>* 2016 is the first year of eligibility for Kettle Falls as a legacy biomass project.</t>
  </si>
  <si>
    <t>W130 &amp; W797</t>
  </si>
  <si>
    <t>Quantity of RECs Sold **</t>
  </si>
  <si>
    <t>***The Company sold RECs  from its Palouse Wind facility, which has been certified to receive bonus apprenticeship credits, to a non-Washington utility, thus the bonus incentives were not realized.</t>
  </si>
  <si>
    <t>* 2016 only shows a partial year to reflect the qualified generation in 2016 because the upgrade project at Nine Mile #1 was completed in July 2016.</t>
  </si>
  <si>
    <t>* 2016 shows zero instead of the 594 MWh available for the upgrade project at Nine Mile #2 based on the actual completion of the project 7/31/06 because the RECs were inadvertantly sold out-of-state as explained in the final 2016 filing. The original estimate was for 977 MWH based on the upgrade projected to be available for the entire month of July 2016.</t>
  </si>
  <si>
    <t>Boulder Community Solar</t>
  </si>
  <si>
    <t>W4757</t>
  </si>
  <si>
    <t>Rathdrum Solar</t>
  </si>
  <si>
    <t>Adams-Neilson Solar Farm</t>
  </si>
  <si>
    <t>Extra Apprenticeship Labor Bonus</t>
  </si>
  <si>
    <t>Start Year</t>
  </si>
  <si>
    <t>Facility Types</t>
  </si>
  <si>
    <t>* All of the output for Rathdrum Solar is retired for the benefit of customers who participate in the voluntary Buck-A-Block Program.</t>
  </si>
  <si>
    <t>** RECs are not being sold, but are retired on behalf of the customers who participate in the Buck-A-Block Program.</t>
  </si>
  <si>
    <t>Extra Apprenticeship Credit **</t>
  </si>
  <si>
    <t>Quantity of RECs Sold ***</t>
  </si>
  <si>
    <t>*** RECs are not being sold, but are assigned to the customers who participate in the Solar Select Program.</t>
  </si>
  <si>
    <t>W7340</t>
  </si>
  <si>
    <t>* This solar project supporting the Solar Select Program went into production in December 2018. All generation and RECs are assigned to the customers who voluntarily participate in this program.</t>
  </si>
  <si>
    <t>** This project is not eligible for the apprenticeship credit and the eligibility for the distributed generation bonus credit has not been determined.</t>
  </si>
  <si>
    <t>* All of the RECs from the Boulder Community Solar Project are currently allocated to the customers participating in this program. RECs will be available to meet EIA goals after the completion of the program on June 30, 2020.</t>
  </si>
  <si>
    <t>Rattlesnake Flat Wind</t>
  </si>
  <si>
    <t>** RECs are not sold, but were retired on behalf of the participants in this program through June 30, 2020.</t>
  </si>
  <si>
    <t>Quantity of RECs Sold *</t>
  </si>
  <si>
    <t>* Combinaion of RECs sold and transferred to CARB in lieu of greenhouse gas compliance requirements.</t>
  </si>
  <si>
    <t>** Discounted for non-qualifying RECs sold from old growth fuel, RECs transferred to CARB in lieu of greenhouse gas emissions fees and 4.7% old growth.</t>
  </si>
  <si>
    <t>Grant PUD Fish Bypasses</t>
  </si>
  <si>
    <t>W10997</t>
  </si>
  <si>
    <t xml:space="preserve">* Wanapum and Priest Rapids are eligible resources under the Energy Independence Act, but the project had not been registed in WREGIS by the owners until recently so it was not eligible under WAC 480-109-210. Avista recently received 59,674 RECs from 2020 in its WREGIS account, but these resources have been determined to be ineligible for use by Avista because Grand PUD uses hydro method 3 and Avista uses hydro method 1. The amount listed for 2013 was done before the WREGIS requirement was instituted. </t>
  </si>
  <si>
    <t>Net Surplus Adjustment</t>
  </si>
  <si>
    <t>EIA Qualifying Percentage (Method Two)</t>
  </si>
  <si>
    <t>W14351</t>
  </si>
  <si>
    <t>Clearwater Wind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</si>
</sst>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409]mmmm\ d\,\ yyyy;@"/>
    <numFmt numFmtId="166" formatCode="_(* #,##0.0_);_(* \(#,##0.0\);_(* &quot;-&quot;??_);_(@_)"/>
  </numFmts>
  <fonts count="15" x14ac:knownFonts="1">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b/>
      <sz val="16"/>
      <name val="Calibri"/>
      <family val="2"/>
      <scheme val="minor"/>
    </font>
    <font>
      <sz val="10"/>
      <name val="Calibri"/>
      <family val="2"/>
      <scheme val="minor"/>
    </font>
    <font>
      <sz val="11"/>
      <name val="Calibri"/>
      <family val="2"/>
      <scheme val="minor"/>
    </font>
    <font>
      <b/>
      <sz val="12"/>
      <name val="Calibri"/>
      <family val="2"/>
      <scheme val="minor"/>
    </font>
    <font>
      <b/>
      <sz val="11"/>
      <name val="Calibri"/>
      <family val="2"/>
      <scheme val="minor"/>
    </font>
    <font>
      <sz val="10"/>
      <color theme="1"/>
      <name val="Arial"/>
      <family val="2"/>
    </font>
    <font>
      <sz val="12"/>
      <name val="Times New Roman"/>
      <family val="1"/>
    </font>
  </fonts>
  <fills count="11">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s>
  <borders count="29">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bottom style="mediumDashDotDot">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200">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2" xfId="1" applyNumberFormat="1" applyFont="1" applyFill="1" applyBorder="1" applyAlignment="1">
      <alignment horizontal="center"/>
    </xf>
    <xf numFmtId="164" fontId="2" fillId="2" borderId="3"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164" fontId="3" fillId="0" borderId="0" xfId="1" applyNumberFormat="1" applyFont="1" applyFill="1" applyBorder="1" applyAlignment="1">
      <alignment horizontal="center" vertic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3" xfId="0" applyFont="1" applyFill="1" applyBorder="1" applyAlignment="1">
      <alignment horizontal="center"/>
    </xf>
    <xf numFmtId="0" fontId="2" fillId="3" borderId="13" xfId="0" applyFont="1" applyFill="1" applyBorder="1" applyAlignment="1">
      <alignment horizontal="center"/>
    </xf>
    <xf numFmtId="164" fontId="3" fillId="0" borderId="0" xfId="1" applyNumberFormat="1" applyFont="1" applyFill="1" applyBorder="1"/>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1" xfId="0" applyFont="1" applyFill="1" applyBorder="1" applyAlignment="1">
      <alignment horizontal="center"/>
    </xf>
    <xf numFmtId="164" fontId="2" fillId="4" borderId="0" xfId="1" applyNumberFormat="1" applyFont="1" applyFill="1" applyBorder="1"/>
    <xf numFmtId="164" fontId="3" fillId="4" borderId="14" xfId="1" applyNumberFormat="1" applyFont="1" applyFill="1" applyBorder="1"/>
    <xf numFmtId="164" fontId="2" fillId="5" borderId="0" xfId="1" applyNumberFormat="1" applyFont="1" applyFill="1" applyBorder="1"/>
    <xf numFmtId="164" fontId="3" fillId="5" borderId="14" xfId="1" applyNumberFormat="1" applyFont="1" applyFill="1" applyBorder="1"/>
    <xf numFmtId="164" fontId="3" fillId="0" borderId="14"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5" xfId="0" applyFont="1" applyFill="1" applyBorder="1" applyAlignment="1">
      <alignment horizontal="centerContinuous"/>
    </xf>
    <xf numFmtId="0" fontId="4" fillId="0" borderId="0" xfId="0" applyFont="1" applyFill="1" applyBorder="1"/>
    <xf numFmtId="164" fontId="7" fillId="6" borderId="16" xfId="1" applyNumberFormat="1" applyFont="1" applyFill="1" applyBorder="1"/>
    <xf numFmtId="164" fontId="7" fillId="6" borderId="17" xfId="1" applyNumberFormat="1" applyFont="1" applyFill="1" applyBorder="1"/>
    <xf numFmtId="164" fontId="7" fillId="6" borderId="18" xfId="1" applyNumberFormat="1" applyFont="1" applyFill="1" applyBorder="1"/>
    <xf numFmtId="43" fontId="2" fillId="0" borderId="0" xfId="1" applyFont="1"/>
    <xf numFmtId="164" fontId="3" fillId="5" borderId="0" xfId="1" applyNumberFormat="1" applyFont="1" applyFill="1" applyBorder="1"/>
    <xf numFmtId="9" fontId="2" fillId="2" borderId="10" xfId="2" applyFont="1" applyFill="1" applyBorder="1" applyAlignment="1">
      <alignment horizontal="right"/>
    </xf>
    <xf numFmtId="9" fontId="2" fillId="2" borderId="11" xfId="2" applyFont="1" applyFill="1" applyBorder="1"/>
    <xf numFmtId="9" fontId="2" fillId="2" borderId="13" xfId="2" applyFont="1" applyFill="1" applyBorder="1"/>
    <xf numFmtId="164" fontId="2" fillId="0" borderId="1" xfId="1" applyNumberFormat="1" applyFont="1" applyFill="1" applyBorder="1"/>
    <xf numFmtId="164" fontId="2" fillId="0" borderId="10" xfId="1" applyNumberFormat="1" applyFont="1" applyFill="1" applyBorder="1"/>
    <xf numFmtId="164" fontId="2" fillId="0" borderId="11" xfId="1" applyNumberFormat="1" applyFont="1" applyBorder="1"/>
    <xf numFmtId="164" fontId="2" fillId="0" borderId="13" xfId="1" applyNumberFormat="1" applyFont="1" applyBorder="1"/>
    <xf numFmtId="9" fontId="2" fillId="2" borderId="19" xfId="2" applyFont="1" applyFill="1" applyBorder="1" applyAlignment="1">
      <alignment horizontal="right"/>
    </xf>
    <xf numFmtId="9" fontId="2" fillId="2" borderId="20" xfId="2" applyFont="1" applyFill="1" applyBorder="1"/>
    <xf numFmtId="9" fontId="2" fillId="2" borderId="21" xfId="2" applyFont="1" applyFill="1" applyBorder="1"/>
    <xf numFmtId="164" fontId="2" fillId="2" borderId="10" xfId="1" applyNumberFormat="1" applyFont="1" applyFill="1" applyBorder="1" applyAlignment="1"/>
    <xf numFmtId="164" fontId="2" fillId="2" borderId="11" xfId="1" applyNumberFormat="1" applyFont="1" applyFill="1" applyBorder="1" applyAlignment="1"/>
    <xf numFmtId="164" fontId="2" fillId="2" borderId="13" xfId="1" applyNumberFormat="1" applyFont="1" applyFill="1" applyBorder="1" applyAlignment="1"/>
    <xf numFmtId="164" fontId="2" fillId="0" borderId="2" xfId="1" applyNumberFormat="1" applyFont="1" applyFill="1" applyBorder="1"/>
    <xf numFmtId="164" fontId="2" fillId="0" borderId="11" xfId="1" applyNumberFormat="1" applyFont="1" applyFill="1" applyBorder="1"/>
    <xf numFmtId="164" fontId="2" fillId="7" borderId="3" xfId="1" applyNumberFormat="1" applyFont="1" applyFill="1" applyBorder="1"/>
    <xf numFmtId="164" fontId="2" fillId="7" borderId="9" xfId="1" applyNumberFormat="1" applyFont="1" applyFill="1" applyBorder="1"/>
    <xf numFmtId="164" fontId="2" fillId="7" borderId="10" xfId="1" applyNumberFormat="1" applyFont="1" applyFill="1" applyBorder="1"/>
    <xf numFmtId="0" fontId="7" fillId="0" borderId="0" xfId="0" applyFont="1" applyAlignment="1">
      <alignment horizontal="left" vertical="center" wrapText="1"/>
    </xf>
    <xf numFmtId="164" fontId="7" fillId="6" borderId="17" xfId="1" applyNumberFormat="1" applyFont="1" applyFill="1" applyBorder="1" applyAlignment="1">
      <alignment horizontal="center" vertical="center"/>
    </xf>
    <xf numFmtId="164" fontId="2" fillId="0" borderId="2" xfId="1" applyNumberFormat="1" applyFont="1" applyFill="1" applyBorder="1" applyAlignment="1">
      <alignment horizontal="center"/>
    </xf>
    <xf numFmtId="164" fontId="2" fillId="0" borderId="11" xfId="1" applyNumberFormat="1" applyFont="1" applyFill="1" applyBorder="1" applyAlignment="1">
      <alignment horizontal="center" vertical="center"/>
    </xf>
    <xf numFmtId="164" fontId="2" fillId="0" borderId="5" xfId="1" applyNumberFormat="1" applyFont="1" applyFill="1" applyBorder="1"/>
    <xf numFmtId="0" fontId="2" fillId="0" borderId="22" xfId="0" applyFont="1" applyBorder="1"/>
    <xf numFmtId="164" fontId="2" fillId="0" borderId="23" xfId="1" applyNumberFormat="1" applyFont="1" applyBorder="1"/>
    <xf numFmtId="164" fontId="2" fillId="7" borderId="24" xfId="1" applyNumberFormat="1" applyFont="1" applyFill="1" applyBorder="1"/>
    <xf numFmtId="164" fontId="2" fillId="7" borderId="12" xfId="1" applyNumberFormat="1" applyFont="1" applyFill="1" applyBorder="1"/>
    <xf numFmtId="164" fontId="2" fillId="7" borderId="5" xfId="1" applyNumberFormat="1" applyFont="1" applyFill="1" applyBorder="1"/>
    <xf numFmtId="164" fontId="2" fillId="7" borderId="11"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0" fillId="0" borderId="22" xfId="0" applyBorder="1" applyAlignment="1"/>
    <xf numFmtId="0" fontId="7" fillId="0" borderId="0" xfId="0" applyFont="1" applyBorder="1"/>
    <xf numFmtId="0" fontId="2" fillId="0" borderId="22" xfId="0" applyFont="1" applyBorder="1" applyAlignment="1">
      <alignment horizontal="left" indent="2"/>
    </xf>
    <xf numFmtId="0" fontId="2" fillId="0" borderId="22" xfId="0" applyFont="1" applyBorder="1" applyAlignment="1">
      <alignment horizontal="left" vertical="center" wrapText="1" indent="2" shrinkToFit="1"/>
    </xf>
    <xf numFmtId="0" fontId="0" fillId="0" borderId="0" xfId="0" applyBorder="1" applyAlignment="1"/>
    <xf numFmtId="0" fontId="2" fillId="0" borderId="0" xfId="0" applyFont="1" applyFill="1" applyBorder="1" applyAlignment="1">
      <alignment horizontal="left"/>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9" xfId="1" applyNumberFormat="1" applyFont="1" applyFill="1" applyBorder="1" applyAlignment="1"/>
    <xf numFmtId="164" fontId="2" fillId="2" borderId="5" xfId="1" applyNumberFormat="1" applyFont="1" applyFill="1" applyBorder="1" applyAlignment="1"/>
    <xf numFmtId="164" fontId="2" fillId="2" borderId="1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0" borderId="20" xfId="1" applyNumberFormat="1" applyFont="1" applyFill="1" applyBorder="1" applyAlignment="1">
      <alignment horizontal="center" vertical="center"/>
    </xf>
    <xf numFmtId="9" fontId="2" fillId="0" borderId="11" xfId="2" applyFont="1" applyBorder="1" applyAlignment="1">
      <alignment horizontal="center"/>
    </xf>
    <xf numFmtId="9" fontId="2" fillId="0" borderId="13" xfId="2" applyFont="1" applyBorder="1" applyAlignment="1">
      <alignment horizontal="center"/>
    </xf>
    <xf numFmtId="164" fontId="2" fillId="0" borderId="14" xfId="1" applyNumberFormat="1" applyFont="1" applyBorder="1" applyAlignment="1">
      <alignment horizontal="center"/>
    </xf>
    <xf numFmtId="164" fontId="2" fillId="0" borderId="14" xfId="1" applyNumberFormat="1" applyFont="1" applyFill="1" applyBorder="1" applyAlignment="1">
      <alignment horizontal="center"/>
    </xf>
    <xf numFmtId="164" fontId="2" fillId="2" borderId="16" xfId="1" applyNumberFormat="1" applyFont="1" applyFill="1" applyBorder="1"/>
    <xf numFmtId="164" fontId="2" fillId="2" borderId="17" xfId="1" applyNumberFormat="1" applyFont="1" applyFill="1" applyBorder="1"/>
    <xf numFmtId="164" fontId="2" fillId="2" borderId="18" xfId="1" applyNumberFormat="1" applyFont="1" applyFill="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8" fillId="0" borderId="0" xfId="3" applyFont="1"/>
    <xf numFmtId="0" fontId="9" fillId="0" borderId="0" xfId="3" applyFont="1"/>
    <xf numFmtId="0" fontId="10" fillId="0" borderId="0" xfId="3" applyFont="1" applyAlignment="1">
      <alignment horizontal="center"/>
    </xf>
    <xf numFmtId="0" fontId="10" fillId="0" borderId="0" xfId="3" applyFont="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164" fontId="10" fillId="0" borderId="9" xfId="1" applyNumberFormat="1" applyFont="1" applyBorder="1"/>
    <xf numFmtId="164" fontId="10" fillId="0" borderId="5" xfId="1" applyNumberFormat="1" applyFont="1" applyBorder="1"/>
    <xf numFmtId="164" fontId="10" fillId="0" borderId="12" xfId="1" applyNumberFormat="1" applyFont="1" applyBorder="1"/>
    <xf numFmtId="164" fontId="10" fillId="0" borderId="10" xfId="1" applyNumberFormat="1" applyFont="1" applyBorder="1"/>
    <xf numFmtId="164" fontId="10" fillId="0" borderId="11" xfId="1" applyNumberFormat="1" applyFont="1" applyBorder="1"/>
    <xf numFmtId="164" fontId="10" fillId="0" borderId="13" xfId="1" applyNumberFormat="1" applyFont="1" applyBorder="1"/>
    <xf numFmtId="0" fontId="11" fillId="0" borderId="0" xfId="3" applyFont="1"/>
    <xf numFmtId="164" fontId="11" fillId="0" borderId="0" xfId="1" applyNumberFormat="1" applyFont="1"/>
    <xf numFmtId="0" fontId="12" fillId="0" borderId="0" xfId="3" applyFont="1" applyAlignment="1">
      <alignment horizontal="left"/>
    </xf>
    <xf numFmtId="0" fontId="12" fillId="0" borderId="0" xfId="3" applyFont="1" applyAlignment="1">
      <alignment horizontal="center"/>
    </xf>
    <xf numFmtId="0" fontId="10" fillId="0" borderId="6" xfId="3" applyFont="1" applyBorder="1"/>
    <xf numFmtId="0" fontId="10" fillId="0" borderId="8" xfId="3" applyFont="1" applyBorder="1"/>
    <xf numFmtId="14" fontId="2" fillId="3" borderId="2" xfId="0" applyNumberFormat="1" applyFont="1" applyFill="1" applyBorder="1" applyAlignment="1">
      <alignment horizontal="center"/>
    </xf>
    <xf numFmtId="14" fontId="2" fillId="3" borderId="5" xfId="0" applyNumberFormat="1" applyFont="1" applyFill="1" applyBorder="1" applyAlignment="1">
      <alignment horizontal="center"/>
    </xf>
    <xf numFmtId="164" fontId="2" fillId="0" borderId="0" xfId="0" applyNumberFormat="1" applyFont="1"/>
    <xf numFmtId="0" fontId="13" fillId="8" borderId="0" xfId="0" applyFont="1" applyFill="1"/>
    <xf numFmtId="0" fontId="2" fillId="0" borderId="0" xfId="0" applyFont="1" applyAlignment="1">
      <alignment vertical="center" wrapText="1"/>
    </xf>
    <xf numFmtId="164" fontId="2" fillId="7" borderId="2" xfId="1" applyNumberFormat="1" applyFont="1" applyFill="1" applyBorder="1"/>
    <xf numFmtId="164" fontId="2" fillId="0" borderId="9" xfId="1" applyNumberFormat="1" applyFont="1" applyFill="1" applyBorder="1"/>
    <xf numFmtId="164" fontId="2" fillId="8" borderId="12" xfId="1" applyNumberFormat="1" applyFont="1" applyFill="1" applyBorder="1"/>
    <xf numFmtId="164" fontId="2" fillId="9" borderId="13" xfId="1" applyNumberFormat="1" applyFont="1" applyFill="1" applyBorder="1"/>
    <xf numFmtId="1" fontId="2" fillId="0" borderId="0" xfId="0" applyNumberFormat="1" applyFont="1"/>
    <xf numFmtId="17" fontId="2" fillId="3" borderId="5" xfId="0" applyNumberFormat="1" applyFont="1" applyFill="1" applyBorder="1" applyAlignment="1">
      <alignment horizontal="center"/>
    </xf>
    <xf numFmtId="164" fontId="2" fillId="7" borderId="0" xfId="1" applyNumberFormat="1" applyFont="1" applyFill="1" applyBorder="1"/>
    <xf numFmtId="164" fontId="2" fillId="9" borderId="0" xfId="1" applyNumberFormat="1" applyFont="1" applyFill="1" applyBorder="1"/>
    <xf numFmtId="37" fontId="10" fillId="0" borderId="9" xfId="1" applyNumberFormat="1" applyFont="1" applyBorder="1"/>
    <xf numFmtId="0" fontId="2" fillId="0" borderId="26" xfId="0" applyFont="1" applyBorder="1" applyAlignment="1">
      <alignment horizontal="left" vertical="center" wrapText="1"/>
    </xf>
    <xf numFmtId="164" fontId="2" fillId="0" borderId="24" xfId="1" applyNumberFormat="1" applyFont="1" applyFill="1" applyBorder="1"/>
    <xf numFmtId="164" fontId="2" fillId="0" borderId="12" xfId="1" applyNumberFormat="1" applyFont="1" applyFill="1" applyBorder="1"/>
    <xf numFmtId="166" fontId="2" fillId="0" borderId="1" xfId="1" applyNumberFormat="1" applyFont="1" applyFill="1" applyBorder="1"/>
    <xf numFmtId="166" fontId="2" fillId="0" borderId="2" xfId="1" applyNumberFormat="1" applyFont="1" applyBorder="1"/>
    <xf numFmtId="166" fontId="2" fillId="0" borderId="23" xfId="1" applyNumberFormat="1" applyFont="1" applyBorder="1"/>
    <xf numFmtId="166" fontId="3" fillId="5" borderId="0" xfId="1" applyNumberFormat="1"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Fill="1"/>
    <xf numFmtId="0" fontId="2" fillId="0" borderId="0" xfId="0" applyFont="1" applyFill="1" applyAlignment="1">
      <alignment horizontal="center"/>
    </xf>
    <xf numFmtId="9" fontId="2" fillId="0" borderId="13" xfId="2" applyFont="1" applyFill="1" applyBorder="1" applyAlignment="1">
      <alignment horizontal="center"/>
    </xf>
    <xf numFmtId="1" fontId="2" fillId="0" borderId="0" xfId="0" applyNumberFormat="1" applyFont="1" applyFill="1"/>
    <xf numFmtId="164" fontId="2" fillId="0" borderId="17" xfId="1" applyNumberFormat="1" applyFont="1" applyFill="1" applyBorder="1"/>
    <xf numFmtId="0" fontId="2" fillId="0" borderId="0" xfId="0" applyFont="1" applyFill="1" applyAlignment="1">
      <alignment vertical="center" wrapText="1"/>
    </xf>
    <xf numFmtId="0" fontId="0" fillId="8" borderId="0" xfId="0" applyFill="1"/>
    <xf numFmtId="164" fontId="2" fillId="9" borderId="3" xfId="1" applyNumberFormat="1" applyFont="1" applyFill="1" applyBorder="1" applyAlignment="1">
      <alignment horizontal="center"/>
    </xf>
    <xf numFmtId="164" fontId="2" fillId="10" borderId="24" xfId="1" applyNumberFormat="1" applyFont="1" applyFill="1" applyBorder="1"/>
    <xf numFmtId="3" fontId="14" fillId="0" borderId="0" xfId="0" applyNumberFormat="1" applyFont="1" applyAlignment="1">
      <alignment vertical="center"/>
    </xf>
    <xf numFmtId="0" fontId="2" fillId="0" borderId="26" xfId="0" applyFont="1" applyBorder="1" applyAlignment="1">
      <alignment horizontal="left" vertical="center" wrapText="1"/>
    </xf>
    <xf numFmtId="0" fontId="2" fillId="2" borderId="6" xfId="0" applyFont="1" applyFill="1" applyBorder="1"/>
    <xf numFmtId="0" fontId="2" fillId="2" borderId="8" xfId="0" applyFont="1" applyFill="1" applyBorder="1"/>
    <xf numFmtId="0" fontId="2" fillId="2" borderId="28" xfId="0" quotePrefix="1" applyFont="1" applyFill="1" applyBorder="1"/>
    <xf numFmtId="0" fontId="2" fillId="2" borderId="7" xfId="0" applyFont="1" applyFill="1" applyBorder="1" applyAlignment="1">
      <alignment horizontal="center"/>
    </xf>
    <xf numFmtId="0" fontId="2" fillId="2" borderId="28" xfId="0"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0" fontId="2" fillId="0" borderId="0" xfId="0" applyFont="1" applyBorder="1" applyAlignment="1">
      <alignment horizontal="left" vertical="center" wrapText="1"/>
    </xf>
    <xf numFmtId="164" fontId="2" fillId="2" borderId="0" xfId="1" applyNumberFormat="1" applyFont="1" applyFill="1" applyBorder="1"/>
    <xf numFmtId="164" fontId="2" fillId="7" borderId="7" xfId="1" applyNumberFormat="1" applyFont="1" applyFill="1" applyBorder="1"/>
    <xf numFmtId="164" fontId="2" fillId="0" borderId="7" xfId="1" applyNumberFormat="1" applyFont="1" applyFill="1" applyBorder="1"/>
    <xf numFmtId="164" fontId="9" fillId="0" borderId="0" xfId="3" applyNumberFormat="1" applyFont="1"/>
    <xf numFmtId="164" fontId="2" fillId="8" borderId="7" xfId="1" applyNumberFormat="1" applyFont="1" applyFill="1" applyBorder="1"/>
    <xf numFmtId="164" fontId="2" fillId="0" borderId="7" xfId="0" applyNumberFormat="1" applyFont="1" applyFill="1" applyBorder="1"/>
    <xf numFmtId="0" fontId="2" fillId="0" borderId="26" xfId="0" applyFont="1" applyBorder="1" applyAlignment="1">
      <alignment horizontal="left" vertical="center" wrapText="1"/>
    </xf>
    <xf numFmtId="0" fontId="2" fillId="0" borderId="26" xfId="0" applyFont="1" applyBorder="1" applyAlignment="1">
      <alignment horizontal="left" vertical="center" wrapText="1"/>
    </xf>
    <xf numFmtId="164" fontId="3" fillId="0" borderId="7" xfId="1" applyNumberFormat="1" applyFont="1" applyFill="1" applyBorder="1"/>
    <xf numFmtId="0" fontId="2" fillId="0" borderId="26" xfId="0" applyFont="1" applyBorder="1" applyAlignment="1">
      <alignment horizontal="left" vertical="center" wrapText="1"/>
    </xf>
    <xf numFmtId="0" fontId="2" fillId="0" borderId="26" xfId="0" applyFont="1" applyFill="1" applyBorder="1" applyAlignment="1">
      <alignment horizontal="left" vertical="center" wrapText="1"/>
    </xf>
    <xf numFmtId="10" fontId="2" fillId="3" borderId="3" xfId="0" applyNumberFormat="1" applyFont="1" applyFill="1" applyBorder="1" applyAlignment="1">
      <alignment horizontal="center"/>
    </xf>
    <xf numFmtId="10" fontId="2" fillId="3" borderId="12" xfId="0" applyNumberFormat="1" applyFont="1" applyFill="1" applyBorder="1" applyAlignment="1">
      <alignment horizontal="center"/>
    </xf>
    <xf numFmtId="0" fontId="2" fillId="0" borderId="26" xfId="0" applyFont="1" applyFill="1" applyBorder="1" applyAlignment="1">
      <alignment horizontal="left" vertical="center" wrapText="1"/>
    </xf>
    <xf numFmtId="0" fontId="2" fillId="0" borderId="26" xfId="0" applyFont="1" applyBorder="1" applyAlignment="1">
      <alignment horizontal="left" vertical="center" wrapText="1"/>
    </xf>
    <xf numFmtId="165" fontId="4" fillId="2" borderId="25" xfId="0" applyNumberFormat="1" applyFont="1" applyFill="1" applyBorder="1" applyAlignment="1">
      <alignment horizontal="center" vertical="center"/>
    </xf>
    <xf numFmtId="165" fontId="4" fillId="2" borderId="15" xfId="0" applyNumberFormat="1" applyFont="1" applyFill="1" applyBorder="1" applyAlignment="1">
      <alignment horizontal="center" vertical="center"/>
    </xf>
    <xf numFmtId="0" fontId="2" fillId="0" borderId="0" xfId="0" quotePrefix="1"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wrapText="1"/>
    </xf>
    <xf numFmtId="43" fontId="6" fillId="2" borderId="27" xfId="0" applyNumberFormat="1" applyFont="1" applyFill="1" applyBorder="1" applyAlignment="1">
      <alignment horizontal="center" vertical="center"/>
    </xf>
    <xf numFmtId="43" fontId="6" fillId="2" borderId="0" xfId="0" applyNumberFormat="1" applyFont="1" applyFill="1" applyBorder="1" applyAlignment="1">
      <alignment horizontal="center" vertical="center"/>
    </xf>
    <xf numFmtId="0" fontId="2" fillId="0" borderId="26" xfId="0" applyFont="1" applyBorder="1" applyAlignment="1">
      <alignment horizontal="left" vertical="center" wrapText="1"/>
    </xf>
    <xf numFmtId="0" fontId="2" fillId="0" borderId="26" xfId="0" applyFont="1" applyBorder="1" applyAlignment="1">
      <alignment horizontal="left" vertical="top" wrapText="1"/>
    </xf>
    <xf numFmtId="0" fontId="2" fillId="0" borderId="0" xfId="0" applyFont="1" applyBorder="1" applyAlignment="1">
      <alignment horizontal="left" vertical="center" wrapText="1"/>
    </xf>
    <xf numFmtId="0" fontId="2" fillId="0" borderId="26" xfId="0" applyFont="1" applyFill="1" applyBorder="1" applyAlignment="1">
      <alignment horizontal="left" vertical="center" wrapText="1"/>
    </xf>
    <xf numFmtId="0" fontId="2" fillId="0" borderId="0" xfId="0" applyFont="1" applyFill="1" applyAlignment="1">
      <alignment horizontal="left" wrapText="1"/>
    </xf>
  </cellXfs>
  <cellStyles count="4">
    <cellStyle name="Comma" xfId="1" builtinId="3"/>
    <cellStyle name="Normal" xfId="0" builtinId="0"/>
    <cellStyle name="Normal 2" xfId="3" xr:uid="{00000000-0005-0000-0000-000002000000}"/>
    <cellStyle name="Percent" xfId="2" builtinId="5"/>
  </cellStyles>
  <dxfs count="2">
    <dxf>
      <font>
        <condense val="0"/>
        <extend val="0"/>
        <color indexed="10"/>
      </font>
    </dxf>
    <dxf>
      <font>
        <condense val="0"/>
        <extend val="0"/>
        <color indexed="10"/>
      </font>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O52"/>
  <sheetViews>
    <sheetView showGridLines="0" view="pageBreakPreview" zoomScaleNormal="100" zoomScaleSheetLayoutView="100" workbookViewId="0">
      <selection activeCell="L7" sqref="L7:M7"/>
    </sheetView>
  </sheetViews>
  <sheetFormatPr defaultColWidth="12.140625" defaultRowHeight="15" x14ac:dyDescent="0.25"/>
  <cols>
    <col min="1" max="1" width="50.5703125" style="1" customWidth="1"/>
    <col min="2" max="8" width="14.7109375" style="1" customWidth="1"/>
    <col min="9" max="9" width="14.7109375" style="154" customWidth="1"/>
    <col min="10" max="12" width="12.140625" style="1"/>
    <col min="13" max="13" width="12.140625" style="1" customWidth="1"/>
    <col min="14" max="16384" width="12.140625" style="1"/>
  </cols>
  <sheetData>
    <row r="1" spans="1:15" x14ac:dyDescent="0.25">
      <c r="B1" s="15"/>
      <c r="I1" s="160"/>
    </row>
    <row r="2" spans="1:15" ht="21" x14ac:dyDescent="0.35">
      <c r="A2" s="16" t="s">
        <v>3</v>
      </c>
      <c r="B2" s="193" t="s">
        <v>45</v>
      </c>
      <c r="C2" s="194"/>
      <c r="D2" s="194"/>
      <c r="E2" s="194"/>
      <c r="F2" s="194"/>
      <c r="G2" s="194"/>
      <c r="H2" s="194"/>
      <c r="I2" s="194"/>
      <c r="N2" s="154"/>
      <c r="O2" s="154"/>
    </row>
    <row r="3" spans="1:15" x14ac:dyDescent="0.25">
      <c r="B3" s="15"/>
      <c r="J3" s="51"/>
      <c r="N3" s="154"/>
      <c r="O3" s="154"/>
    </row>
    <row r="4" spans="1:15" ht="18.75" x14ac:dyDescent="0.3">
      <c r="A4" s="9" t="s">
        <v>5</v>
      </c>
      <c r="B4" s="188">
        <v>45443</v>
      </c>
      <c r="C4" s="189"/>
      <c r="I4" s="163"/>
      <c r="J4" s="51"/>
      <c r="N4" s="154"/>
      <c r="O4" s="154"/>
    </row>
    <row r="5" spans="1:15" x14ac:dyDescent="0.25">
      <c r="B5" s="15"/>
      <c r="J5" s="51"/>
      <c r="N5" s="154"/>
      <c r="O5" s="154"/>
    </row>
    <row r="6" spans="1:15" ht="18.75" x14ac:dyDescent="0.3">
      <c r="A6" s="9" t="s">
        <v>87</v>
      </c>
      <c r="B6" s="2">
        <f>C6 - 1</f>
        <v>2012</v>
      </c>
      <c r="C6" s="2">
        <f>'Facility Detail'!$B$805</f>
        <v>2013</v>
      </c>
      <c r="D6" s="2">
        <f t="shared" ref="D6:O6" si="0">C6+1</f>
        <v>2014</v>
      </c>
      <c r="E6" s="2">
        <f t="shared" si="0"/>
        <v>2015</v>
      </c>
      <c r="F6" s="2">
        <f t="shared" si="0"/>
        <v>2016</v>
      </c>
      <c r="G6" s="2">
        <f t="shared" si="0"/>
        <v>2017</v>
      </c>
      <c r="H6" s="2">
        <f t="shared" si="0"/>
        <v>2018</v>
      </c>
      <c r="I6" s="155">
        <f t="shared" si="0"/>
        <v>2019</v>
      </c>
      <c r="J6" s="155">
        <f t="shared" si="0"/>
        <v>2020</v>
      </c>
      <c r="K6" s="155">
        <f t="shared" si="0"/>
        <v>2021</v>
      </c>
      <c r="L6" s="155">
        <f t="shared" si="0"/>
        <v>2022</v>
      </c>
      <c r="M6" s="155">
        <f t="shared" si="0"/>
        <v>2023</v>
      </c>
      <c r="N6" s="155">
        <f t="shared" si="0"/>
        <v>2024</v>
      </c>
      <c r="O6" s="155">
        <f t="shared" si="0"/>
        <v>2025</v>
      </c>
    </row>
    <row r="7" spans="1:15" x14ac:dyDescent="0.25">
      <c r="A7" s="90" t="s">
        <v>20</v>
      </c>
      <c r="B7" s="11">
        <v>5602601</v>
      </c>
      <c r="C7" s="11">
        <v>5513396</v>
      </c>
      <c r="D7" s="11">
        <v>5685958</v>
      </c>
      <c r="E7" s="12">
        <v>5622780</v>
      </c>
      <c r="F7" s="12">
        <v>5578322</v>
      </c>
      <c r="G7" s="12">
        <v>5817351</v>
      </c>
      <c r="H7" s="12">
        <v>5608062</v>
      </c>
      <c r="I7" s="161">
        <v>5672876</v>
      </c>
      <c r="J7" s="161">
        <v>5461691</v>
      </c>
      <c r="K7" s="161">
        <v>5730588</v>
      </c>
      <c r="L7" s="161">
        <v>5894971</v>
      </c>
      <c r="M7" s="161">
        <v>5739294</v>
      </c>
      <c r="N7" s="161">
        <v>5769459</v>
      </c>
      <c r="O7" s="161">
        <v>5782153</v>
      </c>
    </row>
    <row r="8" spans="1:15" x14ac:dyDescent="0.25">
      <c r="A8" s="90" t="s">
        <v>8</v>
      </c>
      <c r="B8" s="103">
        <v>0.03</v>
      </c>
      <c r="C8" s="103">
        <v>0.03</v>
      </c>
      <c r="D8" s="103">
        <v>0.03</v>
      </c>
      <c r="E8" s="104">
        <v>0.03</v>
      </c>
      <c r="F8" s="104">
        <v>0.09</v>
      </c>
      <c r="G8" s="104">
        <v>0.09</v>
      </c>
      <c r="H8" s="104">
        <v>0.09</v>
      </c>
      <c r="I8" s="156">
        <v>0.09</v>
      </c>
      <c r="J8" s="156">
        <v>0.15</v>
      </c>
      <c r="K8" s="156">
        <v>0.15</v>
      </c>
      <c r="L8" s="156">
        <v>0.15</v>
      </c>
      <c r="M8" s="156">
        <v>0.15</v>
      </c>
      <c r="N8" s="156">
        <v>0.15</v>
      </c>
      <c r="O8" s="156">
        <v>0.15</v>
      </c>
    </row>
    <row r="9" spans="1:15" x14ac:dyDescent="0.25">
      <c r="A9" s="82" t="s">
        <v>7</v>
      </c>
      <c r="B9" s="106">
        <v>166047</v>
      </c>
      <c r="C9" s="105">
        <v>166740</v>
      </c>
      <c r="D9" s="105">
        <f>ROUND( IF( SUM(B7:C7) = 0, 0, AVERAGE(B7:C7) * D8 ),0)</f>
        <v>166740</v>
      </c>
      <c r="E9" s="105">
        <f t="shared" ref="E9" si="1">ROUND( IF( SUM(C7:D7) = 0, 0, AVERAGE(C7:D7) * E8 ),0)</f>
        <v>167990</v>
      </c>
      <c r="F9" s="105">
        <v>513809</v>
      </c>
      <c r="G9" s="105">
        <f t="shared" ref="G9:O9" si="2">ROUND( IF( SUM(E7:F7) = 0, 0, AVERAGE(E7:F7) * G8 ),0)</f>
        <v>504050</v>
      </c>
      <c r="H9" s="105">
        <f t="shared" si="2"/>
        <v>512805</v>
      </c>
      <c r="I9" s="106">
        <f t="shared" si="2"/>
        <v>514144</v>
      </c>
      <c r="J9" s="106">
        <f t="shared" si="2"/>
        <v>846070</v>
      </c>
      <c r="K9" s="106">
        <f t="shared" si="2"/>
        <v>835093</v>
      </c>
      <c r="L9" s="106">
        <f t="shared" si="2"/>
        <v>839421</v>
      </c>
      <c r="M9" s="106">
        <f t="shared" si="2"/>
        <v>871917</v>
      </c>
      <c r="N9" s="106">
        <f t="shared" si="2"/>
        <v>872570</v>
      </c>
      <c r="O9" s="106">
        <f t="shared" si="2"/>
        <v>863156</v>
      </c>
    </row>
    <row r="10" spans="1:15" x14ac:dyDescent="0.25">
      <c r="D10" s="140"/>
      <c r="E10" s="140"/>
      <c r="F10" s="140"/>
      <c r="G10" s="140"/>
      <c r="H10" s="140"/>
      <c r="I10" s="157"/>
      <c r="J10" s="157"/>
      <c r="K10" s="134"/>
      <c r="L10" s="134"/>
      <c r="M10" s="134"/>
      <c r="N10" s="134"/>
      <c r="O10" s="134"/>
    </row>
    <row r="11" spans="1:15" ht="18.75" x14ac:dyDescent="0.3">
      <c r="A11" s="9" t="s">
        <v>83</v>
      </c>
      <c r="B11" s="2">
        <f>C11 - 1</f>
        <v>2012</v>
      </c>
      <c r="C11" s="2">
        <f>'Facility Detail'!$B$805</f>
        <v>2013</v>
      </c>
      <c r="D11" s="2">
        <f>C11+1</f>
        <v>2014</v>
      </c>
      <c r="E11" s="2">
        <f>D11+1</f>
        <v>2015</v>
      </c>
      <c r="F11" s="2">
        <f t="shared" ref="F11" si="3">E11+1</f>
        <v>2016</v>
      </c>
      <c r="G11" s="2">
        <f t="shared" ref="G11:O11" si="4">F11+1</f>
        <v>2017</v>
      </c>
      <c r="H11" s="2">
        <f t="shared" si="4"/>
        <v>2018</v>
      </c>
      <c r="I11" s="155">
        <f t="shared" si="4"/>
        <v>2019</v>
      </c>
      <c r="J11" s="155">
        <f t="shared" si="4"/>
        <v>2020</v>
      </c>
      <c r="K11" s="155">
        <f t="shared" si="4"/>
        <v>2021</v>
      </c>
      <c r="L11" s="155">
        <f t="shared" si="4"/>
        <v>2022</v>
      </c>
      <c r="M11" s="155">
        <f t="shared" si="4"/>
        <v>2023</v>
      </c>
      <c r="N11" s="155">
        <f t="shared" si="4"/>
        <v>2024</v>
      </c>
      <c r="O11" s="155">
        <f t="shared" si="4"/>
        <v>2025</v>
      </c>
    </row>
    <row r="12" spans="1:15" x14ac:dyDescent="0.25">
      <c r="A12" s="90" t="s">
        <v>38</v>
      </c>
      <c r="B12" s="13">
        <v>209825</v>
      </c>
      <c r="C12" s="13">
        <f xml:space="preserve"> 'Facility Detail'!D42 + 'Facility Detail'!D79 + 'Facility Detail'!D115 + 'Facility Detail'!D151 + 'Facility Detail'!D187 + 'Facility Detail'!D223 + 'Facility Detail'!D259 + 'Facility Detail'!D295 + 'Facility Detail'!D331 + 'Facility Detail'!D367 + 'Facility Detail'!D403 + 'Facility Detail'!D447</f>
        <v>488232</v>
      </c>
      <c r="D12" s="13">
        <f xml:space="preserve"> 'Facility Detail'!E42 + 'Facility Detail'!E79 + 'Facility Detail'!E115 + 'Facility Detail'!E151 + 'Facility Detail'!E187 + 'Facility Detail'!E223 + 'Facility Detail'!E259 + 'Facility Detail'!E295 + 'Facility Detail'!E331 + 'Facility Detail'!E367 + 'Facility Detail'!E403 + 'Facility Detail'!E447</f>
        <v>505380</v>
      </c>
      <c r="E12" s="13">
        <f xml:space="preserve"> 'Facility Detail'!F42 + 'Facility Detail'!F79 + 'Facility Detail'!F115 + 'Facility Detail'!F151 + 'Facility Detail'!F187 + 'Facility Detail'!F223 + 'Facility Detail'!F259 + 'Facility Detail'!F295 + 'Facility Detail'!F331 + 'Facility Detail'!F367 + 'Facility Detail'!F403 + 'Facility Detail'!F447</f>
        <v>513652</v>
      </c>
      <c r="F12" s="149">
        <f xml:space="preserve"> 'Facility Detail'!G42 + 'Facility Detail'!G79 + 'Facility Detail'!G115 + 'Facility Detail'!G151 + 'Facility Detail'!G187 + 'Facility Detail'!G223 + 'Facility Detail'!G259 + 'Facility Detail'!G295 + 'Facility Detail'!G331 + 'Facility Detail'!G367 + 'Facility Detail'!G403 + 'Facility Detail'!G447+'Facility Detail'!G483+'Facility Detail'!G519+'Facility Detail'!G555+'Facility Detail'!G601+'Facility Detail'!G641+'Facility Detail'!G681 + 'Facility Detail'!G721</f>
        <v>844519</v>
      </c>
      <c r="G12" s="149">
        <f xml:space="preserve"> 'Facility Detail'!H42 + 'Facility Detail'!H79 + 'Facility Detail'!H115 + 'Facility Detail'!H151 + 'Facility Detail'!H187 + 'Facility Detail'!H223 + 'Facility Detail'!H259 + 'Facility Detail'!H295 + 'Facility Detail'!H331 + 'Facility Detail'!H367 + 'Facility Detail'!H403 + 'Facility Detail'!H447+'Facility Detail'!H483+'Facility Detail'!H519+'Facility Detail'!H555+'Facility Detail'!H601+'Facility Detail'!H641+'Facility Detail'!H681 + 'Facility Detail'!H721</f>
        <v>767799</v>
      </c>
      <c r="H12" s="149">
        <f xml:space="preserve"> 'Facility Detail'!I42 + 'Facility Detail'!I79 + 'Facility Detail'!I115 + 'Facility Detail'!I151 + 'Facility Detail'!I187 + 'Facility Detail'!I223 + 'Facility Detail'!I259 + 'Facility Detail'!I295 + 'Facility Detail'!I331 + 'Facility Detail'!I367 + 'Facility Detail'!I403 + 'Facility Detail'!I447+'Facility Detail'!I483+'Facility Detail'!I519+'Facility Detail'!I555+'Facility Detail'!I601+'Facility Detail'!I641+'Facility Detail'!I681 + 'Facility Detail'!I721</f>
        <v>834734</v>
      </c>
      <c r="I12" s="149">
        <f xml:space="preserve"> 'Facility Detail'!J42 + 'Facility Detail'!J79 + 'Facility Detail'!J115 + 'Facility Detail'!J151 + 'Facility Detail'!J187 + 'Facility Detail'!J223 + 'Facility Detail'!J259 + 'Facility Detail'!J295 + 'Facility Detail'!J331 + 'Facility Detail'!J367 + 'Facility Detail'!J403 + 'Facility Detail'!J447+'Facility Detail'!J483+'Facility Detail'!J519+'Facility Detail'!J555+'Facility Detail'!J601+'Facility Detail'!J641+'Facility Detail'!J681 +'Facility Detail'!J721</f>
        <v>785387</v>
      </c>
      <c r="J12" s="149">
        <f xml:space="preserve"> 'Facility Detail'!K42 + 'Facility Detail'!K79 + 'Facility Detail'!K115 + 'Facility Detail'!K151 + 'Facility Detail'!K187 + 'Facility Detail'!K223 + 'Facility Detail'!K259 + 'Facility Detail'!K295 + 'Facility Detail'!K331 + 'Facility Detail'!K367 + 'Facility Detail'!K403 + 'Facility Detail'!K447 + 'Facility Detail'!K483 + 'Facility Detail'!K519 + 'Facility Detail'!K555 + 'Facility Detail'!K601 + 'Facility Detail'!K641 + 'Facility Detail'!K681 + 'Facility Detail'!K721</f>
        <v>897016</v>
      </c>
      <c r="K12" s="149">
        <f xml:space="preserve"> 'Facility Detail'!L42 + 'Facility Detail'!L79 + 'Facility Detail'!L115 + 'Facility Detail'!L151 + 'Facility Detail'!L187 + 'Facility Detail'!L223 + 'Facility Detail'!L259 + 'Facility Detail'!L295 + 'Facility Detail'!L331 + 'Facility Detail'!L367 + 'Facility Detail'!L403 + 'Facility Detail'!L447 + 'Facility Detail'!L483 + 'Facility Detail'!L519 + 'Facility Detail'!L555 + 'Facility Detail'!L601 +'Facility Detail'!L641 + 'Facility Detail'!L681 + 'Facility Detail'!L721</f>
        <v>1300087.6200000001</v>
      </c>
      <c r="L12" s="149">
        <f xml:space="preserve"> 'Facility Detail'!M42 + 'Facility Detail'!M79 + 'Facility Detail'!M115 + 'Facility Detail'!M151 + 'Facility Detail'!M187 + 'Facility Detail'!M223 + 'Facility Detail'!M259 + 'Facility Detail'!M295 + 'Facility Detail'!M331 + 'Facility Detail'!M367 + 'Facility Detail'!M403 + 'Facility Detail'!M447 + 'Facility Detail'!M483 + 'Facility Detail'!M519 + 'Facility Detail'!M555 + 'Facility Detail'!M601 +'Facility Detail'!M641 + 'Facility Detail'!M681 + 'Facility Detail'!M721</f>
        <v>1191456.469</v>
      </c>
      <c r="M12" s="149">
        <f xml:space="preserve"> 'Facility Detail'!N42 + 'Facility Detail'!N79 + 'Facility Detail'!N115 + 'Facility Detail'!N151 + 'Facility Detail'!N187 + 'Facility Detail'!N223 + 'Facility Detail'!N259 + 'Facility Detail'!N295 + 'Facility Detail'!N331 + 'Facility Detail'!N367 + 'Facility Detail'!N403 + 'Facility Detail'!N447 + 'Facility Detail'!N483 + 'Facility Detail'!N519 + 'Facility Detail'!N555 + 'Facility Detail'!N601 +'Facility Detail'!N641 + 'Facility Detail'!N681 + 'Facility Detail'!N721</f>
        <v>1111059.6880000001</v>
      </c>
      <c r="N12" s="149">
        <f xml:space="preserve"> 'Facility Detail'!O42 + 'Facility Detail'!O79 + 'Facility Detail'!O115 + 'Facility Detail'!O151 + 'Facility Detail'!O187 + 'Facility Detail'!O223 + 'Facility Detail'!O259 + 'Facility Detail'!O295 + 'Facility Detail'!O331 + 'Facility Detail'!O367 + 'Facility Detail'!O403 + 'Facility Detail'!O447 + 'Facility Detail'!O483 + 'Facility Detail'!O519 + 'Facility Detail'!O555 + 'Facility Detail'!O601 +'Facility Detail'!O641 + 'Facility Detail'!O681 + 'Facility Detail'!O721+'Facility Detail'!O762</f>
        <v>1357621.4077999999</v>
      </c>
      <c r="O12" s="149">
        <f xml:space="preserve"> 'Facility Detail'!P42 + 'Facility Detail'!P79 + 'Facility Detail'!P115 + 'Facility Detail'!P151 + 'Facility Detail'!P187 + 'Facility Detail'!P223 + 'Facility Detail'!P259 + 'Facility Detail'!P295 + 'Facility Detail'!P331 + 'Facility Detail'!P367 + 'Facility Detail'!P403 + 'Facility Detail'!P447 + 'Facility Detail'!P483 + 'Facility Detail'!P519 + 'Facility Detail'!P555 + 'Facility Detail'!P601 +'Facility Detail'!P641 + 'Facility Detail'!P681 + 'Facility Detail'!P721+'Facility Detail'!P762</f>
        <v>1589661</v>
      </c>
    </row>
    <row r="13" spans="1:15" x14ac:dyDescent="0.25">
      <c r="A13" s="90" t="s">
        <v>36</v>
      </c>
      <c r="B13" s="77">
        <v>5829</v>
      </c>
      <c r="C13" s="77">
        <f xml:space="preserve"> 'Facility Detail'!D47 + 'Facility Detail'!D84 + 'Facility Detail'!D120 + 'Facility Detail'!D156 + 'Facility Detail'!D192 + 'Facility Detail'!D228 + 'Facility Detail'!D264 + 'Facility Detail'!D300 + 'Facility Detail'!D336 + 'Facility Detail'!D372 + 'Facility Detail'!D408 + 'Facility Detail'!D452+'Facility Detail'!D488+'Facility Detail'!D524+'Facility Detail'!D560+'Facility Detail'!D606+'Facility Detail'!D646+'Facility Detail'!D686  + 'Facility Detail'!D726</f>
        <v>59405</v>
      </c>
      <c r="D13" s="77">
        <f xml:space="preserve"> 'Facility Detail'!E47 + 'Facility Detail'!E84 + 'Facility Detail'!E120 + 'Facility Detail'!E156 + 'Facility Detail'!E192 + 'Facility Detail'!E228 + 'Facility Detail'!E264 + 'Facility Detail'!E300 + 'Facility Detail'!E336 + 'Facility Detail'!E372 + 'Facility Detail'!E408 + 'Facility Detail'!E452+'Facility Detail'!E488+'Facility Detail'!E524+'Facility Detail'!E560+'Facility Detail'!E606+'Facility Detail'!E646+'Facility Detail'!E686  + 'Facility Detail'!E726</f>
        <v>67058</v>
      </c>
      <c r="E13" s="77">
        <f xml:space="preserve"> 'Facility Detail'!F47 + 'Facility Detail'!F84 + 'Facility Detail'!F120 + 'Facility Detail'!F156 + 'Facility Detail'!F192 + 'Facility Detail'!F228 + 'Facility Detail'!F264 + 'Facility Detail'!F300 + 'Facility Detail'!F336 + 'Facility Detail'!F372 + 'Facility Detail'!F408 + 'Facility Detail'!F452+'Facility Detail'!F488+'Facility Detail'!F524+'Facility Detail'!F560+'Facility Detail'!F606+'Facility Detail'!F646+'Facility Detail'!F686  + 'Facility Detail'!F726</f>
        <v>58866</v>
      </c>
      <c r="F13" s="150">
        <f xml:space="preserve"> 'Facility Detail'!G47 + 'Facility Detail'!G84 + 'Facility Detail'!G120 + 'Facility Detail'!G156 + 'Facility Detail'!G192 + 'Facility Detail'!G228 + 'Facility Detail'!G264 + 'Facility Detail'!G300 + 'Facility Detail'!G336 + 'Facility Detail'!G372 + 'Facility Detail'!G408 + 'Facility Detail'!G452+'Facility Detail'!G488+'Facility Detail'!G524+'Facility Detail'!G560+'Facility Detail'!G606+'Facility Detail'!G646+'Facility Detail'!G686  + 'Facility Detail'!G726</f>
        <v>70529</v>
      </c>
      <c r="G13" s="150">
        <f xml:space="preserve"> 'Facility Detail'!H47 + 'Facility Detail'!H84 + 'Facility Detail'!H120 + 'Facility Detail'!H156 + 'Facility Detail'!H192 + 'Facility Detail'!H228 + 'Facility Detail'!H264 + 'Facility Detail'!H300 + 'Facility Detail'!H336 + 'Facility Detail'!H372 + 'Facility Detail'!H408 + 'Facility Detail'!H452+'Facility Detail'!H488+'Facility Detail'!H524+'Facility Detail'!H560+'Facility Detail'!H606+'Facility Detail'!H646+'Facility Detail'!H686+ 'Facility Detail'!H726</f>
        <v>60617</v>
      </c>
      <c r="H13" s="150">
        <f xml:space="preserve"> 'Facility Detail'!I47 + 'Facility Detail'!I84 + 'Facility Detail'!I120 + 'Facility Detail'!I156 + 'Facility Detail'!I192 + 'Facility Detail'!I228 + 'Facility Detail'!I264 + 'Facility Detail'!I300 + 'Facility Detail'!I336 + 'Facility Detail'!I372 + 'Facility Detail'!I408 + 'Facility Detail'!I452+'Facility Detail'!I488+'Facility Detail'!I524+'Facility Detail'!I560+'Facility Detail'!I606+'Facility Detail'!I646+'Facility Detail'!I686+ 'Facility Detail'!I726</f>
        <v>66178</v>
      </c>
      <c r="I13" s="150">
        <f xml:space="preserve"> 'Facility Detail'!J47 + 'Facility Detail'!J84 + 'Facility Detail'!J120 + 'Facility Detail'!J156 + 'Facility Detail'!J192 + 'Facility Detail'!J228 + 'Facility Detail'!J264 + 'Facility Detail'!J300 + 'Facility Detail'!J336 + 'Facility Detail'!J372 + 'Facility Detail'!J408 + 'Facility Detail'!J452+'Facility Detail'!J488+'Facility Detail'!J524+'Facility Detail'!J560+'Facility Detail'!J606+'Facility Detail'!J646+'Facility Detail'!J686+ 'Facility Detail'!J726</f>
        <v>61003</v>
      </c>
      <c r="J13" s="150">
        <f xml:space="preserve"> 'Facility Detail'!K47 + 'Facility Detail'!K84 + 'Facility Detail'!K120 + 'Facility Detail'!K156 + 'Facility Detail'!K192 + 'Facility Detail'!K228 + 'Facility Detail'!K264 + 'Facility Detail'!K300 + 'Facility Detail'!K336 + 'Facility Detail'!K372 + 'Facility Detail'!K408 + 'Facility Detail'!K452 + 'Facility Detail'!K488 + 'Facility Detail'!K524 + 'Facility Detail'!K560 + 'Facility Detail'!K606 + 'Facility Detail'!K646 + 'Facility Detail'!K686 + 'Facility Detail'!K726</f>
        <v>82012.399999999994</v>
      </c>
      <c r="K13" s="150">
        <f xml:space="preserve"> 'Facility Detail'!L47 + 'Facility Detail'!L84 + 'Facility Detail'!L120 + 'Facility Detail'!L156 + 'Facility Detail'!L192 + 'Facility Detail'!L228 + 'Facility Detail'!L264 + 'Facility Detail'!L300 + 'Facility Detail'!L336 + 'Facility Detail'!L372 + 'Facility Detail'!L408 + 'Facility Detail'!L452+'Facility Detail'!L488+'Facility Detail'!L524+'Facility Detail'!L560+'Facility Detail'!L606+'Facility Detail'!L646+'Facility Detail'!L686+'Facility Detail'!L726</f>
        <v>156878</v>
      </c>
      <c r="L13" s="150">
        <f xml:space="preserve"> 'Facility Detail'!M47 + 'Facility Detail'!M84 + 'Facility Detail'!M120 + 'Facility Detail'!M156 + 'Facility Detail'!M192 + 'Facility Detail'!M228 + 'Facility Detail'!M264 + 'Facility Detail'!M300 + 'Facility Detail'!M336 + 'Facility Detail'!M372 + 'Facility Detail'!M408 + 'Facility Detail'!M452+'Facility Detail'!M488+'Facility Detail'!M524+'Facility Detail'!M560+'Facility Detail'!M606+'Facility Detail'!M646+'Facility Detail'!M686+'Facility Detail'!M726</f>
        <v>136136.6</v>
      </c>
      <c r="M13" s="150">
        <f xml:space="preserve"> 'Facility Detail'!N47 + 'Facility Detail'!N84 + 'Facility Detail'!N120 + 'Facility Detail'!N156 + 'Facility Detail'!N192 + 'Facility Detail'!N228 + 'Facility Detail'!N264 + 'Facility Detail'!N300 + 'Facility Detail'!N336 + 'Facility Detail'!N372 + 'Facility Detail'!N408 + 'Facility Detail'!N452+'Facility Detail'!N488+'Facility Detail'!N524+'Facility Detail'!N560+'Facility Detail'!N606+'Facility Detail'!N646+'Facility Detail'!N686+'Facility Detail'!N726</f>
        <v>128183</v>
      </c>
      <c r="N13" s="150">
        <f xml:space="preserve"> 'Facility Detail'!O47 + 'Facility Detail'!O84 + 'Facility Detail'!O120 + 'Facility Detail'!O156 + 'Facility Detail'!O192 + 'Facility Detail'!O228 + 'Facility Detail'!O264 + 'Facility Detail'!O300 + 'Facility Detail'!O336 + 'Facility Detail'!O372 + 'Facility Detail'!O408 + 'Facility Detail'!O452+'Facility Detail'!O488+'Facility Detail'!O524+'Facility Detail'!O560+'Facility Detail'!O606+'Facility Detail'!O646+'Facility Detail'!O686+'Facility Detail'!O726+'Facility Detail'!O767</f>
        <v>137416.20000000001</v>
      </c>
      <c r="O13" s="150">
        <f xml:space="preserve"> 'Facility Detail'!P47 + 'Facility Detail'!P84 + 'Facility Detail'!P120 + 'Facility Detail'!P156 + 'Facility Detail'!P192 + 'Facility Detail'!P228 + 'Facility Detail'!P264 + 'Facility Detail'!P300 + 'Facility Detail'!P336 + 'Facility Detail'!P372 + 'Facility Detail'!P408 + 'Facility Detail'!P452+'Facility Detail'!P488+'Facility Detail'!P524+'Facility Detail'!P560+'Facility Detail'!P606+'Facility Detail'!P646+'Facility Detail'!P686+'Facility Detail'!P726+'Facility Detail'!P767</f>
        <v>139817.20000000001</v>
      </c>
    </row>
    <row r="14" spans="1:15" x14ac:dyDescent="0.25">
      <c r="A14" s="82" t="s">
        <v>31</v>
      </c>
      <c r="B14" s="52">
        <f>SUM(B12:B13)</f>
        <v>215654</v>
      </c>
      <c r="C14" s="52">
        <f>SUM(C12:C13)</f>
        <v>547637</v>
      </c>
      <c r="D14" s="52">
        <f>SUM(D12:D13)</f>
        <v>572438</v>
      </c>
      <c r="E14" s="52">
        <f t="shared" ref="E14:G14" si="5">SUM(E12:E13)</f>
        <v>572518</v>
      </c>
      <c r="F14" s="151">
        <f t="shared" si="5"/>
        <v>915048</v>
      </c>
      <c r="G14" s="52">
        <f t="shared" si="5"/>
        <v>828416</v>
      </c>
      <c r="H14" s="52">
        <f t="shared" ref="H14:I14" si="6">SUM(H12:H13)</f>
        <v>900912</v>
      </c>
      <c r="I14" s="31">
        <f t="shared" si="6"/>
        <v>846390</v>
      </c>
      <c r="J14" s="31">
        <f t="shared" ref="J14:K14" si="7">SUM(J12:J13)</f>
        <v>979028.4</v>
      </c>
      <c r="K14" s="31">
        <f t="shared" si="7"/>
        <v>1456965.62</v>
      </c>
      <c r="L14" s="31">
        <f t="shared" ref="L14:M14" si="8">SUM(L12:L13)</f>
        <v>1327593.0690000001</v>
      </c>
      <c r="M14" s="31">
        <f t="shared" si="8"/>
        <v>1239242.6880000001</v>
      </c>
      <c r="N14" s="31">
        <f t="shared" ref="N14:O14" si="9">SUM(N12:N13)</f>
        <v>1495037.6077999999</v>
      </c>
      <c r="O14" s="31">
        <f t="shared" si="9"/>
        <v>1729478.2</v>
      </c>
    </row>
    <row r="15" spans="1:15" x14ac:dyDescent="0.25">
      <c r="A15" s="6"/>
      <c r="B15" s="52"/>
      <c r="C15" s="52"/>
      <c r="D15" s="52"/>
      <c r="E15" s="52"/>
      <c r="F15" s="52"/>
      <c r="G15" s="52"/>
      <c r="H15" s="52"/>
      <c r="I15" s="31"/>
      <c r="J15" s="31"/>
      <c r="K15" s="20"/>
      <c r="L15" s="20"/>
      <c r="M15" s="20"/>
      <c r="N15" s="20"/>
      <c r="O15" s="20"/>
    </row>
    <row r="16" spans="1:15" ht="18.75" x14ac:dyDescent="0.3">
      <c r="A16" s="44" t="s">
        <v>88</v>
      </c>
      <c r="B16" s="2">
        <f>C16 - 1</f>
        <v>2012</v>
      </c>
      <c r="C16" s="2">
        <f>'Facility Detail'!$B$805</f>
        <v>2013</v>
      </c>
      <c r="D16" s="2">
        <f>C16+1</f>
        <v>2014</v>
      </c>
      <c r="E16" s="2">
        <f t="shared" ref="E16" si="10">D16+1</f>
        <v>2015</v>
      </c>
      <c r="F16" s="2">
        <f t="shared" ref="F16" si="11">E16+1</f>
        <v>2016</v>
      </c>
      <c r="G16" s="2">
        <f t="shared" ref="G16:O16" si="12">F16+1</f>
        <v>2017</v>
      </c>
      <c r="H16" s="2">
        <f t="shared" si="12"/>
        <v>2018</v>
      </c>
      <c r="I16" s="155">
        <f t="shared" si="12"/>
        <v>2019</v>
      </c>
      <c r="J16" s="155">
        <f t="shared" si="12"/>
        <v>2020</v>
      </c>
      <c r="K16" s="155">
        <f t="shared" si="12"/>
        <v>2021</v>
      </c>
      <c r="L16" s="155">
        <f t="shared" si="12"/>
        <v>2022</v>
      </c>
      <c r="M16" s="155">
        <f t="shared" si="12"/>
        <v>2023</v>
      </c>
      <c r="N16" s="155">
        <f t="shared" si="12"/>
        <v>2024</v>
      </c>
      <c r="O16" s="155">
        <f t="shared" si="12"/>
        <v>2025</v>
      </c>
    </row>
    <row r="17" spans="1:15" x14ac:dyDescent="0.25">
      <c r="A17" s="90" t="s">
        <v>39</v>
      </c>
      <c r="B17" s="73">
        <v>-29144</v>
      </c>
      <c r="C17" s="73">
        <f>( 'Facility Detail'!D50 + 'Facility Detail'!D87 + 'Facility Detail'!D123 + 'Facility Detail'!D159 + 'Facility Detail'!D195 + 'Facility Detail'!D231 + 'Facility Detail'!D267 + 'Facility Detail'!D303 + 'Facility Detail'!D339 + 'Facility Detail'!D375 + 'Facility Detail'!D411)</f>
        <v>-61450</v>
      </c>
      <c r="D17" s="73">
        <f>('Facility Detail'!E50+'Facility Detail'!E87+'Facility Detail'!E123+'Facility Detail'!E159+'Facility Detail'!E195+'Facility Detail'!E231+'Facility Detail'!E267+'Facility Detail'!E303+'Facility Detail'!E339+'Facility Detail'!E375+'Facility Detail'!E411)</f>
        <v>-297027</v>
      </c>
      <c r="E17" s="73">
        <f>('Facility Detail'!F50+'Facility Detail'!F87+'Facility Detail'!F123+'Facility Detail'!F159+'Facility Detail'!F195+'Facility Detail'!F231+'Facility Detail'!F267+'Facility Detail'!F303+'Facility Detail'!F339+'Facility Detail'!F375+'Facility Detail'!F411)</f>
        <v>-293563</v>
      </c>
      <c r="F17" s="73">
        <f>('Facility Detail'!G50+'Facility Detail'!G87+'Facility Detail'!G123+'Facility Detail'!G159+'Facility Detail'!G195+'Facility Detail'!G231+'Facility Detail'!G267+'Facility Detail'!G303+'Facility Detail'!G339+'Facility Detail'!G375+'Facility Detail'!G411+'Facility Detail'!G455+'Facility Detail'!G491+'Facility Detail'!G527+'Facility Detail'!G563+'Facility Detail'!G609+'Facility Detail'!G649 + 'Facility Detail'!G689 + 'Facility Detail'!G729)</f>
        <v>-534666</v>
      </c>
      <c r="G17" s="73">
        <f>('Facility Detail'!H50+'Facility Detail'!H87+'Facility Detail'!H123+'Facility Detail'!H159+'Facility Detail'!H195+'Facility Detail'!H231+'Facility Detail'!H267+'Facility Detail'!H303+'Facility Detail'!H339+'Facility Detail'!H375+'Facility Detail'!H411+'Facility Detail'!H455+'Facility Detail'!H491+'Facility Detail'!H527+'Facility Detail'!H563+'Facility Detail'!H609+'Facility Detail'!H649+'Facility Detail'!H689 + 'Facility Detail'!G729)</f>
        <v>-191221</v>
      </c>
      <c r="H17" s="73">
        <f>('Facility Detail'!I50+'Facility Detail'!I87+'Facility Detail'!I123+'Facility Detail'!I159+'Facility Detail'!I195+'Facility Detail'!I231+'Facility Detail'!I267+'Facility Detail'!I303+'Facility Detail'!I339+'Facility Detail'!I375+'Facility Detail'!I411+'Facility Detail'!I455+'Facility Detail'!I491+'Facility Detail'!I527+'Facility Detail'!I563+'Facility Detail'!I609+'Facility Detail'!I649+'Facility Detail'!I689 + 'Facility Detail'!I729)</f>
        <v>-238991</v>
      </c>
      <c r="I17" s="73">
        <f>('Facility Detail'!J50+'Facility Detail'!J87+'Facility Detail'!J123+'Facility Detail'!J159+'Facility Detail'!J195+'Facility Detail'!J231+'Facility Detail'!J267+'Facility Detail'!J303+'Facility Detail'!J339+'Facility Detail'!J375+'Facility Detail'!J411+'Facility Detail'!J455+'Facility Detail'!J491+'Facility Detail'!J527+'Facility Detail'!J563+'Facility Detail'!J609+'Facility Detail'!J649+'Facility Detail'!J689 + 'Facility Detail'!J729)</f>
        <v>-94960</v>
      </c>
      <c r="J17" s="73">
        <f>('Facility Detail'!K50+'Facility Detail'!K87+'Facility Detail'!K123+'Facility Detail'!K159+'Facility Detail'!K195+'Facility Detail'!K231+'Facility Detail'!K267+'Facility Detail'!K303+'Facility Detail'!K339+'Facility Detail'!K375+'Facility Detail'!K411+'Facility Detail'!K455+'Facility Detail'!K491+'Facility Detail'!K527+'Facility Detail'!K563+'Facility Detail'!K609+'Facility Detail'!K649+'Facility Detail'!K689+'Facility Detail'!K729)</f>
        <v>-144967</v>
      </c>
      <c r="K17" s="73">
        <f>('Facility Detail'!L50+'Facility Detail'!L87+'Facility Detail'!L123+'Facility Detail'!L159+'Facility Detail'!L195+'Facility Detail'!L231+'Facility Detail'!L267+'Facility Detail'!L303+'Facility Detail'!L339+'Facility Detail'!L375+'Facility Detail'!L411+'Facility Detail'!L455+'Facility Detail'!L491+'Facility Detail'!L527+'Facility Detail'!L563+'Facility Detail'!L609+'Facility Detail'!L649+'Facility Detail'!L689+'Facility Detail'!L729)</f>
        <v>-336994</v>
      </c>
      <c r="L17" s="73">
        <f>('Facility Detail'!M50+'Facility Detail'!M87+'Facility Detail'!M123+'Facility Detail'!M159+'Facility Detail'!M195+'Facility Detail'!M231+'Facility Detail'!M267+'Facility Detail'!M303+'Facility Detail'!M339+'Facility Detail'!M375+'Facility Detail'!M411+'Facility Detail'!M455+'Facility Detail'!M491+'Facility Detail'!M527+'Facility Detail'!M563+'Facility Detail'!M609+'Facility Detail'!M649+'Facility Detail'!M689+'Facility Detail'!M729)</f>
        <v>-287280</v>
      </c>
      <c r="M17" s="73">
        <f>('Facility Detail'!N50+'Facility Detail'!N87+'Facility Detail'!N123+'Facility Detail'!N159+'Facility Detail'!N195+'Facility Detail'!N231+'Facility Detail'!N267+'Facility Detail'!N303+'Facility Detail'!N339+'Facility Detail'!N375+'Facility Detail'!N411+'Facility Detail'!N455+'Facility Detail'!N491+'Facility Detail'!N527+'Facility Detail'!N563+'Facility Detail'!N609+'Facility Detail'!N649+'Facility Detail'!N689+'Facility Detail'!N729)</f>
        <v>-64690</v>
      </c>
      <c r="N17" s="73">
        <f>('Facility Detail'!O50+'Facility Detail'!O87+'Facility Detail'!O123+'Facility Detail'!O159+'Facility Detail'!O195+'Facility Detail'!O231+'Facility Detail'!O267+'Facility Detail'!O303+'Facility Detail'!O339+'Facility Detail'!O375+'Facility Detail'!O411+'Facility Detail'!O455+'Facility Detail'!O491+'Facility Detail'!O527+'Facility Detail'!O563+'Facility Detail'!O609+'Facility Detail'!O649+'Facility Detail'!O689+'Facility Detail'!O729+'Facility Detail'!O770)</f>
        <v>-56296</v>
      </c>
      <c r="O17" s="73">
        <f>('Facility Detail'!P50+'Facility Detail'!P87+'Facility Detail'!P123+'Facility Detail'!P159+'Facility Detail'!P195+'Facility Detail'!P231+'Facility Detail'!P267+'Facility Detail'!P303+'Facility Detail'!P339+'Facility Detail'!P375+'Facility Detail'!P411+'Facility Detail'!P455+'Facility Detail'!P491+'Facility Detail'!P527+'Facility Detail'!P563+'Facility Detail'!P609+'Facility Detail'!P649+'Facility Detail'!P689+'Facility Detail'!P729+'Facility Detail'!P770)</f>
        <v>-41460</v>
      </c>
    </row>
    <row r="18" spans="1:15" x14ac:dyDescent="0.25">
      <c r="A18" s="91" t="s">
        <v>29</v>
      </c>
      <c r="B18" s="102">
        <v>0</v>
      </c>
      <c r="C18" s="102">
        <f xml:space="preserve"> -1 * ( 'Facility Detail'!D51 + 'Facility Detail'!D88 + 'Facility Detail'!D124 + 'Facility Detail'!D160 + 'Facility Detail'!D196 + 'Facility Detail'!D232 + 'Facility Detail'!D268 + 'Facility Detail'!D304 + 'Facility Detail'!D340 + 'Facility Detail'!D376 + 'Facility Detail'!D412)</f>
        <v>0</v>
      </c>
      <c r="D18" s="102">
        <f xml:space="preserve"> -1 * ( 'Facility Detail'!E51 + 'Facility Detail'!E88 + 'Facility Detail'!E124 + 'Facility Detail'!E160 + 'Facility Detail'!E196 + 'Facility Detail'!E232 + 'Facility Detail'!E268 + 'Facility Detail'!E304 + 'Facility Detail'!E340 + 'Facility Detail'!E376 + 'Facility Detail'!E412)</f>
        <v>0</v>
      </c>
      <c r="E18" s="102">
        <f xml:space="preserve"> -1 * ( 'Facility Detail'!F51 + 'Facility Detail'!F88 + 'Facility Detail'!F124 + 'Facility Detail'!F160 + 'Facility Detail'!F196 + 'Facility Detail'!F232 + 'Facility Detail'!F268 + 'Facility Detail'!F304 + 'Facility Detail'!F340 + 'Facility Detail'!F376 + 'Facility Detail'!F412)</f>
        <v>0</v>
      </c>
      <c r="F18" s="102">
        <f xml:space="preserve"> -1 * ( 'Facility Detail'!G51 + 'Facility Detail'!G88 + 'Facility Detail'!G124 + 'Facility Detail'!G160 + 'Facility Detail'!G196 + 'Facility Detail'!G232 + 'Facility Detail'!G268 + 'Facility Detail'!G304 + 'Facility Detail'!G340 + 'Facility Detail'!G376 + 'Facility Detail'!G412)</f>
        <v>0</v>
      </c>
      <c r="G18" s="102">
        <f xml:space="preserve"> -1 * ( 'Facility Detail'!H51 + 'Facility Detail'!H88 + 'Facility Detail'!H124 + 'Facility Detail'!H160 + 'Facility Detail'!H196 + 'Facility Detail'!H232 + 'Facility Detail'!H268 + 'Facility Detail'!H304 + 'Facility Detail'!H340 + 'Facility Detail'!H376 + 'Facility Detail'!H412)</f>
        <v>0</v>
      </c>
      <c r="H18" s="102">
        <f xml:space="preserve"> -1 * ( 'Facility Detail'!I51 + 'Facility Detail'!I88 + 'Facility Detail'!I124 + 'Facility Detail'!I160 + 'Facility Detail'!I196 + 'Facility Detail'!I232 + 'Facility Detail'!I268 + 'Facility Detail'!I304 + 'Facility Detail'!I340 + 'Facility Detail'!I376 + 'Facility Detail'!I412 + 'Facility Detail'!I456 + 'Facility Detail'!I492 + 'Facility Detail'!I528 + 'Facility Detail'!I564 + 'Facility Detail'!I610 + 'Facility Detail'!I650 + 'Facility Detail'!I690 + 'Facility Detail'!I730)</f>
        <v>0</v>
      </c>
      <c r="I18" s="102">
        <f xml:space="preserve"> -1 * ( 'Facility Detail'!J51 + 'Facility Detail'!J88 + 'Facility Detail'!J124 + 'Facility Detail'!J160 + 'Facility Detail'!J196 + 'Facility Detail'!J232 + 'Facility Detail'!J268 + 'Facility Detail'!J304 + 'Facility Detail'!J340 + 'Facility Detail'!J376 + 'Facility Detail'!J412 + 'Facility Detail'!J456 + 'Facility Detail'!J492 + 'Facility Detail'!J528 + 'Facility Detail'!J564 + 'Facility Detail'!J610 + 'Facility Detail'!J650 + 'Facility Detail'!J690 + 'Facility Detail'!J730)</f>
        <v>0</v>
      </c>
      <c r="J18" s="73">
        <f>('Facility Detail'!K51+'Facility Detail'!K88+'Facility Detail'!K124+'Facility Detail'!K160+'Facility Detail'!K196+'Facility Detail'!K232+'Facility Detail'!K268+'Facility Detail'!K304+'Facility Detail'!K340+'Facility Detail'!K376+'Facility Detail'!K412+'Facility Detail'!K456+'Facility Detail'!K492+'Facility Detail'!K528+'Facility Detail'!K564+'Facility Detail'!K610+'Facility Detail'!K650+'Facility Detail'!K690+'Facility Detail'!K730)</f>
        <v>0</v>
      </c>
      <c r="K18" s="73">
        <f>('Facility Detail'!L51+'Facility Detail'!L88+'Facility Detail'!L124+'Facility Detail'!L160+'Facility Detail'!L196+'Facility Detail'!L232+'Facility Detail'!L268+'Facility Detail'!L304+'Facility Detail'!L340+'Facility Detail'!L376+'Facility Detail'!L412+'Facility Detail'!L456+'Facility Detail'!L492+'Facility Detail'!L528+'Facility Detail'!L564+'Facility Detail'!L610+'Facility Detail'!L650+'Facility Detail'!L690+'Facility Detail'!L730)</f>
        <v>0</v>
      </c>
      <c r="L18" s="73">
        <f>('Facility Detail'!M51+'Facility Detail'!M88+'Facility Detail'!M124+'Facility Detail'!M160+'Facility Detail'!M196+'Facility Detail'!M232+'Facility Detail'!M268+'Facility Detail'!M304+'Facility Detail'!M340+'Facility Detail'!M376+'Facility Detail'!M412+'Facility Detail'!M456+'Facility Detail'!M492+'Facility Detail'!M528+'Facility Detail'!M564+'Facility Detail'!M610+'Facility Detail'!M650+'Facility Detail'!M690+'Facility Detail'!M730)</f>
        <v>0</v>
      </c>
      <c r="M18" s="73">
        <f>('Facility Detail'!N51+'Facility Detail'!N88+'Facility Detail'!N124+'Facility Detail'!N160+'Facility Detail'!N196+'Facility Detail'!N232+'Facility Detail'!N268+'Facility Detail'!N304+'Facility Detail'!N340+'Facility Detail'!N376+'Facility Detail'!N412+'Facility Detail'!N456+'Facility Detail'!N492+'Facility Detail'!N528+'Facility Detail'!N564+'Facility Detail'!N610+'Facility Detail'!N650+'Facility Detail'!N690+'Facility Detail'!N730)</f>
        <v>0</v>
      </c>
      <c r="N18" s="73">
        <f>('Facility Detail'!O51+'Facility Detail'!O88+'Facility Detail'!O124+'Facility Detail'!O160+'Facility Detail'!O196+'Facility Detail'!O232+'Facility Detail'!O268+'Facility Detail'!O304+'Facility Detail'!O340+'Facility Detail'!O376+'Facility Detail'!O412+'Facility Detail'!O456+'Facility Detail'!O492+'Facility Detail'!O528+'Facility Detail'!O564+'Facility Detail'!O610+'Facility Detail'!O650+'Facility Detail'!O690+'Facility Detail'!O730)</f>
        <v>0</v>
      </c>
      <c r="O18" s="73">
        <f>('Facility Detail'!P51+'Facility Detail'!P88+'Facility Detail'!P124+'Facility Detail'!P160+'Facility Detail'!P196+'Facility Detail'!P232+'Facility Detail'!P268+'Facility Detail'!P304+'Facility Detail'!P340+'Facility Detail'!P376+'Facility Detail'!P412+'Facility Detail'!P456+'Facility Detail'!P492+'Facility Detail'!P528+'Facility Detail'!P564+'Facility Detail'!P610+'Facility Detail'!P650+'Facility Detail'!P690+'Facility Detail'!P730)</f>
        <v>0</v>
      </c>
    </row>
    <row r="19" spans="1:15" x14ac:dyDescent="0.25">
      <c r="A19" s="101" t="s">
        <v>89</v>
      </c>
      <c r="B19" s="74">
        <v>-5829</v>
      </c>
      <c r="C19" s="74">
        <f>( 'Facility Detail'!D52 + 'Facility Detail'!D89 + 'Facility Detail'!D125 + 'Facility Detail'!D161 + 'Facility Detail'!D197 + 'Facility Detail'!D233 + 'Facility Detail'!D269 + 'Facility Detail'!D305 + 'Facility Detail'!D341 + 'Facility Detail'!D377 + 'Facility Detail'!D413)</f>
        <v>-12290</v>
      </c>
      <c r="D19" s="74">
        <f>( 'Facility Detail'!E52 + 'Facility Detail'!E89 + 'Facility Detail'!E125 + 'Facility Detail'!E161 + 'Facility Detail'!E197 + 'Facility Detail'!E233 + 'Facility Detail'!E269 + 'Facility Detail'!E305 + 'Facility Detail'!E341 + 'Facility Detail'!E377 + 'Facility Detail'!E413)</f>
        <v>-59405</v>
      </c>
      <c r="E19" s="74">
        <f>( 'Facility Detail'!F52 + 'Facility Detail'!F89 + 'Facility Detail'!F125 + 'Facility Detail'!F161 + 'Facility Detail'!F197 + 'Facility Detail'!F233 + 'Facility Detail'!F269 + 'Facility Detail'!F305 + 'Facility Detail'!F341 + 'Facility Detail'!F377 + 'Facility Detail'!F413)</f>
        <v>-58712.600000000006</v>
      </c>
      <c r="F19" s="74">
        <f>( 'Facility Detail'!G52 + 'Facility Detail'!G89 + 'Facility Detail'!G125 + 'Facility Detail'!G161 + 'Facility Detail'!G197 + 'Facility Detail'!G233 + 'Facility Detail'!G269 + 'Facility Detail'!G305 + 'Facility Detail'!G341 + 'Facility Detail'!G377 + 'Facility Detail'!G413+'Facility Detail'!G457+'Facility Detail'!G493+'Facility Detail'!G529+'Facility Detail'!G565+'Facility Detail'!G611+'Facility Detail'!G651+'Facility Detail'!G691 + 'Facility Detail'!G731)</f>
        <v>-51389</v>
      </c>
      <c r="G19" s="74">
        <f>( 'Facility Detail'!H52 + 'Facility Detail'!H89 + 'Facility Detail'!H125 + 'Facility Detail'!H161 + 'Facility Detail'!H197 + 'Facility Detail'!H233 + 'Facility Detail'!H269 + 'Facility Detail'!H305 + 'Facility Detail'!H341 + 'Facility Detail'!H377 + 'Facility Detail'!H413+'Facility Detail'!H457+'Facility Detail'!H493+'Facility Detail'!H529+'Facility Detail'!H565+'Facility Detail'!H611+'Facility Detail'!H651+'Facility Detail'!H691 + 'Facility Detail'!H731)</f>
        <v>-4868</v>
      </c>
      <c r="H19" s="74">
        <f>( 'Facility Detail'!I52 + 'Facility Detail'!I89 + 'Facility Detail'!I125 + 'Facility Detail'!I161 + 'Facility Detail'!I197 + 'Facility Detail'!I233 + 'Facility Detail'!I269 + 'Facility Detail'!I305 + 'Facility Detail'!I341 + 'Facility Detail'!I377 + 'Facility Detail'!I413+'Facility Detail'!I457+'Facility Detail'!I493+'Facility Detail'!I529+'Facility Detail'!I565+'Facility Detail'!I611+'Facility Detail'!I651+'Facility Detail'!I691 + 'Facility Detail'!I731)</f>
        <v>-4364</v>
      </c>
      <c r="I19" s="74">
        <f>( 'Facility Detail'!J52 + 'Facility Detail'!J89 + 'Facility Detail'!J125 + 'Facility Detail'!J161 + 'Facility Detail'!J197 + 'Facility Detail'!J233 + 'Facility Detail'!J269 + 'Facility Detail'!J305 + 'Facility Detail'!J341 + 'Facility Detail'!J377 + 'Facility Detail'!J413+'Facility Detail'!J457+'Facility Detail'!J493+'Facility Detail'!J529+'Facility Detail'!J565+'Facility Detail'!J611+'Facility Detail'!J651+'Facility Detail'!J691 +'Facility Detail'!J731)</f>
        <v>-1794</v>
      </c>
      <c r="J19" s="73">
        <f>('Facility Detail'!K52 + 'Facility Detail'!K89 + 'Facility Detail'!K125 + 'Facility Detail'!K161 + 'Facility Detail'!K197 + 'Facility Detail'!K233 + 'Facility Detail'!K269 + 'Facility Detail'!K305 + 'Facility Detail'!K341 + 'Facility Detail'!K377 + 'Facility Detail'!K413 + 'Facility Detail'!K457 + 'Facility Detail'!K493 + 'Facility Detail'!K529 + 'Facility Detail'!K565 + 'Facility Detail'!K611 + 'Facility Detail'!K651 + 'Facility Detail'!K691 + 'Facility Detail'!K731)</f>
        <v>-9280</v>
      </c>
      <c r="K19" s="73">
        <f>('Facility Detail'!L52+'Facility Detail'!L89+'Facility Detail'!L125+'Facility Detail'!L161+'Facility Detail'!L197+'Facility Detail'!L233+'Facility Detail'!L269+'Facility Detail'!L305+'Facility Detail'!L341+'Facility Detail'!L377+'Facility Detail'!L413+'Facility Detail'!L457+'Facility Detail'!L493+'Facility Detail'!L529+'Facility Detail'!L565+'Facility Detail'!L611+'Facility Detail'!L651+'Facility Detail'!L691+'Facility Detail'!L731)</f>
        <v>-35836</v>
      </c>
      <c r="L19" s="73">
        <f>('Facility Detail'!M52+'Facility Detail'!M89+'Facility Detail'!M125+'Facility Detail'!M161+'Facility Detail'!M197+'Facility Detail'!M233+'Facility Detail'!M269+'Facility Detail'!M305+'Facility Detail'!M341+'Facility Detail'!M377+'Facility Detail'!M413+'Facility Detail'!M457+'Facility Detail'!M493+'Facility Detail'!M529+'Facility Detail'!M565+'Facility Detail'!M611+'Facility Detail'!M651+'Facility Detail'!M691+'Facility Detail'!M731)</f>
        <v>-19253</v>
      </c>
      <c r="M19" s="73">
        <f>('Facility Detail'!N52+'Facility Detail'!N89+'Facility Detail'!N125+'Facility Detail'!N161+'Facility Detail'!N197+'Facility Detail'!N233+'Facility Detail'!N269+'Facility Detail'!N305+'Facility Detail'!N341+'Facility Detail'!N377+'Facility Detail'!N413+'Facility Detail'!N457+'Facility Detail'!N493+'Facility Detail'!N529+'Facility Detail'!N565+'Facility Detail'!N611+'Facility Detail'!N651+'Facility Detail'!N691+'Facility Detail'!N731)</f>
        <v>-3497</v>
      </c>
      <c r="N19" s="73">
        <f>('Facility Detail'!O52+'Facility Detail'!O89+'Facility Detail'!O125+'Facility Detail'!O161+'Facility Detail'!O197+'Facility Detail'!O233+'Facility Detail'!O269+'Facility Detail'!O305+'Facility Detail'!O341+'Facility Detail'!O377+'Facility Detail'!O413+'Facility Detail'!O457+'Facility Detail'!O493+'Facility Detail'!O529+'Facility Detail'!O565+'Facility Detail'!O611+'Facility Detail'!O651+'Facility Detail'!O691+'Facility Detail'!O731+'Facility Detail'!O772)</f>
        <v>-19</v>
      </c>
      <c r="O19" s="73">
        <f>('Facility Detail'!P52+'Facility Detail'!P89+'Facility Detail'!P125+'Facility Detail'!P161+'Facility Detail'!P197+'Facility Detail'!P233+'Facility Detail'!P269+'Facility Detail'!P305+'Facility Detail'!P341+'Facility Detail'!P377+'Facility Detail'!P413+'Facility Detail'!P457+'Facility Detail'!P493+'Facility Detail'!P529+'Facility Detail'!P565+'Facility Detail'!P611+'Facility Detail'!P651+'Facility Detail'!P691+'Facility Detail'!P731+'Facility Detail'!P772)</f>
        <v>-19</v>
      </c>
    </row>
    <row r="20" spans="1:15" x14ac:dyDescent="0.25">
      <c r="A20" s="82" t="str">
        <f>'Facility Detail'!B53</f>
        <v>Total Sold / Transferred / Unrealized</v>
      </c>
      <c r="B20" s="18">
        <f>SUM(B17:B19)</f>
        <v>-34973</v>
      </c>
      <c r="C20" s="18">
        <f>SUM(C17:C19)</f>
        <v>-73740</v>
      </c>
      <c r="D20" s="18">
        <f>SUM(D17:D19)</f>
        <v>-356432</v>
      </c>
      <c r="E20" s="18">
        <f t="shared" ref="E20:G20" si="13">SUM(E17:E19)</f>
        <v>-352275.6</v>
      </c>
      <c r="F20" s="18">
        <f t="shared" si="13"/>
        <v>-586055</v>
      </c>
      <c r="G20" s="18">
        <f t="shared" si="13"/>
        <v>-196089</v>
      </c>
      <c r="H20" s="18">
        <f t="shared" ref="H20:I20" si="14">SUM(H17:H19)</f>
        <v>-243355</v>
      </c>
      <c r="I20" s="18">
        <f t="shared" si="14"/>
        <v>-96754</v>
      </c>
      <c r="J20" s="18">
        <f t="shared" ref="J20:K20" si="15">SUM(J17:J19)</f>
        <v>-154247</v>
      </c>
      <c r="K20" s="18">
        <f t="shared" si="15"/>
        <v>-372830</v>
      </c>
      <c r="L20" s="18">
        <f t="shared" ref="L20:M20" si="16">SUM(L17:L19)</f>
        <v>-306533</v>
      </c>
      <c r="M20" s="18">
        <f t="shared" si="16"/>
        <v>-68187</v>
      </c>
      <c r="N20" s="18">
        <f t="shared" ref="N20:O20" si="17">SUM(N17:N19)</f>
        <v>-56315</v>
      </c>
      <c r="O20" s="18">
        <f t="shared" si="17"/>
        <v>-41479</v>
      </c>
    </row>
    <row r="21" spans="1:15" x14ac:dyDescent="0.25">
      <c r="B21" s="17"/>
      <c r="C21" s="17"/>
      <c r="D21" s="17"/>
      <c r="E21" s="17"/>
      <c r="F21" s="17"/>
      <c r="G21" s="17"/>
      <c r="H21" s="17"/>
      <c r="I21" s="17"/>
      <c r="J21" s="17"/>
      <c r="K21" s="17"/>
      <c r="L21" s="17"/>
      <c r="M21" s="17"/>
      <c r="N21" s="17"/>
      <c r="O21" s="17"/>
    </row>
    <row r="22" spans="1:15" ht="18.75" x14ac:dyDescent="0.3">
      <c r="A22" s="9" t="s">
        <v>43</v>
      </c>
      <c r="B22" s="2">
        <f>C22 - 1</f>
        <v>2012</v>
      </c>
      <c r="C22" s="2">
        <f>'Facility Detail'!$B$805</f>
        <v>2013</v>
      </c>
      <c r="D22" s="2">
        <f>C22+1</f>
        <v>2014</v>
      </c>
      <c r="E22" s="2">
        <f t="shared" ref="E22" si="18">D22+1</f>
        <v>2015</v>
      </c>
      <c r="F22" s="2">
        <f t="shared" ref="F22" si="19">E22+1</f>
        <v>2016</v>
      </c>
      <c r="G22" s="2">
        <f t="shared" ref="G22:O22" si="20">F22+1</f>
        <v>2017</v>
      </c>
      <c r="H22" s="2">
        <f t="shared" si="20"/>
        <v>2018</v>
      </c>
      <c r="I22" s="155">
        <f t="shared" si="20"/>
        <v>2019</v>
      </c>
      <c r="J22" s="155">
        <f t="shared" si="20"/>
        <v>2020</v>
      </c>
      <c r="K22" s="155">
        <f t="shared" si="20"/>
        <v>2021</v>
      </c>
      <c r="L22" s="155">
        <f t="shared" si="20"/>
        <v>2022</v>
      </c>
      <c r="M22" s="155">
        <f t="shared" si="20"/>
        <v>2023</v>
      </c>
      <c r="N22" s="155">
        <f t="shared" si="20"/>
        <v>2024</v>
      </c>
      <c r="O22" s="155">
        <f t="shared" si="20"/>
        <v>2025</v>
      </c>
    </row>
    <row r="23" spans="1:15" x14ac:dyDescent="0.25">
      <c r="A23" s="110" t="str">
        <f xml:space="preserve"> 'Facility Detail'!$B$805 &amp; " Surplus Applied to " &amp; ( 'Facility Detail'!$B$805 + 1 )</f>
        <v>2013 Surplus Applied to 2014</v>
      </c>
      <c r="B23" s="78"/>
      <c r="C23" s="146"/>
      <c r="D23" s="146"/>
      <c r="E23" s="78"/>
      <c r="F23" s="78"/>
      <c r="G23" s="78"/>
      <c r="H23" s="78"/>
      <c r="I23" s="162"/>
      <c r="J23" s="162"/>
      <c r="K23" s="162"/>
      <c r="L23" s="162"/>
      <c r="M23" s="162"/>
      <c r="N23" s="162"/>
      <c r="O23" s="162"/>
    </row>
    <row r="24" spans="1:15" x14ac:dyDescent="0.25">
      <c r="A24" s="110" t="str">
        <f xml:space="preserve"> ( 'Facility Detail'!$B$805 + 1 ) &amp; " Surplus Applied to " &amp; ( 'Facility Detail'!$B$805 )</f>
        <v>2014 Surplus Applied to 2013</v>
      </c>
      <c r="B24" s="78"/>
      <c r="C24" s="146"/>
      <c r="D24" s="146"/>
      <c r="E24" s="78"/>
      <c r="F24" s="78"/>
      <c r="G24" s="78"/>
      <c r="H24" s="78"/>
      <c r="I24" s="162"/>
      <c r="J24" s="162"/>
      <c r="K24" s="162"/>
      <c r="L24" s="162"/>
      <c r="M24" s="162"/>
      <c r="N24" s="162"/>
      <c r="O24" s="162"/>
    </row>
    <row r="25" spans="1:15" x14ac:dyDescent="0.25">
      <c r="A25" s="110" t="str">
        <f xml:space="preserve"> ( 'Facility Detail'!$B$805 + 1 ) &amp; " Surplus Applied to " &amp; ( 'Facility Detail'!$B$805 + 2 )</f>
        <v>2014 Surplus Applied to 2015</v>
      </c>
      <c r="B25" s="78"/>
      <c r="C25" s="78"/>
      <c r="D25" s="146"/>
      <c r="E25" s="146"/>
      <c r="F25" s="78"/>
      <c r="G25" s="78"/>
      <c r="H25" s="78"/>
      <c r="I25" s="162"/>
      <c r="J25" s="162"/>
      <c r="K25" s="162"/>
      <c r="L25" s="162"/>
      <c r="M25" s="162"/>
      <c r="N25" s="162"/>
      <c r="O25" s="162"/>
    </row>
    <row r="26" spans="1:15" x14ac:dyDescent="0.25">
      <c r="A26" s="110" t="str">
        <f xml:space="preserve"> ( 'Facility Detail'!$B$805 + 2 ) &amp; " Surplus Applied to " &amp; ( 'Facility Detail'!$B$805 + 1 )</f>
        <v>2015 Surplus Applied to 2014</v>
      </c>
      <c r="B26" s="78"/>
      <c r="C26" s="78"/>
      <c r="D26" s="146"/>
      <c r="E26" s="146"/>
      <c r="F26" s="78"/>
      <c r="G26" s="78"/>
      <c r="H26" s="78"/>
      <c r="I26" s="162"/>
      <c r="J26" s="162"/>
      <c r="K26" s="162"/>
      <c r="L26" s="162"/>
      <c r="M26" s="162"/>
      <c r="N26" s="162"/>
      <c r="O26" s="162"/>
    </row>
    <row r="27" spans="1:15" x14ac:dyDescent="0.25">
      <c r="A27" s="110" t="str">
        <f xml:space="preserve"> ( 'Facility Detail'!$B$805 + 2 ) &amp; " Surplus Applied to " &amp; ( 'Facility Detail'!$B$805 + 3 )</f>
        <v>2015 Surplus Applied to 2016</v>
      </c>
      <c r="B27" s="78"/>
      <c r="C27" s="78"/>
      <c r="D27" s="78"/>
      <c r="E27" s="146">
        <f>-F27</f>
        <v>-49617</v>
      </c>
      <c r="F27" s="146">
        <f>'Facility Detail'!G468</f>
        <v>49617</v>
      </c>
      <c r="G27" s="78"/>
      <c r="H27" s="78"/>
      <c r="I27" s="162"/>
      <c r="J27" s="162"/>
      <c r="K27" s="162"/>
      <c r="L27" s="162"/>
      <c r="M27" s="162"/>
      <c r="N27" s="162"/>
      <c r="O27" s="162"/>
    </row>
    <row r="28" spans="1:15" x14ac:dyDescent="0.25">
      <c r="A28" s="110" t="str">
        <f xml:space="preserve"> ( 'Facility Detail'!$B$805 + 3 ) &amp; " Surplus Applied to " &amp; ( 'Facility Detail'!$B$805 + 2 )</f>
        <v>2016 Surplus Applied to 2015</v>
      </c>
      <c r="B28" s="78"/>
      <c r="C28" s="78"/>
      <c r="D28" s="78"/>
      <c r="E28" s="146"/>
      <c r="F28" s="146"/>
      <c r="G28" s="78"/>
      <c r="H28" s="162"/>
      <c r="I28" s="162"/>
      <c r="J28" s="162"/>
      <c r="K28" s="162"/>
      <c r="L28" s="162"/>
      <c r="M28" s="162"/>
      <c r="N28" s="162"/>
      <c r="O28" s="162"/>
    </row>
    <row r="29" spans="1:15" x14ac:dyDescent="0.25">
      <c r="A29" s="110" t="str">
        <f xml:space="preserve"> ( 'Facility Detail'!$B$805 + 3 ) &amp; " Surplus Applied to " &amp; ( 'Facility Detail'!$B$805 + 4 )</f>
        <v>2016 Surplus Applied to 2017</v>
      </c>
      <c r="B29" s="78"/>
      <c r="C29" s="78"/>
      <c r="D29" s="78"/>
      <c r="E29" s="78"/>
      <c r="F29" s="146"/>
      <c r="G29" s="146"/>
      <c r="H29" s="162"/>
      <c r="I29" s="162"/>
      <c r="J29" s="162"/>
      <c r="K29" s="162"/>
      <c r="L29" s="162"/>
      <c r="M29" s="162"/>
      <c r="N29" s="162"/>
      <c r="O29" s="162"/>
    </row>
    <row r="30" spans="1:15" x14ac:dyDescent="0.25">
      <c r="A30" s="110" t="str">
        <f xml:space="preserve"> ( 'Facility Detail'!$B$805 + 4 ) &amp; " Surplus Applied to " &amp; ( 'Facility Detail'!$B$805 + 3 )</f>
        <v>2017 Surplus Applied to 2016</v>
      </c>
      <c r="B30" s="78"/>
      <c r="C30" s="78"/>
      <c r="D30" s="78"/>
      <c r="E30" s="78"/>
      <c r="F30" s="146">
        <f>'Facility Detail'!G434+'Facility Detail'!G586</f>
        <v>135199</v>
      </c>
      <c r="G30" s="146">
        <f>-'Facility Detail'!H424</f>
        <v>-135199</v>
      </c>
      <c r="H30" s="162"/>
      <c r="I30" s="162"/>
      <c r="J30" s="162"/>
      <c r="K30" s="162"/>
      <c r="L30" s="162"/>
      <c r="M30" s="162"/>
      <c r="N30" s="162"/>
      <c r="O30" s="162"/>
    </row>
    <row r="31" spans="1:15" x14ac:dyDescent="0.25">
      <c r="A31" s="110" t="str">
        <f xml:space="preserve"> ( 'Facility Detail'!$B$805 + 4 ) &amp; " Surplus Applied to " &amp; ( 'Facility Detail'!$B$805 + 5 )</f>
        <v>2017 Surplus Applied to 2018</v>
      </c>
      <c r="B31" s="78"/>
      <c r="C31" s="78"/>
      <c r="D31" s="78"/>
      <c r="E31" s="78"/>
      <c r="F31" s="78"/>
      <c r="G31" s="146">
        <v>7914</v>
      </c>
      <c r="H31" s="146">
        <v>-7914</v>
      </c>
      <c r="I31" s="162"/>
      <c r="J31" s="162"/>
      <c r="K31" s="162"/>
      <c r="L31" s="162"/>
      <c r="M31" s="162"/>
      <c r="N31" s="162"/>
      <c r="O31" s="162"/>
    </row>
    <row r="32" spans="1:15" x14ac:dyDescent="0.25">
      <c r="A32" s="110" t="str">
        <f xml:space="preserve"> ( 'Facility Detail'!$B$805 + 5 ) &amp; " Surplus Applied to " &amp; ( 'Facility Detail'!$B$805 + 4 )</f>
        <v>2018 Surplus Applied to 2017</v>
      </c>
      <c r="B32" s="78"/>
      <c r="C32" s="78"/>
      <c r="D32" s="78"/>
      <c r="E32" s="78"/>
      <c r="F32" s="78"/>
      <c r="G32" s="146">
        <f>-H32</f>
        <v>0</v>
      </c>
      <c r="H32" s="146">
        <v>0</v>
      </c>
      <c r="I32" s="162"/>
      <c r="J32" s="162"/>
      <c r="K32" s="162"/>
      <c r="L32" s="162"/>
      <c r="M32" s="162"/>
      <c r="N32" s="162"/>
      <c r="O32" s="162"/>
    </row>
    <row r="33" spans="1:15" x14ac:dyDescent="0.25">
      <c r="A33" s="110" t="str">
        <f xml:space="preserve"> ( 'Facility Detail'!$B$805 + 5 ) &amp; " Surplus Applied to " &amp; ( 'Facility Detail'!$B$805 + 6 )</f>
        <v>2018 Surplus Applied to 2019</v>
      </c>
      <c r="B33" s="174"/>
      <c r="C33" s="174"/>
      <c r="D33" s="174"/>
      <c r="E33" s="174"/>
      <c r="F33" s="174"/>
      <c r="G33" s="174"/>
      <c r="H33" s="177">
        <v>-55132</v>
      </c>
      <c r="I33" s="175">
        <f>-H33</f>
        <v>55132</v>
      </c>
      <c r="J33" s="162"/>
      <c r="K33" s="162"/>
      <c r="L33" s="162"/>
      <c r="M33" s="162"/>
      <c r="N33" s="162"/>
      <c r="O33" s="162"/>
    </row>
    <row r="34" spans="1:15" x14ac:dyDescent="0.25">
      <c r="A34" s="110" t="str">
        <f xml:space="preserve"> ( 'Facility Detail'!$B$805 +6 ) &amp; " Surplus Applied to " &amp; ( 'Facility Detail'!$B$805 + 5 )</f>
        <v>2019 Surplus Applied to 2018</v>
      </c>
      <c r="B34" s="174"/>
      <c r="C34" s="174"/>
      <c r="D34" s="174"/>
      <c r="E34" s="174"/>
      <c r="F34" s="174"/>
      <c r="G34" s="174"/>
      <c r="H34" s="177"/>
      <c r="I34" s="175"/>
      <c r="J34" s="162">
        <f>I34</f>
        <v>0</v>
      </c>
      <c r="K34" s="162"/>
      <c r="L34" s="162"/>
      <c r="M34" s="162"/>
      <c r="N34" s="162"/>
      <c r="O34" s="162"/>
    </row>
    <row r="35" spans="1:15" x14ac:dyDescent="0.25">
      <c r="A35" s="110" t="str">
        <f xml:space="preserve"> ( 'Facility Detail'!$B$805 + 6 ) &amp; " Surplus Applied to " &amp; ( 'Facility Detail'!$B$805 + 7 )</f>
        <v>2019 Surplus Applied to 2020</v>
      </c>
      <c r="B35" s="174"/>
      <c r="C35" s="174"/>
      <c r="D35" s="174"/>
      <c r="E35" s="174"/>
      <c r="F35" s="174"/>
      <c r="G35" s="174"/>
      <c r="H35" s="174"/>
      <c r="I35" s="177">
        <v>-290624</v>
      </c>
      <c r="J35" s="175">
        <v>290624</v>
      </c>
      <c r="K35" s="162"/>
      <c r="L35" s="162"/>
      <c r="M35" s="162"/>
      <c r="N35" s="162"/>
      <c r="O35" s="162"/>
    </row>
    <row r="36" spans="1:15" x14ac:dyDescent="0.25">
      <c r="A36" s="110" t="str">
        <f xml:space="preserve"> ( 'Facility Detail'!$B$805 +7 ) &amp; " Surplus Applied to " &amp; ( 'Facility Detail'!$B$805 + 6 )</f>
        <v>2020 Surplus Applied to 2019</v>
      </c>
      <c r="B36" s="174"/>
      <c r="C36" s="174"/>
      <c r="D36" s="174"/>
      <c r="E36" s="174"/>
      <c r="F36" s="174"/>
      <c r="G36" s="174"/>
      <c r="H36" s="174"/>
      <c r="I36" s="177"/>
      <c r="J36" s="175"/>
      <c r="K36" s="162"/>
      <c r="L36" s="162"/>
      <c r="M36" s="162"/>
      <c r="N36" s="162"/>
      <c r="O36" s="162"/>
    </row>
    <row r="37" spans="1:15" x14ac:dyDescent="0.25">
      <c r="A37" s="110" t="str">
        <f xml:space="preserve"> ( 'Facility Detail'!$B$805 + 7 ) &amp; " Surplus Applied to " &amp; ( 'Facility Detail'!$B$805 + 8 )</f>
        <v>2020 Surplus Applied to 2021</v>
      </c>
      <c r="B37" s="174"/>
      <c r="C37" s="174"/>
      <c r="D37" s="174"/>
      <c r="E37" s="174"/>
      <c r="F37" s="174"/>
      <c r="G37" s="174"/>
      <c r="H37" s="174"/>
      <c r="I37" s="174"/>
      <c r="J37" s="175">
        <v>-224746</v>
      </c>
      <c r="K37" s="175">
        <v>224746</v>
      </c>
      <c r="L37" s="162"/>
      <c r="M37" s="162"/>
      <c r="N37" s="162"/>
      <c r="O37" s="162"/>
    </row>
    <row r="38" spans="1:15" x14ac:dyDescent="0.25">
      <c r="A38" s="110" t="str">
        <f xml:space="preserve"> ( 'Facility Detail'!$B$805 + 8 ) &amp; " Surplus Applied to " &amp; ( 'Facility Detail'!$B$805 + 7 )</f>
        <v>2021 Surplus Applied to 2020</v>
      </c>
      <c r="B38" s="174"/>
      <c r="C38" s="174"/>
      <c r="D38" s="174"/>
      <c r="E38" s="174"/>
      <c r="F38" s="174"/>
      <c r="G38" s="174"/>
      <c r="H38" s="174"/>
      <c r="I38" s="174"/>
      <c r="J38" s="178">
        <f>-K38</f>
        <v>0</v>
      </c>
      <c r="K38" s="175">
        <f>'Facility Detail'!L434</f>
        <v>0</v>
      </c>
      <c r="L38" s="162">
        <f>'Facility Detail'!M434</f>
        <v>0</v>
      </c>
      <c r="M38" s="162">
        <f>'Facility Detail'!N434</f>
        <v>0</v>
      </c>
      <c r="N38" s="162">
        <f>'Facility Detail'!O434</f>
        <v>0</v>
      </c>
      <c r="O38" s="162">
        <f>'Facility Detail'!P434</f>
        <v>0</v>
      </c>
    </row>
    <row r="39" spans="1:15" x14ac:dyDescent="0.25">
      <c r="A39" s="110" t="str">
        <f xml:space="preserve"> ( 'Facility Detail'!$B$805 + 8 ) &amp; " Surplus Applied to " &amp; ( 'Facility Detail'!$B$805 + 9 )</f>
        <v>2021 Surplus Applied to 2022</v>
      </c>
      <c r="B39" s="174"/>
      <c r="C39" s="174"/>
      <c r="D39" s="174"/>
      <c r="E39" s="174"/>
      <c r="F39" s="174"/>
      <c r="G39" s="174"/>
      <c r="H39" s="174"/>
      <c r="I39" s="174"/>
      <c r="J39" s="162"/>
      <c r="K39" s="175"/>
      <c r="L39" s="175"/>
      <c r="M39" s="175"/>
      <c r="N39" s="175"/>
      <c r="O39" s="175"/>
    </row>
    <row r="40" spans="1:15" x14ac:dyDescent="0.25">
      <c r="A40" s="110" t="str">
        <f xml:space="preserve"> ( 'Facility Detail'!$B$805 + 9 ) &amp; " Surplus Applied to " &amp; ( 'Facility Detail'!$B$805 + 8 )</f>
        <v>2022 Surplus Applied to 2021</v>
      </c>
      <c r="B40" s="174"/>
      <c r="C40" s="174"/>
      <c r="D40" s="174"/>
      <c r="E40" s="174"/>
      <c r="F40" s="174"/>
      <c r="G40" s="174"/>
      <c r="H40" s="174"/>
      <c r="I40" s="174"/>
      <c r="J40" s="162"/>
      <c r="K40" s="175"/>
      <c r="L40" s="175"/>
      <c r="M40" s="175"/>
      <c r="N40" s="175"/>
      <c r="O40" s="175"/>
    </row>
    <row r="41" spans="1:15" x14ac:dyDescent="0.25">
      <c r="A41" s="110" t="str">
        <f xml:space="preserve"> ( 'Facility Detail'!$B$805 + 10 ) &amp; " Surplus Applied to " &amp; ( 'Facility Detail'!$B$805 + 9 )</f>
        <v>2023 Surplus Applied to 2022</v>
      </c>
      <c r="B41" s="174"/>
      <c r="C41" s="174"/>
      <c r="D41" s="174"/>
      <c r="E41" s="174"/>
      <c r="F41" s="174"/>
      <c r="G41" s="174"/>
      <c r="H41" s="174"/>
      <c r="I41" s="174"/>
      <c r="J41" s="162"/>
      <c r="K41" s="162"/>
      <c r="L41" s="181"/>
      <c r="M41" s="181"/>
      <c r="N41" s="181"/>
      <c r="O41" s="181"/>
    </row>
    <row r="42" spans="1:15" x14ac:dyDescent="0.25">
      <c r="A42" s="111" t="s">
        <v>128</v>
      </c>
      <c r="B42" s="158"/>
      <c r="C42" s="158">
        <f>SUM(C23:C41)</f>
        <v>0</v>
      </c>
      <c r="D42" s="158">
        <f t="shared" ref="D42:M42" si="21">SUM(D23:D41)</f>
        <v>0</v>
      </c>
      <c r="E42" s="158">
        <f t="shared" si="21"/>
        <v>-49617</v>
      </c>
      <c r="F42" s="158">
        <f t="shared" si="21"/>
        <v>184816</v>
      </c>
      <c r="G42" s="158">
        <f t="shared" si="21"/>
        <v>-127285</v>
      </c>
      <c r="H42" s="158">
        <f t="shared" si="21"/>
        <v>-63046</v>
      </c>
      <c r="I42" s="158">
        <f t="shared" si="21"/>
        <v>-235492</v>
      </c>
      <c r="J42" s="158">
        <f t="shared" si="21"/>
        <v>65878</v>
      </c>
      <c r="K42" s="158">
        <f t="shared" si="21"/>
        <v>224746</v>
      </c>
      <c r="L42" s="158">
        <f t="shared" si="21"/>
        <v>0</v>
      </c>
      <c r="M42" s="158">
        <f t="shared" si="21"/>
        <v>0</v>
      </c>
      <c r="N42" s="158">
        <f t="shared" ref="N42:O42" si="22">SUM(N23:N41)</f>
        <v>0</v>
      </c>
      <c r="O42" s="158">
        <f t="shared" si="22"/>
        <v>0</v>
      </c>
    </row>
    <row r="43" spans="1:15" x14ac:dyDescent="0.25">
      <c r="A43" s="111"/>
      <c r="B43" s="33"/>
      <c r="C43" s="33"/>
      <c r="D43" s="33"/>
      <c r="E43" s="33"/>
      <c r="F43" s="33"/>
      <c r="G43" s="33"/>
      <c r="H43" s="33"/>
      <c r="I43" s="20"/>
      <c r="J43" s="20"/>
      <c r="K43" s="20"/>
      <c r="L43" s="20"/>
      <c r="M43" s="20"/>
      <c r="N43" s="20"/>
      <c r="O43" s="20"/>
    </row>
    <row r="44" spans="1:15" x14ac:dyDescent="0.25">
      <c r="A44" s="111" t="s">
        <v>21</v>
      </c>
      <c r="B44" s="158"/>
      <c r="C44" s="158">
        <f xml:space="preserve"> 'Facility Detail'!D66 + 'Facility Detail'!D102 + 'Facility Detail'!D138 + 'Facility Detail'!D174 + 'Facility Detail'!D210 + 'Facility Detail'!D246 + 'Facility Detail'!D282 + 'Facility Detail'!D318 + 'Facility Detail'!D354 + 'Facility Detail'!D390 + 'Facility Detail'!D436+ 'Facility Detail'!D470+ 'Facility Detail'!D506+ 'Facility Detail'!D542+ 'Facility Detail'!D588+ 'Facility Detail'!D628+ 'Facility Detail'!D668+ 'Facility Detail'!D708+ 'Facility Detail'!D748</f>
        <v>0</v>
      </c>
      <c r="D44" s="158">
        <f xml:space="preserve"> 'Facility Detail'!E66 + 'Facility Detail'!E102 + 'Facility Detail'!E138 + 'Facility Detail'!E174 + 'Facility Detail'!E210 + 'Facility Detail'!E246 + 'Facility Detail'!E282 + 'Facility Detail'!E318 + 'Facility Detail'!E354 + 'Facility Detail'!E390 + 'Facility Detail'!E436+ 'Facility Detail'!E470+ 'Facility Detail'!E506+ 'Facility Detail'!E542+ 'Facility Detail'!E588+ 'Facility Detail'!E628+ 'Facility Detail'!E668+ 'Facility Detail'!E708+ 'Facility Detail'!E748</f>
        <v>0</v>
      </c>
      <c r="E44" s="158">
        <f xml:space="preserve"> 'Facility Detail'!F66 + 'Facility Detail'!F102 + 'Facility Detail'!F138 + 'Facility Detail'!F174 + 'Facility Detail'!F210 + 'Facility Detail'!F246 + 'Facility Detail'!F282 + 'Facility Detail'!F318 + 'Facility Detail'!F354 + 'Facility Detail'!F390 + 'Facility Detail'!F436+ 'Facility Detail'!F470+ 'Facility Detail'!F506+ 'Facility Detail'!F542+ 'Facility Detail'!F588+ 'Facility Detail'!F628+ 'Facility Detail'!F668+ 'Facility Detail'!F708+ 'Facility Detail'!F748</f>
        <v>0</v>
      </c>
      <c r="F44" s="158">
        <f xml:space="preserve"> 'Facility Detail'!G66 + 'Facility Detail'!G102 + 'Facility Detail'!G138 + 'Facility Detail'!G174 + 'Facility Detail'!G210 + 'Facility Detail'!G246 + 'Facility Detail'!G282 + 'Facility Detail'!G318 + 'Facility Detail'!G354 + 'Facility Detail'!G390 + 'Facility Detail'!G436+ 'Facility Detail'!G470+ 'Facility Detail'!G506+ 'Facility Detail'!G542+ 'Facility Detail'!G588+ 'Facility Detail'!G628+ 'Facility Detail'!G668+ 'Facility Detail'!G708+ 'Facility Detail'!G748</f>
        <v>0</v>
      </c>
      <c r="G44" s="158">
        <f xml:space="preserve"> 'Facility Detail'!H66 + 'Facility Detail'!H102 + 'Facility Detail'!H138 + 'Facility Detail'!H174 + 'Facility Detail'!H210 + 'Facility Detail'!H246 + 'Facility Detail'!H282 + 'Facility Detail'!H318 + 'Facility Detail'!H354 + 'Facility Detail'!H390 + 'Facility Detail'!H436+ 'Facility Detail'!H470+ 'Facility Detail'!H506+ 'Facility Detail'!H542+ 'Facility Detail'!H588+ 'Facility Detail'!H628+ 'Facility Detail'!H668+ 'Facility Detail'!H708+ 'Facility Detail'!H748</f>
        <v>0</v>
      </c>
      <c r="H44" s="158">
        <f xml:space="preserve"> 'Facility Detail'!I66 + 'Facility Detail'!I102 + 'Facility Detail'!I138 + 'Facility Detail'!I174 + 'Facility Detail'!I210 + 'Facility Detail'!I246 + 'Facility Detail'!I282 + 'Facility Detail'!I318 + 'Facility Detail'!I354 + 'Facility Detail'!I390 + 'Facility Detail'!I436+ 'Facility Detail'!I470+ 'Facility Detail'!I506+ 'Facility Detail'!I542+ 'Facility Detail'!I588+ 'Facility Detail'!I628+ 'Facility Detail'!I668+ 'Facility Detail'!I708+ 'Facility Detail'!I748</f>
        <v>0</v>
      </c>
      <c r="I44" s="158">
        <f xml:space="preserve"> 'Facility Detail'!J66 + 'Facility Detail'!J102 + 'Facility Detail'!J138 + 'Facility Detail'!J174 + 'Facility Detail'!J210 + 'Facility Detail'!J246 + 'Facility Detail'!J282 + 'Facility Detail'!J318 + 'Facility Detail'!J354 + 'Facility Detail'!J390 + 'Facility Detail'!J436+ 'Facility Detail'!J470+ 'Facility Detail'!J506+ 'Facility Detail'!J542+ 'Facility Detail'!J588+ 'Facility Detail'!J628+ 'Facility Detail'!J668+ 'Facility Detail'!J708+ 'Facility Detail'!J748</f>
        <v>0</v>
      </c>
      <c r="J44" s="158">
        <f xml:space="preserve"> 'Facility Detail'!K66 + 'Facility Detail'!K102 + 'Facility Detail'!K138 + 'Facility Detail'!K174 + 'Facility Detail'!K210 + 'Facility Detail'!K246 + 'Facility Detail'!K282 + 'Facility Detail'!K318 + 'Facility Detail'!K354 + 'Facility Detail'!K390 + 'Facility Detail'!K436+ 'Facility Detail'!K470+ 'Facility Detail'!K506+ 'Facility Detail'!K542+ 'Facility Detail'!K588+ 'Facility Detail'!K628+ 'Facility Detail'!K668+ 'Facility Detail'!K708+ 'Facility Detail'!K748</f>
        <v>-44588</v>
      </c>
      <c r="K44" s="158">
        <f xml:space="preserve"> 'Facility Detail'!L66 + 'Facility Detail'!L102 + 'Facility Detail'!L138 + 'Facility Detail'!L174 + 'Facility Detail'!L210 + 'Facility Detail'!L246 + 'Facility Detail'!L282 + 'Facility Detail'!L318 + 'Facility Detail'!L354 + 'Facility Detail'!L390 + 'Facility Detail'!L436+ 'Facility Detail'!L470+ 'Facility Detail'!L506+ 'Facility Detail'!L542+ 'Facility Detail'!L588+ 'Facility Detail'!L628+ 'Facility Detail'!L668+ 'Facility Detail'!L708+ 'Facility Detail'!L748</f>
        <v>0</v>
      </c>
      <c r="L44" s="158">
        <f xml:space="preserve"> 'Facility Detail'!M66 + 'Facility Detail'!M102 + 'Facility Detail'!M138 + 'Facility Detail'!M174 + 'Facility Detail'!M210 + 'Facility Detail'!M246 + 'Facility Detail'!M282 + 'Facility Detail'!M318 + 'Facility Detail'!M354 + 'Facility Detail'!M390 + 'Facility Detail'!M436+ 'Facility Detail'!M470+ 'Facility Detail'!M506+ 'Facility Detail'!M542+ 'Facility Detail'!M588+ 'Facility Detail'!M628+ 'Facility Detail'!M668+ 'Facility Detail'!M708+ 'Facility Detail'!M748</f>
        <v>0</v>
      </c>
      <c r="M44" s="158">
        <f xml:space="preserve"> 'Facility Detail'!N66 + 'Facility Detail'!N102 + 'Facility Detail'!N138 + 'Facility Detail'!N174 + 'Facility Detail'!N210 + 'Facility Detail'!N246 + 'Facility Detail'!N282 + 'Facility Detail'!N318 + 'Facility Detail'!N354 + 'Facility Detail'!N390 + 'Facility Detail'!N436+ 'Facility Detail'!N470+ 'Facility Detail'!N506+ 'Facility Detail'!N542+ 'Facility Detail'!N588+ 'Facility Detail'!N628+ 'Facility Detail'!N668+ 'Facility Detail'!N708+ 'Facility Detail'!N748</f>
        <v>0</v>
      </c>
      <c r="N44" s="158">
        <f xml:space="preserve"> 'Facility Detail'!O66 + 'Facility Detail'!O102 + 'Facility Detail'!O138 + 'Facility Detail'!O174 + 'Facility Detail'!O210 + 'Facility Detail'!O246 + 'Facility Detail'!O282 + 'Facility Detail'!O318 + 'Facility Detail'!O354 + 'Facility Detail'!O390 + 'Facility Detail'!O436+ 'Facility Detail'!O470+ 'Facility Detail'!O506+ 'Facility Detail'!O542+ 'Facility Detail'!O588+ 'Facility Detail'!O628+ 'Facility Detail'!O668+ 'Facility Detail'!O708+ 'Facility Detail'!O748</f>
        <v>0</v>
      </c>
      <c r="O44" s="158">
        <f xml:space="preserve"> 'Facility Detail'!P66 + 'Facility Detail'!P102 + 'Facility Detail'!P138 + 'Facility Detail'!P174 + 'Facility Detail'!P210 + 'Facility Detail'!P246 + 'Facility Detail'!P282 + 'Facility Detail'!P318 + 'Facility Detail'!P354 + 'Facility Detail'!P390 + 'Facility Detail'!P436+ 'Facility Detail'!P470+ 'Facility Detail'!P506+ 'Facility Detail'!P542+ 'Facility Detail'!P588+ 'Facility Detail'!P628+ 'Facility Detail'!P668+ 'Facility Detail'!P708+ 'Facility Detail'!P748</f>
        <v>0</v>
      </c>
    </row>
    <row r="45" spans="1:15" x14ac:dyDescent="0.25">
      <c r="B45" s="2">
        <f>C45 - 1</f>
        <v>2012</v>
      </c>
      <c r="C45" s="2">
        <f>'Facility Detail'!$B$805</f>
        <v>2013</v>
      </c>
      <c r="D45" s="2">
        <f>C45+1</f>
        <v>2014</v>
      </c>
      <c r="E45" s="2">
        <f t="shared" ref="E45:O45" si="23">D45+1</f>
        <v>2015</v>
      </c>
      <c r="F45" s="2">
        <f t="shared" si="23"/>
        <v>2016</v>
      </c>
      <c r="G45" s="2">
        <f t="shared" si="23"/>
        <v>2017</v>
      </c>
      <c r="H45" s="2">
        <f t="shared" si="23"/>
        <v>2018</v>
      </c>
      <c r="I45" s="2">
        <f t="shared" si="23"/>
        <v>2019</v>
      </c>
      <c r="J45" s="2">
        <f t="shared" si="23"/>
        <v>2020</v>
      </c>
      <c r="K45" s="2">
        <f t="shared" si="23"/>
        <v>2021</v>
      </c>
      <c r="L45" s="2">
        <f t="shared" si="23"/>
        <v>2022</v>
      </c>
      <c r="M45" s="2">
        <f t="shared" si="23"/>
        <v>2023</v>
      </c>
      <c r="N45" s="2">
        <f t="shared" si="23"/>
        <v>2024</v>
      </c>
      <c r="O45" s="2">
        <f t="shared" si="23"/>
        <v>2025</v>
      </c>
    </row>
    <row r="46" spans="1:15" ht="32.25" customHeight="1" x14ac:dyDescent="0.25">
      <c r="A46" s="71" t="s">
        <v>34</v>
      </c>
      <c r="B46" s="72">
        <f>B14 + B20 - B9 + B42 +B44</f>
        <v>14634</v>
      </c>
      <c r="C46" s="72">
        <f t="shared" ref="C46:M46" si="24">C14 + C20 - C9 + C42 +C44</f>
        <v>307157</v>
      </c>
      <c r="D46" s="72">
        <f t="shared" si="24"/>
        <v>49266</v>
      </c>
      <c r="E46" s="72">
        <f t="shared" si="24"/>
        <v>2635.4000000000233</v>
      </c>
      <c r="F46" s="72">
        <f>F14 + F20 - F9 + F42 +F44</f>
        <v>0</v>
      </c>
      <c r="G46" s="72">
        <f t="shared" si="24"/>
        <v>992</v>
      </c>
      <c r="H46" s="72">
        <f t="shared" si="24"/>
        <v>81706</v>
      </c>
      <c r="I46" s="72">
        <f t="shared" si="24"/>
        <v>0</v>
      </c>
      <c r="J46" s="72">
        <f t="shared" si="24"/>
        <v>1.4000000000232831</v>
      </c>
      <c r="K46" s="72">
        <f t="shared" si="24"/>
        <v>473788.62000000011</v>
      </c>
      <c r="L46" s="72">
        <f t="shared" si="24"/>
        <v>181639.06900000013</v>
      </c>
      <c r="M46" s="72">
        <f t="shared" si="24"/>
        <v>299138.68800000008</v>
      </c>
      <c r="N46" s="72">
        <f t="shared" ref="N46:O46" si="25">N14 + N20 - N9 + N42 +N44</f>
        <v>566152.60779999988</v>
      </c>
      <c r="O46" s="72">
        <f t="shared" si="25"/>
        <v>824843.2</v>
      </c>
    </row>
    <row r="47" spans="1:15" x14ac:dyDescent="0.25">
      <c r="D47" s="133"/>
      <c r="E47" s="133"/>
      <c r="F47" s="15"/>
      <c r="J47" s="154"/>
    </row>
    <row r="48" spans="1:15" ht="31.5" customHeight="1" x14ac:dyDescent="0.25">
      <c r="A48" s="190" t="str">
        <f>"* Any surplus shown in " &amp; YEAR( B4 ) &amp; " or " &amp; YEAR( B4 ) + 1 &amp; " may be sold or used for compliance in subsequent years.  Compliance deficits shown" &amp; " in " &amp;  YEAR( B4 ) + 1 &amp; "  may be filled by REC procurement from subsequent years."</f>
        <v>* Any surplus shown in 2024 or 2025 may be sold or used for compliance in subsequent years.  Compliance deficits shown in 2025  may be filled by REC procurement from subsequent years.</v>
      </c>
      <c r="B48" s="190"/>
      <c r="C48" s="190"/>
      <c r="D48" s="190"/>
      <c r="E48" s="190"/>
      <c r="F48" s="190"/>
      <c r="G48" s="190"/>
      <c r="J48" s="154"/>
    </row>
    <row r="49" spans="1:10" ht="96.75" customHeight="1" x14ac:dyDescent="0.25">
      <c r="A49" s="191" t="s">
        <v>91</v>
      </c>
      <c r="B49" s="191"/>
      <c r="C49" s="191"/>
      <c r="D49" s="191"/>
      <c r="E49" s="191"/>
      <c r="F49" s="191"/>
      <c r="G49" s="191"/>
      <c r="J49" s="154"/>
    </row>
    <row r="50" spans="1:10" ht="46.5" customHeight="1" x14ac:dyDescent="0.25">
      <c r="A50" s="192" t="s">
        <v>101</v>
      </c>
      <c r="B50" s="192"/>
      <c r="C50" s="192"/>
      <c r="D50" s="192"/>
      <c r="E50" s="192"/>
      <c r="F50" s="192"/>
      <c r="G50" s="192"/>
      <c r="J50" s="154"/>
    </row>
    <row r="51" spans="1:10" ht="30.75" customHeight="1" x14ac:dyDescent="0.25">
      <c r="A51" s="135"/>
      <c r="B51" s="135"/>
      <c r="C51" s="135"/>
      <c r="D51" s="135"/>
      <c r="E51" s="135"/>
      <c r="F51" s="135"/>
      <c r="G51" s="135"/>
      <c r="H51" s="135"/>
      <c r="I51" s="159"/>
      <c r="J51" s="159"/>
    </row>
    <row r="52" spans="1:10" x14ac:dyDescent="0.25">
      <c r="A52" s="135"/>
      <c r="B52" s="135"/>
      <c r="C52" s="135"/>
      <c r="D52" s="135"/>
      <c r="E52" s="135"/>
      <c r="F52" s="135"/>
      <c r="G52" s="135"/>
      <c r="H52" s="135"/>
      <c r="I52" s="159"/>
    </row>
  </sheetData>
  <mergeCells count="5">
    <mergeCell ref="B4:C4"/>
    <mergeCell ref="A48:G48"/>
    <mergeCell ref="A49:G49"/>
    <mergeCell ref="A50:G50"/>
    <mergeCell ref="B2:I2"/>
  </mergeCells>
  <phoneticPr fontId="5" type="noConversion"/>
  <conditionalFormatting sqref="B46:M46">
    <cfRule type="cellIs" dxfId="1" priority="10" stopIfTrue="1" operator="lessThan">
      <formula>0</formula>
    </cfRule>
  </conditionalFormatting>
  <conditionalFormatting sqref="N46:O46">
    <cfRule type="cellIs" dxfId="0" priority="1" stopIfTrue="1" operator="lessThan">
      <formula>0</formula>
    </cfRule>
  </conditionalFormatting>
  <pageMargins left="0.75" right="0.75" top="1" bottom="1" header="0.5" footer="0.5"/>
  <pageSetup scale="37" orientation="portrait" r:id="rId1"/>
  <headerFooter alignWithMargins="0"/>
  <rowBreaks count="1" manualBreakCount="1">
    <brk id="6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sheetPr>
  <dimension ref="A1:R817"/>
  <sheetViews>
    <sheetView showGridLines="0" tabSelected="1" view="pageBreakPreview" topLeftCell="A704" zoomScale="60" zoomScaleNormal="85" workbookViewId="0">
      <selection activeCell="S431" sqref="S431"/>
    </sheetView>
  </sheetViews>
  <sheetFormatPr defaultColWidth="9.140625" defaultRowHeight="15" x14ac:dyDescent="0.25"/>
  <cols>
    <col min="1" max="1" width="5.28515625" style="1" customWidth="1"/>
    <col min="2" max="2" width="37.42578125" style="1" customWidth="1"/>
    <col min="3" max="3" width="13.140625" style="1" bestFit="1" customWidth="1"/>
    <col min="4" max="4" width="25.42578125" style="1" customWidth="1"/>
    <col min="5" max="5" width="18.42578125" style="1" customWidth="1"/>
    <col min="6" max="8" width="16.85546875" style="1" customWidth="1"/>
    <col min="9" max="9" width="20.5703125" style="1" bestFit="1" customWidth="1"/>
    <col min="10" max="12" width="17.85546875" style="1" customWidth="1"/>
    <col min="13" max="14" width="14.85546875" style="1" bestFit="1" customWidth="1"/>
    <col min="15" max="15" width="14.85546875" style="1" customWidth="1"/>
    <col min="16" max="16" width="14.7109375" style="1" customWidth="1"/>
    <col min="17" max="24" width="12.140625" style="1" customWidth="1"/>
    <col min="25" max="16384" width="9.140625" style="1"/>
  </cols>
  <sheetData>
    <row r="1" spans="2:9" ht="63" x14ac:dyDescent="0.25">
      <c r="B1" s="34" t="s">
        <v>4</v>
      </c>
      <c r="C1" s="34" t="s">
        <v>22</v>
      </c>
      <c r="D1" s="34" t="s">
        <v>66</v>
      </c>
      <c r="E1" s="34" t="s">
        <v>23</v>
      </c>
      <c r="F1" s="34" t="s">
        <v>24</v>
      </c>
      <c r="G1" s="34" t="s">
        <v>80</v>
      </c>
      <c r="H1" s="34" t="s">
        <v>81</v>
      </c>
      <c r="I1" s="34" t="s">
        <v>129</v>
      </c>
    </row>
    <row r="2" spans="2:9" x14ac:dyDescent="0.25">
      <c r="B2" s="22" t="s">
        <v>46</v>
      </c>
      <c r="C2" s="36" t="s">
        <v>56</v>
      </c>
      <c r="D2" s="25" t="s">
        <v>70</v>
      </c>
      <c r="E2" s="25" t="s">
        <v>1</v>
      </c>
      <c r="F2" s="25" t="s">
        <v>1</v>
      </c>
      <c r="G2" s="131">
        <v>36462</v>
      </c>
      <c r="H2" s="29" t="s">
        <v>82</v>
      </c>
      <c r="I2" s="184">
        <v>0.1086</v>
      </c>
    </row>
    <row r="3" spans="2:9" x14ac:dyDescent="0.25">
      <c r="B3" s="23" t="s">
        <v>47</v>
      </c>
      <c r="C3" s="37" t="s">
        <v>57</v>
      </c>
      <c r="D3" s="26" t="s">
        <v>70</v>
      </c>
      <c r="E3" s="26" t="s">
        <v>1</v>
      </c>
      <c r="F3" s="26" t="s">
        <v>1</v>
      </c>
      <c r="G3" s="132">
        <v>37209</v>
      </c>
      <c r="H3" s="28" t="s">
        <v>82</v>
      </c>
      <c r="I3" s="185">
        <v>4.3999999999999997E-2</v>
      </c>
    </row>
    <row r="4" spans="2:9" x14ac:dyDescent="0.25">
      <c r="B4" s="23" t="s">
        <v>48</v>
      </c>
      <c r="C4" s="37" t="s">
        <v>58</v>
      </c>
      <c r="D4" s="26" t="s">
        <v>70</v>
      </c>
      <c r="E4" s="26" t="s">
        <v>1</v>
      </c>
      <c r="F4" s="26" t="s">
        <v>1</v>
      </c>
      <c r="G4" s="132">
        <v>38065</v>
      </c>
      <c r="H4" s="28" t="s">
        <v>82</v>
      </c>
      <c r="I4" s="185">
        <v>0.1065</v>
      </c>
    </row>
    <row r="5" spans="2:9" x14ac:dyDescent="0.25">
      <c r="B5" s="23" t="s">
        <v>49</v>
      </c>
      <c r="C5" s="37" t="s">
        <v>59</v>
      </c>
      <c r="D5" s="26" t="s">
        <v>70</v>
      </c>
      <c r="E5" s="26" t="s">
        <v>1</v>
      </c>
      <c r="F5" s="26" t="s">
        <v>1</v>
      </c>
      <c r="G5" s="132">
        <v>36977</v>
      </c>
      <c r="H5" s="28" t="s">
        <v>82</v>
      </c>
      <c r="I5" s="185">
        <v>7.7399999999999997E-2</v>
      </c>
    </row>
    <row r="6" spans="2:9" x14ac:dyDescent="0.25">
      <c r="B6" s="23" t="s">
        <v>50</v>
      </c>
      <c r="C6" s="37" t="s">
        <v>60</v>
      </c>
      <c r="D6" s="26" t="s">
        <v>70</v>
      </c>
      <c r="E6" s="26" t="s">
        <v>1</v>
      </c>
      <c r="F6" s="26" t="s">
        <v>1</v>
      </c>
      <c r="G6" s="132">
        <v>39177</v>
      </c>
      <c r="H6" s="28" t="s">
        <v>82</v>
      </c>
      <c r="I6" s="185">
        <v>6.0400000000000002E-2</v>
      </c>
    </row>
    <row r="7" spans="2:9" x14ac:dyDescent="0.25">
      <c r="B7" s="23" t="s">
        <v>51</v>
      </c>
      <c r="C7" s="37" t="s">
        <v>61</v>
      </c>
      <c r="D7" s="26" t="s">
        <v>70</v>
      </c>
      <c r="E7" s="26" t="s">
        <v>1</v>
      </c>
      <c r="F7" s="26" t="s">
        <v>1</v>
      </c>
      <c r="G7" s="132">
        <v>39954</v>
      </c>
      <c r="H7" s="28" t="s">
        <v>82</v>
      </c>
      <c r="I7" s="185">
        <v>6.0999999999999999E-2</v>
      </c>
    </row>
    <row r="8" spans="2:9" x14ac:dyDescent="0.25">
      <c r="B8" s="23" t="s">
        <v>52</v>
      </c>
      <c r="C8" s="37" t="s">
        <v>62</v>
      </c>
      <c r="D8" s="26" t="s">
        <v>70</v>
      </c>
      <c r="E8" s="26" t="s">
        <v>1</v>
      </c>
      <c r="F8" s="26" t="s">
        <v>1</v>
      </c>
      <c r="G8" s="132">
        <v>40669</v>
      </c>
      <c r="H8" s="28" t="s">
        <v>82</v>
      </c>
      <c r="I8" s="185">
        <v>2.3800000000000002E-2</v>
      </c>
    </row>
    <row r="9" spans="2:9" x14ac:dyDescent="0.25">
      <c r="B9" s="23" t="s">
        <v>53</v>
      </c>
      <c r="C9" s="37" t="s">
        <v>63</v>
      </c>
      <c r="D9" s="26" t="s">
        <v>70</v>
      </c>
      <c r="E9" s="26" t="s">
        <v>1</v>
      </c>
      <c r="F9" s="26" t="s">
        <v>1</v>
      </c>
      <c r="G9" s="132">
        <v>40340</v>
      </c>
      <c r="H9" s="28" t="s">
        <v>82</v>
      </c>
      <c r="I9" s="185">
        <v>6.88E-2</v>
      </c>
    </row>
    <row r="10" spans="2:9" x14ac:dyDescent="0.25">
      <c r="B10" s="23" t="s">
        <v>54</v>
      </c>
      <c r="C10" s="37" t="s">
        <v>64</v>
      </c>
      <c r="D10" s="26" t="s">
        <v>70</v>
      </c>
      <c r="E10" s="26" t="s">
        <v>1</v>
      </c>
      <c r="F10" s="26" t="s">
        <v>1</v>
      </c>
      <c r="G10" s="132">
        <v>41031</v>
      </c>
      <c r="H10" s="28" t="s">
        <v>82</v>
      </c>
      <c r="I10" s="185">
        <v>3.7499999999999999E-2</v>
      </c>
    </row>
    <row r="11" spans="2:9" x14ac:dyDescent="0.25">
      <c r="B11" s="23" t="s">
        <v>125</v>
      </c>
      <c r="C11" s="37" t="s">
        <v>65</v>
      </c>
      <c r="D11" s="26" t="s">
        <v>70</v>
      </c>
      <c r="E11" s="26" t="s">
        <v>1</v>
      </c>
      <c r="F11" s="26" t="s">
        <v>1</v>
      </c>
      <c r="G11" s="26" t="s">
        <v>69</v>
      </c>
      <c r="H11" s="28" t="s">
        <v>68</v>
      </c>
      <c r="I11" s="185"/>
    </row>
    <row r="12" spans="2:9" x14ac:dyDescent="0.25">
      <c r="B12" s="23" t="s">
        <v>44</v>
      </c>
      <c r="C12" s="37" t="s">
        <v>84</v>
      </c>
      <c r="D12" s="26" t="s">
        <v>67</v>
      </c>
      <c r="E12" s="26" t="s">
        <v>0</v>
      </c>
      <c r="F12" s="26" t="s">
        <v>1</v>
      </c>
      <c r="G12" s="132">
        <v>41257</v>
      </c>
      <c r="H12" s="28" t="s">
        <v>68</v>
      </c>
      <c r="I12" s="28"/>
    </row>
    <row r="13" spans="2:9" x14ac:dyDescent="0.25">
      <c r="B13" s="23" t="s">
        <v>94</v>
      </c>
      <c r="C13" s="37" t="s">
        <v>90</v>
      </c>
      <c r="D13" s="26" t="s">
        <v>67</v>
      </c>
      <c r="E13" s="26" t="s">
        <v>1</v>
      </c>
      <c r="F13" s="26" t="s">
        <v>1</v>
      </c>
      <c r="G13" s="132">
        <v>37246</v>
      </c>
      <c r="H13" s="28" t="s">
        <v>68</v>
      </c>
      <c r="I13" s="28"/>
    </row>
    <row r="14" spans="2:9" x14ac:dyDescent="0.25">
      <c r="B14" s="23" t="s">
        <v>92</v>
      </c>
      <c r="C14" s="37" t="s">
        <v>95</v>
      </c>
      <c r="D14" s="26" t="s">
        <v>70</v>
      </c>
      <c r="E14" s="26" t="s">
        <v>1</v>
      </c>
      <c r="F14" s="26" t="s">
        <v>1</v>
      </c>
      <c r="G14" s="141">
        <v>42552</v>
      </c>
      <c r="H14" s="28" t="s">
        <v>82</v>
      </c>
      <c r="I14" s="185">
        <v>0.2752</v>
      </c>
    </row>
    <row r="15" spans="2:9" x14ac:dyDescent="0.25">
      <c r="B15" s="23" t="s">
        <v>93</v>
      </c>
      <c r="C15" s="37" t="s">
        <v>96</v>
      </c>
      <c r="D15" s="26" t="s">
        <v>70</v>
      </c>
      <c r="E15" s="26" t="s">
        <v>1</v>
      </c>
      <c r="F15" s="26" t="s">
        <v>1</v>
      </c>
      <c r="G15" s="141">
        <v>42552</v>
      </c>
      <c r="H15" s="28" t="s">
        <v>82</v>
      </c>
      <c r="I15" s="185">
        <v>0.22939999999999999</v>
      </c>
    </row>
    <row r="16" spans="2:9" x14ac:dyDescent="0.25">
      <c r="B16" s="23" t="s">
        <v>97</v>
      </c>
      <c r="C16" s="37" t="s">
        <v>99</v>
      </c>
      <c r="D16" s="26" t="s">
        <v>73</v>
      </c>
      <c r="E16" s="26" t="s">
        <v>1</v>
      </c>
      <c r="F16" s="26" t="s">
        <v>1</v>
      </c>
      <c r="G16" s="132">
        <v>42370</v>
      </c>
      <c r="H16" s="28" t="s">
        <v>82</v>
      </c>
      <c r="I16" s="28"/>
    </row>
    <row r="17" spans="2:9" x14ac:dyDescent="0.25">
      <c r="B17" s="23" t="s">
        <v>104</v>
      </c>
      <c r="C17" s="37" t="s">
        <v>105</v>
      </c>
      <c r="D17" s="26" t="s">
        <v>72</v>
      </c>
      <c r="E17" s="26" t="s">
        <v>1</v>
      </c>
      <c r="F17" s="26" t="s">
        <v>0</v>
      </c>
      <c r="G17" s="141">
        <v>42248</v>
      </c>
      <c r="H17" s="28" t="s">
        <v>82</v>
      </c>
      <c r="I17" s="28"/>
    </row>
    <row r="18" spans="2:9" x14ac:dyDescent="0.25">
      <c r="B18" s="23" t="s">
        <v>106</v>
      </c>
      <c r="C18" s="37" t="s">
        <v>65</v>
      </c>
      <c r="D18" s="26" t="s">
        <v>72</v>
      </c>
      <c r="E18" s="26" t="s">
        <v>1</v>
      </c>
      <c r="F18" s="26" t="s">
        <v>0</v>
      </c>
      <c r="G18" s="26">
        <v>2012</v>
      </c>
      <c r="H18" s="28" t="s">
        <v>82</v>
      </c>
      <c r="I18" s="28"/>
    </row>
    <row r="19" spans="2:9" x14ac:dyDescent="0.25">
      <c r="B19" s="23" t="s">
        <v>107</v>
      </c>
      <c r="C19" s="37" t="s">
        <v>116</v>
      </c>
      <c r="D19" s="26" t="s">
        <v>72</v>
      </c>
      <c r="E19" s="26" t="s">
        <v>1</v>
      </c>
      <c r="F19" s="26" t="s">
        <v>1</v>
      </c>
      <c r="G19" s="141">
        <v>43435</v>
      </c>
      <c r="H19" s="28" t="s">
        <v>68</v>
      </c>
      <c r="I19" s="28"/>
    </row>
    <row r="20" spans="2:9" x14ac:dyDescent="0.25">
      <c r="B20" s="23" t="s">
        <v>120</v>
      </c>
      <c r="C20" s="37" t="s">
        <v>126</v>
      </c>
      <c r="D20" s="26" t="s">
        <v>67</v>
      </c>
      <c r="E20" s="26" t="s">
        <v>0</v>
      </c>
      <c r="F20" s="26" t="s">
        <v>1</v>
      </c>
      <c r="G20" s="132">
        <v>44188</v>
      </c>
      <c r="H20" s="28" t="s">
        <v>68</v>
      </c>
      <c r="I20" s="28"/>
    </row>
    <row r="21" spans="2:9" x14ac:dyDescent="0.25">
      <c r="B21" s="23" t="s">
        <v>131</v>
      </c>
      <c r="C21" s="37" t="s">
        <v>130</v>
      </c>
      <c r="D21" s="26" t="s">
        <v>67</v>
      </c>
      <c r="E21" s="26" t="s">
        <v>1</v>
      </c>
      <c r="F21" s="26" t="s">
        <v>1</v>
      </c>
      <c r="G21" s="132">
        <v>44882</v>
      </c>
      <c r="H21" s="28" t="s">
        <v>68</v>
      </c>
      <c r="I21" s="28"/>
    </row>
    <row r="22" spans="2:9" x14ac:dyDescent="0.25">
      <c r="B22" s="23" t="s">
        <v>9</v>
      </c>
      <c r="C22" s="37"/>
      <c r="D22" s="26"/>
      <c r="E22" s="26" t="s">
        <v>2</v>
      </c>
      <c r="F22" s="26" t="s">
        <v>2</v>
      </c>
      <c r="G22" s="26"/>
      <c r="H22" s="28"/>
      <c r="I22" s="28"/>
    </row>
    <row r="23" spans="2:9" x14ac:dyDescent="0.25">
      <c r="B23" s="23" t="s">
        <v>10</v>
      </c>
      <c r="C23" s="37"/>
      <c r="D23" s="26"/>
      <c r="E23" s="26" t="s">
        <v>2</v>
      </c>
      <c r="F23" s="26" t="s">
        <v>2</v>
      </c>
      <c r="G23" s="26"/>
      <c r="H23" s="28"/>
      <c r="I23" s="28"/>
    </row>
    <row r="24" spans="2:9" x14ac:dyDescent="0.25">
      <c r="B24" s="23" t="s">
        <v>11</v>
      </c>
      <c r="C24" s="37"/>
      <c r="D24" s="26"/>
      <c r="E24" s="26" t="s">
        <v>2</v>
      </c>
      <c r="F24" s="26" t="s">
        <v>2</v>
      </c>
      <c r="G24" s="26"/>
      <c r="H24" s="28"/>
      <c r="I24" s="28"/>
    </row>
    <row r="25" spans="2:9" x14ac:dyDescent="0.25">
      <c r="B25" s="23" t="s">
        <v>12</v>
      </c>
      <c r="C25" s="37"/>
      <c r="D25" s="26"/>
      <c r="E25" s="26" t="s">
        <v>2</v>
      </c>
      <c r="F25" s="26" t="s">
        <v>2</v>
      </c>
      <c r="G25" s="26"/>
      <c r="H25" s="28"/>
      <c r="I25" s="28"/>
    </row>
    <row r="26" spans="2:9" x14ac:dyDescent="0.25">
      <c r="B26" s="23" t="s">
        <v>13</v>
      </c>
      <c r="C26" s="37"/>
      <c r="D26" s="26"/>
      <c r="E26" s="26" t="s">
        <v>2</v>
      </c>
      <c r="F26" s="26" t="s">
        <v>2</v>
      </c>
      <c r="G26" s="26"/>
      <c r="H26" s="28"/>
      <c r="I26" s="28"/>
    </row>
    <row r="27" spans="2:9" x14ac:dyDescent="0.25">
      <c r="B27" s="23" t="s">
        <v>14</v>
      </c>
      <c r="C27" s="37"/>
      <c r="D27" s="26"/>
      <c r="E27" s="26" t="s">
        <v>2</v>
      </c>
      <c r="F27" s="26" t="s">
        <v>2</v>
      </c>
      <c r="G27" s="26"/>
      <c r="H27" s="28"/>
      <c r="I27" s="28"/>
    </row>
    <row r="28" spans="2:9" x14ac:dyDescent="0.25">
      <c r="B28" s="23" t="s">
        <v>15</v>
      </c>
      <c r="C28" s="37"/>
      <c r="D28" s="26"/>
      <c r="E28" s="26" t="s">
        <v>2</v>
      </c>
      <c r="F28" s="26" t="s">
        <v>2</v>
      </c>
      <c r="G28" s="26"/>
      <c r="H28" s="28"/>
      <c r="I28" s="28"/>
    </row>
    <row r="29" spans="2:9" x14ac:dyDescent="0.25">
      <c r="B29" s="23" t="s">
        <v>16</v>
      </c>
      <c r="C29" s="37"/>
      <c r="D29" s="26"/>
      <c r="E29" s="26" t="s">
        <v>2</v>
      </c>
      <c r="F29" s="26" t="s">
        <v>2</v>
      </c>
      <c r="G29" s="26"/>
      <c r="H29" s="28"/>
      <c r="I29" s="28"/>
    </row>
    <row r="30" spans="2:9" x14ac:dyDescent="0.25">
      <c r="B30" s="23" t="s">
        <v>17</v>
      </c>
      <c r="C30" s="37"/>
      <c r="D30" s="26"/>
      <c r="E30" s="26" t="s">
        <v>2</v>
      </c>
      <c r="F30" s="26" t="s">
        <v>2</v>
      </c>
      <c r="G30" s="26"/>
      <c r="H30" s="28"/>
      <c r="I30" s="28"/>
    </row>
    <row r="31" spans="2:9" x14ac:dyDescent="0.25">
      <c r="B31" s="24" t="s">
        <v>18</v>
      </c>
      <c r="C31" s="38"/>
      <c r="D31" s="27"/>
      <c r="E31" s="27" t="s">
        <v>2</v>
      </c>
      <c r="F31" s="27" t="s">
        <v>2</v>
      </c>
      <c r="G31" s="27"/>
      <c r="H31" s="30"/>
      <c r="I31" s="30"/>
    </row>
    <row r="32" spans="2:9" x14ac:dyDescent="0.25">
      <c r="B32" s="21"/>
    </row>
    <row r="33" spans="1:16" ht="31.5" customHeight="1" thickBot="1" x14ac:dyDescent="0.3">
      <c r="B33" s="192"/>
      <c r="C33" s="192"/>
      <c r="D33" s="192"/>
      <c r="E33" s="192"/>
      <c r="F33" s="192"/>
      <c r="H33" s="32"/>
      <c r="I33" s="32"/>
      <c r="J33" s="32"/>
      <c r="K33" s="32"/>
      <c r="L33" s="32"/>
      <c r="M33" s="32"/>
      <c r="N33" s="32"/>
    </row>
    <row r="34" spans="1:16" x14ac:dyDescent="0.25">
      <c r="A34" s="8"/>
      <c r="B34" s="8"/>
      <c r="C34" s="8"/>
      <c r="D34" s="8"/>
      <c r="E34" s="8"/>
      <c r="F34" s="8"/>
      <c r="G34" s="8"/>
      <c r="H34" s="8"/>
      <c r="I34" s="8"/>
      <c r="J34" s="8"/>
      <c r="K34" s="8"/>
      <c r="L34" s="8"/>
    </row>
    <row r="35" spans="1:16" x14ac:dyDescent="0.25">
      <c r="I35" s="32"/>
      <c r="J35" s="32"/>
      <c r="K35" s="32"/>
      <c r="L35" s="32"/>
    </row>
    <row r="36" spans="1:16" ht="21" x14ac:dyDescent="0.35">
      <c r="A36" s="16" t="s">
        <v>4</v>
      </c>
      <c r="C36" s="45" t="str">
        <f>B2</f>
        <v>Long Lake #3</v>
      </c>
      <c r="D36" s="46"/>
      <c r="E36" s="19"/>
      <c r="F36" s="19"/>
      <c r="I36" s="32"/>
      <c r="J36" s="32"/>
      <c r="K36" s="32"/>
      <c r="L36" s="32"/>
      <c r="M36" s="32"/>
      <c r="N36" s="32"/>
    </row>
    <row r="37" spans="1:16" x14ac:dyDescent="0.25">
      <c r="I37" s="32"/>
      <c r="J37" s="32"/>
      <c r="K37" s="32"/>
      <c r="L37" s="32"/>
      <c r="M37" s="32"/>
      <c r="N37" s="32"/>
    </row>
    <row r="38" spans="1:16" ht="18.75" x14ac:dyDescent="0.3">
      <c r="A38" s="9" t="s">
        <v>27</v>
      </c>
      <c r="D38" s="2">
        <v>2013</v>
      </c>
      <c r="E38" s="2">
        <f t="shared" ref="E38:J38" si="0">D38+1</f>
        <v>2014</v>
      </c>
      <c r="F38" s="2">
        <f t="shared" si="0"/>
        <v>2015</v>
      </c>
      <c r="G38" s="2">
        <f t="shared" si="0"/>
        <v>2016</v>
      </c>
      <c r="H38" s="2">
        <f t="shared" si="0"/>
        <v>2017</v>
      </c>
      <c r="I38" s="2">
        <f t="shared" si="0"/>
        <v>2018</v>
      </c>
      <c r="J38" s="2">
        <f t="shared" si="0"/>
        <v>2019</v>
      </c>
      <c r="K38" s="2">
        <f t="shared" ref="K38:P38" si="1">J38+1</f>
        <v>2020</v>
      </c>
      <c r="L38" s="2">
        <f t="shared" si="1"/>
        <v>2021</v>
      </c>
      <c r="M38" s="2">
        <f t="shared" si="1"/>
        <v>2022</v>
      </c>
      <c r="N38" s="2">
        <f t="shared" si="1"/>
        <v>2023</v>
      </c>
      <c r="O38" s="2">
        <f t="shared" si="1"/>
        <v>2024</v>
      </c>
      <c r="P38" s="2">
        <f t="shared" si="1"/>
        <v>2025</v>
      </c>
    </row>
    <row r="39" spans="1:16" x14ac:dyDescent="0.25">
      <c r="B39" s="86" t="str">
        <f>"Total MWh Produced / Purchased from " &amp; C36</f>
        <v>Total MWh Produced / Purchased from Long Lake #3</v>
      </c>
      <c r="C39" s="76"/>
      <c r="D39" s="3">
        <v>14197</v>
      </c>
      <c r="E39" s="3">
        <v>14197</v>
      </c>
      <c r="F39" s="3">
        <v>14197</v>
      </c>
      <c r="G39" s="3">
        <v>14197</v>
      </c>
      <c r="H39" s="3">
        <v>14197</v>
      </c>
      <c r="I39" s="3">
        <v>14197</v>
      </c>
      <c r="J39" s="3">
        <v>7241</v>
      </c>
      <c r="K39" s="3">
        <v>15967</v>
      </c>
      <c r="L39" s="3">
        <v>14200</v>
      </c>
      <c r="M39" s="3">
        <v>12319</v>
      </c>
      <c r="N39" s="3">
        <v>9621</v>
      </c>
      <c r="O39" s="3">
        <v>13206</v>
      </c>
      <c r="P39" s="3">
        <v>13206</v>
      </c>
    </row>
    <row r="40" spans="1:16" x14ac:dyDescent="0.25">
      <c r="B40" s="86" t="s">
        <v>32</v>
      </c>
      <c r="C40" s="76"/>
      <c r="D40" s="60">
        <v>1</v>
      </c>
      <c r="E40" s="61">
        <v>1</v>
      </c>
      <c r="F40" s="62">
        <v>1</v>
      </c>
      <c r="G40" s="62">
        <v>1</v>
      </c>
      <c r="H40" s="62">
        <v>1</v>
      </c>
      <c r="I40" s="62">
        <v>1</v>
      </c>
      <c r="J40" s="62">
        <v>1</v>
      </c>
      <c r="K40" s="62">
        <v>1</v>
      </c>
      <c r="L40" s="62">
        <v>1</v>
      </c>
      <c r="M40" s="62">
        <v>1</v>
      </c>
      <c r="N40" s="62">
        <v>1</v>
      </c>
      <c r="O40" s="62">
        <v>1</v>
      </c>
      <c r="P40" s="62">
        <v>1</v>
      </c>
    </row>
    <row r="41" spans="1:16" x14ac:dyDescent="0.25">
      <c r="B41" s="86" t="s">
        <v>26</v>
      </c>
      <c r="C41" s="76"/>
      <c r="D41" s="53">
        <v>1</v>
      </c>
      <c r="E41" s="54">
        <v>1</v>
      </c>
      <c r="F41" s="55">
        <v>1</v>
      </c>
      <c r="G41" s="55">
        <v>1</v>
      </c>
      <c r="H41" s="55">
        <v>1</v>
      </c>
      <c r="I41" s="55">
        <v>1</v>
      </c>
      <c r="J41" s="55">
        <v>1</v>
      </c>
      <c r="K41" s="55">
        <v>1</v>
      </c>
      <c r="L41" s="55">
        <v>1</v>
      </c>
      <c r="M41" s="55">
        <v>1</v>
      </c>
      <c r="N41" s="55">
        <v>1</v>
      </c>
      <c r="O41" s="55">
        <v>1</v>
      </c>
      <c r="P41" s="55">
        <v>1</v>
      </c>
    </row>
    <row r="42" spans="1:16" x14ac:dyDescent="0.25">
      <c r="B42" s="83" t="s">
        <v>28</v>
      </c>
      <c r="C42" s="84"/>
      <c r="D42" s="40">
        <f t="shared" ref="D42:I42" si="2" xml:space="preserve"> D39 * D40 * D41</f>
        <v>14197</v>
      </c>
      <c r="E42" s="40">
        <f t="shared" si="2"/>
        <v>14197</v>
      </c>
      <c r="F42" s="40">
        <f t="shared" si="2"/>
        <v>14197</v>
      </c>
      <c r="G42" s="40">
        <f t="shared" si="2"/>
        <v>14197</v>
      </c>
      <c r="H42" s="40">
        <f t="shared" si="2"/>
        <v>14197</v>
      </c>
      <c r="I42" s="40">
        <f t="shared" si="2"/>
        <v>14197</v>
      </c>
      <c r="J42" s="40">
        <f t="shared" ref="J42:K42" si="3" xml:space="preserve"> J39 * J40 * J41</f>
        <v>7241</v>
      </c>
      <c r="K42" s="40">
        <f t="shared" si="3"/>
        <v>15967</v>
      </c>
      <c r="L42" s="40">
        <f t="shared" ref="L42:M42" si="4" xml:space="preserve"> L39 * L40 * L41</f>
        <v>14200</v>
      </c>
      <c r="M42" s="40">
        <f t="shared" si="4"/>
        <v>12319</v>
      </c>
      <c r="N42" s="40">
        <f t="shared" ref="N42:O42" si="5" xml:space="preserve"> N39 * N40 * N41</f>
        <v>9621</v>
      </c>
      <c r="O42" s="40">
        <f t="shared" si="5"/>
        <v>13206</v>
      </c>
      <c r="P42" s="40">
        <f t="shared" ref="P42" si="6" xml:space="preserve"> P39 * P40 * P41</f>
        <v>13206</v>
      </c>
    </row>
    <row r="43" spans="1:16" x14ac:dyDescent="0.25">
      <c r="B43" s="19"/>
      <c r="C43" s="32"/>
      <c r="D43" s="39"/>
      <c r="E43" s="39"/>
      <c r="F43" s="39"/>
      <c r="G43" s="39"/>
      <c r="H43" s="39"/>
      <c r="I43" s="39"/>
      <c r="J43" s="39"/>
      <c r="K43" s="39"/>
      <c r="L43" s="39"/>
      <c r="M43" s="39"/>
      <c r="N43" s="39"/>
      <c r="O43" s="39"/>
      <c r="P43" s="39"/>
    </row>
    <row r="44" spans="1:16" ht="18.75" x14ac:dyDescent="0.3">
      <c r="A44" s="47" t="s">
        <v>30</v>
      </c>
      <c r="C44" s="32"/>
      <c r="D44" s="2">
        <f t="shared" ref="D44:I44" si="7">D38</f>
        <v>2013</v>
      </c>
      <c r="E44" s="2">
        <f t="shared" si="7"/>
        <v>2014</v>
      </c>
      <c r="F44" s="2">
        <f t="shared" si="7"/>
        <v>2015</v>
      </c>
      <c r="G44" s="2">
        <f t="shared" si="7"/>
        <v>2016</v>
      </c>
      <c r="H44" s="2">
        <f t="shared" si="7"/>
        <v>2017</v>
      </c>
      <c r="I44" s="2">
        <f t="shared" si="7"/>
        <v>2018</v>
      </c>
      <c r="J44" s="2">
        <f t="shared" ref="J44:K44" si="8">J38</f>
        <v>2019</v>
      </c>
      <c r="K44" s="2">
        <f t="shared" si="8"/>
        <v>2020</v>
      </c>
      <c r="L44" s="2">
        <f t="shared" ref="L44:M44" si="9">L38</f>
        <v>2021</v>
      </c>
      <c r="M44" s="2">
        <f t="shared" si="9"/>
        <v>2022</v>
      </c>
      <c r="N44" s="2">
        <f t="shared" ref="N44:O44" si="10">N38</f>
        <v>2023</v>
      </c>
      <c r="O44" s="2">
        <f t="shared" si="10"/>
        <v>2024</v>
      </c>
      <c r="P44" s="2">
        <f t="shared" ref="P44" si="11">P38</f>
        <v>2025</v>
      </c>
    </row>
    <row r="45" spans="1:16" x14ac:dyDescent="0.25">
      <c r="B45" s="86" t="s">
        <v>19</v>
      </c>
      <c r="C45" s="76"/>
      <c r="D45" s="56">
        <f>IF( $E2 = "Eligible", D42 * 'Facility Detail'!$B$613, 0 )</f>
        <v>0</v>
      </c>
      <c r="E45" s="13">
        <f>IF( $E2 = "Eligible", E42 * 'Facility Detail'!$B$613, 0 )</f>
        <v>0</v>
      </c>
      <c r="F45" s="14">
        <f>IF( $E2 = "Eligible", F42 * 'Facility Detail'!$B$613, 0 )</f>
        <v>0</v>
      </c>
      <c r="G45" s="14">
        <f>IF( $E2 = "Eligible", G42 * 'Facility Detail'!$B$613, 0 )</f>
        <v>0</v>
      </c>
      <c r="H45" s="14">
        <f>IF( $E2 = "Eligible", H42 * 'Facility Detail'!$B$613, 0 )</f>
        <v>0</v>
      </c>
      <c r="I45" s="14">
        <f>IF( $E2 = "Eligible", I42 * 'Facility Detail'!$B$613, 0 )</f>
        <v>0</v>
      </c>
      <c r="J45" s="14">
        <f>IF( $E2 = "Eligible", J42 * 'Facility Detail'!$B$613, 0 )</f>
        <v>0</v>
      </c>
      <c r="K45" s="14">
        <v>0</v>
      </c>
      <c r="L45" s="14">
        <v>0</v>
      </c>
      <c r="M45" s="14">
        <v>0</v>
      </c>
      <c r="N45" s="14">
        <v>0</v>
      </c>
      <c r="O45" s="14">
        <v>0</v>
      </c>
      <c r="P45" s="14">
        <v>0</v>
      </c>
    </row>
    <row r="46" spans="1:16" x14ac:dyDescent="0.25">
      <c r="B46" s="86" t="s">
        <v>6</v>
      </c>
      <c r="C46" s="76"/>
      <c r="D46" s="57">
        <f t="shared" ref="D46:I46" si="12">IF( $F2 = "Eligible", D42, 0 )</f>
        <v>0</v>
      </c>
      <c r="E46" s="58">
        <f t="shared" si="12"/>
        <v>0</v>
      </c>
      <c r="F46" s="59">
        <f t="shared" si="12"/>
        <v>0</v>
      </c>
      <c r="G46" s="59">
        <f t="shared" si="12"/>
        <v>0</v>
      </c>
      <c r="H46" s="59">
        <f t="shared" si="12"/>
        <v>0</v>
      </c>
      <c r="I46" s="59">
        <f t="shared" si="12"/>
        <v>0</v>
      </c>
      <c r="J46" s="59">
        <f t="shared" ref="J46" si="13">IF( $F2 = "Eligible", J42, 0 )</f>
        <v>0</v>
      </c>
      <c r="K46" s="59">
        <v>0</v>
      </c>
      <c r="L46" s="59">
        <v>0</v>
      </c>
      <c r="M46" s="59">
        <v>0</v>
      </c>
      <c r="N46" s="59">
        <v>0</v>
      </c>
      <c r="O46" s="59">
        <v>0</v>
      </c>
      <c r="P46" s="59">
        <v>0</v>
      </c>
    </row>
    <row r="47" spans="1:16" x14ac:dyDescent="0.25">
      <c r="B47" s="85" t="s">
        <v>37</v>
      </c>
      <c r="C47" s="84"/>
      <c r="D47" s="42">
        <f t="shared" ref="D47:I47" si="14">SUM(D45:D46)</f>
        <v>0</v>
      </c>
      <c r="E47" s="43">
        <f t="shared" si="14"/>
        <v>0</v>
      </c>
      <c r="F47" s="43">
        <f t="shared" si="14"/>
        <v>0</v>
      </c>
      <c r="G47" s="43">
        <f t="shared" si="14"/>
        <v>0</v>
      </c>
      <c r="H47" s="43">
        <f t="shared" si="14"/>
        <v>0</v>
      </c>
      <c r="I47" s="43">
        <f t="shared" si="14"/>
        <v>0</v>
      </c>
      <c r="J47" s="43">
        <f t="shared" ref="J47:K47" si="15">SUM(J45:J46)</f>
        <v>0</v>
      </c>
      <c r="K47" s="43">
        <f t="shared" si="15"/>
        <v>0</v>
      </c>
      <c r="L47" s="43">
        <f t="shared" ref="L47:M47" si="16">SUM(L45:L46)</f>
        <v>0</v>
      </c>
      <c r="M47" s="43">
        <f t="shared" si="16"/>
        <v>0</v>
      </c>
      <c r="N47" s="43">
        <f t="shared" ref="N47:O47" si="17">SUM(N45:N46)</f>
        <v>0</v>
      </c>
      <c r="O47" s="43">
        <f t="shared" si="17"/>
        <v>0</v>
      </c>
      <c r="P47" s="43">
        <f t="shared" ref="P47" si="18">SUM(P45:P46)</f>
        <v>0</v>
      </c>
    </row>
    <row r="48" spans="1:16" x14ac:dyDescent="0.25">
      <c r="B48" s="32"/>
      <c r="C48" s="32"/>
      <c r="D48" s="41"/>
      <c r="E48" s="33"/>
      <c r="F48" s="33"/>
      <c r="G48" s="33"/>
      <c r="H48" s="33"/>
      <c r="I48" s="33"/>
      <c r="J48" s="33"/>
      <c r="K48" s="33"/>
      <c r="L48" s="33"/>
      <c r="M48" s="33"/>
      <c r="N48" s="33"/>
      <c r="O48" s="33"/>
      <c r="P48" s="33"/>
    </row>
    <row r="49" spans="1:16" ht="18.75" x14ac:dyDescent="0.3">
      <c r="A49" s="44" t="s">
        <v>35</v>
      </c>
      <c r="C49" s="32"/>
      <c r="D49" s="2">
        <f t="shared" ref="D49:I49" si="19">D38</f>
        <v>2013</v>
      </c>
      <c r="E49" s="2">
        <f t="shared" si="19"/>
        <v>2014</v>
      </c>
      <c r="F49" s="2">
        <f t="shared" si="19"/>
        <v>2015</v>
      </c>
      <c r="G49" s="2">
        <f t="shared" si="19"/>
        <v>2016</v>
      </c>
      <c r="H49" s="2">
        <f t="shared" si="19"/>
        <v>2017</v>
      </c>
      <c r="I49" s="2">
        <f t="shared" si="19"/>
        <v>2018</v>
      </c>
      <c r="J49" s="2">
        <f t="shared" ref="J49:K49" si="20">J38</f>
        <v>2019</v>
      </c>
      <c r="K49" s="2">
        <f t="shared" si="20"/>
        <v>2020</v>
      </c>
      <c r="L49" s="2">
        <f t="shared" ref="L49:M49" si="21">L38</f>
        <v>2021</v>
      </c>
      <c r="M49" s="2">
        <f t="shared" si="21"/>
        <v>2022</v>
      </c>
      <c r="N49" s="2">
        <f t="shared" ref="N49:O49" si="22">N38</f>
        <v>2023</v>
      </c>
      <c r="O49" s="2">
        <f t="shared" si="22"/>
        <v>2024</v>
      </c>
      <c r="P49" s="2">
        <f t="shared" ref="P49" si="23">P38</f>
        <v>2025</v>
      </c>
    </row>
    <row r="50" spans="1:16" x14ac:dyDescent="0.25">
      <c r="B50" s="86" t="s">
        <v>39</v>
      </c>
      <c r="C50" s="32"/>
      <c r="D50" s="94">
        <v>0</v>
      </c>
      <c r="E50" s="95">
        <v>0</v>
      </c>
      <c r="F50" s="96">
        <v>0</v>
      </c>
      <c r="G50" s="96">
        <v>0</v>
      </c>
      <c r="H50" s="96">
        <v>0</v>
      </c>
      <c r="I50" s="96">
        <v>0</v>
      </c>
      <c r="J50" s="96">
        <v>0</v>
      </c>
      <c r="K50" s="96">
        <v>1770</v>
      </c>
      <c r="L50" s="96">
        <v>0</v>
      </c>
      <c r="M50" s="96">
        <v>0</v>
      </c>
      <c r="N50" s="96">
        <v>0</v>
      </c>
      <c r="O50" s="96">
        <v>0</v>
      </c>
      <c r="P50" s="96">
        <v>0</v>
      </c>
    </row>
    <row r="51" spans="1:16" x14ac:dyDescent="0.25">
      <c r="B51" s="87" t="s">
        <v>29</v>
      </c>
      <c r="C51" s="92"/>
      <c r="D51" s="97">
        <v>0</v>
      </c>
      <c r="E51" s="98">
        <v>0</v>
      </c>
      <c r="F51" s="99">
        <v>0</v>
      </c>
      <c r="G51" s="99">
        <v>0</v>
      </c>
      <c r="H51" s="99">
        <v>0</v>
      </c>
      <c r="I51" s="99">
        <v>0</v>
      </c>
      <c r="J51" s="99">
        <v>0</v>
      </c>
      <c r="K51" s="99">
        <v>0</v>
      </c>
      <c r="L51" s="99">
        <v>0</v>
      </c>
      <c r="M51" s="99">
        <v>0</v>
      </c>
      <c r="N51" s="99">
        <v>0</v>
      </c>
      <c r="O51" s="99">
        <v>0</v>
      </c>
      <c r="P51" s="99">
        <v>0</v>
      </c>
    </row>
    <row r="52" spans="1:16" x14ac:dyDescent="0.25">
      <c r="B52" s="100" t="s">
        <v>41</v>
      </c>
      <c r="C52" s="92"/>
      <c r="D52" s="63">
        <v>0</v>
      </c>
      <c r="E52" s="64">
        <v>0</v>
      </c>
      <c r="F52" s="65">
        <v>0</v>
      </c>
      <c r="G52" s="65">
        <v>0</v>
      </c>
      <c r="H52" s="65">
        <v>0</v>
      </c>
      <c r="I52" s="65">
        <v>0</v>
      </c>
      <c r="J52" s="65">
        <v>0</v>
      </c>
      <c r="K52" s="65">
        <v>0</v>
      </c>
      <c r="L52" s="65">
        <v>0</v>
      </c>
      <c r="M52" s="65">
        <v>0</v>
      </c>
      <c r="N52" s="65">
        <v>0</v>
      </c>
      <c r="O52" s="65">
        <v>0</v>
      </c>
      <c r="P52" s="65">
        <v>0</v>
      </c>
    </row>
    <row r="53" spans="1:16" x14ac:dyDescent="0.25">
      <c r="B53" s="35" t="s">
        <v>42</v>
      </c>
      <c r="D53" s="7">
        <f t="shared" ref="D53:I53" si="24">SUM(D50:D52)</f>
        <v>0</v>
      </c>
      <c r="E53" s="7">
        <f t="shared" si="24"/>
        <v>0</v>
      </c>
      <c r="F53" s="7">
        <f t="shared" si="24"/>
        <v>0</v>
      </c>
      <c r="G53" s="7">
        <f t="shared" si="24"/>
        <v>0</v>
      </c>
      <c r="H53" s="7">
        <f t="shared" si="24"/>
        <v>0</v>
      </c>
      <c r="I53" s="7">
        <f t="shared" si="24"/>
        <v>0</v>
      </c>
      <c r="J53" s="7">
        <f t="shared" ref="J53:K53" si="25">SUM(J50:J52)</f>
        <v>0</v>
      </c>
      <c r="K53" s="7">
        <f t="shared" si="25"/>
        <v>1770</v>
      </c>
      <c r="L53" s="7">
        <f t="shared" ref="L53:M53" si="26">SUM(L50:L52)</f>
        <v>0</v>
      </c>
      <c r="M53" s="7">
        <f t="shared" si="26"/>
        <v>0</v>
      </c>
      <c r="N53" s="7">
        <f t="shared" ref="N53:O53" si="27">SUM(N50:N52)</f>
        <v>0</v>
      </c>
      <c r="O53" s="7">
        <f t="shared" si="27"/>
        <v>0</v>
      </c>
      <c r="P53" s="7">
        <f t="shared" ref="P53" si="28">SUM(P50:P52)</f>
        <v>0</v>
      </c>
    </row>
    <row r="54" spans="1:16" x14ac:dyDescent="0.25">
      <c r="B54" s="6"/>
      <c r="D54" s="7"/>
      <c r="E54" s="7"/>
      <c r="F54" s="7"/>
      <c r="G54" s="7"/>
      <c r="H54" s="7"/>
      <c r="I54" s="7"/>
      <c r="J54" s="7"/>
      <c r="K54" s="7"/>
      <c r="L54" s="7"/>
      <c r="M54" s="7"/>
      <c r="N54" s="7"/>
      <c r="O54" s="7"/>
      <c r="P54" s="7"/>
    </row>
    <row r="55" spans="1:16" ht="18.75" x14ac:dyDescent="0.3">
      <c r="A55" s="9" t="s">
        <v>43</v>
      </c>
      <c r="D55" s="2">
        <f>D38</f>
        <v>2013</v>
      </c>
      <c r="E55" s="2">
        <f t="shared" ref="E55:J55" si="29">D55+1</f>
        <v>2014</v>
      </c>
      <c r="F55" s="2">
        <f t="shared" si="29"/>
        <v>2015</v>
      </c>
      <c r="G55" s="2">
        <f t="shared" si="29"/>
        <v>2016</v>
      </c>
      <c r="H55" s="2">
        <f t="shared" si="29"/>
        <v>2017</v>
      </c>
      <c r="I55" s="2">
        <f t="shared" si="29"/>
        <v>2018</v>
      </c>
      <c r="J55" s="2">
        <f t="shared" si="29"/>
        <v>2019</v>
      </c>
      <c r="K55" s="2">
        <f t="shared" ref="K55:P55" si="30">J55+1</f>
        <v>2020</v>
      </c>
      <c r="L55" s="2">
        <f t="shared" si="30"/>
        <v>2021</v>
      </c>
      <c r="M55" s="2">
        <f t="shared" si="30"/>
        <v>2022</v>
      </c>
      <c r="N55" s="2">
        <f t="shared" si="30"/>
        <v>2023</v>
      </c>
      <c r="O55" s="2">
        <f t="shared" si="30"/>
        <v>2024</v>
      </c>
      <c r="P55" s="2">
        <f t="shared" si="30"/>
        <v>2025</v>
      </c>
    </row>
    <row r="56" spans="1:16" x14ac:dyDescent="0.25">
      <c r="B56" s="86" t="str">
        <f xml:space="preserve"> 'Facility Detail'!$B$805 &amp; " Surplus Applied to " &amp; ( 'Facility Detail'!$B$805 + 1 )</f>
        <v>2013 Surplus Applied to 2014</v>
      </c>
      <c r="C56" s="32"/>
      <c r="D56" s="3"/>
      <c r="E56" s="66">
        <f>D56</f>
        <v>0</v>
      </c>
      <c r="F56" s="136"/>
      <c r="G56" s="68"/>
      <c r="H56" s="68"/>
      <c r="I56" s="68"/>
      <c r="J56" s="68"/>
      <c r="K56" s="68"/>
      <c r="L56" s="68"/>
      <c r="M56" s="68"/>
      <c r="N56" s="68"/>
      <c r="O56" s="68"/>
      <c r="P56" s="68"/>
    </row>
    <row r="57" spans="1:16" x14ac:dyDescent="0.25">
      <c r="B57" s="86" t="str">
        <f xml:space="preserve"> ( 'Facility Detail'!$B$805 + 1 ) &amp; " Surplus Applied to " &amp; ( 'Facility Detail'!$B$805 )</f>
        <v>2014 Surplus Applied to 2013</v>
      </c>
      <c r="C57" s="32"/>
      <c r="D57" s="137">
        <f>E57</f>
        <v>0</v>
      </c>
      <c r="E57" s="10"/>
      <c r="F57" s="80"/>
      <c r="G57" s="79"/>
      <c r="H57" s="79"/>
      <c r="I57" s="79"/>
      <c r="J57" s="79"/>
      <c r="K57" s="79"/>
      <c r="L57" s="79"/>
      <c r="M57" s="79"/>
      <c r="N57" s="79"/>
      <c r="O57" s="79"/>
      <c r="P57" s="79"/>
    </row>
    <row r="58" spans="1:16" x14ac:dyDescent="0.25">
      <c r="B58" s="86" t="str">
        <f xml:space="preserve"> ( 'Facility Detail'!$B$805 + 1 ) &amp; " Surplus Applied to " &amp; ( 'Facility Detail'!$B$805 + 2 )</f>
        <v>2014 Surplus Applied to 2015</v>
      </c>
      <c r="C58" s="32"/>
      <c r="D58" s="69"/>
      <c r="E58" s="10"/>
      <c r="F58" s="75">
        <f>E58</f>
        <v>0</v>
      </c>
      <c r="G58" s="79"/>
      <c r="H58" s="79"/>
      <c r="I58" s="79"/>
      <c r="J58" s="79"/>
      <c r="K58" s="79"/>
      <c r="L58" s="79"/>
      <c r="M58" s="79"/>
      <c r="N58" s="79"/>
      <c r="O58" s="79"/>
      <c r="P58" s="79"/>
    </row>
    <row r="59" spans="1:16" x14ac:dyDescent="0.25">
      <c r="B59" s="86" t="str">
        <f xml:space="preserve"> ( 'Facility Detail'!$B$805 + 2 ) &amp; " Surplus Applied to " &amp; ( 'Facility Detail'!$B$805 + 1 )</f>
        <v>2015 Surplus Applied to 2014</v>
      </c>
      <c r="C59" s="32"/>
      <c r="D59" s="69"/>
      <c r="E59" s="75">
        <f>F59</f>
        <v>0</v>
      </c>
      <c r="F59" s="10"/>
      <c r="G59" s="79"/>
      <c r="H59" s="79"/>
      <c r="I59" s="79"/>
      <c r="J59" s="79"/>
      <c r="K59" s="79"/>
      <c r="L59" s="79"/>
      <c r="M59" s="79"/>
      <c r="N59" s="79"/>
      <c r="O59" s="79"/>
      <c r="P59" s="79"/>
    </row>
    <row r="60" spans="1:16" x14ac:dyDescent="0.25">
      <c r="B60" s="86" t="str">
        <f xml:space="preserve"> ( 'Facility Detail'!$B$805 + 2 ) &amp; " Surplus Applied to " &amp; ( 'Facility Detail'!$B$805 + 3 )</f>
        <v>2015 Surplus Applied to 2016</v>
      </c>
      <c r="C60" s="32"/>
      <c r="D60" s="69"/>
      <c r="E60" s="80"/>
      <c r="F60" s="10"/>
      <c r="G60" s="138">
        <f>F60</f>
        <v>0</v>
      </c>
      <c r="H60" s="138">
        <f>G60</f>
        <v>0</v>
      </c>
      <c r="I60" s="138">
        <f>H60</f>
        <v>0</v>
      </c>
      <c r="J60" s="138">
        <f>I60</f>
        <v>0</v>
      </c>
      <c r="K60" s="138"/>
      <c r="L60" s="138"/>
      <c r="M60" s="138"/>
      <c r="N60" s="138"/>
      <c r="O60" s="138"/>
      <c r="P60" s="138"/>
    </row>
    <row r="61" spans="1:16" x14ac:dyDescent="0.25">
      <c r="B61" s="86" t="str">
        <f xml:space="preserve"> ( 'Facility Detail'!$B$805 +3 ) &amp; " Surplus Applied to " &amp; ( 'Facility Detail'!$B$805 + 2 )</f>
        <v>2016 Surplus Applied to 2015</v>
      </c>
      <c r="C61" s="32"/>
      <c r="D61" s="70"/>
      <c r="E61" s="81"/>
      <c r="F61" s="67">
        <f>G61</f>
        <v>0</v>
      </c>
      <c r="G61" s="139"/>
      <c r="H61" s="139"/>
      <c r="I61" s="139"/>
      <c r="J61" s="139"/>
      <c r="K61" s="139"/>
      <c r="L61" s="139"/>
      <c r="M61" s="139"/>
      <c r="N61" s="139"/>
      <c r="O61" s="139"/>
      <c r="P61" s="139"/>
    </row>
    <row r="62" spans="1:16" x14ac:dyDescent="0.25">
      <c r="B62" s="86" t="str">
        <f xml:space="preserve"> ( 'Facility Detail'!$B$805 +3 ) &amp; " Surplus Applied to " &amp; ( 'Facility Detail'!$B$805 + 4 )</f>
        <v>2016 Surplus Applied to 2017</v>
      </c>
      <c r="C62" s="32"/>
      <c r="D62" s="142"/>
      <c r="E62" s="142"/>
      <c r="F62" s="20"/>
      <c r="G62" s="143"/>
      <c r="H62" s="143"/>
      <c r="I62" s="143"/>
      <c r="J62" s="143"/>
      <c r="K62" s="143"/>
      <c r="L62" s="143"/>
      <c r="M62" s="143"/>
      <c r="N62" s="143"/>
      <c r="O62" s="143"/>
      <c r="P62" s="143"/>
    </row>
    <row r="63" spans="1:16" x14ac:dyDescent="0.25">
      <c r="B63" s="86"/>
      <c r="C63" s="32"/>
      <c r="D63" s="142"/>
      <c r="E63" s="142"/>
      <c r="F63" s="20"/>
      <c r="G63" s="143"/>
      <c r="H63" s="143"/>
      <c r="I63" s="143"/>
      <c r="J63" s="143"/>
      <c r="K63" s="143"/>
      <c r="L63" s="143"/>
      <c r="M63" s="143"/>
      <c r="N63" s="143"/>
      <c r="O63" s="143"/>
      <c r="P63" s="143"/>
    </row>
    <row r="64" spans="1:16" x14ac:dyDescent="0.25">
      <c r="B64" s="35" t="s">
        <v>25</v>
      </c>
      <c r="D64" s="7">
        <f xml:space="preserve"> D57 - D56</f>
        <v>0</v>
      </c>
      <c r="E64" s="7">
        <f xml:space="preserve"> E56 + E59 - E58 - E57</f>
        <v>0</v>
      </c>
      <c r="F64" s="7">
        <f>F58+F61-F59-F60</f>
        <v>0</v>
      </c>
      <c r="G64" s="7">
        <f t="shared" ref="G64:L64" si="31">G60-G61</f>
        <v>0</v>
      </c>
      <c r="H64" s="7">
        <f t="shared" si="31"/>
        <v>0</v>
      </c>
      <c r="I64" s="7">
        <f t="shared" si="31"/>
        <v>0</v>
      </c>
      <c r="J64" s="7">
        <f t="shared" si="31"/>
        <v>0</v>
      </c>
      <c r="K64" s="7">
        <f t="shared" si="31"/>
        <v>0</v>
      </c>
      <c r="L64" s="7">
        <f t="shared" si="31"/>
        <v>0</v>
      </c>
      <c r="M64" s="7">
        <f t="shared" ref="M64:N64" si="32">M60-M61</f>
        <v>0</v>
      </c>
      <c r="N64" s="7">
        <f t="shared" si="32"/>
        <v>0</v>
      </c>
      <c r="O64" s="7">
        <f t="shared" ref="O64:P64" si="33">O60-O61</f>
        <v>0</v>
      </c>
      <c r="P64" s="7">
        <f t="shared" si="33"/>
        <v>0</v>
      </c>
    </row>
    <row r="65" spans="1:16" x14ac:dyDescent="0.25">
      <c r="B65" s="6"/>
      <c r="D65" s="7"/>
      <c r="E65" s="7"/>
      <c r="F65" s="7"/>
      <c r="G65" s="7"/>
      <c r="H65" s="7"/>
      <c r="I65" s="7"/>
      <c r="J65" s="7"/>
      <c r="K65" s="7"/>
      <c r="L65" s="7"/>
      <c r="M65" s="7"/>
      <c r="N65" s="7"/>
      <c r="O65" s="7"/>
      <c r="P65" s="7"/>
    </row>
    <row r="66" spans="1:16" x14ac:dyDescent="0.25">
      <c r="B66" s="93" t="s">
        <v>21</v>
      </c>
      <c r="C66" s="76"/>
      <c r="D66" s="107"/>
      <c r="E66" s="108"/>
      <c r="F66" s="109"/>
      <c r="G66" s="109"/>
      <c r="H66" s="109"/>
      <c r="I66" s="109"/>
      <c r="J66" s="109"/>
      <c r="K66" s="109"/>
      <c r="L66" s="109"/>
      <c r="M66" s="109"/>
      <c r="N66" s="109"/>
      <c r="O66" s="109"/>
      <c r="P66" s="109"/>
    </row>
    <row r="67" spans="1:16" x14ac:dyDescent="0.25">
      <c r="B67" s="6"/>
      <c r="D67" s="7"/>
      <c r="E67" s="7"/>
      <c r="F67" s="7"/>
      <c r="G67" s="7"/>
      <c r="H67" s="7"/>
      <c r="I67" s="7"/>
      <c r="J67" s="7"/>
      <c r="K67" s="7"/>
      <c r="L67" s="7"/>
      <c r="M67" s="7"/>
      <c r="N67" s="7"/>
      <c r="O67" s="7"/>
      <c r="P67" s="7"/>
    </row>
    <row r="68" spans="1:16" ht="15.75" x14ac:dyDescent="0.25">
      <c r="A68" s="89" t="s">
        <v>33</v>
      </c>
      <c r="C68" s="76"/>
      <c r="D68" s="48">
        <f t="shared" ref="D68:I68" si="34" xml:space="preserve"> D42 + D47 - D53 + D64 + D66</f>
        <v>14197</v>
      </c>
      <c r="E68" s="49">
        <f t="shared" si="34"/>
        <v>14197</v>
      </c>
      <c r="F68" s="50">
        <f t="shared" si="34"/>
        <v>14197</v>
      </c>
      <c r="G68" s="50">
        <f t="shared" si="34"/>
        <v>14197</v>
      </c>
      <c r="H68" s="50">
        <f t="shared" si="34"/>
        <v>14197</v>
      </c>
      <c r="I68" s="50">
        <f t="shared" si="34"/>
        <v>14197</v>
      </c>
      <c r="J68" s="50">
        <f t="shared" ref="J68:K68" si="35" xml:space="preserve"> J42 + J47 - J53 + J64 + J66</f>
        <v>7241</v>
      </c>
      <c r="K68" s="50">
        <f t="shared" si="35"/>
        <v>14197</v>
      </c>
      <c r="L68" s="50">
        <f t="shared" ref="L68:M68" si="36" xml:space="preserve"> L42 + L47 - L53 + L64 + L66</f>
        <v>14200</v>
      </c>
      <c r="M68" s="50">
        <f t="shared" si="36"/>
        <v>12319</v>
      </c>
      <c r="N68" s="50">
        <f t="shared" ref="N68:O68" si="37" xml:space="preserve"> N42 + N47 - N53 + N64 + N66</f>
        <v>9621</v>
      </c>
      <c r="O68" s="50">
        <f t="shared" si="37"/>
        <v>13206</v>
      </c>
      <c r="P68" s="50">
        <f t="shared" ref="P68" si="38" xml:space="preserve"> P42 + P47 - P53 + P64 + P66</f>
        <v>13206</v>
      </c>
    </row>
    <row r="69" spans="1:16" x14ac:dyDescent="0.25">
      <c r="B69" s="6"/>
      <c r="D69" s="7"/>
      <c r="E69" s="7"/>
      <c r="F69" s="7"/>
      <c r="G69" s="31"/>
      <c r="H69" s="31"/>
      <c r="I69" s="31"/>
      <c r="J69" s="31"/>
      <c r="K69" s="31"/>
      <c r="L69" s="31"/>
      <c r="M69" s="31"/>
      <c r="N69" s="31"/>
      <c r="O69" s="31"/>
      <c r="P69" s="31"/>
    </row>
    <row r="70" spans="1:16" ht="15.75" thickBot="1" x14ac:dyDescent="0.3"/>
    <row r="71" spans="1:16" x14ac:dyDescent="0.25">
      <c r="A71" s="8"/>
      <c r="B71" s="8"/>
      <c r="C71" s="8"/>
      <c r="D71" s="8"/>
      <c r="E71" s="8"/>
      <c r="F71" s="8"/>
      <c r="G71" s="8"/>
      <c r="H71" s="8"/>
      <c r="I71" s="8"/>
      <c r="J71" s="8"/>
      <c r="K71" s="8"/>
      <c r="L71" s="8"/>
      <c r="M71" s="8"/>
      <c r="N71" s="8"/>
      <c r="O71" s="8"/>
      <c r="P71" s="8"/>
    </row>
    <row r="72" spans="1:16" x14ac:dyDescent="0.25">
      <c r="B72" s="32"/>
      <c r="C72" s="32"/>
      <c r="D72" s="32"/>
      <c r="E72" s="32"/>
      <c r="F72" s="32"/>
      <c r="G72" s="32"/>
      <c r="H72" s="32"/>
      <c r="I72" s="32"/>
      <c r="J72" s="32"/>
      <c r="K72" s="32"/>
      <c r="L72" s="32"/>
    </row>
    <row r="73" spans="1:16" ht="21" x14ac:dyDescent="0.35">
      <c r="A73" s="16" t="s">
        <v>4</v>
      </c>
      <c r="B73" s="16"/>
      <c r="C73" s="45" t="str">
        <f>B3</f>
        <v>Little Falls #4</v>
      </c>
      <c r="D73" s="46"/>
      <c r="E73" s="19"/>
      <c r="F73" s="19"/>
    </row>
    <row r="75" spans="1:16" ht="18.75" x14ac:dyDescent="0.3">
      <c r="A75" s="9" t="s">
        <v>27</v>
      </c>
      <c r="B75" s="9"/>
      <c r="D75" s="2">
        <v>2013</v>
      </c>
      <c r="E75" s="2">
        <f t="shared" ref="E75:J75" si="39">D75+1</f>
        <v>2014</v>
      </c>
      <c r="F75" s="2">
        <f t="shared" si="39"/>
        <v>2015</v>
      </c>
      <c r="G75" s="2">
        <f t="shared" si="39"/>
        <v>2016</v>
      </c>
      <c r="H75" s="2">
        <f t="shared" si="39"/>
        <v>2017</v>
      </c>
      <c r="I75" s="2">
        <f t="shared" si="39"/>
        <v>2018</v>
      </c>
      <c r="J75" s="2">
        <f t="shared" si="39"/>
        <v>2019</v>
      </c>
      <c r="K75" s="2">
        <f t="shared" ref="K75:P75" si="40">J75+1</f>
        <v>2020</v>
      </c>
      <c r="L75" s="2">
        <f t="shared" si="40"/>
        <v>2021</v>
      </c>
      <c r="M75" s="2">
        <f t="shared" si="40"/>
        <v>2022</v>
      </c>
      <c r="N75" s="2">
        <f t="shared" si="40"/>
        <v>2023</v>
      </c>
      <c r="O75" s="2">
        <f t="shared" si="40"/>
        <v>2024</v>
      </c>
      <c r="P75" s="2">
        <f t="shared" si="40"/>
        <v>2025</v>
      </c>
    </row>
    <row r="76" spans="1:16" x14ac:dyDescent="0.25">
      <c r="B76" s="86" t="str">
        <f>"Total MWh Produced / Purchased from " &amp; C73</f>
        <v>Total MWh Produced / Purchased from Little Falls #4</v>
      </c>
      <c r="C76" s="76"/>
      <c r="D76" s="3">
        <v>4862</v>
      </c>
      <c r="E76" s="3">
        <v>4862</v>
      </c>
      <c r="F76" s="3">
        <v>4862</v>
      </c>
      <c r="G76" s="3">
        <v>4862</v>
      </c>
      <c r="H76" s="3">
        <v>4862</v>
      </c>
      <c r="I76" s="3">
        <v>4862</v>
      </c>
      <c r="J76" s="3">
        <v>0</v>
      </c>
      <c r="K76" s="3">
        <v>2214</v>
      </c>
      <c r="L76" s="3">
        <v>0</v>
      </c>
      <c r="M76" s="3">
        <v>2015</v>
      </c>
      <c r="N76" s="3">
        <v>1875</v>
      </c>
      <c r="O76" s="3">
        <v>2063</v>
      </c>
      <c r="P76" s="3">
        <v>2063</v>
      </c>
    </row>
    <row r="77" spans="1:16" x14ac:dyDescent="0.25">
      <c r="B77" s="86" t="s">
        <v>32</v>
      </c>
      <c r="C77" s="76"/>
      <c r="D77" s="60">
        <v>1</v>
      </c>
      <c r="E77" s="61">
        <v>1</v>
      </c>
      <c r="F77" s="62">
        <v>1</v>
      </c>
      <c r="G77" s="62">
        <v>1</v>
      </c>
      <c r="H77" s="62">
        <v>1</v>
      </c>
      <c r="I77" s="62">
        <v>1</v>
      </c>
      <c r="J77" s="62">
        <v>1</v>
      </c>
      <c r="K77" s="62">
        <v>1</v>
      </c>
      <c r="L77" s="62">
        <v>1</v>
      </c>
      <c r="M77" s="62">
        <v>1</v>
      </c>
      <c r="N77" s="62">
        <v>1</v>
      </c>
      <c r="O77" s="62">
        <v>1</v>
      </c>
      <c r="P77" s="62">
        <v>1</v>
      </c>
    </row>
    <row r="78" spans="1:16" x14ac:dyDescent="0.25">
      <c r="B78" s="86" t="s">
        <v>26</v>
      </c>
      <c r="C78" s="76"/>
      <c r="D78" s="53">
        <v>1</v>
      </c>
      <c r="E78" s="54">
        <v>1</v>
      </c>
      <c r="F78" s="55">
        <v>1</v>
      </c>
      <c r="G78" s="55">
        <v>1</v>
      </c>
      <c r="H78" s="55">
        <v>1</v>
      </c>
      <c r="I78" s="55">
        <v>1</v>
      </c>
      <c r="J78" s="55">
        <v>1</v>
      </c>
      <c r="K78" s="55">
        <v>1</v>
      </c>
      <c r="L78" s="55">
        <v>1</v>
      </c>
      <c r="M78" s="55">
        <v>1</v>
      </c>
      <c r="N78" s="55">
        <v>1</v>
      </c>
      <c r="O78" s="55">
        <v>1</v>
      </c>
      <c r="P78" s="55">
        <v>1</v>
      </c>
    </row>
    <row r="79" spans="1:16" x14ac:dyDescent="0.25">
      <c r="B79" s="83" t="s">
        <v>28</v>
      </c>
      <c r="C79" s="84"/>
      <c r="D79" s="40">
        <f t="shared" ref="D79:I79" si="41" xml:space="preserve"> D76 * D77 * D78</f>
        <v>4862</v>
      </c>
      <c r="E79" s="40">
        <f t="shared" si="41"/>
        <v>4862</v>
      </c>
      <c r="F79" s="40">
        <f t="shared" si="41"/>
        <v>4862</v>
      </c>
      <c r="G79" s="40">
        <f t="shared" si="41"/>
        <v>4862</v>
      </c>
      <c r="H79" s="40">
        <f t="shared" si="41"/>
        <v>4862</v>
      </c>
      <c r="I79" s="40">
        <f t="shared" si="41"/>
        <v>4862</v>
      </c>
      <c r="J79" s="40">
        <f t="shared" ref="J79:K79" si="42" xml:space="preserve"> J76 * J77 * J78</f>
        <v>0</v>
      </c>
      <c r="K79" s="40">
        <f t="shared" si="42"/>
        <v>2214</v>
      </c>
      <c r="L79" s="40">
        <f t="shared" ref="L79:M79" si="43" xml:space="preserve"> L76 * L77 * L78</f>
        <v>0</v>
      </c>
      <c r="M79" s="40">
        <f t="shared" si="43"/>
        <v>2015</v>
      </c>
      <c r="N79" s="40">
        <f t="shared" ref="N79:O79" si="44" xml:space="preserve"> N76 * N77 * N78</f>
        <v>1875</v>
      </c>
      <c r="O79" s="40">
        <f t="shared" si="44"/>
        <v>2063</v>
      </c>
      <c r="P79" s="40">
        <f t="shared" ref="P79" si="45" xml:space="preserve"> P76 * P77 * P78</f>
        <v>2063</v>
      </c>
    </row>
    <row r="80" spans="1:16" x14ac:dyDescent="0.25">
      <c r="B80" s="19"/>
      <c r="C80" s="32"/>
      <c r="D80" s="39"/>
      <c r="E80" s="39"/>
      <c r="F80" s="39"/>
      <c r="G80" s="39"/>
      <c r="H80" s="39"/>
      <c r="I80" s="39"/>
      <c r="J80" s="39"/>
      <c r="K80" s="39"/>
      <c r="L80" s="39"/>
      <c r="M80" s="39"/>
      <c r="N80" s="39"/>
      <c r="O80" s="39"/>
      <c r="P80" s="39"/>
    </row>
    <row r="81" spans="1:16" ht="18.75" x14ac:dyDescent="0.3">
      <c r="A81" s="47" t="s">
        <v>30</v>
      </c>
      <c r="C81" s="32"/>
      <c r="D81" s="2">
        <f>D75</f>
        <v>2013</v>
      </c>
      <c r="E81" s="2">
        <f t="shared" ref="E81:J81" si="46">D81+1</f>
        <v>2014</v>
      </c>
      <c r="F81" s="2">
        <f t="shared" si="46"/>
        <v>2015</v>
      </c>
      <c r="G81" s="2">
        <f t="shared" si="46"/>
        <v>2016</v>
      </c>
      <c r="H81" s="2">
        <f t="shared" si="46"/>
        <v>2017</v>
      </c>
      <c r="I81" s="2">
        <f t="shared" si="46"/>
        <v>2018</v>
      </c>
      <c r="J81" s="2">
        <f t="shared" si="46"/>
        <v>2019</v>
      </c>
      <c r="K81" s="2">
        <f t="shared" ref="K81:P81" si="47">J81+1</f>
        <v>2020</v>
      </c>
      <c r="L81" s="2">
        <f t="shared" si="47"/>
        <v>2021</v>
      </c>
      <c r="M81" s="2">
        <f t="shared" si="47"/>
        <v>2022</v>
      </c>
      <c r="N81" s="2">
        <f t="shared" si="47"/>
        <v>2023</v>
      </c>
      <c r="O81" s="2">
        <f t="shared" si="47"/>
        <v>2024</v>
      </c>
      <c r="P81" s="2">
        <f t="shared" si="47"/>
        <v>2025</v>
      </c>
    </row>
    <row r="82" spans="1:16" x14ac:dyDescent="0.25">
      <c r="B82" s="86" t="s">
        <v>19</v>
      </c>
      <c r="C82" s="76"/>
      <c r="D82" s="56">
        <f>IF( $E3 = "Eligible",D79 * 'Facility Detail'!$B$613, 0 )</f>
        <v>0</v>
      </c>
      <c r="E82" s="13">
        <f>IF( $E3 = "Eligible",E79 * 'Facility Detail'!$B$613, 0 )</f>
        <v>0</v>
      </c>
      <c r="F82" s="14">
        <f>IF( $E3 = "Eligible",F79 * 'Facility Detail'!$B$613, 0 )</f>
        <v>0</v>
      </c>
      <c r="G82" s="14">
        <f>IF( $E3 = "Eligible",G79 * 'Facility Detail'!$B$613, 0 )</f>
        <v>0</v>
      </c>
      <c r="H82" s="14">
        <f>IF( $E3 = "Eligible",H79 * 'Facility Detail'!$B$613, 0 )</f>
        <v>0</v>
      </c>
      <c r="I82" s="14">
        <f>IF( $E3 = "Eligible",I79 * 'Facility Detail'!$B$613, 0 )</f>
        <v>0</v>
      </c>
      <c r="J82" s="14">
        <f>IF( $E3 = "Eligible",J79 * 'Facility Detail'!$B$613, 0 )</f>
        <v>0</v>
      </c>
      <c r="K82" s="14">
        <f>IF( $E3 = "Eligible",K79 * 'Facility Detail'!$B$613, 0 )</f>
        <v>0</v>
      </c>
      <c r="L82" s="14">
        <f>IF( $E3 = "Eligible",L79 * 'Facility Detail'!$B$613, 0 )</f>
        <v>0</v>
      </c>
      <c r="M82" s="14">
        <f>IF( $E3 = "Eligible",M79 * 'Facility Detail'!$B$613, 0 )</f>
        <v>0</v>
      </c>
      <c r="N82" s="14">
        <f>IF( $E3 = "Eligible",N79 * 'Facility Detail'!$B$613, 0 )</f>
        <v>0</v>
      </c>
      <c r="O82" s="14">
        <f>IF( $E3 = "Eligible",O79 * 'Facility Detail'!$B$613, 0 )</f>
        <v>0</v>
      </c>
      <c r="P82" s="14">
        <f>IF( $E3 = "Eligible",P79 * 'Facility Detail'!$B$613, 0 )</f>
        <v>0</v>
      </c>
    </row>
    <row r="83" spans="1:16" x14ac:dyDescent="0.25">
      <c r="B83" s="86" t="s">
        <v>6</v>
      </c>
      <c r="C83" s="76"/>
      <c r="D83" s="57">
        <f t="shared" ref="D83:I83" si="48">IF( $F3 = "Eligible", D79, 0 )</f>
        <v>0</v>
      </c>
      <c r="E83" s="58">
        <f t="shared" si="48"/>
        <v>0</v>
      </c>
      <c r="F83" s="59">
        <f t="shared" si="48"/>
        <v>0</v>
      </c>
      <c r="G83" s="59">
        <f t="shared" si="48"/>
        <v>0</v>
      </c>
      <c r="H83" s="59">
        <f t="shared" si="48"/>
        <v>0</v>
      </c>
      <c r="I83" s="59">
        <f t="shared" si="48"/>
        <v>0</v>
      </c>
      <c r="J83" s="59">
        <f t="shared" ref="J83:K83" si="49">IF( $F3 = "Eligible", J79, 0 )</f>
        <v>0</v>
      </c>
      <c r="K83" s="59">
        <f t="shared" si="49"/>
        <v>0</v>
      </c>
      <c r="L83" s="59">
        <f t="shared" ref="L83:M83" si="50">IF( $F3 = "Eligible", L79, 0 )</f>
        <v>0</v>
      </c>
      <c r="M83" s="59">
        <f t="shared" si="50"/>
        <v>0</v>
      </c>
      <c r="N83" s="59">
        <f t="shared" ref="N83:O83" si="51">IF( $F3 = "Eligible", N79, 0 )</f>
        <v>0</v>
      </c>
      <c r="O83" s="59">
        <f t="shared" si="51"/>
        <v>0</v>
      </c>
      <c r="P83" s="59">
        <f t="shared" ref="P83" si="52">IF( $F3 = "Eligible", P79, 0 )</f>
        <v>0</v>
      </c>
    </row>
    <row r="84" spans="1:16" x14ac:dyDescent="0.25">
      <c r="B84" s="85" t="s">
        <v>37</v>
      </c>
      <c r="C84" s="84"/>
      <c r="D84" s="42">
        <f t="shared" ref="D84:I84" si="53">SUM(D82:D83)</f>
        <v>0</v>
      </c>
      <c r="E84" s="43">
        <f t="shared" si="53"/>
        <v>0</v>
      </c>
      <c r="F84" s="43">
        <f t="shared" si="53"/>
        <v>0</v>
      </c>
      <c r="G84" s="43">
        <f t="shared" si="53"/>
        <v>0</v>
      </c>
      <c r="H84" s="43">
        <f t="shared" si="53"/>
        <v>0</v>
      </c>
      <c r="I84" s="43">
        <f t="shared" si="53"/>
        <v>0</v>
      </c>
      <c r="J84" s="43">
        <f t="shared" ref="J84:K84" si="54">SUM(J82:J83)</f>
        <v>0</v>
      </c>
      <c r="K84" s="43">
        <f t="shared" si="54"/>
        <v>0</v>
      </c>
      <c r="L84" s="43">
        <f t="shared" ref="L84:M84" si="55">SUM(L82:L83)</f>
        <v>0</v>
      </c>
      <c r="M84" s="43">
        <f t="shared" si="55"/>
        <v>0</v>
      </c>
      <c r="N84" s="43">
        <f t="shared" ref="N84:O84" si="56">SUM(N82:N83)</f>
        <v>0</v>
      </c>
      <c r="O84" s="43">
        <f t="shared" si="56"/>
        <v>0</v>
      </c>
      <c r="P84" s="43">
        <f t="shared" ref="P84" si="57">SUM(P82:P83)</f>
        <v>0</v>
      </c>
    </row>
    <row r="85" spans="1:16" x14ac:dyDescent="0.25">
      <c r="B85" s="32"/>
      <c r="C85" s="32"/>
      <c r="D85" s="41"/>
      <c r="E85" s="33"/>
      <c r="F85" s="33"/>
      <c r="G85" s="33"/>
      <c r="H85" s="33"/>
      <c r="I85" s="33"/>
      <c r="J85" s="33"/>
      <c r="K85" s="33"/>
      <c r="L85" s="33"/>
      <c r="M85" s="33"/>
      <c r="N85" s="33"/>
      <c r="O85" s="33"/>
      <c r="P85" s="33"/>
    </row>
    <row r="86" spans="1:16" ht="18.75" x14ac:dyDescent="0.3">
      <c r="A86" s="44" t="s">
        <v>35</v>
      </c>
      <c r="C86" s="32"/>
      <c r="D86" s="2">
        <f>D75</f>
        <v>2013</v>
      </c>
      <c r="E86" s="2">
        <f t="shared" ref="E86:J86" si="58">D86+1</f>
        <v>2014</v>
      </c>
      <c r="F86" s="2">
        <f t="shared" si="58"/>
        <v>2015</v>
      </c>
      <c r="G86" s="2">
        <f t="shared" si="58"/>
        <v>2016</v>
      </c>
      <c r="H86" s="2">
        <f t="shared" si="58"/>
        <v>2017</v>
      </c>
      <c r="I86" s="2">
        <f t="shared" si="58"/>
        <v>2018</v>
      </c>
      <c r="J86" s="2">
        <f t="shared" si="58"/>
        <v>2019</v>
      </c>
      <c r="K86" s="2">
        <f t="shared" ref="K86:P86" si="59">J86+1</f>
        <v>2020</v>
      </c>
      <c r="L86" s="2">
        <f t="shared" si="59"/>
        <v>2021</v>
      </c>
      <c r="M86" s="2">
        <f t="shared" si="59"/>
        <v>2022</v>
      </c>
      <c r="N86" s="2">
        <f t="shared" si="59"/>
        <v>2023</v>
      </c>
      <c r="O86" s="2">
        <f t="shared" si="59"/>
        <v>2024</v>
      </c>
      <c r="P86" s="2">
        <f t="shared" si="59"/>
        <v>2025</v>
      </c>
    </row>
    <row r="87" spans="1:16" x14ac:dyDescent="0.25">
      <c r="B87" s="86" t="s">
        <v>39</v>
      </c>
      <c r="C87" s="76"/>
      <c r="D87" s="94">
        <v>0</v>
      </c>
      <c r="E87" s="95">
        <v>0</v>
      </c>
      <c r="F87" s="96">
        <v>0</v>
      </c>
      <c r="G87" s="96">
        <v>0</v>
      </c>
      <c r="H87" s="96">
        <v>0</v>
      </c>
      <c r="I87" s="96">
        <v>0</v>
      </c>
      <c r="J87" s="96">
        <v>0</v>
      </c>
      <c r="K87" s="96">
        <v>0</v>
      </c>
      <c r="L87" s="96">
        <v>0</v>
      </c>
      <c r="M87" s="96">
        <v>0</v>
      </c>
      <c r="N87" s="96">
        <v>0</v>
      </c>
      <c r="O87" s="96">
        <v>0</v>
      </c>
      <c r="P87" s="96">
        <v>0</v>
      </c>
    </row>
    <row r="88" spans="1:16" x14ac:dyDescent="0.25">
      <c r="B88" s="87" t="s">
        <v>29</v>
      </c>
      <c r="C88" s="88"/>
      <c r="D88" s="97">
        <v>0</v>
      </c>
      <c r="E88" s="98">
        <v>0</v>
      </c>
      <c r="F88" s="99">
        <v>0</v>
      </c>
      <c r="G88" s="99">
        <v>0</v>
      </c>
      <c r="H88" s="99">
        <v>0</v>
      </c>
      <c r="I88" s="99">
        <v>0</v>
      </c>
      <c r="J88" s="99">
        <v>0</v>
      </c>
      <c r="K88" s="99">
        <v>0</v>
      </c>
      <c r="L88" s="99">
        <v>0</v>
      </c>
      <c r="M88" s="99">
        <v>0</v>
      </c>
      <c r="N88" s="99">
        <v>0</v>
      </c>
      <c r="O88" s="99">
        <v>0</v>
      </c>
      <c r="P88" s="99">
        <v>0</v>
      </c>
    </row>
    <row r="89" spans="1:16" x14ac:dyDescent="0.25">
      <c r="B89" s="100" t="s">
        <v>41</v>
      </c>
      <c r="C89" s="92"/>
      <c r="D89" s="63">
        <v>0</v>
      </c>
      <c r="E89" s="64">
        <v>0</v>
      </c>
      <c r="F89" s="65">
        <v>0</v>
      </c>
      <c r="G89" s="65">
        <v>0</v>
      </c>
      <c r="H89" s="65">
        <v>0</v>
      </c>
      <c r="I89" s="65">
        <v>0</v>
      </c>
      <c r="J89" s="65">
        <v>0</v>
      </c>
      <c r="K89" s="65">
        <v>0</v>
      </c>
      <c r="L89" s="65">
        <v>0</v>
      </c>
      <c r="M89" s="65">
        <v>0</v>
      </c>
      <c r="N89" s="65">
        <v>0</v>
      </c>
      <c r="O89" s="65">
        <v>0</v>
      </c>
      <c r="P89" s="65">
        <v>0</v>
      </c>
    </row>
    <row r="90" spans="1:16" x14ac:dyDescent="0.25">
      <c r="B90" s="35" t="s">
        <v>42</v>
      </c>
      <c r="D90" s="7">
        <f t="shared" ref="D90:I90" si="60">SUM(D87:D89)</f>
        <v>0</v>
      </c>
      <c r="E90" s="7">
        <f t="shared" si="60"/>
        <v>0</v>
      </c>
      <c r="F90" s="7">
        <f t="shared" si="60"/>
        <v>0</v>
      </c>
      <c r="G90" s="7">
        <f t="shared" si="60"/>
        <v>0</v>
      </c>
      <c r="H90" s="7">
        <f t="shared" si="60"/>
        <v>0</v>
      </c>
      <c r="I90" s="7">
        <f t="shared" si="60"/>
        <v>0</v>
      </c>
      <c r="J90" s="7">
        <f t="shared" ref="J90:K90" si="61">SUM(J87:J89)</f>
        <v>0</v>
      </c>
      <c r="K90" s="7">
        <f t="shared" si="61"/>
        <v>0</v>
      </c>
      <c r="L90" s="7">
        <f t="shared" ref="L90:M90" si="62">SUM(L87:L89)</f>
        <v>0</v>
      </c>
      <c r="M90" s="7">
        <f t="shared" si="62"/>
        <v>0</v>
      </c>
      <c r="N90" s="7">
        <f t="shared" ref="N90:O90" si="63">SUM(N87:N89)</f>
        <v>0</v>
      </c>
      <c r="O90" s="7">
        <f t="shared" si="63"/>
        <v>0</v>
      </c>
      <c r="P90" s="7">
        <f t="shared" ref="P90" si="64">SUM(P87:P89)</f>
        <v>0</v>
      </c>
    </row>
    <row r="91" spans="1:16" x14ac:dyDescent="0.25">
      <c r="B91" s="6"/>
      <c r="D91" s="7"/>
      <c r="E91" s="7"/>
      <c r="F91" s="7"/>
      <c r="G91" s="7"/>
      <c r="H91" s="7"/>
      <c r="I91" s="7"/>
      <c r="J91" s="7"/>
      <c r="K91" s="7"/>
      <c r="L91" s="7"/>
      <c r="M91" s="7"/>
      <c r="N91" s="7"/>
      <c r="O91" s="7"/>
      <c r="P91" s="7"/>
    </row>
    <row r="92" spans="1:16" ht="18.75" x14ac:dyDescent="0.3">
      <c r="A92" s="9" t="s">
        <v>43</v>
      </c>
      <c r="D92" s="2">
        <f>D75</f>
        <v>2013</v>
      </c>
      <c r="E92" s="2">
        <f t="shared" ref="E92:J92" si="65">D92+1</f>
        <v>2014</v>
      </c>
      <c r="F92" s="2">
        <f t="shared" si="65"/>
        <v>2015</v>
      </c>
      <c r="G92" s="2">
        <f t="shared" si="65"/>
        <v>2016</v>
      </c>
      <c r="H92" s="2">
        <f t="shared" si="65"/>
        <v>2017</v>
      </c>
      <c r="I92" s="2">
        <f t="shared" si="65"/>
        <v>2018</v>
      </c>
      <c r="J92" s="2">
        <f t="shared" si="65"/>
        <v>2019</v>
      </c>
      <c r="K92" s="2">
        <f t="shared" ref="K92:P92" si="66">J92+1</f>
        <v>2020</v>
      </c>
      <c r="L92" s="2">
        <f t="shared" si="66"/>
        <v>2021</v>
      </c>
      <c r="M92" s="2">
        <f t="shared" si="66"/>
        <v>2022</v>
      </c>
      <c r="N92" s="2">
        <f t="shared" si="66"/>
        <v>2023</v>
      </c>
      <c r="O92" s="2">
        <f t="shared" si="66"/>
        <v>2024</v>
      </c>
      <c r="P92" s="2">
        <f t="shared" si="66"/>
        <v>2025</v>
      </c>
    </row>
    <row r="93" spans="1:16" x14ac:dyDescent="0.25">
      <c r="B93" s="86" t="str">
        <f xml:space="preserve"> 'Facility Detail'!$B$805 &amp; " Surplus Applied to " &amp; ( 'Facility Detail'!$B$805 + 1 )</f>
        <v>2013 Surplus Applied to 2014</v>
      </c>
      <c r="C93" s="32"/>
      <c r="D93" s="3"/>
      <c r="E93" s="66">
        <f>D93</f>
        <v>0</v>
      </c>
      <c r="F93" s="136"/>
      <c r="G93" s="68"/>
      <c r="H93" s="68"/>
      <c r="I93" s="68"/>
      <c r="J93" s="68"/>
      <c r="K93" s="68"/>
      <c r="L93" s="68"/>
      <c r="M93" s="68"/>
      <c r="N93" s="68"/>
      <c r="O93" s="68"/>
      <c r="P93" s="68"/>
    </row>
    <row r="94" spans="1:16" x14ac:dyDescent="0.25">
      <c r="B94" s="86" t="str">
        <f xml:space="preserve"> ( 'Facility Detail'!$B$805 + 1 ) &amp; " Surplus Applied to " &amp; ( 'Facility Detail'!$B$805 )</f>
        <v>2014 Surplus Applied to 2013</v>
      </c>
      <c r="C94" s="32"/>
      <c r="D94" s="137">
        <f>E94</f>
        <v>0</v>
      </c>
      <c r="E94" s="10"/>
      <c r="F94" s="80"/>
      <c r="G94" s="79"/>
      <c r="H94" s="79"/>
      <c r="I94" s="79"/>
      <c r="J94" s="79"/>
      <c r="K94" s="79"/>
      <c r="L94" s="79"/>
      <c r="M94" s="79"/>
      <c r="N94" s="79"/>
      <c r="O94" s="79"/>
      <c r="P94" s="79"/>
    </row>
    <row r="95" spans="1:16" x14ac:dyDescent="0.25">
      <c r="B95" s="86" t="str">
        <f xml:space="preserve"> ( 'Facility Detail'!$B$805 + 1 ) &amp; " Surplus Applied to " &amp; ( 'Facility Detail'!$B$805 + 2 )</f>
        <v>2014 Surplus Applied to 2015</v>
      </c>
      <c r="C95" s="32"/>
      <c r="D95" s="69"/>
      <c r="E95" s="10"/>
      <c r="F95" s="75">
        <f>E95</f>
        <v>0</v>
      </c>
      <c r="G95" s="79"/>
      <c r="H95" s="79"/>
      <c r="I95" s="79"/>
      <c r="J95" s="79"/>
      <c r="K95" s="79"/>
      <c r="L95" s="79"/>
      <c r="M95" s="79"/>
      <c r="N95" s="79"/>
      <c r="O95" s="79"/>
      <c r="P95" s="79"/>
    </row>
    <row r="96" spans="1:16" x14ac:dyDescent="0.25">
      <c r="B96" s="86" t="str">
        <f xml:space="preserve"> ( 'Facility Detail'!$B$805 + 2 ) &amp; " Surplus Applied to " &amp; ( 'Facility Detail'!$B$805 + 1 )</f>
        <v>2015 Surplus Applied to 2014</v>
      </c>
      <c r="C96" s="32"/>
      <c r="D96" s="69"/>
      <c r="E96" s="75">
        <f>F96</f>
        <v>0</v>
      </c>
      <c r="F96" s="10"/>
      <c r="G96" s="79"/>
      <c r="H96" s="79"/>
      <c r="I96" s="79"/>
      <c r="J96" s="79"/>
      <c r="K96" s="79"/>
      <c r="L96" s="79"/>
      <c r="M96" s="79"/>
      <c r="N96" s="79"/>
      <c r="O96" s="79"/>
      <c r="P96" s="79"/>
    </row>
    <row r="97" spans="1:16" x14ac:dyDescent="0.25">
      <c r="B97" s="86" t="str">
        <f xml:space="preserve"> ( 'Facility Detail'!$B$805 + 2 ) &amp; " Surplus Applied to " &amp; ( 'Facility Detail'!$B$805 + 3 )</f>
        <v>2015 Surplus Applied to 2016</v>
      </c>
      <c r="C97" s="32"/>
      <c r="D97" s="69"/>
      <c r="E97" s="80"/>
      <c r="F97" s="10"/>
      <c r="G97" s="138">
        <f>F97</f>
        <v>0</v>
      </c>
      <c r="H97" s="138">
        <f>G97</f>
        <v>0</v>
      </c>
      <c r="I97" s="138">
        <f>H97</f>
        <v>0</v>
      </c>
      <c r="J97" s="138">
        <f>I97</f>
        <v>0</v>
      </c>
      <c r="K97" s="138"/>
      <c r="L97" s="138"/>
      <c r="M97" s="138"/>
      <c r="N97" s="138"/>
      <c r="O97" s="138"/>
      <c r="P97" s="138"/>
    </row>
    <row r="98" spans="1:16" x14ac:dyDescent="0.25">
      <c r="B98" s="86" t="str">
        <f xml:space="preserve"> ( 'Facility Detail'!$B$805 +3 ) &amp; " Surplus Applied to " &amp; ( 'Facility Detail'!$B$805 + 2 )</f>
        <v>2016 Surplus Applied to 2015</v>
      </c>
      <c r="C98" s="32"/>
      <c r="D98" s="70"/>
      <c r="E98" s="81"/>
      <c r="F98" s="67">
        <f>G98</f>
        <v>0</v>
      </c>
      <c r="G98" s="139"/>
      <c r="H98" s="139"/>
      <c r="I98" s="139"/>
      <c r="J98" s="139"/>
      <c r="K98" s="139"/>
      <c r="L98" s="139"/>
      <c r="M98" s="139"/>
      <c r="N98" s="139"/>
      <c r="O98" s="139"/>
      <c r="P98" s="139"/>
    </row>
    <row r="99" spans="1:16" x14ac:dyDescent="0.25">
      <c r="B99" s="86" t="str">
        <f xml:space="preserve"> ( 'Facility Detail'!$B$805 +3 ) &amp; " Surplus Applied to " &amp; ( 'Facility Detail'!$B$805 + 4 )</f>
        <v>2016 Surplus Applied to 2017</v>
      </c>
      <c r="C99" s="32"/>
      <c r="D99" s="142"/>
      <c r="E99" s="142"/>
      <c r="F99" s="20"/>
      <c r="G99" s="143"/>
      <c r="H99" s="143"/>
      <c r="I99" s="143"/>
      <c r="J99" s="143"/>
      <c r="K99" s="143"/>
      <c r="L99" s="143"/>
      <c r="M99" s="143"/>
      <c r="N99" s="143"/>
      <c r="O99" s="143"/>
      <c r="P99" s="143"/>
    </row>
    <row r="100" spans="1:16" x14ac:dyDescent="0.25">
      <c r="B100" s="35" t="s">
        <v>25</v>
      </c>
      <c r="D100" s="7">
        <f xml:space="preserve"> D94 - D93</f>
        <v>0</v>
      </c>
      <c r="E100" s="7">
        <f xml:space="preserve"> E93 + E96 - E95 - E94</f>
        <v>0</v>
      </c>
      <c r="F100" s="7">
        <f>F95+F98-F96-F97</f>
        <v>0</v>
      </c>
      <c r="G100" s="7">
        <f t="shared" ref="G100:L100" si="67">G97-G98</f>
        <v>0</v>
      </c>
      <c r="H100" s="7">
        <f t="shared" si="67"/>
        <v>0</v>
      </c>
      <c r="I100" s="7">
        <f t="shared" si="67"/>
        <v>0</v>
      </c>
      <c r="J100" s="7">
        <f t="shared" si="67"/>
        <v>0</v>
      </c>
      <c r="K100" s="7">
        <f t="shared" si="67"/>
        <v>0</v>
      </c>
      <c r="L100" s="7">
        <f t="shared" si="67"/>
        <v>0</v>
      </c>
      <c r="M100" s="7">
        <f t="shared" ref="M100:N100" si="68">M97-M98</f>
        <v>0</v>
      </c>
      <c r="N100" s="7">
        <f t="shared" si="68"/>
        <v>0</v>
      </c>
      <c r="O100" s="7">
        <f t="shared" ref="O100:P100" si="69">O97-O98</f>
        <v>0</v>
      </c>
      <c r="P100" s="7">
        <f t="shared" si="69"/>
        <v>0</v>
      </c>
    </row>
    <row r="101" spans="1:16" x14ac:dyDescent="0.25">
      <c r="B101" s="6"/>
      <c r="D101" s="7"/>
      <c r="E101" s="7"/>
      <c r="F101" s="7"/>
      <c r="G101" s="7"/>
      <c r="H101" s="7"/>
      <c r="I101" s="7"/>
      <c r="J101" s="7"/>
      <c r="K101" s="7"/>
      <c r="L101" s="7"/>
      <c r="M101" s="7"/>
      <c r="N101" s="7"/>
      <c r="O101" s="7"/>
      <c r="P101" s="7"/>
    </row>
    <row r="102" spans="1:16" x14ac:dyDescent="0.25">
      <c r="B102" s="93" t="s">
        <v>21</v>
      </c>
      <c r="C102" s="76"/>
      <c r="D102" s="107"/>
      <c r="E102" s="108"/>
      <c r="F102" s="109"/>
      <c r="G102" s="109"/>
      <c r="H102" s="109"/>
      <c r="I102" s="109"/>
      <c r="J102" s="109"/>
      <c r="K102" s="109"/>
      <c r="L102" s="109"/>
      <c r="M102" s="109"/>
      <c r="N102" s="109"/>
      <c r="O102" s="109"/>
      <c r="P102" s="109"/>
    </row>
    <row r="103" spans="1:16" x14ac:dyDescent="0.25">
      <c r="B103" s="6"/>
      <c r="D103" s="7"/>
      <c r="E103" s="7"/>
      <c r="F103" s="7"/>
      <c r="G103" s="7"/>
      <c r="H103" s="7"/>
      <c r="I103" s="7"/>
      <c r="J103" s="7"/>
      <c r="K103" s="7"/>
      <c r="L103" s="7"/>
      <c r="M103" s="7"/>
      <c r="N103" s="7"/>
      <c r="O103" s="7"/>
      <c r="P103" s="7"/>
    </row>
    <row r="104" spans="1:16" ht="15.75" x14ac:dyDescent="0.25">
      <c r="A104" s="89" t="s">
        <v>33</v>
      </c>
      <c r="C104" s="76"/>
      <c r="D104" s="48">
        <f t="shared" ref="D104:I104" si="70" xml:space="preserve"> D79 + D84 - D90 + D100 + D102</f>
        <v>4862</v>
      </c>
      <c r="E104" s="49">
        <f t="shared" si="70"/>
        <v>4862</v>
      </c>
      <c r="F104" s="50">
        <f t="shared" si="70"/>
        <v>4862</v>
      </c>
      <c r="G104" s="50">
        <f t="shared" si="70"/>
        <v>4862</v>
      </c>
      <c r="H104" s="50">
        <f t="shared" si="70"/>
        <v>4862</v>
      </c>
      <c r="I104" s="50">
        <f t="shared" si="70"/>
        <v>4862</v>
      </c>
      <c r="J104" s="50">
        <f t="shared" ref="J104:K104" si="71" xml:space="preserve"> J79 + J84 - J90 + J100 + J102</f>
        <v>0</v>
      </c>
      <c r="K104" s="50">
        <f t="shared" si="71"/>
        <v>2214</v>
      </c>
      <c r="L104" s="50">
        <f t="shared" ref="L104:M104" si="72" xml:space="preserve"> L79 + L84 - L90 + L100 + L102</f>
        <v>0</v>
      </c>
      <c r="M104" s="50">
        <f t="shared" si="72"/>
        <v>2015</v>
      </c>
      <c r="N104" s="50">
        <f t="shared" ref="N104:O104" si="73" xml:space="preserve"> N79 + N84 - N90 + N100 + N102</f>
        <v>1875</v>
      </c>
      <c r="O104" s="50">
        <f t="shared" si="73"/>
        <v>2063</v>
      </c>
      <c r="P104" s="50">
        <f t="shared" ref="P104" si="74" xml:space="preserve"> P79 + P84 - P90 + P100 + P102</f>
        <v>2063</v>
      </c>
    </row>
    <row r="105" spans="1:16" x14ac:dyDescent="0.25">
      <c r="B105" s="6"/>
      <c r="D105" s="7"/>
      <c r="E105" s="7"/>
      <c r="F105" s="7"/>
      <c r="G105" s="31"/>
      <c r="H105" s="31"/>
      <c r="I105" s="31"/>
      <c r="J105" s="31"/>
      <c r="K105" s="31"/>
      <c r="L105" s="31"/>
      <c r="M105" s="31"/>
      <c r="N105" s="31"/>
      <c r="O105" s="31"/>
      <c r="P105" s="31"/>
    </row>
    <row r="106" spans="1:16" ht="15.75" thickBot="1" x14ac:dyDescent="0.3"/>
    <row r="107" spans="1:16" x14ac:dyDescent="0.25">
      <c r="A107" s="8"/>
      <c r="B107" s="8"/>
      <c r="C107" s="8"/>
      <c r="D107" s="8"/>
      <c r="E107" s="8"/>
      <c r="F107" s="8"/>
      <c r="G107" s="8"/>
      <c r="H107" s="8"/>
      <c r="I107" s="8"/>
      <c r="J107" s="8"/>
      <c r="K107" s="8"/>
      <c r="L107" s="8"/>
      <c r="M107" s="8"/>
      <c r="N107" s="8"/>
      <c r="O107" s="8"/>
      <c r="P107" s="8"/>
    </row>
    <row r="108" spans="1:16" x14ac:dyDescent="0.25">
      <c r="B108" s="32"/>
      <c r="C108" s="32"/>
      <c r="D108" s="32"/>
      <c r="E108" s="32"/>
      <c r="F108" s="32"/>
      <c r="G108" s="32"/>
      <c r="H108" s="32"/>
      <c r="I108" s="32"/>
      <c r="J108" s="32"/>
      <c r="K108" s="32"/>
      <c r="L108" s="32"/>
    </row>
    <row r="109" spans="1:16" ht="21" x14ac:dyDescent="0.35">
      <c r="A109" s="16" t="s">
        <v>4</v>
      </c>
      <c r="B109" s="16"/>
      <c r="C109" s="45" t="str">
        <f>B4</f>
        <v>Cabinet Gorge #2</v>
      </c>
      <c r="D109" s="46"/>
      <c r="E109" s="19"/>
      <c r="F109" s="19"/>
    </row>
    <row r="111" spans="1:16" ht="18.75" x14ac:dyDescent="0.3">
      <c r="A111" s="9" t="s">
        <v>27</v>
      </c>
      <c r="B111" s="9"/>
      <c r="D111" s="2">
        <v>2013</v>
      </c>
      <c r="E111" s="2">
        <f t="shared" ref="E111:J111" si="75">D111+1</f>
        <v>2014</v>
      </c>
      <c r="F111" s="2">
        <f t="shared" si="75"/>
        <v>2015</v>
      </c>
      <c r="G111" s="2">
        <f t="shared" si="75"/>
        <v>2016</v>
      </c>
      <c r="H111" s="2">
        <f t="shared" si="75"/>
        <v>2017</v>
      </c>
      <c r="I111" s="2">
        <f t="shared" si="75"/>
        <v>2018</v>
      </c>
      <c r="J111" s="2">
        <f t="shared" si="75"/>
        <v>2019</v>
      </c>
      <c r="K111" s="2">
        <f t="shared" ref="K111:P111" si="76">J111+1</f>
        <v>2020</v>
      </c>
      <c r="L111" s="2">
        <f t="shared" si="76"/>
        <v>2021</v>
      </c>
      <c r="M111" s="2">
        <f t="shared" si="76"/>
        <v>2022</v>
      </c>
      <c r="N111" s="2">
        <f t="shared" si="76"/>
        <v>2023</v>
      </c>
      <c r="O111" s="2">
        <f t="shared" si="76"/>
        <v>2024</v>
      </c>
      <c r="P111" s="2">
        <f t="shared" si="76"/>
        <v>2025</v>
      </c>
    </row>
    <row r="112" spans="1:16" x14ac:dyDescent="0.25">
      <c r="B112" s="86" t="str">
        <f>"Total MWh Produced / Purchased from " &amp; C109</f>
        <v>Total MWh Produced / Purchased from Cabinet Gorge #2</v>
      </c>
      <c r="C112" s="76"/>
      <c r="D112" s="3">
        <v>29008</v>
      </c>
      <c r="E112" s="3">
        <v>29008</v>
      </c>
      <c r="F112" s="3">
        <v>29008</v>
      </c>
      <c r="G112" s="3">
        <v>29008</v>
      </c>
      <c r="H112" s="3">
        <v>29008</v>
      </c>
      <c r="I112" s="3">
        <v>29008</v>
      </c>
      <c r="J112" s="3">
        <v>12184</v>
      </c>
      <c r="K112" s="3">
        <v>33542</v>
      </c>
      <c r="L112" s="3">
        <v>33542</v>
      </c>
      <c r="M112" s="3">
        <v>23465</v>
      </c>
      <c r="N112" s="3">
        <v>13332</v>
      </c>
      <c r="O112" s="3">
        <v>14870</v>
      </c>
      <c r="P112" s="3">
        <v>14870</v>
      </c>
    </row>
    <row r="113" spans="1:16" x14ac:dyDescent="0.25">
      <c r="B113" s="86" t="s">
        <v>32</v>
      </c>
      <c r="C113" s="76"/>
      <c r="D113" s="60">
        <v>1</v>
      </c>
      <c r="E113" s="61">
        <v>1</v>
      </c>
      <c r="F113" s="62">
        <v>1</v>
      </c>
      <c r="G113" s="62">
        <v>1</v>
      </c>
      <c r="H113" s="62">
        <v>1</v>
      </c>
      <c r="I113" s="62">
        <v>1</v>
      </c>
      <c r="J113" s="62">
        <v>1</v>
      </c>
      <c r="K113" s="62">
        <v>1</v>
      </c>
      <c r="L113" s="62">
        <v>1</v>
      </c>
      <c r="M113" s="62">
        <v>1</v>
      </c>
      <c r="N113" s="62">
        <v>1</v>
      </c>
      <c r="O113" s="62">
        <v>1</v>
      </c>
      <c r="P113" s="62">
        <v>1</v>
      </c>
    </row>
    <row r="114" spans="1:16" x14ac:dyDescent="0.25">
      <c r="B114" s="86" t="s">
        <v>26</v>
      </c>
      <c r="C114" s="76"/>
      <c r="D114" s="53">
        <v>1</v>
      </c>
      <c r="E114" s="54">
        <v>1</v>
      </c>
      <c r="F114" s="55">
        <v>1</v>
      </c>
      <c r="G114" s="55">
        <v>1</v>
      </c>
      <c r="H114" s="55">
        <v>1</v>
      </c>
      <c r="I114" s="55">
        <v>1</v>
      </c>
      <c r="J114" s="55">
        <v>1</v>
      </c>
      <c r="K114" s="55">
        <v>1</v>
      </c>
      <c r="L114" s="55">
        <v>1</v>
      </c>
      <c r="M114" s="55">
        <v>1</v>
      </c>
      <c r="N114" s="55">
        <v>1</v>
      </c>
      <c r="O114" s="55">
        <v>1</v>
      </c>
      <c r="P114" s="55">
        <v>1</v>
      </c>
    </row>
    <row r="115" spans="1:16" x14ac:dyDescent="0.25">
      <c r="B115" s="83" t="s">
        <v>28</v>
      </c>
      <c r="C115" s="84"/>
      <c r="D115" s="40">
        <f t="shared" ref="D115:L115" si="77" xml:space="preserve"> D112 * D113 * D114</f>
        <v>29008</v>
      </c>
      <c r="E115" s="40">
        <f t="shared" si="77"/>
        <v>29008</v>
      </c>
      <c r="F115" s="40">
        <f t="shared" si="77"/>
        <v>29008</v>
      </c>
      <c r="G115" s="40">
        <f t="shared" si="77"/>
        <v>29008</v>
      </c>
      <c r="H115" s="40">
        <f t="shared" si="77"/>
        <v>29008</v>
      </c>
      <c r="I115" s="40">
        <f t="shared" si="77"/>
        <v>29008</v>
      </c>
      <c r="J115" s="40">
        <f t="shared" si="77"/>
        <v>12184</v>
      </c>
      <c r="K115" s="40">
        <f t="shared" si="77"/>
        <v>33542</v>
      </c>
      <c r="L115" s="40">
        <f t="shared" si="77"/>
        <v>33542</v>
      </c>
      <c r="M115" s="40">
        <f t="shared" ref="M115:N115" si="78" xml:space="preserve"> M112 * M113 * M114</f>
        <v>23465</v>
      </c>
      <c r="N115" s="40">
        <f t="shared" si="78"/>
        <v>13332</v>
      </c>
      <c r="O115" s="40">
        <f t="shared" ref="O115:P115" si="79" xml:space="preserve"> O112 * O113 * O114</f>
        <v>14870</v>
      </c>
      <c r="P115" s="40">
        <f t="shared" si="79"/>
        <v>14870</v>
      </c>
    </row>
    <row r="116" spans="1:16" x14ac:dyDescent="0.25">
      <c r="B116" s="19"/>
      <c r="C116" s="32"/>
      <c r="D116" s="39"/>
      <c r="E116" s="39"/>
      <c r="F116" s="39"/>
      <c r="G116" s="39"/>
      <c r="H116" s="39"/>
      <c r="I116" s="39"/>
      <c r="J116" s="39"/>
      <c r="K116" s="39"/>
      <c r="L116" s="39"/>
      <c r="M116" s="39"/>
      <c r="N116" s="39"/>
      <c r="O116" s="39"/>
      <c r="P116" s="39"/>
    </row>
    <row r="117" spans="1:16" ht="18.75" x14ac:dyDescent="0.3">
      <c r="A117" s="47" t="s">
        <v>30</v>
      </c>
      <c r="C117" s="32"/>
      <c r="D117" s="2">
        <f>D111</f>
        <v>2013</v>
      </c>
      <c r="E117" s="2">
        <f t="shared" ref="E117:J117" si="80">D117+1</f>
        <v>2014</v>
      </c>
      <c r="F117" s="2">
        <f t="shared" si="80"/>
        <v>2015</v>
      </c>
      <c r="G117" s="2">
        <f t="shared" si="80"/>
        <v>2016</v>
      </c>
      <c r="H117" s="2">
        <f t="shared" si="80"/>
        <v>2017</v>
      </c>
      <c r="I117" s="2">
        <f t="shared" si="80"/>
        <v>2018</v>
      </c>
      <c r="J117" s="2">
        <f t="shared" si="80"/>
        <v>2019</v>
      </c>
      <c r="K117" s="2">
        <f t="shared" ref="K117:P117" si="81">J117+1</f>
        <v>2020</v>
      </c>
      <c r="L117" s="2">
        <f t="shared" si="81"/>
        <v>2021</v>
      </c>
      <c r="M117" s="2">
        <f t="shared" si="81"/>
        <v>2022</v>
      </c>
      <c r="N117" s="2">
        <f t="shared" si="81"/>
        <v>2023</v>
      </c>
      <c r="O117" s="2">
        <f t="shared" si="81"/>
        <v>2024</v>
      </c>
      <c r="P117" s="2">
        <f t="shared" si="81"/>
        <v>2025</v>
      </c>
    </row>
    <row r="118" spans="1:16" x14ac:dyDescent="0.25">
      <c r="B118" s="86" t="s">
        <v>19</v>
      </c>
      <c r="C118" s="76"/>
      <c r="D118" s="56">
        <f>IF( $E4 = "Eligible", D115 * 'Facility Detail'!$B$613, 0 )</f>
        <v>0</v>
      </c>
      <c r="E118" s="13">
        <f>IF( $E4 = "Eligible", E115 * 'Facility Detail'!$B$613, 0 )</f>
        <v>0</v>
      </c>
      <c r="F118" s="14">
        <f>IF( $E4 = "Eligible", F115 * 'Facility Detail'!$B$613, 0 )</f>
        <v>0</v>
      </c>
      <c r="G118" s="14">
        <f>IF( $E4 = "Eligible", G115 * 'Facility Detail'!$B$613, 0 )</f>
        <v>0</v>
      </c>
      <c r="H118" s="14">
        <f>IF( $E4 = "Eligible", H115 * 'Facility Detail'!$B$613, 0 )</f>
        <v>0</v>
      </c>
      <c r="I118" s="14">
        <f>IF( $E4 = "Eligible", I115 * 'Facility Detail'!$B$613, 0 )</f>
        <v>0</v>
      </c>
      <c r="J118" s="14">
        <f>IF( $E4 = "Eligible", J115 * 'Facility Detail'!$B$613, 0 )</f>
        <v>0</v>
      </c>
      <c r="K118" s="14">
        <f>IF( $E4 = "Eligible", K115 * 'Facility Detail'!$B$613, 0 )</f>
        <v>0</v>
      </c>
      <c r="L118" s="14">
        <f>IF( $E4 = "Eligible", L115 * 'Facility Detail'!$B$613, 0 )</f>
        <v>0</v>
      </c>
      <c r="M118" s="14">
        <f>IF( $E4 = "Eligible", M115 * 'Facility Detail'!$B$613, 0 )</f>
        <v>0</v>
      </c>
      <c r="N118" s="14">
        <f>IF( $E4 = "Eligible", N115 * 'Facility Detail'!$B$613, 0 )</f>
        <v>0</v>
      </c>
      <c r="O118" s="14">
        <f>IF( $E4 = "Eligible", O115 * 'Facility Detail'!$B$613, 0 )</f>
        <v>0</v>
      </c>
      <c r="P118" s="14">
        <f>IF( $E4 = "Eligible", P115 * 'Facility Detail'!$B$613, 0 )</f>
        <v>0</v>
      </c>
    </row>
    <row r="119" spans="1:16" x14ac:dyDescent="0.25">
      <c r="B119" s="86" t="s">
        <v>6</v>
      </c>
      <c r="C119" s="76"/>
      <c r="D119" s="57">
        <f t="shared" ref="D119:I119" si="82">IF( $F4 = "Eligible", D115, 0 )</f>
        <v>0</v>
      </c>
      <c r="E119" s="58">
        <f t="shared" si="82"/>
        <v>0</v>
      </c>
      <c r="F119" s="59">
        <f t="shared" si="82"/>
        <v>0</v>
      </c>
      <c r="G119" s="59">
        <f t="shared" si="82"/>
        <v>0</v>
      </c>
      <c r="H119" s="59">
        <f t="shared" si="82"/>
        <v>0</v>
      </c>
      <c r="I119" s="59">
        <f t="shared" si="82"/>
        <v>0</v>
      </c>
      <c r="J119" s="59">
        <f t="shared" ref="J119:K119" si="83">IF( $F4 = "Eligible", J115, 0 )</f>
        <v>0</v>
      </c>
      <c r="K119" s="59">
        <f t="shared" si="83"/>
        <v>0</v>
      </c>
      <c r="L119" s="59">
        <f t="shared" ref="L119:M119" si="84">IF( $F4 = "Eligible", L115, 0 )</f>
        <v>0</v>
      </c>
      <c r="M119" s="59">
        <f t="shared" si="84"/>
        <v>0</v>
      </c>
      <c r="N119" s="59">
        <f t="shared" ref="N119:O119" si="85">IF( $F4 = "Eligible", N115, 0 )</f>
        <v>0</v>
      </c>
      <c r="O119" s="59">
        <f t="shared" si="85"/>
        <v>0</v>
      </c>
      <c r="P119" s="59">
        <f t="shared" ref="P119" si="86">IF( $F4 = "Eligible", P115, 0 )</f>
        <v>0</v>
      </c>
    </row>
    <row r="120" spans="1:16" x14ac:dyDescent="0.25">
      <c r="B120" s="85" t="s">
        <v>37</v>
      </c>
      <c r="C120" s="84"/>
      <c r="D120" s="42">
        <f t="shared" ref="D120:I120" si="87">SUM(D118:D119)</f>
        <v>0</v>
      </c>
      <c r="E120" s="43">
        <f t="shared" si="87"/>
        <v>0</v>
      </c>
      <c r="F120" s="43">
        <f t="shared" si="87"/>
        <v>0</v>
      </c>
      <c r="G120" s="43">
        <f t="shared" si="87"/>
        <v>0</v>
      </c>
      <c r="H120" s="43">
        <f t="shared" si="87"/>
        <v>0</v>
      </c>
      <c r="I120" s="43">
        <f t="shared" si="87"/>
        <v>0</v>
      </c>
      <c r="J120" s="43">
        <f t="shared" ref="J120:K120" si="88">SUM(J118:J119)</f>
        <v>0</v>
      </c>
      <c r="K120" s="43">
        <f t="shared" si="88"/>
        <v>0</v>
      </c>
      <c r="L120" s="43">
        <f t="shared" ref="L120:M120" si="89">SUM(L118:L119)</f>
        <v>0</v>
      </c>
      <c r="M120" s="43">
        <f t="shared" si="89"/>
        <v>0</v>
      </c>
      <c r="N120" s="43">
        <f t="shared" ref="N120:O120" si="90">SUM(N118:N119)</f>
        <v>0</v>
      </c>
      <c r="O120" s="43">
        <f t="shared" si="90"/>
        <v>0</v>
      </c>
      <c r="P120" s="43">
        <f t="shared" ref="P120" si="91">SUM(P118:P119)</f>
        <v>0</v>
      </c>
    </row>
    <row r="121" spans="1:16" x14ac:dyDescent="0.25">
      <c r="B121" s="32"/>
      <c r="C121" s="32"/>
      <c r="D121" s="41"/>
      <c r="E121" s="33"/>
      <c r="F121" s="33"/>
      <c r="G121" s="33"/>
      <c r="H121" s="33"/>
      <c r="I121" s="33"/>
      <c r="J121" s="33"/>
      <c r="K121" s="33"/>
      <c r="L121" s="33"/>
      <c r="M121" s="33"/>
      <c r="N121" s="33"/>
      <c r="O121" s="33"/>
      <c r="P121" s="33"/>
    </row>
    <row r="122" spans="1:16" ht="18.75" x14ac:dyDescent="0.3">
      <c r="A122" s="44" t="s">
        <v>35</v>
      </c>
      <c r="C122" s="32"/>
      <c r="D122" s="2">
        <f>D111</f>
        <v>2013</v>
      </c>
      <c r="E122" s="2">
        <f t="shared" ref="E122:J122" si="92">D122+1</f>
        <v>2014</v>
      </c>
      <c r="F122" s="2">
        <f t="shared" si="92"/>
        <v>2015</v>
      </c>
      <c r="G122" s="2">
        <f t="shared" si="92"/>
        <v>2016</v>
      </c>
      <c r="H122" s="2">
        <f t="shared" si="92"/>
        <v>2017</v>
      </c>
      <c r="I122" s="2">
        <f t="shared" si="92"/>
        <v>2018</v>
      </c>
      <c r="J122" s="2">
        <f t="shared" si="92"/>
        <v>2019</v>
      </c>
      <c r="K122" s="2">
        <f t="shared" ref="K122:P122" si="93">J122+1</f>
        <v>2020</v>
      </c>
      <c r="L122" s="2">
        <f t="shared" si="93"/>
        <v>2021</v>
      </c>
      <c r="M122" s="2">
        <f t="shared" si="93"/>
        <v>2022</v>
      </c>
      <c r="N122" s="2">
        <f t="shared" si="93"/>
        <v>2023</v>
      </c>
      <c r="O122" s="2">
        <f t="shared" si="93"/>
        <v>2024</v>
      </c>
      <c r="P122" s="2">
        <f t="shared" si="93"/>
        <v>2025</v>
      </c>
    </row>
    <row r="123" spans="1:16" x14ac:dyDescent="0.25">
      <c r="B123" s="86" t="s">
        <v>39</v>
      </c>
      <c r="C123" s="76"/>
      <c r="D123" s="94">
        <v>0</v>
      </c>
      <c r="E123" s="95">
        <v>0</v>
      </c>
      <c r="F123" s="96">
        <v>0</v>
      </c>
      <c r="G123" s="96">
        <v>0</v>
      </c>
      <c r="H123" s="96">
        <v>0</v>
      </c>
      <c r="I123" s="96">
        <v>0</v>
      </c>
      <c r="J123" s="96">
        <v>0</v>
      </c>
      <c r="K123" s="96">
        <v>0</v>
      </c>
      <c r="L123" s="96">
        <v>0</v>
      </c>
      <c r="M123" s="96">
        <v>0</v>
      </c>
      <c r="N123" s="96">
        <v>0</v>
      </c>
      <c r="O123" s="96">
        <v>0</v>
      </c>
      <c r="P123" s="96">
        <v>0</v>
      </c>
    </row>
    <row r="124" spans="1:16" x14ac:dyDescent="0.25">
      <c r="B124" s="87" t="s">
        <v>29</v>
      </c>
      <c r="C124" s="88"/>
      <c r="D124" s="97">
        <v>0</v>
      </c>
      <c r="E124" s="98">
        <v>0</v>
      </c>
      <c r="F124" s="99">
        <v>0</v>
      </c>
      <c r="G124" s="99">
        <v>0</v>
      </c>
      <c r="H124" s="99">
        <v>0</v>
      </c>
      <c r="I124" s="99">
        <v>0</v>
      </c>
      <c r="J124" s="99">
        <v>0</v>
      </c>
      <c r="K124" s="99">
        <v>0</v>
      </c>
      <c r="L124" s="99">
        <v>0</v>
      </c>
      <c r="M124" s="99">
        <v>0</v>
      </c>
      <c r="N124" s="99">
        <v>0</v>
      </c>
      <c r="O124" s="99">
        <v>0</v>
      </c>
      <c r="P124" s="99">
        <v>0</v>
      </c>
    </row>
    <row r="125" spans="1:16" x14ac:dyDescent="0.25">
      <c r="B125" s="100" t="s">
        <v>41</v>
      </c>
      <c r="C125" s="92"/>
      <c r="D125" s="63">
        <v>0</v>
      </c>
      <c r="E125" s="64">
        <v>0</v>
      </c>
      <c r="F125" s="65">
        <v>0</v>
      </c>
      <c r="G125" s="65">
        <v>0</v>
      </c>
      <c r="H125" s="65">
        <v>0</v>
      </c>
      <c r="I125" s="65">
        <v>0</v>
      </c>
      <c r="J125" s="65">
        <v>0</v>
      </c>
      <c r="K125" s="65">
        <v>0</v>
      </c>
      <c r="L125" s="65">
        <v>0</v>
      </c>
      <c r="M125" s="65">
        <v>0</v>
      </c>
      <c r="N125" s="65">
        <v>0</v>
      </c>
      <c r="O125" s="65">
        <v>0</v>
      </c>
      <c r="P125" s="65">
        <v>0</v>
      </c>
    </row>
    <row r="126" spans="1:16" x14ac:dyDescent="0.25">
      <c r="B126" s="35" t="s">
        <v>42</v>
      </c>
      <c r="D126" s="7">
        <f t="shared" ref="D126:I126" si="94">SUM(D123:D125)</f>
        <v>0</v>
      </c>
      <c r="E126" s="7">
        <f t="shared" si="94"/>
        <v>0</v>
      </c>
      <c r="F126" s="7">
        <f t="shared" si="94"/>
        <v>0</v>
      </c>
      <c r="G126" s="7">
        <f t="shared" si="94"/>
        <v>0</v>
      </c>
      <c r="H126" s="7">
        <f t="shared" si="94"/>
        <v>0</v>
      </c>
      <c r="I126" s="7">
        <f t="shared" si="94"/>
        <v>0</v>
      </c>
      <c r="J126" s="7">
        <f t="shared" ref="J126:K126" si="95">SUM(J123:J125)</f>
        <v>0</v>
      </c>
      <c r="K126" s="7">
        <f t="shared" si="95"/>
        <v>0</v>
      </c>
      <c r="L126" s="7">
        <f t="shared" ref="L126:M126" si="96">SUM(L123:L125)</f>
        <v>0</v>
      </c>
      <c r="M126" s="7">
        <f t="shared" si="96"/>
        <v>0</v>
      </c>
      <c r="N126" s="7">
        <f t="shared" ref="N126:O126" si="97">SUM(N123:N125)</f>
        <v>0</v>
      </c>
      <c r="O126" s="7">
        <f t="shared" si="97"/>
        <v>0</v>
      </c>
      <c r="P126" s="7">
        <f t="shared" ref="P126" si="98">SUM(P123:P125)</f>
        <v>0</v>
      </c>
    </row>
    <row r="127" spans="1:16" x14ac:dyDescent="0.25">
      <c r="B127" s="6"/>
      <c r="D127" s="7"/>
      <c r="E127" s="7"/>
      <c r="F127" s="7"/>
      <c r="G127" s="7"/>
      <c r="H127" s="7"/>
      <c r="I127" s="7"/>
      <c r="J127" s="7"/>
      <c r="K127" s="7"/>
      <c r="L127" s="7"/>
      <c r="M127" s="7"/>
      <c r="N127" s="7"/>
      <c r="O127" s="7"/>
      <c r="P127" s="7"/>
    </row>
    <row r="128" spans="1:16" ht="18.75" x14ac:dyDescent="0.3">
      <c r="A128" s="9" t="s">
        <v>43</v>
      </c>
      <c r="D128" s="2">
        <f>D111</f>
        <v>2013</v>
      </c>
      <c r="E128" s="2">
        <f t="shared" ref="E128:J128" si="99">D128+1</f>
        <v>2014</v>
      </c>
      <c r="F128" s="2">
        <f t="shared" si="99"/>
        <v>2015</v>
      </c>
      <c r="G128" s="2">
        <f t="shared" si="99"/>
        <v>2016</v>
      </c>
      <c r="H128" s="2">
        <f t="shared" si="99"/>
        <v>2017</v>
      </c>
      <c r="I128" s="2">
        <f t="shared" si="99"/>
        <v>2018</v>
      </c>
      <c r="J128" s="2">
        <f t="shared" si="99"/>
        <v>2019</v>
      </c>
      <c r="K128" s="2">
        <f t="shared" ref="K128:P128" si="100">J128+1</f>
        <v>2020</v>
      </c>
      <c r="L128" s="2">
        <f t="shared" si="100"/>
        <v>2021</v>
      </c>
      <c r="M128" s="2">
        <f t="shared" si="100"/>
        <v>2022</v>
      </c>
      <c r="N128" s="2">
        <f t="shared" si="100"/>
        <v>2023</v>
      </c>
      <c r="O128" s="2">
        <f t="shared" si="100"/>
        <v>2024</v>
      </c>
      <c r="P128" s="2">
        <f t="shared" si="100"/>
        <v>2025</v>
      </c>
    </row>
    <row r="129" spans="1:16" x14ac:dyDescent="0.25">
      <c r="B129" s="86" t="str">
        <f xml:space="preserve"> 'Facility Detail'!$B$805 &amp; " Surplus Applied to " &amp; ( 'Facility Detail'!$B$805 + 1 )</f>
        <v>2013 Surplus Applied to 2014</v>
      </c>
      <c r="C129" s="76"/>
      <c r="D129" s="3"/>
      <c r="E129" s="66">
        <f>D129</f>
        <v>0</v>
      </c>
      <c r="F129" s="136"/>
      <c r="G129" s="68"/>
      <c r="H129" s="68"/>
      <c r="I129" s="68"/>
      <c r="J129" s="68"/>
      <c r="K129" s="68"/>
      <c r="L129" s="68"/>
      <c r="M129" s="68"/>
      <c r="N129" s="68"/>
      <c r="O129" s="68"/>
      <c r="P129" s="68"/>
    </row>
    <row r="130" spans="1:16" x14ac:dyDescent="0.25">
      <c r="B130" s="86" t="str">
        <f xml:space="preserve"> ( 'Facility Detail'!$B$805 + 1 ) &amp; " Surplus Applied to " &amp; ( 'Facility Detail'!$B$805 )</f>
        <v>2014 Surplus Applied to 2013</v>
      </c>
      <c r="C130" s="76"/>
      <c r="D130" s="137">
        <f>E130</f>
        <v>0</v>
      </c>
      <c r="E130" s="10"/>
      <c r="F130" s="80"/>
      <c r="G130" s="79"/>
      <c r="H130" s="79"/>
      <c r="I130" s="79"/>
      <c r="J130" s="79"/>
      <c r="K130" s="79"/>
      <c r="L130" s="79"/>
      <c r="M130" s="79"/>
      <c r="N130" s="79"/>
      <c r="O130" s="79"/>
      <c r="P130" s="79"/>
    </row>
    <row r="131" spans="1:16" x14ac:dyDescent="0.25">
      <c r="B131" s="86" t="str">
        <f xml:space="preserve"> ( 'Facility Detail'!$B$805 + 1 ) &amp; " Surplus Applied to " &amp; ( 'Facility Detail'!$B$805 + 2 )</f>
        <v>2014 Surplus Applied to 2015</v>
      </c>
      <c r="C131" s="76"/>
      <c r="D131" s="69"/>
      <c r="E131" s="10"/>
      <c r="F131" s="75">
        <f>E131</f>
        <v>0</v>
      </c>
      <c r="G131" s="79"/>
      <c r="H131" s="79"/>
      <c r="I131" s="79"/>
      <c r="J131" s="79"/>
      <c r="K131" s="79"/>
      <c r="L131" s="79"/>
      <c r="M131" s="79"/>
      <c r="N131" s="79"/>
      <c r="O131" s="79"/>
      <c r="P131" s="79"/>
    </row>
    <row r="132" spans="1:16" x14ac:dyDescent="0.25">
      <c r="B132" s="86" t="str">
        <f xml:space="preserve"> ( 'Facility Detail'!$B$805 + 2 ) &amp; " Surplus Applied to " &amp; ( 'Facility Detail'!$B$805 + 1 )</f>
        <v>2015 Surplus Applied to 2014</v>
      </c>
      <c r="C132" s="76"/>
      <c r="D132" s="69"/>
      <c r="E132" s="75">
        <f>F132</f>
        <v>0</v>
      </c>
      <c r="F132" s="10"/>
      <c r="G132" s="79"/>
      <c r="H132" s="79"/>
      <c r="I132" s="79"/>
      <c r="J132" s="79"/>
      <c r="K132" s="79"/>
      <c r="L132" s="79"/>
      <c r="M132" s="79"/>
      <c r="N132" s="79"/>
      <c r="O132" s="79"/>
      <c r="P132" s="79"/>
    </row>
    <row r="133" spans="1:16" x14ac:dyDescent="0.25">
      <c r="B133" s="86" t="str">
        <f xml:space="preserve"> ( 'Facility Detail'!$B$805 + 2 ) &amp; " Surplus Applied to " &amp; ( 'Facility Detail'!$B$805 + 3 )</f>
        <v>2015 Surplus Applied to 2016</v>
      </c>
      <c r="C133" s="32"/>
      <c r="D133" s="69"/>
      <c r="E133" s="80"/>
      <c r="F133" s="10"/>
      <c r="G133" s="138">
        <f>F133</f>
        <v>0</v>
      </c>
      <c r="H133" s="138">
        <f>G133</f>
        <v>0</v>
      </c>
      <c r="I133" s="138">
        <f>H133</f>
        <v>0</v>
      </c>
      <c r="J133" s="138">
        <f>I133</f>
        <v>0</v>
      </c>
      <c r="K133" s="138"/>
      <c r="L133" s="138"/>
      <c r="M133" s="138"/>
      <c r="N133" s="138"/>
      <c r="O133" s="138"/>
      <c r="P133" s="138"/>
    </row>
    <row r="134" spans="1:16" x14ac:dyDescent="0.25">
      <c r="B134" s="86" t="str">
        <f xml:space="preserve"> ( 'Facility Detail'!$B$805 +3 ) &amp; " Surplus Applied to " &amp; ( 'Facility Detail'!$B$805 + 2 )</f>
        <v>2016 Surplus Applied to 2015</v>
      </c>
      <c r="C134" s="32"/>
      <c r="D134" s="70"/>
      <c r="E134" s="81"/>
      <c r="F134" s="67">
        <f>G134</f>
        <v>0</v>
      </c>
      <c r="G134" s="139"/>
      <c r="H134" s="139"/>
      <c r="I134" s="139"/>
      <c r="J134" s="139"/>
      <c r="K134" s="139"/>
      <c r="L134" s="139"/>
      <c r="M134" s="139"/>
      <c r="N134" s="139"/>
      <c r="O134" s="139"/>
      <c r="P134" s="139"/>
    </row>
    <row r="135" spans="1:16" x14ac:dyDescent="0.25">
      <c r="B135" s="86" t="str">
        <f xml:space="preserve"> ( 'Facility Detail'!$B$805 +3 ) &amp; " Surplus Applied to " &amp; ( 'Facility Detail'!$B$805 + 4 )</f>
        <v>2016 Surplus Applied to 2017</v>
      </c>
      <c r="C135" s="32"/>
      <c r="D135" s="142"/>
      <c r="E135" s="142"/>
      <c r="F135" s="20"/>
      <c r="G135" s="143"/>
      <c r="H135" s="143"/>
      <c r="I135" s="143"/>
      <c r="J135" s="143"/>
      <c r="K135" s="143"/>
      <c r="L135" s="143"/>
      <c r="M135" s="143"/>
      <c r="N135" s="143"/>
      <c r="O135" s="143"/>
      <c r="P135" s="143"/>
    </row>
    <row r="136" spans="1:16" x14ac:dyDescent="0.25">
      <c r="B136" s="35" t="s">
        <v>25</v>
      </c>
      <c r="D136" s="7">
        <f xml:space="preserve"> D130 - D129</f>
        <v>0</v>
      </c>
      <c r="E136" s="7">
        <f xml:space="preserve"> E129 + E132 - E131 - E130</f>
        <v>0</v>
      </c>
      <c r="F136" s="7">
        <f>F131+F134-F132-F133</f>
        <v>0</v>
      </c>
      <c r="G136" s="7">
        <f t="shared" ref="G136:L136" si="101">G133-G134</f>
        <v>0</v>
      </c>
      <c r="H136" s="7">
        <f t="shared" si="101"/>
        <v>0</v>
      </c>
      <c r="I136" s="7">
        <f t="shared" si="101"/>
        <v>0</v>
      </c>
      <c r="J136" s="7">
        <f t="shared" si="101"/>
        <v>0</v>
      </c>
      <c r="K136" s="7">
        <f t="shared" si="101"/>
        <v>0</v>
      </c>
      <c r="L136" s="7">
        <f t="shared" si="101"/>
        <v>0</v>
      </c>
      <c r="M136" s="7">
        <f t="shared" ref="M136:N136" si="102">M133-M134</f>
        <v>0</v>
      </c>
      <c r="N136" s="7">
        <f t="shared" si="102"/>
        <v>0</v>
      </c>
      <c r="O136" s="7">
        <f t="shared" ref="O136:P136" si="103">O133-O134</f>
        <v>0</v>
      </c>
      <c r="P136" s="7">
        <f t="shared" si="103"/>
        <v>0</v>
      </c>
    </row>
    <row r="137" spans="1:16" x14ac:dyDescent="0.25">
      <c r="B137" s="6"/>
      <c r="D137" s="7"/>
      <c r="E137" s="7"/>
      <c r="F137" s="7"/>
      <c r="G137" s="7"/>
      <c r="H137" s="7"/>
      <c r="I137" s="7"/>
      <c r="J137" s="7"/>
      <c r="K137" s="7"/>
      <c r="L137" s="7"/>
      <c r="M137" s="7"/>
      <c r="N137" s="7"/>
      <c r="O137" s="7"/>
      <c r="P137" s="7"/>
    </row>
    <row r="138" spans="1:16" x14ac:dyDescent="0.25">
      <c r="B138" s="93" t="s">
        <v>21</v>
      </c>
      <c r="C138" s="76"/>
      <c r="D138" s="107"/>
      <c r="E138" s="108"/>
      <c r="F138" s="109"/>
      <c r="G138" s="109"/>
      <c r="H138" s="109"/>
      <c r="I138" s="109"/>
      <c r="J138" s="109"/>
      <c r="K138" s="109"/>
      <c r="L138" s="109"/>
      <c r="M138" s="109"/>
      <c r="N138" s="109"/>
      <c r="O138" s="109"/>
      <c r="P138" s="109"/>
    </row>
    <row r="139" spans="1:16" x14ac:dyDescent="0.25">
      <c r="B139" s="6"/>
      <c r="D139" s="7"/>
      <c r="E139" s="7"/>
      <c r="F139" s="7"/>
      <c r="G139" s="7"/>
      <c r="H139" s="7"/>
      <c r="I139" s="7"/>
      <c r="J139" s="7"/>
      <c r="K139" s="7"/>
      <c r="L139" s="7"/>
      <c r="M139" s="7"/>
      <c r="N139" s="7"/>
      <c r="O139" s="7"/>
      <c r="P139" s="7"/>
    </row>
    <row r="140" spans="1:16" ht="15.75" x14ac:dyDescent="0.25">
      <c r="A140" s="89" t="s">
        <v>33</v>
      </c>
      <c r="C140" s="76"/>
      <c r="D140" s="48">
        <f t="shared" ref="D140:I140" si="104" xml:space="preserve"> D115 + D120 - D126 + D136 + D138</f>
        <v>29008</v>
      </c>
      <c r="E140" s="49">
        <f t="shared" si="104"/>
        <v>29008</v>
      </c>
      <c r="F140" s="50">
        <f t="shared" si="104"/>
        <v>29008</v>
      </c>
      <c r="G140" s="50">
        <f t="shared" si="104"/>
        <v>29008</v>
      </c>
      <c r="H140" s="50">
        <f t="shared" si="104"/>
        <v>29008</v>
      </c>
      <c r="I140" s="50">
        <f t="shared" si="104"/>
        <v>29008</v>
      </c>
      <c r="J140" s="50">
        <f t="shared" ref="J140:K140" si="105" xml:space="preserve"> J115 + J120 - J126 + J136 + J138</f>
        <v>12184</v>
      </c>
      <c r="K140" s="50">
        <f t="shared" si="105"/>
        <v>33542</v>
      </c>
      <c r="L140" s="50">
        <f t="shared" ref="L140:M140" si="106" xml:space="preserve"> L115 + L120 - L126 + L136 + L138</f>
        <v>33542</v>
      </c>
      <c r="M140" s="50">
        <f t="shared" si="106"/>
        <v>23465</v>
      </c>
      <c r="N140" s="50">
        <f t="shared" ref="N140:O140" si="107" xml:space="preserve"> N115 + N120 - N126 + N136 + N138</f>
        <v>13332</v>
      </c>
      <c r="O140" s="50">
        <f t="shared" si="107"/>
        <v>14870</v>
      </c>
      <c r="P140" s="50">
        <f t="shared" ref="P140" si="108" xml:space="preserve"> P115 + P120 - P126 + P136 + P138</f>
        <v>14870</v>
      </c>
    </row>
    <row r="141" spans="1:16" x14ac:dyDescent="0.25">
      <c r="B141" s="6"/>
      <c r="D141" s="7"/>
      <c r="E141" s="7"/>
      <c r="F141" s="7"/>
      <c r="G141" s="31"/>
      <c r="H141" s="31"/>
      <c r="I141" s="31"/>
      <c r="J141" s="31"/>
      <c r="K141" s="31"/>
      <c r="L141" s="31"/>
      <c r="M141" s="31"/>
      <c r="N141" s="31"/>
      <c r="O141" s="31"/>
      <c r="P141" s="31"/>
    </row>
    <row r="142" spans="1:16" ht="15.75" thickBot="1" x14ac:dyDescent="0.3"/>
    <row r="143" spans="1:16" x14ac:dyDescent="0.25">
      <c r="A143" s="8"/>
      <c r="B143" s="8"/>
      <c r="C143" s="8"/>
      <c r="D143" s="8"/>
      <c r="E143" s="8"/>
      <c r="F143" s="8"/>
      <c r="G143" s="8"/>
      <c r="H143" s="8"/>
      <c r="I143" s="8"/>
      <c r="J143" s="8"/>
      <c r="K143" s="8"/>
      <c r="L143" s="8"/>
      <c r="M143" s="8"/>
      <c r="N143" s="8"/>
      <c r="O143" s="8"/>
      <c r="P143" s="8"/>
    </row>
    <row r="144" spans="1:16" x14ac:dyDescent="0.25">
      <c r="B144" s="32"/>
      <c r="C144" s="32"/>
      <c r="D144" s="32"/>
      <c r="E144" s="32"/>
      <c r="F144" s="32"/>
      <c r="G144" s="32"/>
      <c r="H144" s="32"/>
      <c r="I144" s="32"/>
      <c r="J144" s="32"/>
      <c r="K144" s="32"/>
      <c r="L144" s="32"/>
    </row>
    <row r="145" spans="1:16" ht="21" x14ac:dyDescent="0.35">
      <c r="A145" s="16" t="s">
        <v>4</v>
      </c>
      <c r="B145" s="16"/>
      <c r="C145" s="45" t="str">
        <f>B5</f>
        <v>Cabinet Gorge #3</v>
      </c>
      <c r="D145" s="46"/>
      <c r="E145" s="19"/>
      <c r="F145" s="19"/>
    </row>
    <row r="147" spans="1:16" ht="18.75" x14ac:dyDescent="0.3">
      <c r="A147" s="9" t="s">
        <v>27</v>
      </c>
      <c r="B147" s="9"/>
      <c r="D147" s="2">
        <v>2013</v>
      </c>
      <c r="E147" s="2">
        <f t="shared" ref="E147:J147" si="109">D147+1</f>
        <v>2014</v>
      </c>
      <c r="F147" s="2">
        <f t="shared" si="109"/>
        <v>2015</v>
      </c>
      <c r="G147" s="2">
        <f t="shared" si="109"/>
        <v>2016</v>
      </c>
      <c r="H147" s="2">
        <f t="shared" si="109"/>
        <v>2017</v>
      </c>
      <c r="I147" s="2">
        <f t="shared" si="109"/>
        <v>2018</v>
      </c>
      <c r="J147" s="2">
        <f t="shared" si="109"/>
        <v>2019</v>
      </c>
      <c r="K147" s="2">
        <f t="shared" ref="K147:P147" si="110">J147+1</f>
        <v>2020</v>
      </c>
      <c r="L147" s="2">
        <f t="shared" si="110"/>
        <v>2021</v>
      </c>
      <c r="M147" s="2">
        <f t="shared" si="110"/>
        <v>2022</v>
      </c>
      <c r="N147" s="2">
        <f t="shared" si="110"/>
        <v>2023</v>
      </c>
      <c r="O147" s="2">
        <f t="shared" si="110"/>
        <v>2024</v>
      </c>
      <c r="P147" s="2">
        <f t="shared" si="110"/>
        <v>2025</v>
      </c>
    </row>
    <row r="148" spans="1:16" x14ac:dyDescent="0.25">
      <c r="B148" s="86" t="str">
        <f>"Total MWh Produced / Purchased from " &amp; C145</f>
        <v>Total MWh Produced / Purchased from Cabinet Gorge #3</v>
      </c>
      <c r="C148" s="76"/>
      <c r="D148" s="3">
        <v>45808</v>
      </c>
      <c r="E148" s="3">
        <v>45808</v>
      </c>
      <c r="F148" s="3">
        <v>45808</v>
      </c>
      <c r="G148" s="3">
        <v>45808</v>
      </c>
      <c r="H148" s="3">
        <v>45808</v>
      </c>
      <c r="I148" s="3">
        <v>45808</v>
      </c>
      <c r="J148" s="3">
        <v>13690</v>
      </c>
      <c r="K148" s="3">
        <v>20576</v>
      </c>
      <c r="L148" s="3">
        <v>20576</v>
      </c>
      <c r="M148" s="3">
        <v>20379</v>
      </c>
      <c r="N148" s="3">
        <v>9500</v>
      </c>
      <c r="O148" s="3">
        <v>10733</v>
      </c>
      <c r="P148" s="3">
        <v>10733</v>
      </c>
    </row>
    <row r="149" spans="1:16" x14ac:dyDescent="0.25">
      <c r="B149" s="86" t="s">
        <v>32</v>
      </c>
      <c r="C149" s="76"/>
      <c r="D149" s="60">
        <v>1</v>
      </c>
      <c r="E149" s="61">
        <v>1</v>
      </c>
      <c r="F149" s="62">
        <v>1</v>
      </c>
      <c r="G149" s="62">
        <v>1</v>
      </c>
      <c r="H149" s="62">
        <v>1</v>
      </c>
      <c r="I149" s="62">
        <v>1</v>
      </c>
      <c r="J149" s="62">
        <v>1</v>
      </c>
      <c r="K149" s="62">
        <v>1</v>
      </c>
      <c r="L149" s="62">
        <v>1</v>
      </c>
      <c r="M149" s="62">
        <v>1</v>
      </c>
      <c r="N149" s="62">
        <v>1</v>
      </c>
      <c r="O149" s="62">
        <v>1</v>
      </c>
      <c r="P149" s="62">
        <v>1</v>
      </c>
    </row>
    <row r="150" spans="1:16" x14ac:dyDescent="0.25">
      <c r="B150" s="86" t="s">
        <v>26</v>
      </c>
      <c r="C150" s="76"/>
      <c r="D150" s="53">
        <v>1</v>
      </c>
      <c r="E150" s="54">
        <v>1</v>
      </c>
      <c r="F150" s="55">
        <v>1</v>
      </c>
      <c r="G150" s="55">
        <v>1</v>
      </c>
      <c r="H150" s="55">
        <v>1</v>
      </c>
      <c r="I150" s="55">
        <v>1</v>
      </c>
      <c r="J150" s="55">
        <v>1</v>
      </c>
      <c r="K150" s="55">
        <v>1</v>
      </c>
      <c r="L150" s="55">
        <v>1</v>
      </c>
      <c r="M150" s="55">
        <v>1</v>
      </c>
      <c r="N150" s="55">
        <v>1</v>
      </c>
      <c r="O150" s="55">
        <v>1</v>
      </c>
      <c r="P150" s="55">
        <v>1</v>
      </c>
    </row>
    <row r="151" spans="1:16" x14ac:dyDescent="0.25">
      <c r="B151" s="83" t="s">
        <v>28</v>
      </c>
      <c r="C151" s="84"/>
      <c r="D151" s="40">
        <f t="shared" ref="D151:L151" si="111" xml:space="preserve"> D148 * D149 * D150</f>
        <v>45808</v>
      </c>
      <c r="E151" s="40">
        <f t="shared" si="111"/>
        <v>45808</v>
      </c>
      <c r="F151" s="40">
        <f t="shared" si="111"/>
        <v>45808</v>
      </c>
      <c r="G151" s="40">
        <f t="shared" si="111"/>
        <v>45808</v>
      </c>
      <c r="H151" s="40">
        <f t="shared" si="111"/>
        <v>45808</v>
      </c>
      <c r="I151" s="40">
        <f t="shared" si="111"/>
        <v>45808</v>
      </c>
      <c r="J151" s="40">
        <f t="shared" si="111"/>
        <v>13690</v>
      </c>
      <c r="K151" s="40">
        <f t="shared" si="111"/>
        <v>20576</v>
      </c>
      <c r="L151" s="40">
        <f t="shared" si="111"/>
        <v>20576</v>
      </c>
      <c r="M151" s="40">
        <f t="shared" ref="M151:N151" si="112" xml:space="preserve"> M148 * M149 * M150</f>
        <v>20379</v>
      </c>
      <c r="N151" s="40">
        <f t="shared" si="112"/>
        <v>9500</v>
      </c>
      <c r="O151" s="40">
        <f t="shared" ref="O151:P151" si="113" xml:space="preserve"> O148 * O149 * O150</f>
        <v>10733</v>
      </c>
      <c r="P151" s="40">
        <f t="shared" si="113"/>
        <v>10733</v>
      </c>
    </row>
    <row r="152" spans="1:16" x14ac:dyDescent="0.25">
      <c r="B152" s="19"/>
      <c r="C152" s="32"/>
      <c r="D152" s="39"/>
      <c r="E152" s="39"/>
      <c r="F152" s="39"/>
      <c r="G152" s="39"/>
      <c r="H152" s="39"/>
      <c r="I152" s="39"/>
      <c r="J152" s="39"/>
      <c r="K152" s="39"/>
      <c r="L152" s="39"/>
      <c r="M152" s="39"/>
      <c r="N152" s="39"/>
      <c r="O152" s="39"/>
      <c r="P152" s="39"/>
    </row>
    <row r="153" spans="1:16" ht="18.75" x14ac:dyDescent="0.3">
      <c r="A153" s="47" t="s">
        <v>30</v>
      </c>
      <c r="C153" s="32"/>
      <c r="D153" s="2">
        <f>D147</f>
        <v>2013</v>
      </c>
      <c r="E153" s="2">
        <f t="shared" ref="E153:J153" si="114">D153+1</f>
        <v>2014</v>
      </c>
      <c r="F153" s="2">
        <f t="shared" si="114"/>
        <v>2015</v>
      </c>
      <c r="G153" s="2">
        <f t="shared" si="114"/>
        <v>2016</v>
      </c>
      <c r="H153" s="2">
        <f t="shared" si="114"/>
        <v>2017</v>
      </c>
      <c r="I153" s="2">
        <f t="shared" si="114"/>
        <v>2018</v>
      </c>
      <c r="J153" s="2">
        <f t="shared" si="114"/>
        <v>2019</v>
      </c>
      <c r="K153" s="2">
        <f t="shared" ref="K153" si="115">J153+1</f>
        <v>2020</v>
      </c>
      <c r="L153" s="2">
        <f t="shared" ref="L153" si="116">K153+1</f>
        <v>2021</v>
      </c>
      <c r="M153" s="2">
        <f t="shared" ref="M153:P153" si="117">L153+1</f>
        <v>2022</v>
      </c>
      <c r="N153" s="2">
        <f t="shared" si="117"/>
        <v>2023</v>
      </c>
      <c r="O153" s="2">
        <f t="shared" si="117"/>
        <v>2024</v>
      </c>
      <c r="P153" s="2">
        <f t="shared" si="117"/>
        <v>2025</v>
      </c>
    </row>
    <row r="154" spans="1:16" x14ac:dyDescent="0.25">
      <c r="B154" s="86" t="s">
        <v>19</v>
      </c>
      <c r="C154" s="76"/>
      <c r="D154" s="56">
        <f>IF( $E5 = "Eligible",D151 * 'Facility Detail'!$B$613, 0 )</f>
        <v>0</v>
      </c>
      <c r="E154" s="13">
        <f>IF( $E5 = "Eligible",E151 * 'Facility Detail'!$B$613, 0 )</f>
        <v>0</v>
      </c>
      <c r="F154" s="14">
        <f>IF( $E5 = "Eligible",F151 * 'Facility Detail'!$B$613, 0 )</f>
        <v>0</v>
      </c>
      <c r="G154" s="14">
        <f>IF( $E5 = "Eligible",G151 * 'Facility Detail'!$B$613, 0 )</f>
        <v>0</v>
      </c>
      <c r="H154" s="14">
        <f>IF( $E5 = "Eligible",H151 * 'Facility Detail'!$B$613, 0 )</f>
        <v>0</v>
      </c>
      <c r="I154" s="14">
        <f>IF( $E5 = "Eligible",I151 * 'Facility Detail'!$B$613, 0 )</f>
        <v>0</v>
      </c>
      <c r="J154" s="14">
        <f>IF( $E5 = "Eligible",J151 * 'Facility Detail'!$B$613, 0 )</f>
        <v>0</v>
      </c>
      <c r="K154" s="14">
        <f>IF( $E5 = "Eligible",K151 * 'Facility Detail'!$B$613, 0 )</f>
        <v>0</v>
      </c>
      <c r="L154" s="14">
        <f>IF( $E5 = "Eligible",L151 * 'Facility Detail'!$B$613, 0 )</f>
        <v>0</v>
      </c>
      <c r="M154" s="14">
        <f>IF( $E5 = "Eligible",M151 * 'Facility Detail'!$B$613, 0 )</f>
        <v>0</v>
      </c>
      <c r="N154" s="14">
        <f>IF( $E5 = "Eligible",N151 * 'Facility Detail'!$B$613, 0 )</f>
        <v>0</v>
      </c>
      <c r="O154" s="14">
        <f>IF( $E5 = "Eligible",O151 * 'Facility Detail'!$B$613, 0 )</f>
        <v>0</v>
      </c>
      <c r="P154" s="14">
        <f>IF( $E5 = "Eligible",P151 * 'Facility Detail'!$B$613, 0 )</f>
        <v>0</v>
      </c>
    </row>
    <row r="155" spans="1:16" x14ac:dyDescent="0.25">
      <c r="B155" s="86" t="s">
        <v>6</v>
      </c>
      <c r="C155" s="76"/>
      <c r="D155" s="57">
        <f t="shared" ref="D155:I155" si="118">IF( $F5 = "Eligible", D151, 0 )</f>
        <v>0</v>
      </c>
      <c r="E155" s="58">
        <f t="shared" si="118"/>
        <v>0</v>
      </c>
      <c r="F155" s="59">
        <f t="shared" si="118"/>
        <v>0</v>
      </c>
      <c r="G155" s="59">
        <f t="shared" si="118"/>
        <v>0</v>
      </c>
      <c r="H155" s="59">
        <f t="shared" si="118"/>
        <v>0</v>
      </c>
      <c r="I155" s="59">
        <f t="shared" si="118"/>
        <v>0</v>
      </c>
      <c r="J155" s="59">
        <f t="shared" ref="J155:K155" si="119">IF( $F5 = "Eligible", J151, 0 )</f>
        <v>0</v>
      </c>
      <c r="K155" s="59">
        <f t="shared" si="119"/>
        <v>0</v>
      </c>
      <c r="L155" s="59">
        <f t="shared" ref="L155:M155" si="120">IF( $F5 = "Eligible", L151, 0 )</f>
        <v>0</v>
      </c>
      <c r="M155" s="59">
        <f t="shared" si="120"/>
        <v>0</v>
      </c>
      <c r="N155" s="59">
        <f t="shared" ref="N155:O155" si="121">IF( $F5 = "Eligible", N151, 0 )</f>
        <v>0</v>
      </c>
      <c r="O155" s="59">
        <f t="shared" si="121"/>
        <v>0</v>
      </c>
      <c r="P155" s="59">
        <f t="shared" ref="P155" si="122">IF( $F5 = "Eligible", P151, 0 )</f>
        <v>0</v>
      </c>
    </row>
    <row r="156" spans="1:16" x14ac:dyDescent="0.25">
      <c r="B156" s="85" t="s">
        <v>37</v>
      </c>
      <c r="C156" s="84"/>
      <c r="D156" s="42">
        <f t="shared" ref="D156:I156" si="123">SUM(D154:D155)</f>
        <v>0</v>
      </c>
      <c r="E156" s="43">
        <f t="shared" si="123"/>
        <v>0</v>
      </c>
      <c r="F156" s="43">
        <f t="shared" si="123"/>
        <v>0</v>
      </c>
      <c r="G156" s="43">
        <f t="shared" si="123"/>
        <v>0</v>
      </c>
      <c r="H156" s="43">
        <f t="shared" si="123"/>
        <v>0</v>
      </c>
      <c r="I156" s="43">
        <f t="shared" si="123"/>
        <v>0</v>
      </c>
      <c r="J156" s="43">
        <f t="shared" ref="J156:K156" si="124">SUM(J154:J155)</f>
        <v>0</v>
      </c>
      <c r="K156" s="43">
        <f t="shared" si="124"/>
        <v>0</v>
      </c>
      <c r="L156" s="43">
        <f t="shared" ref="L156:M156" si="125">SUM(L154:L155)</f>
        <v>0</v>
      </c>
      <c r="M156" s="43">
        <f t="shared" si="125"/>
        <v>0</v>
      </c>
      <c r="N156" s="43">
        <f t="shared" ref="N156:O156" si="126">SUM(N154:N155)</f>
        <v>0</v>
      </c>
      <c r="O156" s="43">
        <f t="shared" si="126"/>
        <v>0</v>
      </c>
      <c r="P156" s="43">
        <f t="shared" ref="P156" si="127">SUM(P154:P155)</f>
        <v>0</v>
      </c>
    </row>
    <row r="157" spans="1:16" x14ac:dyDescent="0.25">
      <c r="B157" s="32"/>
      <c r="C157" s="32"/>
      <c r="D157" s="41"/>
      <c r="E157" s="33"/>
      <c r="F157" s="33"/>
      <c r="G157" s="33"/>
      <c r="H157" s="33"/>
      <c r="I157" s="33"/>
      <c r="J157" s="33"/>
      <c r="K157" s="33"/>
      <c r="L157" s="33"/>
      <c r="M157" s="33"/>
      <c r="N157" s="33"/>
      <c r="O157" s="33"/>
      <c r="P157" s="33"/>
    </row>
    <row r="158" spans="1:16" ht="18.75" x14ac:dyDescent="0.3">
      <c r="A158" s="44" t="s">
        <v>35</v>
      </c>
      <c r="C158" s="32"/>
      <c r="D158" s="2">
        <f>D147</f>
        <v>2013</v>
      </c>
      <c r="E158" s="2">
        <f t="shared" ref="E158:J158" si="128">D158+1</f>
        <v>2014</v>
      </c>
      <c r="F158" s="2">
        <f t="shared" si="128"/>
        <v>2015</v>
      </c>
      <c r="G158" s="2">
        <f t="shared" si="128"/>
        <v>2016</v>
      </c>
      <c r="H158" s="2">
        <f t="shared" si="128"/>
        <v>2017</v>
      </c>
      <c r="I158" s="2">
        <f t="shared" si="128"/>
        <v>2018</v>
      </c>
      <c r="J158" s="2">
        <f t="shared" si="128"/>
        <v>2019</v>
      </c>
      <c r="K158" s="2">
        <f t="shared" ref="K158" si="129">J158+1</f>
        <v>2020</v>
      </c>
      <c r="L158" s="2">
        <f t="shared" ref="L158" si="130">K158+1</f>
        <v>2021</v>
      </c>
      <c r="M158" s="2">
        <f t="shared" ref="M158:P158" si="131">L158+1</f>
        <v>2022</v>
      </c>
      <c r="N158" s="2">
        <f t="shared" si="131"/>
        <v>2023</v>
      </c>
      <c r="O158" s="2">
        <f t="shared" si="131"/>
        <v>2024</v>
      </c>
      <c r="P158" s="2">
        <f t="shared" si="131"/>
        <v>2025</v>
      </c>
    </row>
    <row r="159" spans="1:16" x14ac:dyDescent="0.25">
      <c r="B159" s="86" t="s">
        <v>39</v>
      </c>
      <c r="C159" s="76"/>
      <c r="D159" s="94">
        <v>0</v>
      </c>
      <c r="E159" s="95">
        <v>0</v>
      </c>
      <c r="F159" s="96">
        <v>0</v>
      </c>
      <c r="G159" s="96">
        <v>0</v>
      </c>
      <c r="H159" s="96">
        <v>0</v>
      </c>
      <c r="I159" s="96">
        <v>0</v>
      </c>
      <c r="J159" s="96">
        <v>0</v>
      </c>
      <c r="K159" s="96">
        <v>0</v>
      </c>
      <c r="L159" s="96">
        <v>0</v>
      </c>
      <c r="M159" s="96">
        <v>0</v>
      </c>
      <c r="N159" s="96">
        <v>0</v>
      </c>
      <c r="O159" s="96">
        <v>0</v>
      </c>
      <c r="P159" s="96">
        <v>0</v>
      </c>
    </row>
    <row r="160" spans="1:16" x14ac:dyDescent="0.25">
      <c r="B160" s="87" t="s">
        <v>29</v>
      </c>
      <c r="C160" s="88"/>
      <c r="D160" s="97">
        <v>0</v>
      </c>
      <c r="E160" s="98">
        <v>0</v>
      </c>
      <c r="F160" s="99">
        <v>0</v>
      </c>
      <c r="G160" s="99">
        <v>0</v>
      </c>
      <c r="H160" s="99">
        <v>0</v>
      </c>
      <c r="I160" s="99">
        <v>0</v>
      </c>
      <c r="J160" s="99">
        <v>0</v>
      </c>
      <c r="K160" s="99">
        <v>0</v>
      </c>
      <c r="L160" s="99">
        <v>0</v>
      </c>
      <c r="M160" s="99">
        <v>0</v>
      </c>
      <c r="N160" s="99">
        <v>0</v>
      </c>
      <c r="O160" s="99">
        <v>0</v>
      </c>
      <c r="P160" s="99">
        <v>0</v>
      </c>
    </row>
    <row r="161" spans="1:16" x14ac:dyDescent="0.25">
      <c r="B161" s="100" t="s">
        <v>41</v>
      </c>
      <c r="C161" s="92"/>
      <c r="D161" s="63">
        <v>0</v>
      </c>
      <c r="E161" s="64">
        <v>0</v>
      </c>
      <c r="F161" s="65">
        <v>0</v>
      </c>
      <c r="G161" s="65">
        <v>0</v>
      </c>
      <c r="H161" s="65">
        <v>0</v>
      </c>
      <c r="I161" s="65">
        <v>0</v>
      </c>
      <c r="J161" s="65">
        <v>0</v>
      </c>
      <c r="K161" s="65">
        <v>0</v>
      </c>
      <c r="L161" s="65">
        <v>0</v>
      </c>
      <c r="M161" s="65">
        <v>0</v>
      </c>
      <c r="N161" s="65">
        <v>0</v>
      </c>
      <c r="O161" s="65">
        <v>0</v>
      </c>
      <c r="P161" s="65">
        <v>0</v>
      </c>
    </row>
    <row r="162" spans="1:16" x14ac:dyDescent="0.25">
      <c r="B162" s="35" t="s">
        <v>42</v>
      </c>
      <c r="D162" s="7">
        <f t="shared" ref="D162:I162" si="132">SUM(D159:D161)</f>
        <v>0</v>
      </c>
      <c r="E162" s="7">
        <f t="shared" si="132"/>
        <v>0</v>
      </c>
      <c r="F162" s="7">
        <f t="shared" si="132"/>
        <v>0</v>
      </c>
      <c r="G162" s="7">
        <f t="shared" si="132"/>
        <v>0</v>
      </c>
      <c r="H162" s="7">
        <f t="shared" si="132"/>
        <v>0</v>
      </c>
      <c r="I162" s="7">
        <f t="shared" si="132"/>
        <v>0</v>
      </c>
      <c r="J162" s="7">
        <f t="shared" ref="J162:K162" si="133">SUM(J159:J161)</f>
        <v>0</v>
      </c>
      <c r="K162" s="7">
        <f t="shared" si="133"/>
        <v>0</v>
      </c>
      <c r="L162" s="7">
        <f t="shared" ref="L162:M162" si="134">SUM(L159:L161)</f>
        <v>0</v>
      </c>
      <c r="M162" s="7">
        <f t="shared" si="134"/>
        <v>0</v>
      </c>
      <c r="N162" s="7">
        <f t="shared" ref="N162:O162" si="135">SUM(N159:N161)</f>
        <v>0</v>
      </c>
      <c r="O162" s="7">
        <f t="shared" si="135"/>
        <v>0</v>
      </c>
      <c r="P162" s="7">
        <f t="shared" ref="P162" si="136">SUM(P159:P161)</f>
        <v>0</v>
      </c>
    </row>
    <row r="163" spans="1:16" x14ac:dyDescent="0.25">
      <c r="B163" s="6"/>
      <c r="D163" s="7"/>
      <c r="E163" s="7"/>
      <c r="F163" s="7"/>
      <c r="G163" s="7"/>
      <c r="H163" s="7"/>
      <c r="I163" s="7"/>
      <c r="J163" s="7"/>
      <c r="K163" s="7"/>
      <c r="L163" s="7"/>
      <c r="M163" s="7"/>
      <c r="N163" s="7"/>
      <c r="O163" s="7"/>
      <c r="P163" s="7"/>
    </row>
    <row r="164" spans="1:16" ht="18.75" x14ac:dyDescent="0.3">
      <c r="A164" s="9" t="s">
        <v>43</v>
      </c>
      <c r="D164" s="2">
        <f>D147</f>
        <v>2013</v>
      </c>
      <c r="E164" s="2">
        <f t="shared" ref="E164:J164" si="137">D164+1</f>
        <v>2014</v>
      </c>
      <c r="F164" s="2">
        <f t="shared" si="137"/>
        <v>2015</v>
      </c>
      <c r="G164" s="2">
        <f t="shared" si="137"/>
        <v>2016</v>
      </c>
      <c r="H164" s="2">
        <f t="shared" si="137"/>
        <v>2017</v>
      </c>
      <c r="I164" s="2">
        <f t="shared" si="137"/>
        <v>2018</v>
      </c>
      <c r="J164" s="2">
        <f t="shared" si="137"/>
        <v>2019</v>
      </c>
      <c r="K164" s="2">
        <f t="shared" ref="K164:P164" si="138">J164+1</f>
        <v>2020</v>
      </c>
      <c r="L164" s="2">
        <f t="shared" si="138"/>
        <v>2021</v>
      </c>
      <c r="M164" s="2">
        <f t="shared" si="138"/>
        <v>2022</v>
      </c>
      <c r="N164" s="2">
        <f t="shared" si="138"/>
        <v>2023</v>
      </c>
      <c r="O164" s="2">
        <f t="shared" si="138"/>
        <v>2024</v>
      </c>
      <c r="P164" s="2">
        <f t="shared" si="138"/>
        <v>2025</v>
      </c>
    </row>
    <row r="165" spans="1:16" x14ac:dyDescent="0.25">
      <c r="B165" s="86" t="str">
        <f xml:space="preserve"> 'Facility Detail'!$B$805 &amp; " Surplus Applied to " &amp; ( 'Facility Detail'!$B$805 + 1 )</f>
        <v>2013 Surplus Applied to 2014</v>
      </c>
      <c r="C165" s="32"/>
      <c r="D165" s="3"/>
      <c r="E165" s="66">
        <f>D165</f>
        <v>0</v>
      </c>
      <c r="F165" s="136"/>
      <c r="G165" s="68"/>
      <c r="H165" s="68"/>
      <c r="I165" s="68"/>
      <c r="J165" s="68"/>
      <c r="K165" s="68"/>
      <c r="L165" s="68"/>
      <c r="M165" s="68"/>
      <c r="N165" s="68"/>
      <c r="O165" s="68"/>
      <c r="P165" s="68"/>
    </row>
    <row r="166" spans="1:16" x14ac:dyDescent="0.25">
      <c r="B166" s="86" t="str">
        <f xml:space="preserve"> ( 'Facility Detail'!$B$805 + 1 ) &amp; " Surplus Applied to " &amp; ( 'Facility Detail'!$B$805 )</f>
        <v>2014 Surplus Applied to 2013</v>
      </c>
      <c r="C166" s="32"/>
      <c r="D166" s="137">
        <f>E166</f>
        <v>0</v>
      </c>
      <c r="E166" s="10"/>
      <c r="F166" s="80"/>
      <c r="G166" s="79"/>
      <c r="H166" s="79"/>
      <c r="I166" s="79"/>
      <c r="J166" s="79"/>
      <c r="K166" s="79"/>
      <c r="L166" s="79"/>
      <c r="M166" s="79"/>
      <c r="N166" s="79"/>
      <c r="O166" s="79"/>
      <c r="P166" s="79"/>
    </row>
    <row r="167" spans="1:16" x14ac:dyDescent="0.25">
      <c r="B167" s="86" t="str">
        <f xml:space="preserve"> ( 'Facility Detail'!$B$805 + 1 ) &amp; " Surplus Applied to " &amp; ( 'Facility Detail'!$B$805 + 2 )</f>
        <v>2014 Surplus Applied to 2015</v>
      </c>
      <c r="C167" s="32"/>
      <c r="D167" s="69"/>
      <c r="E167" s="10"/>
      <c r="F167" s="75">
        <f>E167</f>
        <v>0</v>
      </c>
      <c r="G167" s="79"/>
      <c r="H167" s="79"/>
      <c r="I167" s="79"/>
      <c r="J167" s="79"/>
      <c r="K167" s="79"/>
      <c r="L167" s="79"/>
      <c r="M167" s="79"/>
      <c r="N167" s="79"/>
      <c r="O167" s="79"/>
      <c r="P167" s="79"/>
    </row>
    <row r="168" spans="1:16" x14ac:dyDescent="0.25">
      <c r="B168" s="86" t="str">
        <f xml:space="preserve"> ( 'Facility Detail'!$B$805 + 2 ) &amp; " Surplus Applied to " &amp; ( 'Facility Detail'!$B$805 + 1 )</f>
        <v>2015 Surplus Applied to 2014</v>
      </c>
      <c r="C168" s="32"/>
      <c r="D168" s="69"/>
      <c r="E168" s="75">
        <f>F168</f>
        <v>0</v>
      </c>
      <c r="F168" s="10"/>
      <c r="G168" s="79"/>
      <c r="H168" s="79"/>
      <c r="I168" s="79"/>
      <c r="J168" s="79"/>
      <c r="K168" s="79"/>
      <c r="L168" s="79"/>
      <c r="M168" s="79"/>
      <c r="N168" s="79"/>
      <c r="O168" s="79"/>
      <c r="P168" s="79"/>
    </row>
    <row r="169" spans="1:16" x14ac:dyDescent="0.25">
      <c r="B169" s="86" t="str">
        <f xml:space="preserve"> ( 'Facility Detail'!$B$805 + 2 ) &amp; " Surplus Applied to " &amp; ( 'Facility Detail'!$B$805 + 3 )</f>
        <v>2015 Surplus Applied to 2016</v>
      </c>
      <c r="C169" s="32"/>
      <c r="D169" s="69"/>
      <c r="E169" s="80"/>
      <c r="F169" s="10"/>
      <c r="G169" s="138">
        <f>F169</f>
        <v>0</v>
      </c>
      <c r="H169" s="138">
        <f>G169</f>
        <v>0</v>
      </c>
      <c r="I169" s="138">
        <f>H169</f>
        <v>0</v>
      </c>
      <c r="J169" s="138">
        <f>I169</f>
        <v>0</v>
      </c>
      <c r="K169" s="138"/>
      <c r="L169" s="138"/>
      <c r="M169" s="138"/>
      <c r="N169" s="138"/>
      <c r="O169" s="138"/>
      <c r="P169" s="138"/>
    </row>
    <row r="170" spans="1:16" x14ac:dyDescent="0.25">
      <c r="B170" s="86" t="str">
        <f xml:space="preserve"> ( 'Facility Detail'!$B$805 +3 ) &amp; " Surplus Applied to " &amp; ( 'Facility Detail'!$B$805 + 2 )</f>
        <v>2016 Surplus Applied to 2015</v>
      </c>
      <c r="C170" s="32"/>
      <c r="D170" s="70"/>
      <c r="E170" s="81"/>
      <c r="F170" s="67">
        <f>G170</f>
        <v>0</v>
      </c>
      <c r="G170" s="139"/>
      <c r="H170" s="139"/>
      <c r="I170" s="139"/>
      <c r="J170" s="139"/>
      <c r="K170" s="139"/>
      <c r="L170" s="139"/>
      <c r="M170" s="139"/>
      <c r="N170" s="139"/>
      <c r="O170" s="139"/>
      <c r="P170" s="139"/>
    </row>
    <row r="171" spans="1:16" x14ac:dyDescent="0.25">
      <c r="B171" s="86" t="str">
        <f xml:space="preserve"> ( 'Facility Detail'!$B$805 +3 ) &amp; " Surplus Applied to " &amp; ( 'Facility Detail'!$B$805 + 4 )</f>
        <v>2016 Surplus Applied to 2017</v>
      </c>
      <c r="C171" s="32"/>
      <c r="D171" s="142"/>
      <c r="E171" s="142"/>
      <c r="F171" s="20"/>
      <c r="G171" s="143"/>
      <c r="H171" s="143"/>
      <c r="I171" s="143"/>
      <c r="J171" s="143"/>
      <c r="K171" s="143"/>
      <c r="L171" s="143"/>
      <c r="M171" s="143"/>
      <c r="N171" s="143"/>
      <c r="O171" s="143"/>
      <c r="P171" s="143"/>
    </row>
    <row r="172" spans="1:16" x14ac:dyDescent="0.25">
      <c r="B172" s="35" t="s">
        <v>25</v>
      </c>
      <c r="D172" s="7">
        <f xml:space="preserve"> D166 - D165</f>
        <v>0</v>
      </c>
      <c r="E172" s="7">
        <f xml:space="preserve"> E165 + E168 - E167 - E166</f>
        <v>0</v>
      </c>
      <c r="F172" s="7">
        <f>F167+F170-F168-F169</f>
        <v>0</v>
      </c>
      <c r="G172" s="7">
        <f t="shared" ref="G172:L172" si="139">G169-G170</f>
        <v>0</v>
      </c>
      <c r="H172" s="7">
        <f t="shared" si="139"/>
        <v>0</v>
      </c>
      <c r="I172" s="7">
        <f t="shared" si="139"/>
        <v>0</v>
      </c>
      <c r="J172" s="7">
        <f t="shared" si="139"/>
        <v>0</v>
      </c>
      <c r="K172" s="7">
        <f t="shared" si="139"/>
        <v>0</v>
      </c>
      <c r="L172" s="7">
        <f t="shared" si="139"/>
        <v>0</v>
      </c>
      <c r="M172" s="7">
        <f t="shared" ref="M172:N172" si="140">M169-M170</f>
        <v>0</v>
      </c>
      <c r="N172" s="7">
        <f t="shared" si="140"/>
        <v>0</v>
      </c>
      <c r="O172" s="7">
        <f t="shared" ref="O172:P172" si="141">O169-O170</f>
        <v>0</v>
      </c>
      <c r="P172" s="7">
        <f t="shared" si="141"/>
        <v>0</v>
      </c>
    </row>
    <row r="173" spans="1:16" x14ac:dyDescent="0.25">
      <c r="B173" s="6"/>
      <c r="D173" s="7"/>
      <c r="E173" s="7"/>
      <c r="F173" s="7"/>
      <c r="G173" s="7"/>
      <c r="H173" s="7"/>
      <c r="I173" s="7"/>
      <c r="J173" s="7"/>
      <c r="K173" s="7"/>
      <c r="L173" s="7"/>
      <c r="M173" s="7"/>
      <c r="N173" s="7"/>
      <c r="O173" s="7"/>
      <c r="P173" s="7"/>
    </row>
    <row r="174" spans="1:16" x14ac:dyDescent="0.25">
      <c r="B174" s="93" t="s">
        <v>21</v>
      </c>
      <c r="C174" s="76"/>
      <c r="D174" s="107"/>
      <c r="E174" s="108"/>
      <c r="F174" s="109"/>
      <c r="G174" s="109"/>
      <c r="H174" s="109"/>
      <c r="I174" s="109"/>
      <c r="J174" s="109"/>
      <c r="K174" s="109"/>
      <c r="L174" s="109"/>
      <c r="M174" s="109"/>
      <c r="N174" s="109"/>
      <c r="O174" s="109"/>
      <c r="P174" s="109"/>
    </row>
    <row r="175" spans="1:16" x14ac:dyDescent="0.25">
      <c r="B175" s="6"/>
      <c r="D175" s="7"/>
      <c r="E175" s="7"/>
      <c r="F175" s="7"/>
      <c r="G175" s="7"/>
      <c r="H175" s="7"/>
      <c r="I175" s="7"/>
      <c r="J175" s="7"/>
      <c r="K175" s="7"/>
      <c r="L175" s="7"/>
      <c r="M175" s="7"/>
      <c r="N175" s="7"/>
      <c r="O175" s="7"/>
      <c r="P175" s="7"/>
    </row>
    <row r="176" spans="1:16" ht="15.75" x14ac:dyDescent="0.25">
      <c r="A176" s="89" t="s">
        <v>33</v>
      </c>
      <c r="C176" s="76"/>
      <c r="D176" s="48">
        <f t="shared" ref="D176:I176" si="142" xml:space="preserve"> D151 + D156 - D162 + D172 + D174</f>
        <v>45808</v>
      </c>
      <c r="E176" s="49">
        <f t="shared" si="142"/>
        <v>45808</v>
      </c>
      <c r="F176" s="50">
        <f t="shared" si="142"/>
        <v>45808</v>
      </c>
      <c r="G176" s="50">
        <f t="shared" si="142"/>
        <v>45808</v>
      </c>
      <c r="H176" s="50">
        <f t="shared" si="142"/>
        <v>45808</v>
      </c>
      <c r="I176" s="50">
        <f t="shared" si="142"/>
        <v>45808</v>
      </c>
      <c r="J176" s="50">
        <f t="shared" ref="J176:K176" si="143" xml:space="preserve"> J151 + J156 - J162 + J172 + J174</f>
        <v>13690</v>
      </c>
      <c r="K176" s="50">
        <f t="shared" si="143"/>
        <v>20576</v>
      </c>
      <c r="L176" s="50">
        <f t="shared" ref="L176:M176" si="144" xml:space="preserve"> L151 + L156 - L162 + L172 + L174</f>
        <v>20576</v>
      </c>
      <c r="M176" s="50">
        <f t="shared" si="144"/>
        <v>20379</v>
      </c>
      <c r="N176" s="50">
        <f t="shared" ref="N176:O176" si="145" xml:space="preserve"> N151 + N156 - N162 + N172 + N174</f>
        <v>9500</v>
      </c>
      <c r="O176" s="50">
        <f t="shared" si="145"/>
        <v>10733</v>
      </c>
      <c r="P176" s="50">
        <f t="shared" ref="P176" si="146" xml:space="preserve"> P151 + P156 - P162 + P172 + P174</f>
        <v>10733</v>
      </c>
    </row>
    <row r="177" spans="1:16" x14ac:dyDescent="0.25">
      <c r="B177" s="6"/>
      <c r="D177" s="7"/>
      <c r="E177" s="7"/>
      <c r="F177" s="7"/>
      <c r="G177" s="31"/>
      <c r="H177" s="31"/>
      <c r="I177" s="31"/>
      <c r="J177" s="31"/>
      <c r="K177" s="31"/>
      <c r="L177" s="31"/>
      <c r="M177" s="31"/>
      <c r="N177" s="31"/>
      <c r="O177" s="31"/>
      <c r="P177" s="31"/>
    </row>
    <row r="178" spans="1:16" ht="15.75" thickBot="1" x14ac:dyDescent="0.3"/>
    <row r="179" spans="1:16" x14ac:dyDescent="0.25">
      <c r="A179" s="8"/>
      <c r="B179" s="8"/>
      <c r="C179" s="8"/>
      <c r="D179" s="8"/>
      <c r="E179" s="8"/>
      <c r="F179" s="8"/>
      <c r="G179" s="8"/>
      <c r="H179" s="8"/>
      <c r="I179" s="8"/>
      <c r="J179" s="8"/>
      <c r="K179" s="8"/>
      <c r="L179" s="8"/>
      <c r="M179" s="8"/>
      <c r="N179" s="8"/>
      <c r="O179" s="8"/>
      <c r="P179" s="8"/>
    </row>
    <row r="180" spans="1:16" x14ac:dyDescent="0.25">
      <c r="B180" s="32"/>
      <c r="C180" s="32"/>
      <c r="D180" s="32"/>
      <c r="E180" s="32"/>
      <c r="F180" s="32"/>
      <c r="G180" s="32"/>
      <c r="H180" s="32"/>
      <c r="I180" s="32"/>
      <c r="J180" s="32"/>
      <c r="K180" s="32"/>
      <c r="L180" s="32"/>
    </row>
    <row r="181" spans="1:16" ht="21" x14ac:dyDescent="0.35">
      <c r="A181" s="16" t="s">
        <v>4</v>
      </c>
      <c r="B181" s="16"/>
      <c r="C181" s="45" t="str">
        <f>B6</f>
        <v>Cabinet Gorge #4</v>
      </c>
      <c r="D181" s="46"/>
      <c r="E181" s="19"/>
      <c r="F181" s="19"/>
    </row>
    <row r="183" spans="1:16" ht="18.75" x14ac:dyDescent="0.3">
      <c r="A183" s="9" t="s">
        <v>27</v>
      </c>
      <c r="B183" s="9"/>
      <c r="D183" s="2">
        <v>2013</v>
      </c>
      <c r="E183" s="2">
        <f t="shared" ref="E183:J183" si="147">D183+1</f>
        <v>2014</v>
      </c>
      <c r="F183" s="2">
        <f t="shared" si="147"/>
        <v>2015</v>
      </c>
      <c r="G183" s="2">
        <f t="shared" si="147"/>
        <v>2016</v>
      </c>
      <c r="H183" s="2">
        <f t="shared" si="147"/>
        <v>2017</v>
      </c>
      <c r="I183" s="2">
        <f t="shared" si="147"/>
        <v>2018</v>
      </c>
      <c r="J183" s="2">
        <f t="shared" si="147"/>
        <v>2019</v>
      </c>
      <c r="K183" s="2">
        <f t="shared" ref="K183:P183" si="148">J183+1</f>
        <v>2020</v>
      </c>
      <c r="L183" s="2">
        <f t="shared" si="148"/>
        <v>2021</v>
      </c>
      <c r="M183" s="2">
        <f t="shared" si="148"/>
        <v>2022</v>
      </c>
      <c r="N183" s="2">
        <f t="shared" si="148"/>
        <v>2023</v>
      </c>
      <c r="O183" s="2">
        <f t="shared" si="148"/>
        <v>2024</v>
      </c>
      <c r="P183" s="2">
        <f t="shared" si="148"/>
        <v>2025</v>
      </c>
    </row>
    <row r="184" spans="1:16" x14ac:dyDescent="0.25">
      <c r="B184" s="86" t="str">
        <f>"Total MWh Produced / Purchased from " &amp; C181</f>
        <v>Total MWh Produced / Purchased from Cabinet Gorge #4</v>
      </c>
      <c r="C184" s="76"/>
      <c r="D184" s="3">
        <v>20517</v>
      </c>
      <c r="E184" s="4">
        <v>20517</v>
      </c>
      <c r="F184" s="5">
        <v>20517</v>
      </c>
      <c r="G184" s="5">
        <v>20517</v>
      </c>
      <c r="H184" s="5">
        <v>20517</v>
      </c>
      <c r="I184" s="5">
        <v>20517</v>
      </c>
      <c r="J184" s="5">
        <v>6137</v>
      </c>
      <c r="K184" s="5">
        <v>302</v>
      </c>
      <c r="L184" s="5">
        <v>302</v>
      </c>
      <c r="M184" s="5">
        <v>13662</v>
      </c>
      <c r="N184" s="5">
        <v>13442</v>
      </c>
      <c r="O184" s="5">
        <v>14310</v>
      </c>
      <c r="P184" s="5">
        <v>14310</v>
      </c>
    </row>
    <row r="185" spans="1:16" x14ac:dyDescent="0.25">
      <c r="B185" s="86" t="s">
        <v>32</v>
      </c>
      <c r="C185" s="76"/>
      <c r="D185" s="60">
        <v>1</v>
      </c>
      <c r="E185" s="61">
        <v>1</v>
      </c>
      <c r="F185" s="62">
        <v>1</v>
      </c>
      <c r="G185" s="62">
        <v>1</v>
      </c>
      <c r="H185" s="62">
        <v>1</v>
      </c>
      <c r="I185" s="62">
        <v>1</v>
      </c>
      <c r="J185" s="62">
        <v>1</v>
      </c>
      <c r="K185" s="62">
        <v>1</v>
      </c>
      <c r="L185" s="62">
        <v>1</v>
      </c>
      <c r="M185" s="62">
        <v>1</v>
      </c>
      <c r="N185" s="62">
        <v>1</v>
      </c>
      <c r="O185" s="62">
        <v>1</v>
      </c>
      <c r="P185" s="62">
        <v>1</v>
      </c>
    </row>
    <row r="186" spans="1:16" x14ac:dyDescent="0.25">
      <c r="B186" s="86" t="s">
        <v>26</v>
      </c>
      <c r="C186" s="76"/>
      <c r="D186" s="53">
        <v>1</v>
      </c>
      <c r="E186" s="54">
        <v>1</v>
      </c>
      <c r="F186" s="55">
        <v>1</v>
      </c>
      <c r="G186" s="55">
        <v>1</v>
      </c>
      <c r="H186" s="55">
        <v>1</v>
      </c>
      <c r="I186" s="55">
        <v>1</v>
      </c>
      <c r="J186" s="55">
        <v>1</v>
      </c>
      <c r="K186" s="55">
        <v>1</v>
      </c>
      <c r="L186" s="55">
        <v>1</v>
      </c>
      <c r="M186" s="55">
        <v>1</v>
      </c>
      <c r="N186" s="55">
        <v>1</v>
      </c>
      <c r="O186" s="55">
        <v>1</v>
      </c>
      <c r="P186" s="55">
        <v>1</v>
      </c>
    </row>
    <row r="187" spans="1:16" x14ac:dyDescent="0.25">
      <c r="B187" s="83" t="s">
        <v>28</v>
      </c>
      <c r="C187" s="84"/>
      <c r="D187" s="40">
        <f t="shared" ref="D187:L187" si="149" xml:space="preserve"> D184 * D185 * D186</f>
        <v>20517</v>
      </c>
      <c r="E187" s="40">
        <f t="shared" si="149"/>
        <v>20517</v>
      </c>
      <c r="F187" s="40">
        <f t="shared" si="149"/>
        <v>20517</v>
      </c>
      <c r="G187" s="40">
        <f t="shared" si="149"/>
        <v>20517</v>
      </c>
      <c r="H187" s="40">
        <f t="shared" si="149"/>
        <v>20517</v>
      </c>
      <c r="I187" s="40">
        <f t="shared" si="149"/>
        <v>20517</v>
      </c>
      <c r="J187" s="40">
        <f t="shared" si="149"/>
        <v>6137</v>
      </c>
      <c r="K187" s="40">
        <f t="shared" si="149"/>
        <v>302</v>
      </c>
      <c r="L187" s="40">
        <f t="shared" si="149"/>
        <v>302</v>
      </c>
      <c r="M187" s="40">
        <f t="shared" ref="M187:N187" si="150" xml:space="preserve"> M184 * M185 * M186</f>
        <v>13662</v>
      </c>
      <c r="N187" s="40">
        <f t="shared" si="150"/>
        <v>13442</v>
      </c>
      <c r="O187" s="40">
        <f t="shared" ref="O187:P187" si="151" xml:space="preserve"> O184 * O185 * O186</f>
        <v>14310</v>
      </c>
      <c r="P187" s="40">
        <f t="shared" si="151"/>
        <v>14310</v>
      </c>
    </row>
    <row r="188" spans="1:16" x14ac:dyDescent="0.25">
      <c r="B188" s="19"/>
      <c r="C188" s="32"/>
      <c r="D188" s="39"/>
      <c r="E188" s="39"/>
      <c r="F188" s="39"/>
      <c r="G188" s="39"/>
      <c r="H188" s="39"/>
      <c r="I188" s="39"/>
      <c r="J188" s="39"/>
      <c r="K188" s="39"/>
      <c r="L188" s="39"/>
      <c r="M188" s="39"/>
      <c r="N188" s="39"/>
      <c r="O188" s="39"/>
      <c r="P188" s="39"/>
    </row>
    <row r="189" spans="1:16" ht="18.75" x14ac:dyDescent="0.3">
      <c r="A189" s="47" t="s">
        <v>30</v>
      </c>
      <c r="C189" s="32"/>
      <c r="D189" s="2">
        <f>D183</f>
        <v>2013</v>
      </c>
      <c r="E189" s="2">
        <f t="shared" ref="E189:J189" si="152">D189+1</f>
        <v>2014</v>
      </c>
      <c r="F189" s="2">
        <f t="shared" si="152"/>
        <v>2015</v>
      </c>
      <c r="G189" s="2">
        <f t="shared" si="152"/>
        <v>2016</v>
      </c>
      <c r="H189" s="2">
        <f t="shared" si="152"/>
        <v>2017</v>
      </c>
      <c r="I189" s="2">
        <f t="shared" si="152"/>
        <v>2018</v>
      </c>
      <c r="J189" s="2">
        <f t="shared" si="152"/>
        <v>2019</v>
      </c>
      <c r="K189" s="2">
        <f t="shared" ref="K189:P189" si="153">J189+1</f>
        <v>2020</v>
      </c>
      <c r="L189" s="2">
        <f t="shared" si="153"/>
        <v>2021</v>
      </c>
      <c r="M189" s="2">
        <f t="shared" si="153"/>
        <v>2022</v>
      </c>
      <c r="N189" s="2">
        <f t="shared" si="153"/>
        <v>2023</v>
      </c>
      <c r="O189" s="2">
        <f t="shared" si="153"/>
        <v>2024</v>
      </c>
      <c r="P189" s="2">
        <f t="shared" si="153"/>
        <v>2025</v>
      </c>
    </row>
    <row r="190" spans="1:16" x14ac:dyDescent="0.25">
      <c r="B190" s="86" t="s">
        <v>19</v>
      </c>
      <c r="C190" s="76"/>
      <c r="D190" s="56">
        <f>IF( $E6 = "Eligible", D187 * 'Facility Detail'!$B$613, 0 )</f>
        <v>0</v>
      </c>
      <c r="E190" s="13">
        <f>IF( $E6 = "Eligible", E187 * 'Facility Detail'!$B$613, 0 )</f>
        <v>0</v>
      </c>
      <c r="F190" s="14">
        <f>IF( $E6 = "Eligible", F187 * 'Facility Detail'!$B$613, 0 )</f>
        <v>0</v>
      </c>
      <c r="G190" s="14">
        <f>IF( $E6 = "Eligible", G187 * 'Facility Detail'!$B$613, 0 )</f>
        <v>0</v>
      </c>
      <c r="H190" s="14">
        <f>IF( $E6 = "Eligible", H187 * 'Facility Detail'!$B$613, 0 )</f>
        <v>0</v>
      </c>
      <c r="I190" s="14">
        <f>IF( $E6 = "Eligible", I187 * 'Facility Detail'!$B$613, 0 )</f>
        <v>0</v>
      </c>
      <c r="J190" s="14">
        <f>IF( $E6 = "Eligible", J187 * 'Facility Detail'!$B$613, 0 )</f>
        <v>0</v>
      </c>
      <c r="K190" s="14">
        <f>IF( $E6 = "Eligible", K187 * 'Facility Detail'!$B$613, 0 )</f>
        <v>0</v>
      </c>
      <c r="L190" s="14">
        <f>IF( $E6 = "Eligible", L187 * 'Facility Detail'!$B$613, 0 )</f>
        <v>0</v>
      </c>
      <c r="M190" s="14">
        <f>IF( $E6 = "Eligible", M187 * 'Facility Detail'!$B$613, 0 )</f>
        <v>0</v>
      </c>
      <c r="N190" s="14">
        <f>IF( $E6 = "Eligible", N187 * 'Facility Detail'!$B$613, 0 )</f>
        <v>0</v>
      </c>
      <c r="O190" s="14">
        <f>IF( $E6 = "Eligible", O187 * 'Facility Detail'!$B$613, 0 )</f>
        <v>0</v>
      </c>
      <c r="P190" s="14">
        <f>IF( $E6 = "Eligible", P187 * 'Facility Detail'!$B$613, 0 )</f>
        <v>0</v>
      </c>
    </row>
    <row r="191" spans="1:16" x14ac:dyDescent="0.25">
      <c r="B191" s="86" t="s">
        <v>6</v>
      </c>
      <c r="C191" s="76"/>
      <c r="D191" s="57">
        <f t="shared" ref="D191:I191" si="154">IF( $F6 = "Eligible", D187, 0 )</f>
        <v>0</v>
      </c>
      <c r="E191" s="58">
        <f t="shared" si="154"/>
        <v>0</v>
      </c>
      <c r="F191" s="59">
        <f t="shared" si="154"/>
        <v>0</v>
      </c>
      <c r="G191" s="59">
        <f t="shared" si="154"/>
        <v>0</v>
      </c>
      <c r="H191" s="59">
        <f t="shared" si="154"/>
        <v>0</v>
      </c>
      <c r="I191" s="59">
        <f t="shared" si="154"/>
        <v>0</v>
      </c>
      <c r="J191" s="59">
        <f t="shared" ref="J191:K191" si="155">IF( $F6 = "Eligible", J187, 0 )</f>
        <v>0</v>
      </c>
      <c r="K191" s="59">
        <f t="shared" si="155"/>
        <v>0</v>
      </c>
      <c r="L191" s="59">
        <f t="shared" ref="L191:M191" si="156">IF( $F6 = "Eligible", L187, 0 )</f>
        <v>0</v>
      </c>
      <c r="M191" s="59">
        <f t="shared" si="156"/>
        <v>0</v>
      </c>
      <c r="N191" s="59">
        <f t="shared" ref="N191:O191" si="157">IF( $F6 = "Eligible", N187, 0 )</f>
        <v>0</v>
      </c>
      <c r="O191" s="59">
        <f t="shared" si="157"/>
        <v>0</v>
      </c>
      <c r="P191" s="59">
        <f t="shared" ref="P191" si="158">IF( $F6 = "Eligible", P187, 0 )</f>
        <v>0</v>
      </c>
    </row>
    <row r="192" spans="1:16" x14ac:dyDescent="0.25">
      <c r="B192" s="85" t="s">
        <v>37</v>
      </c>
      <c r="C192" s="84"/>
      <c r="D192" s="42">
        <f t="shared" ref="D192:I192" si="159">SUM(D190:D191)</f>
        <v>0</v>
      </c>
      <c r="E192" s="43">
        <f t="shared" si="159"/>
        <v>0</v>
      </c>
      <c r="F192" s="43">
        <f t="shared" si="159"/>
        <v>0</v>
      </c>
      <c r="G192" s="43">
        <f t="shared" si="159"/>
        <v>0</v>
      </c>
      <c r="H192" s="43">
        <f t="shared" si="159"/>
        <v>0</v>
      </c>
      <c r="I192" s="43">
        <f t="shared" si="159"/>
        <v>0</v>
      </c>
      <c r="J192" s="43">
        <f t="shared" ref="J192:K192" si="160">SUM(J190:J191)</f>
        <v>0</v>
      </c>
      <c r="K192" s="43">
        <f t="shared" si="160"/>
        <v>0</v>
      </c>
      <c r="L192" s="43">
        <f t="shared" ref="L192:M192" si="161">SUM(L190:L191)</f>
        <v>0</v>
      </c>
      <c r="M192" s="43">
        <f t="shared" si="161"/>
        <v>0</v>
      </c>
      <c r="N192" s="43">
        <f t="shared" ref="N192:O192" si="162">SUM(N190:N191)</f>
        <v>0</v>
      </c>
      <c r="O192" s="43">
        <f t="shared" si="162"/>
        <v>0</v>
      </c>
      <c r="P192" s="43">
        <f t="shared" ref="P192" si="163">SUM(P190:P191)</f>
        <v>0</v>
      </c>
    </row>
    <row r="193" spans="1:16" x14ac:dyDescent="0.25">
      <c r="B193" s="32"/>
      <c r="C193" s="32"/>
      <c r="D193" s="41"/>
      <c r="E193" s="33"/>
      <c r="F193" s="33"/>
      <c r="G193" s="33"/>
      <c r="H193" s="33"/>
      <c r="I193" s="33"/>
      <c r="J193" s="33"/>
      <c r="K193" s="33"/>
      <c r="L193" s="33"/>
      <c r="M193" s="33"/>
      <c r="N193" s="33"/>
      <c r="O193" s="33"/>
      <c r="P193" s="33"/>
    </row>
    <row r="194" spans="1:16" ht="18.75" x14ac:dyDescent="0.3">
      <c r="A194" s="44" t="s">
        <v>35</v>
      </c>
      <c r="C194" s="32"/>
      <c r="D194" s="2">
        <f>D183</f>
        <v>2013</v>
      </c>
      <c r="E194" s="2">
        <f t="shared" ref="E194:J194" si="164">D194+1</f>
        <v>2014</v>
      </c>
      <c r="F194" s="2">
        <f t="shared" si="164"/>
        <v>2015</v>
      </c>
      <c r="G194" s="2">
        <f t="shared" si="164"/>
        <v>2016</v>
      </c>
      <c r="H194" s="2">
        <f t="shared" si="164"/>
        <v>2017</v>
      </c>
      <c r="I194" s="2">
        <f t="shared" si="164"/>
        <v>2018</v>
      </c>
      <c r="J194" s="2">
        <f t="shared" si="164"/>
        <v>2019</v>
      </c>
      <c r="K194" s="2">
        <f t="shared" ref="K194:P194" si="165">J194+1</f>
        <v>2020</v>
      </c>
      <c r="L194" s="2">
        <f t="shared" si="165"/>
        <v>2021</v>
      </c>
      <c r="M194" s="2">
        <f t="shared" si="165"/>
        <v>2022</v>
      </c>
      <c r="N194" s="2">
        <f t="shared" si="165"/>
        <v>2023</v>
      </c>
      <c r="O194" s="2">
        <f t="shared" si="165"/>
        <v>2024</v>
      </c>
      <c r="P194" s="2">
        <f t="shared" si="165"/>
        <v>2025</v>
      </c>
    </row>
    <row r="195" spans="1:16" x14ac:dyDescent="0.25">
      <c r="B195" s="86" t="s">
        <v>39</v>
      </c>
      <c r="C195" s="76"/>
      <c r="D195" s="94">
        <v>0</v>
      </c>
      <c r="E195" s="95">
        <v>0</v>
      </c>
      <c r="F195" s="96">
        <v>0</v>
      </c>
      <c r="G195" s="96">
        <v>0</v>
      </c>
      <c r="H195" s="96">
        <v>0</v>
      </c>
      <c r="I195" s="96">
        <v>0</v>
      </c>
      <c r="J195" s="96">
        <v>0</v>
      </c>
      <c r="K195" s="96">
        <v>0</v>
      </c>
      <c r="L195" s="96">
        <v>0</v>
      </c>
      <c r="M195" s="96">
        <v>0</v>
      </c>
      <c r="N195" s="96">
        <v>0</v>
      </c>
      <c r="O195" s="96">
        <v>0</v>
      </c>
      <c r="P195" s="96">
        <v>0</v>
      </c>
    </row>
    <row r="196" spans="1:16" x14ac:dyDescent="0.25">
      <c r="B196" s="87" t="s">
        <v>29</v>
      </c>
      <c r="C196" s="88"/>
      <c r="D196" s="97">
        <v>0</v>
      </c>
      <c r="E196" s="98">
        <v>0</v>
      </c>
      <c r="F196" s="99">
        <v>0</v>
      </c>
      <c r="G196" s="99">
        <v>0</v>
      </c>
      <c r="H196" s="99">
        <v>0</v>
      </c>
      <c r="I196" s="99">
        <v>0</v>
      </c>
      <c r="J196" s="99">
        <v>0</v>
      </c>
      <c r="K196" s="99">
        <v>0</v>
      </c>
      <c r="L196" s="99">
        <v>0</v>
      </c>
      <c r="M196" s="99">
        <v>0</v>
      </c>
      <c r="N196" s="99">
        <v>0</v>
      </c>
      <c r="O196" s="99">
        <v>0</v>
      </c>
      <c r="P196" s="99">
        <v>0</v>
      </c>
    </row>
    <row r="197" spans="1:16" x14ac:dyDescent="0.25">
      <c r="B197" s="100" t="s">
        <v>41</v>
      </c>
      <c r="C197" s="92"/>
      <c r="D197" s="63">
        <v>0</v>
      </c>
      <c r="E197" s="64">
        <v>0</v>
      </c>
      <c r="F197" s="65">
        <v>0</v>
      </c>
      <c r="G197" s="65">
        <v>0</v>
      </c>
      <c r="H197" s="65">
        <v>0</v>
      </c>
      <c r="I197" s="65">
        <v>0</v>
      </c>
      <c r="J197" s="65">
        <v>0</v>
      </c>
      <c r="K197" s="65">
        <v>0</v>
      </c>
      <c r="L197" s="65">
        <v>0</v>
      </c>
      <c r="M197" s="65">
        <v>0</v>
      </c>
      <c r="N197" s="65">
        <v>0</v>
      </c>
      <c r="O197" s="65">
        <v>0</v>
      </c>
      <c r="P197" s="65">
        <v>0</v>
      </c>
    </row>
    <row r="198" spans="1:16" x14ac:dyDescent="0.25">
      <c r="B198" s="35" t="s">
        <v>42</v>
      </c>
      <c r="D198" s="7">
        <f t="shared" ref="D198:I198" si="166">SUM(D195:D197)</f>
        <v>0</v>
      </c>
      <c r="E198" s="7">
        <f t="shared" si="166"/>
        <v>0</v>
      </c>
      <c r="F198" s="7">
        <f t="shared" si="166"/>
        <v>0</v>
      </c>
      <c r="G198" s="7">
        <f t="shared" si="166"/>
        <v>0</v>
      </c>
      <c r="H198" s="7">
        <f t="shared" si="166"/>
        <v>0</v>
      </c>
      <c r="I198" s="7">
        <f t="shared" si="166"/>
        <v>0</v>
      </c>
      <c r="J198" s="7">
        <f t="shared" ref="J198:K198" si="167">SUM(J195:J197)</f>
        <v>0</v>
      </c>
      <c r="K198" s="7">
        <f t="shared" si="167"/>
        <v>0</v>
      </c>
      <c r="L198" s="7">
        <f t="shared" ref="L198:M198" si="168">SUM(L195:L197)</f>
        <v>0</v>
      </c>
      <c r="M198" s="7">
        <f t="shared" si="168"/>
        <v>0</v>
      </c>
      <c r="N198" s="7">
        <f t="shared" ref="N198:O198" si="169">SUM(N195:N197)</f>
        <v>0</v>
      </c>
      <c r="O198" s="7">
        <f t="shared" si="169"/>
        <v>0</v>
      </c>
      <c r="P198" s="7">
        <f t="shared" ref="P198" si="170">SUM(P195:P197)</f>
        <v>0</v>
      </c>
    </row>
    <row r="199" spans="1:16" x14ac:dyDescent="0.25">
      <c r="B199" s="6"/>
      <c r="D199" s="7"/>
      <c r="E199" s="7"/>
      <c r="F199" s="7"/>
      <c r="G199" s="7"/>
      <c r="H199" s="7"/>
      <c r="I199" s="7"/>
      <c r="J199" s="7"/>
      <c r="K199" s="7"/>
      <c r="L199" s="7"/>
      <c r="M199" s="7"/>
      <c r="N199" s="7"/>
      <c r="O199" s="7"/>
      <c r="P199" s="7"/>
    </row>
    <row r="200" spans="1:16" ht="18.75" x14ac:dyDescent="0.3">
      <c r="A200" s="9" t="s">
        <v>43</v>
      </c>
      <c r="D200" s="2">
        <f>D183</f>
        <v>2013</v>
      </c>
      <c r="E200" s="2">
        <f t="shared" ref="E200:J200" si="171">D200+1</f>
        <v>2014</v>
      </c>
      <c r="F200" s="2">
        <f t="shared" si="171"/>
        <v>2015</v>
      </c>
      <c r="G200" s="2">
        <f t="shared" si="171"/>
        <v>2016</v>
      </c>
      <c r="H200" s="2">
        <f t="shared" si="171"/>
        <v>2017</v>
      </c>
      <c r="I200" s="2">
        <f t="shared" si="171"/>
        <v>2018</v>
      </c>
      <c r="J200" s="2">
        <f t="shared" si="171"/>
        <v>2019</v>
      </c>
      <c r="K200" s="2">
        <f t="shared" ref="K200:P200" si="172">J200+1</f>
        <v>2020</v>
      </c>
      <c r="L200" s="2">
        <f t="shared" si="172"/>
        <v>2021</v>
      </c>
      <c r="M200" s="2">
        <f t="shared" si="172"/>
        <v>2022</v>
      </c>
      <c r="N200" s="2">
        <f t="shared" si="172"/>
        <v>2023</v>
      </c>
      <c r="O200" s="2">
        <f t="shared" si="172"/>
        <v>2024</v>
      </c>
      <c r="P200" s="2">
        <f t="shared" si="172"/>
        <v>2025</v>
      </c>
    </row>
    <row r="201" spans="1:16" x14ac:dyDescent="0.25">
      <c r="B201" s="86" t="str">
        <f xml:space="preserve"> 'Facility Detail'!$B$805 &amp; " Surplus Applied to " &amp; ( 'Facility Detail'!$B$805 + 1 )</f>
        <v>2013 Surplus Applied to 2014</v>
      </c>
      <c r="C201" s="76"/>
      <c r="D201" s="3"/>
      <c r="E201" s="66">
        <f>D201</f>
        <v>0</v>
      </c>
      <c r="F201" s="136"/>
      <c r="G201" s="68"/>
      <c r="H201" s="68"/>
      <c r="I201" s="68"/>
      <c r="J201" s="68"/>
      <c r="K201" s="68"/>
      <c r="L201" s="68"/>
      <c r="M201" s="68"/>
      <c r="N201" s="68"/>
      <c r="O201" s="68"/>
      <c r="P201" s="68"/>
    </row>
    <row r="202" spans="1:16" x14ac:dyDescent="0.25">
      <c r="B202" s="86" t="str">
        <f xml:space="preserve"> ( 'Facility Detail'!$B$805 + 1 ) &amp; " Surplus Applied to " &amp; ( 'Facility Detail'!$B$805 )</f>
        <v>2014 Surplus Applied to 2013</v>
      </c>
      <c r="C202" s="76"/>
      <c r="D202" s="137">
        <f>E202</f>
        <v>0</v>
      </c>
      <c r="E202" s="10"/>
      <c r="F202" s="80"/>
      <c r="G202" s="79"/>
      <c r="H202" s="79"/>
      <c r="I202" s="79"/>
      <c r="J202" s="79"/>
      <c r="K202" s="79"/>
      <c r="L202" s="79"/>
      <c r="M202" s="79"/>
      <c r="N202" s="79"/>
      <c r="O202" s="79"/>
      <c r="P202" s="79"/>
    </row>
    <row r="203" spans="1:16" x14ac:dyDescent="0.25">
      <c r="B203" s="86" t="str">
        <f xml:space="preserve"> ( 'Facility Detail'!$B$805 + 1 ) &amp; " Surplus Applied to " &amp; ( 'Facility Detail'!$B$805 + 2 )</f>
        <v>2014 Surplus Applied to 2015</v>
      </c>
      <c r="C203" s="76"/>
      <c r="D203" s="69"/>
      <c r="E203" s="10"/>
      <c r="F203" s="75">
        <f>E203</f>
        <v>0</v>
      </c>
      <c r="G203" s="79"/>
      <c r="H203" s="79"/>
      <c r="I203" s="79"/>
      <c r="J203" s="79"/>
      <c r="K203" s="79"/>
      <c r="L203" s="79"/>
      <c r="M203" s="79"/>
      <c r="N203" s="79"/>
      <c r="O203" s="79"/>
      <c r="P203" s="79"/>
    </row>
    <row r="204" spans="1:16" x14ac:dyDescent="0.25">
      <c r="B204" s="86" t="str">
        <f xml:space="preserve"> ( 'Facility Detail'!$B$805 + 2 ) &amp; " Surplus Applied to " &amp; ( 'Facility Detail'!$B$805 + 1 )</f>
        <v>2015 Surplus Applied to 2014</v>
      </c>
      <c r="C204" s="76"/>
      <c r="D204" s="69"/>
      <c r="E204" s="75">
        <f>F204</f>
        <v>0</v>
      </c>
      <c r="F204" s="10"/>
      <c r="G204" s="79"/>
      <c r="H204" s="79"/>
      <c r="I204" s="79"/>
      <c r="J204" s="79"/>
      <c r="K204" s="79"/>
      <c r="L204" s="79"/>
      <c r="M204" s="79"/>
      <c r="N204" s="79"/>
      <c r="O204" s="79"/>
      <c r="P204" s="79"/>
    </row>
    <row r="205" spans="1:16" x14ac:dyDescent="0.25">
      <c r="B205" s="86" t="str">
        <f xml:space="preserve"> ( 'Facility Detail'!$B$805 + 2 ) &amp; " Surplus Applied to " &amp; ( 'Facility Detail'!$B$805 + 3 )</f>
        <v>2015 Surplus Applied to 2016</v>
      </c>
      <c r="C205" s="32"/>
      <c r="D205" s="69"/>
      <c r="E205" s="80"/>
      <c r="F205" s="10"/>
      <c r="G205" s="138">
        <f>F205</f>
        <v>0</v>
      </c>
      <c r="H205" s="138">
        <f>G205</f>
        <v>0</v>
      </c>
      <c r="I205" s="138">
        <f>H205</f>
        <v>0</v>
      </c>
      <c r="J205" s="138">
        <f>I205</f>
        <v>0</v>
      </c>
      <c r="K205" s="138"/>
      <c r="L205" s="138"/>
      <c r="M205" s="138"/>
      <c r="N205" s="138"/>
      <c r="O205" s="138"/>
      <c r="P205" s="138"/>
    </row>
    <row r="206" spans="1:16" x14ac:dyDescent="0.25">
      <c r="B206" s="86" t="str">
        <f xml:space="preserve"> ( 'Facility Detail'!$B$805 +3 ) &amp; " Surplus Applied to " &amp; ( 'Facility Detail'!$B$805 + 2 )</f>
        <v>2016 Surplus Applied to 2015</v>
      </c>
      <c r="C206" s="32"/>
      <c r="D206" s="70"/>
      <c r="E206" s="81"/>
      <c r="F206" s="67">
        <f>G206</f>
        <v>0</v>
      </c>
      <c r="G206" s="139"/>
      <c r="H206" s="139"/>
      <c r="I206" s="139"/>
      <c r="J206" s="139"/>
      <c r="K206" s="139"/>
      <c r="L206" s="139"/>
      <c r="M206" s="139"/>
      <c r="N206" s="139"/>
      <c r="O206" s="139"/>
      <c r="P206" s="139"/>
    </row>
    <row r="207" spans="1:16" x14ac:dyDescent="0.25">
      <c r="B207" s="86" t="str">
        <f xml:space="preserve"> ( 'Facility Detail'!$B$805 +3 ) &amp; " Surplus Applied to " &amp; ( 'Facility Detail'!$B$805 + 4 )</f>
        <v>2016 Surplus Applied to 2017</v>
      </c>
      <c r="C207" s="32"/>
      <c r="D207" s="142"/>
      <c r="E207" s="142"/>
      <c r="F207" s="20"/>
      <c r="G207" s="143"/>
      <c r="H207" s="143"/>
      <c r="I207" s="143"/>
      <c r="J207" s="143"/>
      <c r="K207" s="143"/>
      <c r="L207" s="143"/>
      <c r="M207" s="143"/>
      <c r="N207" s="143"/>
      <c r="O207" s="143"/>
      <c r="P207" s="143"/>
    </row>
    <row r="208" spans="1:16" x14ac:dyDescent="0.25">
      <c r="B208" s="35" t="s">
        <v>25</v>
      </c>
      <c r="D208" s="7">
        <f xml:space="preserve"> D202 - D201</f>
        <v>0</v>
      </c>
      <c r="E208" s="7">
        <f xml:space="preserve"> E201 + E204 - E203 - E202</f>
        <v>0</v>
      </c>
      <c r="F208" s="7">
        <f>F203+F206-F204-F205</f>
        <v>0</v>
      </c>
      <c r="G208" s="7">
        <f t="shared" ref="G208:L208" si="173">G205-G206</f>
        <v>0</v>
      </c>
      <c r="H208" s="7">
        <f t="shared" si="173"/>
        <v>0</v>
      </c>
      <c r="I208" s="7">
        <f t="shared" si="173"/>
        <v>0</v>
      </c>
      <c r="J208" s="7">
        <f t="shared" si="173"/>
        <v>0</v>
      </c>
      <c r="K208" s="7">
        <f t="shared" si="173"/>
        <v>0</v>
      </c>
      <c r="L208" s="7">
        <f t="shared" si="173"/>
        <v>0</v>
      </c>
      <c r="M208" s="7">
        <f t="shared" ref="M208:N208" si="174">M205-M206</f>
        <v>0</v>
      </c>
      <c r="N208" s="7">
        <f t="shared" si="174"/>
        <v>0</v>
      </c>
      <c r="O208" s="7">
        <f t="shared" ref="O208:P208" si="175">O205-O206</f>
        <v>0</v>
      </c>
      <c r="P208" s="7">
        <f t="shared" si="175"/>
        <v>0</v>
      </c>
    </row>
    <row r="209" spans="1:16" x14ac:dyDescent="0.25">
      <c r="B209" s="6"/>
      <c r="D209" s="7"/>
      <c r="E209" s="7"/>
      <c r="F209" s="7"/>
      <c r="G209" s="7"/>
      <c r="H209" s="7"/>
      <c r="I209" s="7"/>
      <c r="J209" s="7"/>
      <c r="K209" s="7"/>
      <c r="L209" s="7"/>
      <c r="M209" s="7"/>
      <c r="N209" s="7"/>
      <c r="O209" s="7"/>
      <c r="P209" s="7"/>
    </row>
    <row r="210" spans="1:16" x14ac:dyDescent="0.25">
      <c r="B210" s="93" t="s">
        <v>21</v>
      </c>
      <c r="C210" s="76"/>
      <c r="D210" s="107"/>
      <c r="E210" s="108"/>
      <c r="F210" s="109"/>
      <c r="G210" s="109"/>
      <c r="H210" s="109"/>
      <c r="I210" s="109"/>
      <c r="J210" s="109"/>
      <c r="K210" s="109"/>
      <c r="L210" s="109"/>
      <c r="M210" s="109"/>
      <c r="N210" s="109"/>
      <c r="O210" s="109"/>
      <c r="P210" s="109"/>
    </row>
    <row r="211" spans="1:16" x14ac:dyDescent="0.25">
      <c r="B211" s="6"/>
      <c r="D211" s="7"/>
      <c r="E211" s="7"/>
      <c r="F211" s="7"/>
      <c r="G211" s="7"/>
      <c r="H211" s="7"/>
      <c r="I211" s="7"/>
      <c r="J211" s="7"/>
      <c r="K211" s="7"/>
      <c r="L211" s="7"/>
      <c r="M211" s="7"/>
      <c r="N211" s="7"/>
      <c r="O211" s="7"/>
      <c r="P211" s="7"/>
    </row>
    <row r="212" spans="1:16" ht="15.75" x14ac:dyDescent="0.25">
      <c r="A212" s="89" t="s">
        <v>33</v>
      </c>
      <c r="C212" s="76"/>
      <c r="D212" s="48">
        <f t="shared" ref="D212:I212" si="176" xml:space="preserve"> D187 + D192 - D198 + D208 + D210</f>
        <v>20517</v>
      </c>
      <c r="E212" s="49">
        <f t="shared" si="176"/>
        <v>20517</v>
      </c>
      <c r="F212" s="50">
        <f t="shared" si="176"/>
        <v>20517</v>
      </c>
      <c r="G212" s="50">
        <f t="shared" si="176"/>
        <v>20517</v>
      </c>
      <c r="H212" s="50">
        <f t="shared" si="176"/>
        <v>20517</v>
      </c>
      <c r="I212" s="50">
        <f t="shared" si="176"/>
        <v>20517</v>
      </c>
      <c r="J212" s="50">
        <f t="shared" ref="J212:K212" si="177" xml:space="preserve"> J187 + J192 - J198 + J208 + J210</f>
        <v>6137</v>
      </c>
      <c r="K212" s="50">
        <f t="shared" si="177"/>
        <v>302</v>
      </c>
      <c r="L212" s="50">
        <f t="shared" ref="L212:M212" si="178" xml:space="preserve"> L187 + L192 - L198 + L208 + L210</f>
        <v>302</v>
      </c>
      <c r="M212" s="50">
        <f t="shared" si="178"/>
        <v>13662</v>
      </c>
      <c r="N212" s="50">
        <f t="shared" ref="N212:O212" si="179" xml:space="preserve"> N187 + N192 - N198 + N208 + N210</f>
        <v>13442</v>
      </c>
      <c r="O212" s="50">
        <f t="shared" si="179"/>
        <v>14310</v>
      </c>
      <c r="P212" s="50">
        <f t="shared" ref="P212" si="180" xml:space="preserve"> P187 + P192 - P198 + P208 + P210</f>
        <v>14310</v>
      </c>
    </row>
    <row r="213" spans="1:16" x14ac:dyDescent="0.25">
      <c r="B213" s="6"/>
      <c r="D213" s="7"/>
      <c r="E213" s="7"/>
      <c r="F213" s="7"/>
      <c r="G213" s="31"/>
      <c r="H213" s="31"/>
      <c r="I213" s="31"/>
      <c r="J213" s="31"/>
      <c r="K213" s="31"/>
      <c r="L213" s="31"/>
      <c r="M213" s="31"/>
      <c r="N213" s="31"/>
      <c r="O213" s="31"/>
      <c r="P213" s="31"/>
    </row>
    <row r="214" spans="1:16" ht="15.75" thickBot="1" x14ac:dyDescent="0.3"/>
    <row r="215" spans="1:16" x14ac:dyDescent="0.25">
      <c r="A215" s="8"/>
      <c r="B215" s="8"/>
      <c r="C215" s="8"/>
      <c r="D215" s="8"/>
      <c r="E215" s="8"/>
      <c r="F215" s="8"/>
      <c r="G215" s="8"/>
      <c r="H215" s="8"/>
      <c r="I215" s="8"/>
      <c r="J215" s="8"/>
      <c r="K215" s="8"/>
      <c r="L215" s="8"/>
      <c r="M215" s="8"/>
      <c r="N215" s="8"/>
      <c r="O215" s="8"/>
      <c r="P215" s="8"/>
    </row>
    <row r="216" spans="1:16" x14ac:dyDescent="0.25">
      <c r="B216" s="32"/>
      <c r="C216" s="32"/>
      <c r="D216" s="32"/>
      <c r="E216" s="32"/>
      <c r="F216" s="32"/>
      <c r="G216" s="32"/>
      <c r="H216" s="32"/>
      <c r="I216" s="32"/>
      <c r="J216" s="32"/>
      <c r="K216" s="32"/>
      <c r="L216" s="32"/>
    </row>
    <row r="217" spans="1:16" ht="21" x14ac:dyDescent="0.35">
      <c r="A217" s="16" t="s">
        <v>4</v>
      </c>
      <c r="B217" s="16"/>
      <c r="C217" s="45" t="str">
        <f>B7</f>
        <v>Noxon Rapids #1</v>
      </c>
      <c r="D217" s="46"/>
      <c r="E217" s="19"/>
      <c r="F217" s="19"/>
    </row>
    <row r="219" spans="1:16" ht="18.75" x14ac:dyDescent="0.3">
      <c r="A219" s="9" t="s">
        <v>27</v>
      </c>
      <c r="B219" s="9"/>
      <c r="D219" s="2">
        <v>2013</v>
      </c>
      <c r="E219" s="2">
        <f t="shared" ref="E219:J219" si="181">D219+1</f>
        <v>2014</v>
      </c>
      <c r="F219" s="2">
        <f t="shared" si="181"/>
        <v>2015</v>
      </c>
      <c r="G219" s="2">
        <f t="shared" si="181"/>
        <v>2016</v>
      </c>
      <c r="H219" s="2">
        <f t="shared" si="181"/>
        <v>2017</v>
      </c>
      <c r="I219" s="2">
        <f t="shared" si="181"/>
        <v>2018</v>
      </c>
      <c r="J219" s="2">
        <f t="shared" si="181"/>
        <v>2019</v>
      </c>
      <c r="K219" s="2">
        <f t="shared" ref="K219:P219" si="182">J219+1</f>
        <v>2020</v>
      </c>
      <c r="L219" s="2">
        <f t="shared" si="182"/>
        <v>2021</v>
      </c>
      <c r="M219" s="2">
        <f t="shared" si="182"/>
        <v>2022</v>
      </c>
      <c r="N219" s="2">
        <f t="shared" si="182"/>
        <v>2023</v>
      </c>
      <c r="O219" s="2">
        <f t="shared" si="182"/>
        <v>2024</v>
      </c>
      <c r="P219" s="2">
        <f t="shared" si="182"/>
        <v>2025</v>
      </c>
    </row>
    <row r="220" spans="1:16" x14ac:dyDescent="0.25">
      <c r="B220" s="86" t="str">
        <f>"Total MWh Produced / Purchased from " &amp; C217</f>
        <v>Total MWh Produced / Purchased from Noxon Rapids #1</v>
      </c>
      <c r="C220" s="76"/>
      <c r="D220" s="3">
        <v>21435</v>
      </c>
      <c r="E220" s="4">
        <v>21435</v>
      </c>
      <c r="F220" s="5">
        <v>21435</v>
      </c>
      <c r="G220" s="5">
        <v>21435</v>
      </c>
      <c r="H220" s="5">
        <v>21435</v>
      </c>
      <c r="I220" s="5">
        <v>21435</v>
      </c>
      <c r="J220" s="5">
        <v>23719</v>
      </c>
      <c r="K220" s="5">
        <v>36795</v>
      </c>
      <c r="L220" s="5">
        <v>30000</v>
      </c>
      <c r="M220" s="5">
        <v>26788</v>
      </c>
      <c r="N220" s="5">
        <v>19549</v>
      </c>
      <c r="O220" s="5">
        <v>21315</v>
      </c>
      <c r="P220" s="5">
        <v>21315</v>
      </c>
    </row>
    <row r="221" spans="1:16" x14ac:dyDescent="0.25">
      <c r="B221" s="86" t="s">
        <v>32</v>
      </c>
      <c r="C221" s="76"/>
      <c r="D221" s="60">
        <v>1</v>
      </c>
      <c r="E221" s="61">
        <v>1</v>
      </c>
      <c r="F221" s="62">
        <v>1</v>
      </c>
      <c r="G221" s="62">
        <v>1</v>
      </c>
      <c r="H221" s="62">
        <v>1</v>
      </c>
      <c r="I221" s="62">
        <v>1</v>
      </c>
      <c r="J221" s="62">
        <v>1</v>
      </c>
      <c r="K221" s="62">
        <v>1</v>
      </c>
      <c r="L221" s="62">
        <v>1</v>
      </c>
      <c r="M221" s="62">
        <v>1</v>
      </c>
      <c r="N221" s="62">
        <v>1</v>
      </c>
      <c r="O221" s="62">
        <v>1</v>
      </c>
      <c r="P221" s="62">
        <v>1</v>
      </c>
    </row>
    <row r="222" spans="1:16" x14ac:dyDescent="0.25">
      <c r="B222" s="86" t="s">
        <v>26</v>
      </c>
      <c r="C222" s="76"/>
      <c r="D222" s="53">
        <v>1</v>
      </c>
      <c r="E222" s="54">
        <v>1</v>
      </c>
      <c r="F222" s="55">
        <v>1</v>
      </c>
      <c r="G222" s="55">
        <v>1</v>
      </c>
      <c r="H222" s="55">
        <v>1</v>
      </c>
      <c r="I222" s="55">
        <v>1</v>
      </c>
      <c r="J222" s="55">
        <v>1</v>
      </c>
      <c r="K222" s="55">
        <v>1</v>
      </c>
      <c r="L222" s="55">
        <v>1</v>
      </c>
      <c r="M222" s="55">
        <v>1</v>
      </c>
      <c r="N222" s="55">
        <v>1</v>
      </c>
      <c r="O222" s="55">
        <v>1</v>
      </c>
      <c r="P222" s="55">
        <v>1</v>
      </c>
    </row>
    <row r="223" spans="1:16" x14ac:dyDescent="0.25">
      <c r="B223" s="83" t="s">
        <v>28</v>
      </c>
      <c r="C223" s="84"/>
      <c r="D223" s="40">
        <f t="shared" ref="D223:I223" si="183" xml:space="preserve"> D220 * D221 * D222</f>
        <v>21435</v>
      </c>
      <c r="E223" s="40">
        <f t="shared" si="183"/>
        <v>21435</v>
      </c>
      <c r="F223" s="40">
        <f t="shared" si="183"/>
        <v>21435</v>
      </c>
      <c r="G223" s="40">
        <f t="shared" si="183"/>
        <v>21435</v>
      </c>
      <c r="H223" s="40">
        <f t="shared" si="183"/>
        <v>21435</v>
      </c>
      <c r="I223" s="40">
        <f t="shared" si="183"/>
        <v>21435</v>
      </c>
      <c r="J223" s="40">
        <f t="shared" ref="J223:K223" si="184" xml:space="preserve"> J220 * J221 * J222</f>
        <v>23719</v>
      </c>
      <c r="K223" s="40">
        <f t="shared" si="184"/>
        <v>36795</v>
      </c>
      <c r="L223" s="40">
        <f t="shared" ref="L223:M223" si="185" xml:space="preserve"> L220 * L221 * L222</f>
        <v>30000</v>
      </c>
      <c r="M223" s="40">
        <f t="shared" si="185"/>
        <v>26788</v>
      </c>
      <c r="N223" s="40">
        <f t="shared" ref="N223:O223" si="186" xml:space="preserve"> N220 * N221 * N222</f>
        <v>19549</v>
      </c>
      <c r="O223" s="40">
        <f t="shared" si="186"/>
        <v>21315</v>
      </c>
      <c r="P223" s="40">
        <f t="shared" ref="P223" si="187" xml:space="preserve"> P220 * P221 * P222</f>
        <v>21315</v>
      </c>
    </row>
    <row r="224" spans="1:16" x14ac:dyDescent="0.25">
      <c r="B224" s="19"/>
      <c r="C224" s="32"/>
      <c r="D224" s="39"/>
      <c r="E224" s="39"/>
      <c r="F224" s="39"/>
      <c r="G224" s="39"/>
      <c r="H224" s="39"/>
      <c r="I224" s="39"/>
      <c r="J224" s="39"/>
      <c r="K224" s="39"/>
      <c r="L224" s="39"/>
      <c r="M224" s="39"/>
      <c r="N224" s="39"/>
      <c r="O224" s="39"/>
      <c r="P224" s="39"/>
    </row>
    <row r="225" spans="1:16" ht="18.75" x14ac:dyDescent="0.3">
      <c r="A225" s="47" t="s">
        <v>30</v>
      </c>
      <c r="C225" s="32"/>
      <c r="D225" s="2">
        <f>D219</f>
        <v>2013</v>
      </c>
      <c r="E225" s="2">
        <f t="shared" ref="E225:J225" si="188">D225+1</f>
        <v>2014</v>
      </c>
      <c r="F225" s="2">
        <f t="shared" si="188"/>
        <v>2015</v>
      </c>
      <c r="G225" s="2">
        <f t="shared" si="188"/>
        <v>2016</v>
      </c>
      <c r="H225" s="2">
        <f t="shared" si="188"/>
        <v>2017</v>
      </c>
      <c r="I225" s="2">
        <f t="shared" si="188"/>
        <v>2018</v>
      </c>
      <c r="J225" s="2">
        <f t="shared" si="188"/>
        <v>2019</v>
      </c>
      <c r="K225" s="2">
        <f t="shared" ref="K225:P225" si="189">J225+1</f>
        <v>2020</v>
      </c>
      <c r="L225" s="2">
        <f t="shared" si="189"/>
        <v>2021</v>
      </c>
      <c r="M225" s="2">
        <f t="shared" si="189"/>
        <v>2022</v>
      </c>
      <c r="N225" s="2">
        <f t="shared" si="189"/>
        <v>2023</v>
      </c>
      <c r="O225" s="2">
        <f t="shared" si="189"/>
        <v>2024</v>
      </c>
      <c r="P225" s="2">
        <f t="shared" si="189"/>
        <v>2025</v>
      </c>
    </row>
    <row r="226" spans="1:16" x14ac:dyDescent="0.25">
      <c r="B226" s="86" t="s">
        <v>19</v>
      </c>
      <c r="C226" s="76"/>
      <c r="D226" s="56">
        <f>IF( $E7 = "Eligible", D223 * 'Facility Detail'!$B$613, 0 )</f>
        <v>0</v>
      </c>
      <c r="E226" s="13">
        <f>IF( $E7 = "Eligible", E223 * 'Facility Detail'!$B$613, 0 )</f>
        <v>0</v>
      </c>
      <c r="F226" s="14">
        <f>IF( $E7 = "Eligible", F223 * 'Facility Detail'!$B$613, 0 )</f>
        <v>0</v>
      </c>
      <c r="G226" s="14">
        <f>IF( $E7 = "Eligible", G223 * 'Facility Detail'!$B$613, 0 )</f>
        <v>0</v>
      </c>
      <c r="H226" s="14">
        <f>IF( $E7 = "Eligible", H223 * 'Facility Detail'!$B$613, 0 )</f>
        <v>0</v>
      </c>
      <c r="I226" s="14">
        <f>IF( $E7 = "Eligible", I223 * 'Facility Detail'!$B$613, 0 )</f>
        <v>0</v>
      </c>
      <c r="J226" s="14">
        <f>IF( $E7 = "Eligible", J223 * 'Facility Detail'!$B$613, 0 )</f>
        <v>0</v>
      </c>
      <c r="K226" s="14">
        <f>IF( $E7 = "Eligible", K223 * 'Facility Detail'!$B$613, 0 )</f>
        <v>0</v>
      </c>
      <c r="L226" s="14">
        <f>IF( $E7 = "Eligible", L223 * 'Facility Detail'!$B$613, 0 )</f>
        <v>0</v>
      </c>
      <c r="M226" s="14">
        <f>IF( $E7 = "Eligible", M223 * 'Facility Detail'!$B$613, 0 )</f>
        <v>0</v>
      </c>
      <c r="N226" s="14">
        <f>IF( $E7 = "Eligible", N223 * 'Facility Detail'!$B$613, 0 )</f>
        <v>0</v>
      </c>
      <c r="O226" s="14">
        <f>IF( $E7 = "Eligible", O223 * 'Facility Detail'!$B$613, 0 )</f>
        <v>0</v>
      </c>
      <c r="P226" s="14">
        <f>IF( $E7 = "Eligible", P223 * 'Facility Detail'!$B$613, 0 )</f>
        <v>0</v>
      </c>
    </row>
    <row r="227" spans="1:16" x14ac:dyDescent="0.25">
      <c r="B227" s="86" t="s">
        <v>6</v>
      </c>
      <c r="C227" s="76"/>
      <c r="D227" s="57">
        <f t="shared" ref="D227:I227" si="190">IF( $F7 = "Eligible", D223, 0 )</f>
        <v>0</v>
      </c>
      <c r="E227" s="58">
        <f t="shared" si="190"/>
        <v>0</v>
      </c>
      <c r="F227" s="59">
        <f t="shared" si="190"/>
        <v>0</v>
      </c>
      <c r="G227" s="59">
        <f t="shared" si="190"/>
        <v>0</v>
      </c>
      <c r="H227" s="59">
        <f t="shared" si="190"/>
        <v>0</v>
      </c>
      <c r="I227" s="59">
        <f t="shared" si="190"/>
        <v>0</v>
      </c>
      <c r="J227" s="59">
        <f t="shared" ref="J227:K227" si="191">IF( $F7 = "Eligible", J223, 0 )</f>
        <v>0</v>
      </c>
      <c r="K227" s="59">
        <f t="shared" si="191"/>
        <v>0</v>
      </c>
      <c r="L227" s="59">
        <f t="shared" ref="L227:M227" si="192">IF( $F7 = "Eligible", L223, 0 )</f>
        <v>0</v>
      </c>
      <c r="M227" s="59">
        <f t="shared" si="192"/>
        <v>0</v>
      </c>
      <c r="N227" s="59">
        <f t="shared" ref="N227:O227" si="193">IF( $F7 = "Eligible", N223, 0 )</f>
        <v>0</v>
      </c>
      <c r="O227" s="59">
        <f t="shared" si="193"/>
        <v>0</v>
      </c>
      <c r="P227" s="59">
        <f t="shared" ref="P227" si="194">IF( $F7 = "Eligible", P223, 0 )</f>
        <v>0</v>
      </c>
    </row>
    <row r="228" spans="1:16" x14ac:dyDescent="0.25">
      <c r="B228" s="85" t="s">
        <v>37</v>
      </c>
      <c r="C228" s="84"/>
      <c r="D228" s="42">
        <f t="shared" ref="D228:I228" si="195">SUM(D226:D227)</f>
        <v>0</v>
      </c>
      <c r="E228" s="43">
        <f t="shared" si="195"/>
        <v>0</v>
      </c>
      <c r="F228" s="43">
        <f t="shared" si="195"/>
        <v>0</v>
      </c>
      <c r="G228" s="43">
        <f t="shared" si="195"/>
        <v>0</v>
      </c>
      <c r="H228" s="43">
        <f t="shared" si="195"/>
        <v>0</v>
      </c>
      <c r="I228" s="43">
        <f t="shared" si="195"/>
        <v>0</v>
      </c>
      <c r="J228" s="43">
        <f t="shared" ref="J228:K228" si="196">SUM(J226:J227)</f>
        <v>0</v>
      </c>
      <c r="K228" s="43">
        <f t="shared" si="196"/>
        <v>0</v>
      </c>
      <c r="L228" s="43">
        <f t="shared" ref="L228:M228" si="197">SUM(L226:L227)</f>
        <v>0</v>
      </c>
      <c r="M228" s="43">
        <f t="shared" si="197"/>
        <v>0</v>
      </c>
      <c r="N228" s="43">
        <f t="shared" ref="N228:O228" si="198">SUM(N226:N227)</f>
        <v>0</v>
      </c>
      <c r="O228" s="43">
        <f t="shared" si="198"/>
        <v>0</v>
      </c>
      <c r="P228" s="43">
        <f t="shared" ref="P228" si="199">SUM(P226:P227)</f>
        <v>0</v>
      </c>
    </row>
    <row r="229" spans="1:16" x14ac:dyDescent="0.25">
      <c r="B229" s="32"/>
      <c r="C229" s="32"/>
      <c r="D229" s="41"/>
      <c r="E229" s="33"/>
      <c r="F229" s="33"/>
      <c r="G229" s="33"/>
      <c r="H229" s="33"/>
      <c r="I229" s="33"/>
      <c r="J229" s="33"/>
      <c r="K229" s="33"/>
      <c r="L229" s="33"/>
      <c r="M229" s="33"/>
      <c r="N229" s="33"/>
      <c r="O229" s="33"/>
      <c r="P229" s="33"/>
    </row>
    <row r="230" spans="1:16" ht="18.75" x14ac:dyDescent="0.3">
      <c r="A230" s="44" t="s">
        <v>35</v>
      </c>
      <c r="C230" s="32"/>
      <c r="D230" s="2">
        <f>D219</f>
        <v>2013</v>
      </c>
      <c r="E230" s="2">
        <f t="shared" ref="E230:J230" si="200">D230+1</f>
        <v>2014</v>
      </c>
      <c r="F230" s="2">
        <f t="shared" si="200"/>
        <v>2015</v>
      </c>
      <c r="G230" s="2">
        <f t="shared" si="200"/>
        <v>2016</v>
      </c>
      <c r="H230" s="2">
        <f t="shared" si="200"/>
        <v>2017</v>
      </c>
      <c r="I230" s="2">
        <f t="shared" si="200"/>
        <v>2018</v>
      </c>
      <c r="J230" s="2">
        <f t="shared" si="200"/>
        <v>2019</v>
      </c>
      <c r="K230" s="2">
        <f t="shared" ref="K230:P230" si="201">J230+1</f>
        <v>2020</v>
      </c>
      <c r="L230" s="2">
        <f t="shared" si="201"/>
        <v>2021</v>
      </c>
      <c r="M230" s="2">
        <f t="shared" si="201"/>
        <v>2022</v>
      </c>
      <c r="N230" s="2">
        <f t="shared" si="201"/>
        <v>2023</v>
      </c>
      <c r="O230" s="2">
        <f t="shared" si="201"/>
        <v>2024</v>
      </c>
      <c r="P230" s="2">
        <f t="shared" si="201"/>
        <v>2025</v>
      </c>
    </row>
    <row r="231" spans="1:16" x14ac:dyDescent="0.25">
      <c r="B231" s="86" t="s">
        <v>39</v>
      </c>
      <c r="C231" s="76"/>
      <c r="D231" s="94">
        <v>0</v>
      </c>
      <c r="E231" s="95">
        <v>0</v>
      </c>
      <c r="F231" s="96">
        <v>0</v>
      </c>
      <c r="G231" s="96">
        <v>0</v>
      </c>
      <c r="H231" s="96">
        <v>0</v>
      </c>
      <c r="I231" s="96">
        <v>0</v>
      </c>
      <c r="J231" s="96">
        <v>2284</v>
      </c>
      <c r="K231" s="96">
        <v>15360</v>
      </c>
      <c r="L231" s="96">
        <v>0</v>
      </c>
      <c r="M231" s="96">
        <v>0</v>
      </c>
      <c r="N231" s="96">
        <v>0</v>
      </c>
      <c r="O231" s="96">
        <v>0</v>
      </c>
      <c r="P231" s="96">
        <v>0</v>
      </c>
    </row>
    <row r="232" spans="1:16" x14ac:dyDescent="0.25">
      <c r="B232" s="87" t="s">
        <v>29</v>
      </c>
      <c r="C232" s="88"/>
      <c r="D232" s="97">
        <v>0</v>
      </c>
      <c r="E232" s="98">
        <v>0</v>
      </c>
      <c r="F232" s="99">
        <v>0</v>
      </c>
      <c r="G232" s="99">
        <v>0</v>
      </c>
      <c r="H232" s="99">
        <v>0</v>
      </c>
      <c r="I232" s="99">
        <v>0</v>
      </c>
      <c r="J232" s="99">
        <v>0</v>
      </c>
      <c r="K232" s="99">
        <v>0</v>
      </c>
      <c r="L232" s="99">
        <v>0</v>
      </c>
      <c r="M232" s="99">
        <v>0</v>
      </c>
      <c r="N232" s="99">
        <v>0</v>
      </c>
      <c r="O232" s="99">
        <v>0</v>
      </c>
      <c r="P232" s="99">
        <v>0</v>
      </c>
    </row>
    <row r="233" spans="1:16" x14ac:dyDescent="0.25">
      <c r="B233" s="100" t="s">
        <v>41</v>
      </c>
      <c r="C233" s="92"/>
      <c r="D233" s="63">
        <v>0</v>
      </c>
      <c r="E233" s="64">
        <v>0</v>
      </c>
      <c r="F233" s="65">
        <v>0</v>
      </c>
      <c r="G233" s="65">
        <v>0</v>
      </c>
      <c r="H233" s="65">
        <v>0</v>
      </c>
      <c r="I233" s="65">
        <v>0</v>
      </c>
      <c r="J233" s="65">
        <v>0</v>
      </c>
      <c r="K233" s="65">
        <v>0</v>
      </c>
      <c r="L233" s="65">
        <v>0</v>
      </c>
      <c r="M233" s="65">
        <v>0</v>
      </c>
      <c r="N233" s="65">
        <v>0</v>
      </c>
      <c r="O233" s="65">
        <v>0</v>
      </c>
      <c r="P233" s="65">
        <v>0</v>
      </c>
    </row>
    <row r="234" spans="1:16" x14ac:dyDescent="0.25">
      <c r="B234" s="35" t="s">
        <v>42</v>
      </c>
      <c r="D234" s="7">
        <f t="shared" ref="D234:I234" si="202">SUM(D231:D233)</f>
        <v>0</v>
      </c>
      <c r="E234" s="7">
        <f t="shared" si="202"/>
        <v>0</v>
      </c>
      <c r="F234" s="7">
        <f t="shared" si="202"/>
        <v>0</v>
      </c>
      <c r="G234" s="7">
        <f t="shared" si="202"/>
        <v>0</v>
      </c>
      <c r="H234" s="7">
        <f t="shared" si="202"/>
        <v>0</v>
      </c>
      <c r="I234" s="7">
        <f t="shared" si="202"/>
        <v>0</v>
      </c>
      <c r="J234" s="7">
        <f t="shared" ref="J234:K234" si="203">SUM(J231:J233)</f>
        <v>2284</v>
      </c>
      <c r="K234" s="7">
        <f t="shared" si="203"/>
        <v>15360</v>
      </c>
      <c r="L234" s="7">
        <f t="shared" ref="L234:M234" si="204">SUM(L231:L233)</f>
        <v>0</v>
      </c>
      <c r="M234" s="7">
        <f t="shared" si="204"/>
        <v>0</v>
      </c>
      <c r="N234" s="7">
        <f t="shared" ref="N234:O234" si="205">SUM(N231:N233)</f>
        <v>0</v>
      </c>
      <c r="O234" s="7">
        <f t="shared" si="205"/>
        <v>0</v>
      </c>
      <c r="P234" s="7">
        <f t="shared" ref="P234" si="206">SUM(P231:P233)</f>
        <v>0</v>
      </c>
    </row>
    <row r="235" spans="1:16" x14ac:dyDescent="0.25">
      <c r="B235" s="6"/>
      <c r="D235" s="7"/>
      <c r="E235" s="7"/>
      <c r="F235" s="7"/>
      <c r="G235" s="7"/>
      <c r="H235" s="7"/>
      <c r="I235" s="7"/>
      <c r="J235" s="7"/>
      <c r="K235" s="7"/>
      <c r="L235" s="7"/>
      <c r="M235" s="7"/>
      <c r="N235" s="7"/>
      <c r="O235" s="7"/>
      <c r="P235" s="7"/>
    </row>
    <row r="236" spans="1:16" ht="18.75" x14ac:dyDescent="0.3">
      <c r="A236" s="9" t="s">
        <v>43</v>
      </c>
      <c r="D236" s="2">
        <f>D219</f>
        <v>2013</v>
      </c>
      <c r="E236" s="2">
        <f t="shared" ref="E236:J236" si="207">D236+1</f>
        <v>2014</v>
      </c>
      <c r="F236" s="2">
        <f t="shared" si="207"/>
        <v>2015</v>
      </c>
      <c r="G236" s="2">
        <f t="shared" si="207"/>
        <v>2016</v>
      </c>
      <c r="H236" s="2">
        <f t="shared" si="207"/>
        <v>2017</v>
      </c>
      <c r="I236" s="2">
        <f t="shared" si="207"/>
        <v>2018</v>
      </c>
      <c r="J236" s="2">
        <f t="shared" si="207"/>
        <v>2019</v>
      </c>
      <c r="K236" s="2">
        <f t="shared" ref="K236:P236" si="208">J236+1</f>
        <v>2020</v>
      </c>
      <c r="L236" s="2">
        <f t="shared" si="208"/>
        <v>2021</v>
      </c>
      <c r="M236" s="2">
        <f t="shared" si="208"/>
        <v>2022</v>
      </c>
      <c r="N236" s="2">
        <f t="shared" si="208"/>
        <v>2023</v>
      </c>
      <c r="O236" s="2">
        <f t="shared" si="208"/>
        <v>2024</v>
      </c>
      <c r="P236" s="2">
        <f t="shared" si="208"/>
        <v>2025</v>
      </c>
    </row>
    <row r="237" spans="1:16" x14ac:dyDescent="0.25">
      <c r="B237" s="86" t="str">
        <f xml:space="preserve"> 'Facility Detail'!$B$805 &amp; " Surplus Applied to " &amp; ( 'Facility Detail'!$B$805 + 1 )</f>
        <v>2013 Surplus Applied to 2014</v>
      </c>
      <c r="C237" s="76"/>
      <c r="D237" s="3"/>
      <c r="E237" s="66">
        <f>D237</f>
        <v>0</v>
      </c>
      <c r="F237" s="136"/>
      <c r="G237" s="68"/>
      <c r="H237" s="68"/>
      <c r="I237" s="68"/>
      <c r="J237" s="68"/>
      <c r="K237" s="68"/>
      <c r="L237" s="68"/>
      <c r="M237" s="68"/>
      <c r="N237" s="68"/>
      <c r="O237" s="68"/>
      <c r="P237" s="68"/>
    </row>
    <row r="238" spans="1:16" x14ac:dyDescent="0.25">
      <c r="B238" s="86" t="str">
        <f xml:space="preserve"> ( 'Facility Detail'!$B$805 + 1 ) &amp; " Surplus Applied to " &amp; ( 'Facility Detail'!$B$805 )</f>
        <v>2014 Surplus Applied to 2013</v>
      </c>
      <c r="C238" s="76"/>
      <c r="D238" s="137">
        <f>E238</f>
        <v>0</v>
      </c>
      <c r="E238" s="10"/>
      <c r="F238" s="80"/>
      <c r="G238" s="79"/>
      <c r="H238" s="79"/>
      <c r="I238" s="79"/>
      <c r="J238" s="79"/>
      <c r="K238" s="79"/>
      <c r="L238" s="79"/>
      <c r="M238" s="79"/>
      <c r="N238" s="79"/>
      <c r="O238" s="79"/>
      <c r="P238" s="79"/>
    </row>
    <row r="239" spans="1:16" x14ac:dyDescent="0.25">
      <c r="B239" s="86" t="str">
        <f xml:space="preserve"> ( 'Facility Detail'!$B$805 + 1 ) &amp; " Surplus Applied to " &amp; ( 'Facility Detail'!$B$805 + 2 )</f>
        <v>2014 Surplus Applied to 2015</v>
      </c>
      <c r="C239" s="76"/>
      <c r="D239" s="69"/>
      <c r="E239" s="10"/>
      <c r="F239" s="75">
        <f>E239</f>
        <v>0</v>
      </c>
      <c r="G239" s="79"/>
      <c r="H239" s="79"/>
      <c r="I239" s="79"/>
      <c r="J239" s="79"/>
      <c r="K239" s="79"/>
      <c r="L239" s="79"/>
      <c r="M239" s="79"/>
      <c r="N239" s="79"/>
      <c r="O239" s="79"/>
      <c r="P239" s="79"/>
    </row>
    <row r="240" spans="1:16" x14ac:dyDescent="0.25">
      <c r="B240" s="86" t="str">
        <f xml:space="preserve"> ( 'Facility Detail'!$B$805 + 2 ) &amp; " Surplus Applied to " &amp; ( 'Facility Detail'!$B$805 + 1 )</f>
        <v>2015 Surplus Applied to 2014</v>
      </c>
      <c r="C240" s="76"/>
      <c r="D240" s="69"/>
      <c r="E240" s="75">
        <f>F240</f>
        <v>0</v>
      </c>
      <c r="F240" s="10"/>
      <c r="G240" s="79"/>
      <c r="H240" s="79"/>
      <c r="I240" s="79"/>
      <c r="J240" s="79"/>
      <c r="K240" s="79"/>
      <c r="L240" s="79"/>
      <c r="M240" s="79"/>
      <c r="N240" s="79"/>
      <c r="O240" s="79"/>
      <c r="P240" s="79"/>
    </row>
    <row r="241" spans="1:16" x14ac:dyDescent="0.25">
      <c r="B241" s="86" t="str">
        <f xml:space="preserve"> ( 'Facility Detail'!$B$805 + 2 ) &amp; " Surplus Applied to " &amp; ( 'Facility Detail'!$B$805 + 3 )</f>
        <v>2015 Surplus Applied to 2016</v>
      </c>
      <c r="C241" s="32"/>
      <c r="D241" s="69"/>
      <c r="E241" s="80"/>
      <c r="F241" s="10"/>
      <c r="G241" s="138">
        <f>F241</f>
        <v>0</v>
      </c>
      <c r="H241" s="138">
        <f>G241</f>
        <v>0</v>
      </c>
      <c r="I241" s="138">
        <f>H241</f>
        <v>0</v>
      </c>
      <c r="J241" s="138">
        <f>I241</f>
        <v>0</v>
      </c>
      <c r="K241" s="138"/>
      <c r="L241" s="138"/>
      <c r="M241" s="138"/>
      <c r="N241" s="138"/>
      <c r="O241" s="138"/>
      <c r="P241" s="138"/>
    </row>
    <row r="242" spans="1:16" x14ac:dyDescent="0.25">
      <c r="B242" s="86" t="str">
        <f xml:space="preserve"> ( 'Facility Detail'!$B$805 +3 ) &amp; " Surplus Applied to " &amp; ( 'Facility Detail'!$B$805 + 2 )</f>
        <v>2016 Surplus Applied to 2015</v>
      </c>
      <c r="C242" s="32"/>
      <c r="D242" s="70"/>
      <c r="E242" s="81"/>
      <c r="F242" s="67">
        <f>G242</f>
        <v>0</v>
      </c>
      <c r="G242" s="139"/>
      <c r="H242" s="139"/>
      <c r="I242" s="139"/>
      <c r="J242" s="139"/>
      <c r="K242" s="139"/>
      <c r="L242" s="139"/>
      <c r="M242" s="139"/>
      <c r="N242" s="139"/>
      <c r="O242" s="139"/>
      <c r="P242" s="139"/>
    </row>
    <row r="243" spans="1:16" x14ac:dyDescent="0.25">
      <c r="B243" s="86" t="str">
        <f xml:space="preserve"> ( 'Facility Detail'!$B$805 +3 ) &amp; " Surplus Applied to " &amp; ( 'Facility Detail'!$B$805 + 4 )</f>
        <v>2016 Surplus Applied to 2017</v>
      </c>
      <c r="C243" s="32"/>
      <c r="D243" s="142"/>
      <c r="E243" s="142"/>
      <c r="F243" s="20"/>
      <c r="G243" s="143"/>
      <c r="H243" s="143"/>
      <c r="I243" s="143"/>
      <c r="J243" s="143"/>
      <c r="K243" s="143"/>
      <c r="L243" s="143"/>
      <c r="M243" s="143"/>
      <c r="N243" s="143"/>
      <c r="O243" s="143"/>
      <c r="P243" s="143"/>
    </row>
    <row r="244" spans="1:16" x14ac:dyDescent="0.25">
      <c r="B244" s="35" t="s">
        <v>25</v>
      </c>
      <c r="D244" s="7">
        <f xml:space="preserve"> D238 - D237</f>
        <v>0</v>
      </c>
      <c r="E244" s="7">
        <f xml:space="preserve"> E237 + E240 - E239 - E238</f>
        <v>0</v>
      </c>
      <c r="F244" s="7">
        <f>F239+F242-F240-F241</f>
        <v>0</v>
      </c>
      <c r="G244" s="7">
        <f t="shared" ref="G244:L244" si="209">G241-G242</f>
        <v>0</v>
      </c>
      <c r="H244" s="7">
        <f t="shared" si="209"/>
        <v>0</v>
      </c>
      <c r="I244" s="7">
        <f t="shared" si="209"/>
        <v>0</v>
      </c>
      <c r="J244" s="7">
        <f t="shared" si="209"/>
        <v>0</v>
      </c>
      <c r="K244" s="7">
        <f t="shared" si="209"/>
        <v>0</v>
      </c>
      <c r="L244" s="7">
        <f t="shared" si="209"/>
        <v>0</v>
      </c>
      <c r="M244" s="7">
        <f t="shared" ref="M244:N244" si="210">M241-M242</f>
        <v>0</v>
      </c>
      <c r="N244" s="7">
        <f t="shared" si="210"/>
        <v>0</v>
      </c>
      <c r="O244" s="7">
        <f t="shared" ref="O244:P244" si="211">O241-O242</f>
        <v>0</v>
      </c>
      <c r="P244" s="7">
        <f t="shared" si="211"/>
        <v>0</v>
      </c>
    </row>
    <row r="245" spans="1:16" x14ac:dyDescent="0.25">
      <c r="B245" s="6"/>
      <c r="D245" s="7"/>
      <c r="E245" s="7"/>
      <c r="F245" s="7"/>
      <c r="G245" s="7"/>
      <c r="H245" s="7"/>
      <c r="I245" s="7"/>
      <c r="J245" s="7"/>
      <c r="K245" s="7"/>
      <c r="L245" s="7"/>
      <c r="M245" s="7"/>
      <c r="N245" s="7"/>
      <c r="O245" s="7"/>
      <c r="P245" s="7"/>
    </row>
    <row r="246" spans="1:16" x14ac:dyDescent="0.25">
      <c r="B246" s="93" t="s">
        <v>21</v>
      </c>
      <c r="C246" s="76"/>
      <c r="D246" s="107"/>
      <c r="E246" s="108"/>
      <c r="F246" s="109"/>
      <c r="G246" s="109"/>
      <c r="H246" s="109"/>
      <c r="I246" s="109"/>
      <c r="J246" s="109"/>
      <c r="K246" s="109"/>
      <c r="L246" s="109"/>
      <c r="M246" s="109"/>
      <c r="N246" s="109"/>
      <c r="O246" s="109"/>
      <c r="P246" s="109"/>
    </row>
    <row r="247" spans="1:16" x14ac:dyDescent="0.25">
      <c r="B247" s="6"/>
      <c r="D247" s="7"/>
      <c r="E247" s="7"/>
      <c r="F247" s="7"/>
      <c r="G247" s="7"/>
      <c r="H247" s="7"/>
      <c r="I247" s="7"/>
      <c r="J247" s="7"/>
      <c r="K247" s="7"/>
      <c r="L247" s="7"/>
      <c r="M247" s="7"/>
      <c r="N247" s="7"/>
      <c r="O247" s="7"/>
      <c r="P247" s="7"/>
    </row>
    <row r="248" spans="1:16" ht="15.75" x14ac:dyDescent="0.25">
      <c r="A248" s="89" t="s">
        <v>33</v>
      </c>
      <c r="C248" s="76"/>
      <c r="D248" s="48">
        <f t="shared" ref="D248:I248" si="212" xml:space="preserve"> D223 + D228 - D234 + D244 + D246</f>
        <v>21435</v>
      </c>
      <c r="E248" s="49">
        <f t="shared" si="212"/>
        <v>21435</v>
      </c>
      <c r="F248" s="50">
        <f t="shared" si="212"/>
        <v>21435</v>
      </c>
      <c r="G248" s="50">
        <f t="shared" si="212"/>
        <v>21435</v>
      </c>
      <c r="H248" s="50">
        <f t="shared" si="212"/>
        <v>21435</v>
      </c>
      <c r="I248" s="50">
        <f t="shared" si="212"/>
        <v>21435</v>
      </c>
      <c r="J248" s="50">
        <f t="shared" ref="J248:K248" si="213" xml:space="preserve"> J223 + J228 - J234 + J244 + J246</f>
        <v>21435</v>
      </c>
      <c r="K248" s="50">
        <f t="shared" si="213"/>
        <v>21435</v>
      </c>
      <c r="L248" s="50">
        <f t="shared" ref="L248:M248" si="214" xml:space="preserve"> L223 + L228 - L234 + L244 + L246</f>
        <v>30000</v>
      </c>
      <c r="M248" s="50">
        <f t="shared" si="214"/>
        <v>26788</v>
      </c>
      <c r="N248" s="50">
        <f t="shared" ref="N248:O248" si="215" xml:space="preserve"> N223 + N228 - N234 + N244 + N246</f>
        <v>19549</v>
      </c>
      <c r="O248" s="50">
        <f t="shared" si="215"/>
        <v>21315</v>
      </c>
      <c r="P248" s="50">
        <f t="shared" ref="P248" si="216" xml:space="preserve"> P223 + P228 - P234 + P244 + P246</f>
        <v>21315</v>
      </c>
    </row>
    <row r="249" spans="1:16" x14ac:dyDescent="0.25">
      <c r="B249" s="6"/>
      <c r="D249" s="7"/>
      <c r="E249" s="7"/>
      <c r="F249" s="7"/>
      <c r="G249" s="31"/>
      <c r="H249" s="31"/>
      <c r="I249" s="31"/>
      <c r="J249" s="31"/>
      <c r="K249" s="31"/>
      <c r="L249" s="31"/>
      <c r="M249" s="31"/>
      <c r="N249" s="31"/>
      <c r="O249" s="31"/>
      <c r="P249" s="31"/>
    </row>
    <row r="250" spans="1:16" ht="15.75" thickBot="1" x14ac:dyDescent="0.3"/>
    <row r="251" spans="1:16" x14ac:dyDescent="0.25">
      <c r="A251" s="8"/>
      <c r="B251" s="8"/>
      <c r="C251" s="8"/>
      <c r="D251" s="8"/>
      <c r="E251" s="8"/>
      <c r="F251" s="8"/>
      <c r="G251" s="8"/>
      <c r="H251" s="8"/>
      <c r="I251" s="8"/>
      <c r="J251" s="8"/>
      <c r="K251" s="8"/>
      <c r="L251" s="8"/>
      <c r="M251" s="8"/>
      <c r="N251" s="8"/>
      <c r="O251" s="8"/>
      <c r="P251" s="8"/>
    </row>
    <row r="252" spans="1:16" x14ac:dyDescent="0.25">
      <c r="B252" s="32"/>
      <c r="C252" s="32"/>
      <c r="D252" s="32"/>
      <c r="E252" s="32"/>
      <c r="F252" s="32"/>
      <c r="G252" s="32"/>
      <c r="H252" s="32"/>
      <c r="I252" s="32"/>
      <c r="J252" s="32"/>
      <c r="K252" s="32"/>
      <c r="L252" s="32"/>
    </row>
    <row r="253" spans="1:16" ht="21" x14ac:dyDescent="0.35">
      <c r="A253" s="16" t="s">
        <v>4</v>
      </c>
      <c r="B253" s="16"/>
      <c r="C253" s="45" t="str">
        <f>B8</f>
        <v>Noxon Rapids #2</v>
      </c>
      <c r="D253" s="46"/>
      <c r="E253" s="19"/>
      <c r="F253" s="19"/>
    </row>
    <row r="255" spans="1:16" ht="18.75" x14ac:dyDescent="0.3">
      <c r="A255" s="9" t="s">
        <v>27</v>
      </c>
      <c r="B255" s="9"/>
      <c r="D255" s="2">
        <v>2013</v>
      </c>
      <c r="E255" s="2">
        <f t="shared" ref="E255:J255" si="217">D255+1</f>
        <v>2014</v>
      </c>
      <c r="F255" s="2">
        <f t="shared" si="217"/>
        <v>2015</v>
      </c>
      <c r="G255" s="2">
        <f t="shared" si="217"/>
        <v>2016</v>
      </c>
      <c r="H255" s="2">
        <f t="shared" si="217"/>
        <v>2017</v>
      </c>
      <c r="I255" s="2">
        <f t="shared" si="217"/>
        <v>2018</v>
      </c>
      <c r="J255" s="2">
        <f t="shared" si="217"/>
        <v>2019</v>
      </c>
      <c r="K255" s="2">
        <f t="shared" ref="K255:P255" si="218">J255+1</f>
        <v>2020</v>
      </c>
      <c r="L255" s="2">
        <f t="shared" si="218"/>
        <v>2021</v>
      </c>
      <c r="M255" s="2">
        <f t="shared" si="218"/>
        <v>2022</v>
      </c>
      <c r="N255" s="2">
        <f t="shared" si="218"/>
        <v>2023</v>
      </c>
      <c r="O255" s="2">
        <f t="shared" si="218"/>
        <v>2024</v>
      </c>
      <c r="P255" s="2">
        <f t="shared" si="218"/>
        <v>2025</v>
      </c>
    </row>
    <row r="256" spans="1:16" x14ac:dyDescent="0.25">
      <c r="B256" s="86" t="str">
        <f>"Total MWh Produced / Purchased from " &amp; C253</f>
        <v>Total MWh Produced / Purchased from Noxon Rapids #2</v>
      </c>
      <c r="C256" s="76"/>
      <c r="D256" s="3">
        <v>7709</v>
      </c>
      <c r="E256" s="3">
        <v>7709</v>
      </c>
      <c r="F256" s="3">
        <v>7709</v>
      </c>
      <c r="G256" s="3">
        <v>7709</v>
      </c>
      <c r="H256" s="3">
        <v>7709</v>
      </c>
      <c r="I256" s="3">
        <v>7709</v>
      </c>
      <c r="J256" s="3">
        <v>15492</v>
      </c>
      <c r="K256" s="3">
        <v>9701</v>
      </c>
      <c r="L256" s="3">
        <v>9701</v>
      </c>
      <c r="M256" s="3">
        <v>8412</v>
      </c>
      <c r="N256" s="3">
        <v>6417</v>
      </c>
      <c r="O256" s="3">
        <v>6345</v>
      </c>
      <c r="P256" s="3">
        <v>6345</v>
      </c>
    </row>
    <row r="257" spans="1:16" x14ac:dyDescent="0.25">
      <c r="B257" s="86" t="s">
        <v>32</v>
      </c>
      <c r="C257" s="76"/>
      <c r="D257" s="60">
        <v>1</v>
      </c>
      <c r="E257" s="61">
        <v>1</v>
      </c>
      <c r="F257" s="62">
        <v>1</v>
      </c>
      <c r="G257" s="62">
        <v>1</v>
      </c>
      <c r="H257" s="62">
        <v>1</v>
      </c>
      <c r="I257" s="62">
        <v>1</v>
      </c>
      <c r="J257" s="62">
        <v>1</v>
      </c>
      <c r="K257" s="62">
        <v>1</v>
      </c>
      <c r="L257" s="62">
        <v>1</v>
      </c>
      <c r="M257" s="62">
        <v>1</v>
      </c>
      <c r="N257" s="62">
        <v>1</v>
      </c>
      <c r="O257" s="62">
        <v>1</v>
      </c>
      <c r="P257" s="62">
        <v>1</v>
      </c>
    </row>
    <row r="258" spans="1:16" x14ac:dyDescent="0.25">
      <c r="B258" s="86" t="s">
        <v>26</v>
      </c>
      <c r="C258" s="76"/>
      <c r="D258" s="53">
        <v>1</v>
      </c>
      <c r="E258" s="54">
        <v>1</v>
      </c>
      <c r="F258" s="55">
        <v>1</v>
      </c>
      <c r="G258" s="55">
        <v>1</v>
      </c>
      <c r="H258" s="55">
        <v>1</v>
      </c>
      <c r="I258" s="55">
        <v>1</v>
      </c>
      <c r="J258" s="55">
        <v>1</v>
      </c>
      <c r="K258" s="55">
        <v>1</v>
      </c>
      <c r="L258" s="55">
        <v>1</v>
      </c>
      <c r="M258" s="55">
        <v>1</v>
      </c>
      <c r="N258" s="55">
        <v>1</v>
      </c>
      <c r="O258" s="55">
        <v>1</v>
      </c>
      <c r="P258" s="55">
        <v>1</v>
      </c>
    </row>
    <row r="259" spans="1:16" x14ac:dyDescent="0.25">
      <c r="B259" s="83" t="s">
        <v>28</v>
      </c>
      <c r="C259" s="84"/>
      <c r="D259" s="40">
        <f t="shared" ref="D259:I259" si="219" xml:space="preserve"> D256 * D257 * D258</f>
        <v>7709</v>
      </c>
      <c r="E259" s="40">
        <f t="shared" si="219"/>
        <v>7709</v>
      </c>
      <c r="F259" s="40">
        <f t="shared" si="219"/>
        <v>7709</v>
      </c>
      <c r="G259" s="40">
        <f t="shared" si="219"/>
        <v>7709</v>
      </c>
      <c r="H259" s="40">
        <f t="shared" si="219"/>
        <v>7709</v>
      </c>
      <c r="I259" s="40">
        <f t="shared" si="219"/>
        <v>7709</v>
      </c>
      <c r="J259" s="40">
        <f t="shared" ref="J259:K259" si="220" xml:space="preserve"> J256 * J257 * J258</f>
        <v>15492</v>
      </c>
      <c r="K259" s="40">
        <f t="shared" si="220"/>
        <v>9701</v>
      </c>
      <c r="L259" s="40">
        <f t="shared" ref="L259:M259" si="221" xml:space="preserve"> L256 * L257 * L258</f>
        <v>9701</v>
      </c>
      <c r="M259" s="40">
        <f t="shared" si="221"/>
        <v>8412</v>
      </c>
      <c r="N259" s="40">
        <f t="shared" ref="N259:O259" si="222" xml:space="preserve"> N256 * N257 * N258</f>
        <v>6417</v>
      </c>
      <c r="O259" s="40">
        <f t="shared" si="222"/>
        <v>6345</v>
      </c>
      <c r="P259" s="40">
        <f t="shared" ref="P259" si="223" xml:space="preserve"> P256 * P257 * P258</f>
        <v>6345</v>
      </c>
    </row>
    <row r="260" spans="1:16" x14ac:dyDescent="0.25">
      <c r="B260" s="19"/>
      <c r="C260" s="32"/>
      <c r="D260" s="39"/>
      <c r="E260" s="39"/>
      <c r="F260" s="39"/>
      <c r="G260" s="39"/>
      <c r="H260" s="39"/>
      <c r="I260" s="39"/>
      <c r="J260" s="39"/>
      <c r="K260" s="39"/>
      <c r="L260" s="39"/>
      <c r="M260" s="39"/>
      <c r="N260" s="39"/>
      <c r="O260" s="39"/>
      <c r="P260" s="39"/>
    </row>
    <row r="261" spans="1:16" ht="18.75" x14ac:dyDescent="0.3">
      <c r="A261" s="47" t="s">
        <v>30</v>
      </c>
      <c r="C261" s="32"/>
      <c r="D261" s="2">
        <f>D255</f>
        <v>2013</v>
      </c>
      <c r="E261" s="2">
        <f t="shared" ref="E261:J261" si="224">D261+1</f>
        <v>2014</v>
      </c>
      <c r="F261" s="2">
        <f t="shared" si="224"/>
        <v>2015</v>
      </c>
      <c r="G261" s="2">
        <f t="shared" si="224"/>
        <v>2016</v>
      </c>
      <c r="H261" s="2">
        <f t="shared" si="224"/>
        <v>2017</v>
      </c>
      <c r="I261" s="2">
        <f t="shared" si="224"/>
        <v>2018</v>
      </c>
      <c r="J261" s="2">
        <f t="shared" si="224"/>
        <v>2019</v>
      </c>
      <c r="K261" s="2">
        <f t="shared" ref="K261:P261" si="225">J261+1</f>
        <v>2020</v>
      </c>
      <c r="L261" s="2">
        <f t="shared" si="225"/>
        <v>2021</v>
      </c>
      <c r="M261" s="2">
        <f t="shared" si="225"/>
        <v>2022</v>
      </c>
      <c r="N261" s="2">
        <f t="shared" si="225"/>
        <v>2023</v>
      </c>
      <c r="O261" s="2">
        <f t="shared" si="225"/>
        <v>2024</v>
      </c>
      <c r="P261" s="2">
        <f t="shared" si="225"/>
        <v>2025</v>
      </c>
    </row>
    <row r="262" spans="1:16" x14ac:dyDescent="0.25">
      <c r="B262" s="86" t="s">
        <v>19</v>
      </c>
      <c r="C262" s="76"/>
      <c r="D262" s="56">
        <f>IF( $E8 = "Eligible", D259 * 'Facility Detail'!$B$613, 0 )</f>
        <v>0</v>
      </c>
      <c r="E262" s="13">
        <f>IF( $E8 = "Eligible", E259 * 'Facility Detail'!$B$613, 0 )</f>
        <v>0</v>
      </c>
      <c r="F262" s="14">
        <f>IF( $E8 = "Eligible", F259 * 'Facility Detail'!$B$613, 0 )</f>
        <v>0</v>
      </c>
      <c r="G262" s="14">
        <f>IF( $E8 = "Eligible", G259 * 'Facility Detail'!$B$613, 0 )</f>
        <v>0</v>
      </c>
      <c r="H262" s="14">
        <f>IF( $E8 = "Eligible", H259 * 'Facility Detail'!$B$613, 0 )</f>
        <v>0</v>
      </c>
      <c r="I262" s="14">
        <f>IF( $E8 = "Eligible", I259 * 'Facility Detail'!$B$613, 0 )</f>
        <v>0</v>
      </c>
      <c r="J262" s="14">
        <f>IF( $E8 = "Eligible", J259 * 'Facility Detail'!$B$613, 0 )</f>
        <v>0</v>
      </c>
      <c r="K262" s="14">
        <f>IF( $E8 = "Eligible", K259 * 'Facility Detail'!$B$613, 0 )</f>
        <v>0</v>
      </c>
      <c r="L262" s="14">
        <f>IF( $E8 = "Eligible", L259 * 'Facility Detail'!$B$613, 0 )</f>
        <v>0</v>
      </c>
      <c r="M262" s="14">
        <f>IF( $E8 = "Eligible", M259 * 'Facility Detail'!$B$613, 0 )</f>
        <v>0</v>
      </c>
      <c r="N262" s="14">
        <f>IF( $E8 = "Eligible", N259 * 'Facility Detail'!$B$613, 0 )</f>
        <v>0</v>
      </c>
      <c r="O262" s="14">
        <f>IF( $E8 = "Eligible", O259 * 'Facility Detail'!$B$613, 0 )</f>
        <v>0</v>
      </c>
      <c r="P262" s="14">
        <f>IF( $E8 = "Eligible", P259 * 'Facility Detail'!$B$613, 0 )</f>
        <v>0</v>
      </c>
    </row>
    <row r="263" spans="1:16" x14ac:dyDescent="0.25">
      <c r="B263" s="86" t="s">
        <v>6</v>
      </c>
      <c r="C263" s="76"/>
      <c r="D263" s="57">
        <f t="shared" ref="D263:I263" si="226">IF( $F8 = "Eligible", D259, 0 )</f>
        <v>0</v>
      </c>
      <c r="E263" s="58">
        <f t="shared" si="226"/>
        <v>0</v>
      </c>
      <c r="F263" s="59">
        <f t="shared" si="226"/>
        <v>0</v>
      </c>
      <c r="G263" s="59">
        <f t="shared" si="226"/>
        <v>0</v>
      </c>
      <c r="H263" s="59">
        <f t="shared" si="226"/>
        <v>0</v>
      </c>
      <c r="I263" s="59">
        <f t="shared" si="226"/>
        <v>0</v>
      </c>
      <c r="J263" s="59">
        <f t="shared" ref="J263:K263" si="227">IF( $F8 = "Eligible", J259, 0 )</f>
        <v>0</v>
      </c>
      <c r="K263" s="59">
        <f t="shared" si="227"/>
        <v>0</v>
      </c>
      <c r="L263" s="59">
        <f t="shared" ref="L263:M263" si="228">IF( $F8 = "Eligible", L259, 0 )</f>
        <v>0</v>
      </c>
      <c r="M263" s="59">
        <f t="shared" si="228"/>
        <v>0</v>
      </c>
      <c r="N263" s="59">
        <f t="shared" ref="N263:O263" si="229">IF( $F8 = "Eligible", N259, 0 )</f>
        <v>0</v>
      </c>
      <c r="O263" s="59">
        <f t="shared" si="229"/>
        <v>0</v>
      </c>
      <c r="P263" s="59">
        <f t="shared" ref="P263" si="230">IF( $F8 = "Eligible", P259, 0 )</f>
        <v>0</v>
      </c>
    </row>
    <row r="264" spans="1:16" x14ac:dyDescent="0.25">
      <c r="B264" s="85" t="s">
        <v>37</v>
      </c>
      <c r="C264" s="84"/>
      <c r="D264" s="42">
        <f t="shared" ref="D264:I264" si="231">SUM(D262:D263)</f>
        <v>0</v>
      </c>
      <c r="E264" s="43">
        <f t="shared" si="231"/>
        <v>0</v>
      </c>
      <c r="F264" s="43">
        <f t="shared" si="231"/>
        <v>0</v>
      </c>
      <c r="G264" s="43">
        <f t="shared" si="231"/>
        <v>0</v>
      </c>
      <c r="H264" s="43">
        <f t="shared" si="231"/>
        <v>0</v>
      </c>
      <c r="I264" s="43">
        <f t="shared" si="231"/>
        <v>0</v>
      </c>
      <c r="J264" s="43">
        <f t="shared" ref="J264:K264" si="232">SUM(J262:J263)</f>
        <v>0</v>
      </c>
      <c r="K264" s="43">
        <f t="shared" si="232"/>
        <v>0</v>
      </c>
      <c r="L264" s="43">
        <f t="shared" ref="L264:M264" si="233">SUM(L262:L263)</f>
        <v>0</v>
      </c>
      <c r="M264" s="43">
        <f t="shared" si="233"/>
        <v>0</v>
      </c>
      <c r="N264" s="43">
        <f t="shared" ref="N264:O264" si="234">SUM(N262:N263)</f>
        <v>0</v>
      </c>
      <c r="O264" s="43">
        <f t="shared" si="234"/>
        <v>0</v>
      </c>
      <c r="P264" s="43">
        <f t="shared" ref="P264" si="235">SUM(P262:P263)</f>
        <v>0</v>
      </c>
    </row>
    <row r="265" spans="1:16" x14ac:dyDescent="0.25">
      <c r="B265" s="32"/>
      <c r="C265" s="32"/>
      <c r="D265" s="41"/>
      <c r="E265" s="33"/>
      <c r="F265" s="33"/>
      <c r="G265" s="33"/>
      <c r="H265" s="33"/>
      <c r="I265" s="33"/>
      <c r="J265" s="33"/>
      <c r="K265" s="33"/>
      <c r="L265" s="33"/>
      <c r="M265" s="33"/>
      <c r="N265" s="33"/>
      <c r="O265" s="33"/>
      <c r="P265" s="33"/>
    </row>
    <row r="266" spans="1:16" ht="18.75" x14ac:dyDescent="0.3">
      <c r="A266" s="44" t="s">
        <v>35</v>
      </c>
      <c r="C266" s="32"/>
      <c r="D266" s="2">
        <f>D255</f>
        <v>2013</v>
      </c>
      <c r="E266" s="2">
        <f t="shared" ref="E266:J266" si="236">D266+1</f>
        <v>2014</v>
      </c>
      <c r="F266" s="2">
        <f t="shared" si="236"/>
        <v>2015</v>
      </c>
      <c r="G266" s="2">
        <f t="shared" si="236"/>
        <v>2016</v>
      </c>
      <c r="H266" s="2">
        <f t="shared" si="236"/>
        <v>2017</v>
      </c>
      <c r="I266" s="2">
        <f t="shared" si="236"/>
        <v>2018</v>
      </c>
      <c r="J266" s="2">
        <f t="shared" si="236"/>
        <v>2019</v>
      </c>
      <c r="K266" s="2">
        <f t="shared" ref="K266:P266" si="237">J266+1</f>
        <v>2020</v>
      </c>
      <c r="L266" s="2">
        <f t="shared" si="237"/>
        <v>2021</v>
      </c>
      <c r="M266" s="2">
        <f t="shared" si="237"/>
        <v>2022</v>
      </c>
      <c r="N266" s="2">
        <f t="shared" si="237"/>
        <v>2023</v>
      </c>
      <c r="O266" s="2">
        <f t="shared" si="237"/>
        <v>2024</v>
      </c>
      <c r="P266" s="2">
        <f t="shared" si="237"/>
        <v>2025</v>
      </c>
    </row>
    <row r="267" spans="1:16" x14ac:dyDescent="0.25">
      <c r="B267" s="86" t="s">
        <v>39</v>
      </c>
      <c r="C267" s="76"/>
      <c r="D267" s="94">
        <v>0</v>
      </c>
      <c r="E267" s="95">
        <v>0</v>
      </c>
      <c r="F267" s="96">
        <v>0</v>
      </c>
      <c r="G267" s="96">
        <v>0</v>
      </c>
      <c r="H267" s="96">
        <v>0</v>
      </c>
      <c r="I267" s="96">
        <v>0</v>
      </c>
      <c r="J267" s="96">
        <v>7783</v>
      </c>
      <c r="K267" s="96">
        <v>1992</v>
      </c>
      <c r="L267" s="96">
        <v>0</v>
      </c>
      <c r="M267" s="96">
        <v>0</v>
      </c>
      <c r="N267" s="96">
        <v>0</v>
      </c>
      <c r="O267" s="96">
        <v>0</v>
      </c>
      <c r="P267" s="96">
        <v>0</v>
      </c>
    </row>
    <row r="268" spans="1:16" x14ac:dyDescent="0.25">
      <c r="B268" s="87" t="s">
        <v>29</v>
      </c>
      <c r="C268" s="88"/>
      <c r="D268" s="97">
        <v>0</v>
      </c>
      <c r="E268" s="98">
        <v>0</v>
      </c>
      <c r="F268" s="99">
        <v>0</v>
      </c>
      <c r="G268" s="99">
        <v>0</v>
      </c>
      <c r="H268" s="99">
        <v>0</v>
      </c>
      <c r="I268" s="99">
        <v>0</v>
      </c>
      <c r="J268" s="99">
        <v>0</v>
      </c>
      <c r="K268" s="99">
        <v>0</v>
      </c>
      <c r="L268" s="99">
        <v>0</v>
      </c>
      <c r="M268" s="99">
        <v>0</v>
      </c>
      <c r="N268" s="99">
        <v>0</v>
      </c>
      <c r="O268" s="99">
        <v>0</v>
      </c>
      <c r="P268" s="99">
        <v>0</v>
      </c>
    </row>
    <row r="269" spans="1:16" x14ac:dyDescent="0.25">
      <c r="B269" s="100" t="s">
        <v>41</v>
      </c>
      <c r="C269" s="92"/>
      <c r="D269" s="63">
        <v>0</v>
      </c>
      <c r="E269" s="64">
        <v>0</v>
      </c>
      <c r="F269" s="65">
        <v>0</v>
      </c>
      <c r="G269" s="65">
        <v>0</v>
      </c>
      <c r="H269" s="65">
        <v>0</v>
      </c>
      <c r="I269" s="65">
        <v>0</v>
      </c>
      <c r="J269" s="65">
        <v>0</v>
      </c>
      <c r="K269" s="65">
        <v>0</v>
      </c>
      <c r="L269" s="65">
        <v>0</v>
      </c>
      <c r="M269" s="65">
        <v>0</v>
      </c>
      <c r="N269" s="65">
        <v>0</v>
      </c>
      <c r="O269" s="65">
        <v>0</v>
      </c>
      <c r="P269" s="65">
        <v>0</v>
      </c>
    </row>
    <row r="270" spans="1:16" x14ac:dyDescent="0.25">
      <c r="B270" s="35" t="s">
        <v>42</v>
      </c>
      <c r="D270" s="7">
        <f t="shared" ref="D270:I270" si="238">SUM(D267:D269)</f>
        <v>0</v>
      </c>
      <c r="E270" s="7">
        <f t="shared" si="238"/>
        <v>0</v>
      </c>
      <c r="F270" s="7">
        <f t="shared" si="238"/>
        <v>0</v>
      </c>
      <c r="G270" s="7">
        <f t="shared" si="238"/>
        <v>0</v>
      </c>
      <c r="H270" s="7">
        <f t="shared" si="238"/>
        <v>0</v>
      </c>
      <c r="I270" s="7">
        <f t="shared" si="238"/>
        <v>0</v>
      </c>
      <c r="J270" s="7">
        <f t="shared" ref="J270:K270" si="239">SUM(J267:J269)</f>
        <v>7783</v>
      </c>
      <c r="K270" s="7">
        <f t="shared" si="239"/>
        <v>1992</v>
      </c>
      <c r="L270" s="7">
        <f t="shared" ref="L270:M270" si="240">SUM(L267:L269)</f>
        <v>0</v>
      </c>
      <c r="M270" s="7">
        <f t="shared" si="240"/>
        <v>0</v>
      </c>
      <c r="N270" s="7">
        <f t="shared" ref="N270:O270" si="241">SUM(N267:N269)</f>
        <v>0</v>
      </c>
      <c r="O270" s="7">
        <f t="shared" si="241"/>
        <v>0</v>
      </c>
      <c r="P270" s="7">
        <f t="shared" ref="P270" si="242">SUM(P267:P269)</f>
        <v>0</v>
      </c>
    </row>
    <row r="271" spans="1:16" x14ac:dyDescent="0.25">
      <c r="B271" s="6"/>
      <c r="D271" s="7"/>
      <c r="E271" s="7"/>
      <c r="F271" s="7"/>
      <c r="G271" s="7"/>
      <c r="H271" s="7"/>
      <c r="I271" s="7"/>
      <c r="J271" s="7"/>
      <c r="K271" s="7"/>
      <c r="L271" s="7"/>
      <c r="M271" s="7"/>
      <c r="N271" s="7"/>
      <c r="O271" s="7"/>
      <c r="P271" s="7"/>
    </row>
    <row r="272" spans="1:16" ht="18.75" x14ac:dyDescent="0.3">
      <c r="A272" s="9" t="s">
        <v>43</v>
      </c>
      <c r="D272" s="2">
        <f>D255</f>
        <v>2013</v>
      </c>
      <c r="E272" s="2">
        <f t="shared" ref="E272:J272" si="243">D272+1</f>
        <v>2014</v>
      </c>
      <c r="F272" s="2">
        <f t="shared" si="243"/>
        <v>2015</v>
      </c>
      <c r="G272" s="2">
        <f t="shared" si="243"/>
        <v>2016</v>
      </c>
      <c r="H272" s="2">
        <f t="shared" si="243"/>
        <v>2017</v>
      </c>
      <c r="I272" s="2">
        <f t="shared" si="243"/>
        <v>2018</v>
      </c>
      <c r="J272" s="2">
        <f t="shared" si="243"/>
        <v>2019</v>
      </c>
      <c r="K272" s="2"/>
      <c r="L272" s="2"/>
      <c r="M272" s="2"/>
      <c r="N272" s="2"/>
      <c r="O272" s="2"/>
      <c r="P272" s="2"/>
    </row>
    <row r="273" spans="1:16" x14ac:dyDescent="0.25">
      <c r="B273" s="86" t="str">
        <f xml:space="preserve"> 'Facility Detail'!$B$805 &amp; " Surplus Applied to " &amp; ( 'Facility Detail'!$B$805 + 1 )</f>
        <v>2013 Surplus Applied to 2014</v>
      </c>
      <c r="C273" s="76"/>
      <c r="D273" s="3"/>
      <c r="E273" s="66">
        <f>D273</f>
        <v>0</v>
      </c>
      <c r="F273" s="136"/>
      <c r="G273" s="68"/>
      <c r="H273" s="68"/>
      <c r="I273" s="68"/>
      <c r="J273" s="68"/>
      <c r="K273" s="68"/>
      <c r="L273" s="68"/>
      <c r="M273" s="68"/>
      <c r="N273" s="68"/>
      <c r="O273" s="68"/>
      <c r="P273" s="68"/>
    </row>
    <row r="274" spans="1:16" x14ac:dyDescent="0.25">
      <c r="B274" s="86" t="str">
        <f xml:space="preserve"> ( 'Facility Detail'!$B$805 + 1 ) &amp; " Surplus Applied to " &amp; ( 'Facility Detail'!$B$805 )</f>
        <v>2014 Surplus Applied to 2013</v>
      </c>
      <c r="C274" s="76"/>
      <c r="D274" s="137">
        <f>E274</f>
        <v>0</v>
      </c>
      <c r="E274" s="10"/>
      <c r="F274" s="80"/>
      <c r="G274" s="79"/>
      <c r="H274" s="79"/>
      <c r="I274" s="79"/>
      <c r="J274" s="79"/>
      <c r="K274" s="79"/>
      <c r="L274" s="79"/>
      <c r="M274" s="79"/>
      <c r="N274" s="79"/>
      <c r="O274" s="79"/>
      <c r="P274" s="79"/>
    </row>
    <row r="275" spans="1:16" x14ac:dyDescent="0.25">
      <c r="B275" s="86" t="str">
        <f xml:space="preserve"> ( 'Facility Detail'!$B$805 + 1 ) &amp; " Surplus Applied to " &amp; ( 'Facility Detail'!$B$805 + 2 )</f>
        <v>2014 Surplus Applied to 2015</v>
      </c>
      <c r="C275" s="76"/>
      <c r="D275" s="69"/>
      <c r="E275" s="10"/>
      <c r="F275" s="75">
        <f>E275</f>
        <v>0</v>
      </c>
      <c r="G275" s="79"/>
      <c r="H275" s="79"/>
      <c r="I275" s="79"/>
      <c r="J275" s="79"/>
      <c r="K275" s="79"/>
      <c r="L275" s="79"/>
      <c r="M275" s="79"/>
      <c r="N275" s="79"/>
      <c r="O275" s="79"/>
      <c r="P275" s="79"/>
    </row>
    <row r="276" spans="1:16" x14ac:dyDescent="0.25">
      <c r="B276" s="86" t="str">
        <f xml:space="preserve"> ( 'Facility Detail'!$B$805 + 2 ) &amp; " Surplus Applied to " &amp; ( 'Facility Detail'!$B$805 + 1 )</f>
        <v>2015 Surplus Applied to 2014</v>
      </c>
      <c r="C276" s="76"/>
      <c r="D276" s="69"/>
      <c r="E276" s="75">
        <f>F276</f>
        <v>0</v>
      </c>
      <c r="F276" s="10"/>
      <c r="G276" s="79"/>
      <c r="H276" s="79"/>
      <c r="I276" s="79"/>
      <c r="J276" s="79"/>
      <c r="K276" s="79"/>
      <c r="L276" s="79"/>
      <c r="M276" s="79"/>
      <c r="N276" s="79"/>
      <c r="O276" s="79"/>
      <c r="P276" s="79"/>
    </row>
    <row r="277" spans="1:16" x14ac:dyDescent="0.25">
      <c r="B277" s="86" t="str">
        <f xml:space="preserve"> ( 'Facility Detail'!$B$805 + 2 ) &amp; " Surplus Applied to " &amp; ( 'Facility Detail'!$B$805 + 3 )</f>
        <v>2015 Surplus Applied to 2016</v>
      </c>
      <c r="C277" s="32"/>
      <c r="D277" s="69"/>
      <c r="E277" s="80"/>
      <c r="F277" s="10"/>
      <c r="G277" s="138">
        <f>F277</f>
        <v>0</v>
      </c>
      <c r="H277" s="138">
        <f>G277</f>
        <v>0</v>
      </c>
      <c r="I277" s="138">
        <f>H277</f>
        <v>0</v>
      </c>
      <c r="J277" s="138">
        <f>I277</f>
        <v>0</v>
      </c>
      <c r="K277" s="138"/>
      <c r="L277" s="138"/>
      <c r="M277" s="138"/>
      <c r="N277" s="138"/>
      <c r="O277" s="138"/>
      <c r="P277" s="138"/>
    </row>
    <row r="278" spans="1:16" x14ac:dyDescent="0.25">
      <c r="B278" s="86" t="str">
        <f xml:space="preserve"> ( 'Facility Detail'!$B$805 +3 ) &amp; " Surplus Applied to " &amp; ( 'Facility Detail'!$B$805 + 2 )</f>
        <v>2016 Surplus Applied to 2015</v>
      </c>
      <c r="C278" s="32"/>
      <c r="D278" s="70"/>
      <c r="E278" s="81"/>
      <c r="F278" s="67">
        <f>G278</f>
        <v>0</v>
      </c>
      <c r="G278" s="139"/>
      <c r="H278" s="139"/>
      <c r="I278" s="139"/>
      <c r="J278" s="139"/>
      <c r="K278" s="139"/>
      <c r="L278" s="139"/>
      <c r="M278" s="139"/>
      <c r="N278" s="139"/>
      <c r="O278" s="139"/>
      <c r="P278" s="139"/>
    </row>
    <row r="279" spans="1:16" x14ac:dyDescent="0.25">
      <c r="B279" s="86" t="str">
        <f xml:space="preserve"> ( 'Facility Detail'!$B$805 +3 ) &amp; " Surplus Applied to " &amp; ( 'Facility Detail'!$B$805 + 4 )</f>
        <v>2016 Surplus Applied to 2017</v>
      </c>
      <c r="C279" s="32"/>
      <c r="D279" s="142"/>
      <c r="E279" s="142"/>
      <c r="F279" s="20"/>
      <c r="G279" s="143"/>
      <c r="H279" s="143"/>
      <c r="I279" s="143"/>
      <c r="J279" s="143"/>
      <c r="K279" s="143"/>
      <c r="L279" s="143"/>
      <c r="M279" s="143"/>
      <c r="N279" s="143"/>
      <c r="O279" s="143"/>
      <c r="P279" s="143"/>
    </row>
    <row r="280" spans="1:16" x14ac:dyDescent="0.25">
      <c r="B280" s="35" t="s">
        <v>25</v>
      </c>
      <c r="D280" s="7">
        <f xml:space="preserve"> D274 - D273</f>
        <v>0</v>
      </c>
      <c r="E280" s="7">
        <f xml:space="preserve"> E273 + E276 - E275 - E274</f>
        <v>0</v>
      </c>
      <c r="F280" s="7">
        <f>F275+F278-F276-F277</f>
        <v>0</v>
      </c>
      <c r="G280" s="7">
        <f t="shared" ref="G280:L280" si="244">G277-G278</f>
        <v>0</v>
      </c>
      <c r="H280" s="7">
        <f t="shared" si="244"/>
        <v>0</v>
      </c>
      <c r="I280" s="7">
        <f t="shared" si="244"/>
        <v>0</v>
      </c>
      <c r="J280" s="7">
        <f t="shared" si="244"/>
        <v>0</v>
      </c>
      <c r="K280" s="7">
        <f t="shared" si="244"/>
        <v>0</v>
      </c>
      <c r="L280" s="7">
        <f t="shared" si="244"/>
        <v>0</v>
      </c>
      <c r="M280" s="7">
        <f t="shared" ref="M280:N280" si="245">M277-M278</f>
        <v>0</v>
      </c>
      <c r="N280" s="7">
        <f t="shared" si="245"/>
        <v>0</v>
      </c>
      <c r="O280" s="7">
        <f t="shared" ref="O280:P280" si="246">O277-O278</f>
        <v>0</v>
      </c>
      <c r="P280" s="7">
        <f t="shared" si="246"/>
        <v>0</v>
      </c>
    </row>
    <row r="281" spans="1:16" x14ac:dyDescent="0.25">
      <c r="B281" s="6"/>
      <c r="D281" s="7"/>
      <c r="E281" s="7"/>
      <c r="F281" s="7"/>
      <c r="G281" s="7"/>
      <c r="H281" s="7"/>
      <c r="I281" s="7"/>
      <c r="J281" s="7"/>
      <c r="K281" s="7"/>
      <c r="L281" s="7"/>
      <c r="M281" s="7"/>
      <c r="N281" s="7"/>
      <c r="O281" s="7"/>
      <c r="P281" s="7"/>
    </row>
    <row r="282" spans="1:16" x14ac:dyDescent="0.25">
      <c r="B282" s="93" t="s">
        <v>21</v>
      </c>
      <c r="C282" s="76"/>
      <c r="D282" s="107"/>
      <c r="E282" s="108"/>
      <c r="F282" s="109"/>
      <c r="G282" s="109"/>
      <c r="H282" s="109"/>
      <c r="I282" s="109"/>
      <c r="J282" s="109"/>
      <c r="K282" s="109"/>
      <c r="L282" s="109"/>
      <c r="M282" s="109"/>
      <c r="N282" s="109"/>
      <c r="O282" s="109"/>
      <c r="P282" s="109"/>
    </row>
    <row r="283" spans="1:16" x14ac:dyDescent="0.25">
      <c r="B283" s="6"/>
      <c r="D283" s="7"/>
      <c r="E283" s="7"/>
      <c r="F283" s="7"/>
      <c r="G283" s="7"/>
      <c r="H283" s="7"/>
      <c r="I283" s="7"/>
      <c r="J283" s="7"/>
      <c r="K283" s="7"/>
      <c r="L283" s="7"/>
      <c r="M283" s="7"/>
      <c r="N283" s="7"/>
      <c r="O283" s="7"/>
      <c r="P283" s="7"/>
    </row>
    <row r="284" spans="1:16" ht="15.75" x14ac:dyDescent="0.25">
      <c r="A284" s="89" t="s">
        <v>33</v>
      </c>
      <c r="C284" s="76"/>
      <c r="D284" s="48">
        <f t="shared" ref="D284:I284" si="247" xml:space="preserve"> D259 + D264 - D270 + D280 + D282</f>
        <v>7709</v>
      </c>
      <c r="E284" s="49">
        <f t="shared" si="247"/>
        <v>7709</v>
      </c>
      <c r="F284" s="50">
        <f t="shared" si="247"/>
        <v>7709</v>
      </c>
      <c r="G284" s="50">
        <f t="shared" si="247"/>
        <v>7709</v>
      </c>
      <c r="H284" s="50">
        <f t="shared" si="247"/>
        <v>7709</v>
      </c>
      <c r="I284" s="50">
        <f t="shared" si="247"/>
        <v>7709</v>
      </c>
      <c r="J284" s="50">
        <f t="shared" ref="J284:K284" si="248" xml:space="preserve"> J259 + J264 - J270 + J280 + J282</f>
        <v>7709</v>
      </c>
      <c r="K284" s="50">
        <f t="shared" si="248"/>
        <v>7709</v>
      </c>
      <c r="L284" s="50">
        <f t="shared" ref="L284:M284" si="249" xml:space="preserve"> L259 + L264 - L270 + L280 + L282</f>
        <v>9701</v>
      </c>
      <c r="M284" s="50">
        <f t="shared" si="249"/>
        <v>8412</v>
      </c>
      <c r="N284" s="50">
        <f t="shared" ref="N284:O284" si="250" xml:space="preserve"> N259 + N264 - N270 + N280 + N282</f>
        <v>6417</v>
      </c>
      <c r="O284" s="50">
        <f t="shared" si="250"/>
        <v>6345</v>
      </c>
      <c r="P284" s="50">
        <f t="shared" ref="P284" si="251" xml:space="preserve"> P259 + P264 - P270 + P280 + P282</f>
        <v>6345</v>
      </c>
    </row>
    <row r="285" spans="1:16" x14ac:dyDescent="0.25">
      <c r="B285" s="6"/>
      <c r="D285" s="7"/>
      <c r="E285" s="7"/>
      <c r="F285" s="7"/>
      <c r="G285" s="31"/>
      <c r="H285" s="31"/>
      <c r="I285" s="31"/>
      <c r="J285" s="31"/>
      <c r="K285" s="31"/>
      <c r="L285" s="31"/>
      <c r="M285" s="31"/>
      <c r="N285" s="31"/>
      <c r="O285" s="31"/>
      <c r="P285" s="31"/>
    </row>
    <row r="286" spans="1:16" ht="15.75" thickBot="1" x14ac:dyDescent="0.3"/>
    <row r="287" spans="1:16" x14ac:dyDescent="0.25">
      <c r="A287" s="8"/>
      <c r="B287" s="8"/>
      <c r="C287" s="8"/>
      <c r="D287" s="8"/>
      <c r="E287" s="8"/>
      <c r="F287" s="8"/>
      <c r="G287" s="8"/>
      <c r="H287" s="8"/>
      <c r="I287" s="8"/>
      <c r="J287" s="8"/>
      <c r="K287" s="8"/>
      <c r="L287" s="8"/>
      <c r="M287" s="8"/>
      <c r="N287" s="8"/>
      <c r="O287" s="8"/>
      <c r="P287" s="8"/>
    </row>
    <row r="288" spans="1:16" x14ac:dyDescent="0.25">
      <c r="B288" s="32"/>
      <c r="C288" s="32"/>
      <c r="D288" s="32"/>
      <c r="E288" s="32"/>
      <c r="F288" s="32"/>
      <c r="G288" s="32"/>
      <c r="H288" s="32"/>
      <c r="I288" s="32"/>
      <c r="J288" s="32"/>
      <c r="K288" s="32"/>
      <c r="L288" s="32"/>
    </row>
    <row r="289" spans="1:16" ht="21" x14ac:dyDescent="0.35">
      <c r="A289" s="16" t="s">
        <v>4</v>
      </c>
      <c r="B289" s="16"/>
      <c r="C289" s="45" t="str">
        <f>B9</f>
        <v>Noxon Rapids #3</v>
      </c>
      <c r="D289" s="46"/>
      <c r="E289" s="19"/>
      <c r="F289" s="19"/>
    </row>
    <row r="291" spans="1:16" ht="18.75" x14ac:dyDescent="0.3">
      <c r="A291" s="9" t="s">
        <v>27</v>
      </c>
      <c r="B291" s="9"/>
      <c r="D291" s="2">
        <v>2013</v>
      </c>
      <c r="E291" s="2">
        <f t="shared" ref="E291:J291" si="252">D291+1</f>
        <v>2014</v>
      </c>
      <c r="F291" s="2">
        <f t="shared" si="252"/>
        <v>2015</v>
      </c>
      <c r="G291" s="2">
        <f t="shared" si="252"/>
        <v>2016</v>
      </c>
      <c r="H291" s="2">
        <f t="shared" si="252"/>
        <v>2017</v>
      </c>
      <c r="I291" s="2">
        <f t="shared" si="252"/>
        <v>2018</v>
      </c>
      <c r="J291" s="2">
        <f t="shared" si="252"/>
        <v>2019</v>
      </c>
      <c r="K291" s="2">
        <f t="shared" ref="K291:P291" si="253">J291+1</f>
        <v>2020</v>
      </c>
      <c r="L291" s="2">
        <f t="shared" si="253"/>
        <v>2021</v>
      </c>
      <c r="M291" s="2">
        <f t="shared" si="253"/>
        <v>2022</v>
      </c>
      <c r="N291" s="2">
        <f t="shared" si="253"/>
        <v>2023</v>
      </c>
      <c r="O291" s="2">
        <f t="shared" si="253"/>
        <v>2024</v>
      </c>
      <c r="P291" s="2">
        <f t="shared" si="253"/>
        <v>2025</v>
      </c>
    </row>
    <row r="292" spans="1:16" x14ac:dyDescent="0.25">
      <c r="B292" s="86" t="str">
        <f>"Total MWh Produced / Purchased from " &amp; C289</f>
        <v>Total MWh Produced / Purchased from Noxon Rapids #3</v>
      </c>
      <c r="C292" s="76"/>
      <c r="D292" s="3">
        <v>14529</v>
      </c>
      <c r="E292" s="3">
        <v>14529</v>
      </c>
      <c r="F292" s="3">
        <v>14529</v>
      </c>
      <c r="G292" s="3">
        <v>14529</v>
      </c>
      <c r="H292" s="3">
        <v>14529</v>
      </c>
      <c r="I292" s="3">
        <v>14529</v>
      </c>
      <c r="J292" s="3">
        <v>25539</v>
      </c>
      <c r="K292" s="3">
        <v>35835</v>
      </c>
      <c r="L292" s="3">
        <v>32000</v>
      </c>
      <c r="M292" s="3">
        <v>32039</v>
      </c>
      <c r="N292" s="3">
        <v>21245</v>
      </c>
      <c r="O292" s="3">
        <v>20875</v>
      </c>
      <c r="P292" s="3">
        <v>20875</v>
      </c>
    </row>
    <row r="293" spans="1:16" x14ac:dyDescent="0.25">
      <c r="B293" s="86" t="s">
        <v>32</v>
      </c>
      <c r="C293" s="76"/>
      <c r="D293" s="60">
        <v>1</v>
      </c>
      <c r="E293" s="61">
        <v>1</v>
      </c>
      <c r="F293" s="62">
        <v>1</v>
      </c>
      <c r="G293" s="62">
        <v>1</v>
      </c>
      <c r="H293" s="62">
        <v>1</v>
      </c>
      <c r="I293" s="62">
        <v>1</v>
      </c>
      <c r="J293" s="62">
        <v>1</v>
      </c>
      <c r="K293" s="62">
        <v>1</v>
      </c>
      <c r="L293" s="62">
        <v>1</v>
      </c>
      <c r="M293" s="62">
        <v>1</v>
      </c>
      <c r="N293" s="62">
        <v>1</v>
      </c>
      <c r="O293" s="62">
        <v>1</v>
      </c>
      <c r="P293" s="62">
        <v>1</v>
      </c>
    </row>
    <row r="294" spans="1:16" x14ac:dyDescent="0.25">
      <c r="B294" s="86" t="s">
        <v>26</v>
      </c>
      <c r="C294" s="76"/>
      <c r="D294" s="53">
        <v>1</v>
      </c>
      <c r="E294" s="54">
        <v>1</v>
      </c>
      <c r="F294" s="55">
        <v>1</v>
      </c>
      <c r="G294" s="55">
        <v>1</v>
      </c>
      <c r="H294" s="55">
        <v>1</v>
      </c>
      <c r="I294" s="55">
        <v>1</v>
      </c>
      <c r="J294" s="55">
        <v>1</v>
      </c>
      <c r="K294" s="55">
        <v>1</v>
      </c>
      <c r="L294" s="55">
        <v>1</v>
      </c>
      <c r="M294" s="55">
        <v>1</v>
      </c>
      <c r="N294" s="55">
        <v>1</v>
      </c>
      <c r="O294" s="55">
        <v>1</v>
      </c>
      <c r="P294" s="55">
        <v>1</v>
      </c>
    </row>
    <row r="295" spans="1:16" x14ac:dyDescent="0.25">
      <c r="B295" s="83" t="s">
        <v>28</v>
      </c>
      <c r="C295" s="84"/>
      <c r="D295" s="40">
        <f t="shared" ref="D295:I295" si="254" xml:space="preserve"> D292 * D293 * D294</f>
        <v>14529</v>
      </c>
      <c r="E295" s="40">
        <f t="shared" si="254"/>
        <v>14529</v>
      </c>
      <c r="F295" s="40">
        <f t="shared" si="254"/>
        <v>14529</v>
      </c>
      <c r="G295" s="40">
        <f t="shared" si="254"/>
        <v>14529</v>
      </c>
      <c r="H295" s="40">
        <f t="shared" si="254"/>
        <v>14529</v>
      </c>
      <c r="I295" s="40">
        <f t="shared" si="254"/>
        <v>14529</v>
      </c>
      <c r="J295" s="40">
        <f t="shared" ref="J295:K295" si="255" xml:space="preserve"> J292 * J293 * J294</f>
        <v>25539</v>
      </c>
      <c r="K295" s="40">
        <f t="shared" si="255"/>
        <v>35835</v>
      </c>
      <c r="L295" s="40">
        <f t="shared" ref="L295:M295" si="256" xml:space="preserve"> L292 * L293 * L294</f>
        <v>32000</v>
      </c>
      <c r="M295" s="40">
        <f t="shared" si="256"/>
        <v>32039</v>
      </c>
      <c r="N295" s="40">
        <f t="shared" ref="N295:O295" si="257" xml:space="preserve"> N292 * N293 * N294</f>
        <v>21245</v>
      </c>
      <c r="O295" s="40">
        <f t="shared" si="257"/>
        <v>20875</v>
      </c>
      <c r="P295" s="40">
        <f t="shared" ref="P295" si="258" xml:space="preserve"> P292 * P293 * P294</f>
        <v>20875</v>
      </c>
    </row>
    <row r="296" spans="1:16" x14ac:dyDescent="0.25">
      <c r="B296" s="19"/>
      <c r="C296" s="32"/>
      <c r="D296" s="39"/>
      <c r="E296" s="39"/>
      <c r="F296" s="39"/>
      <c r="G296" s="39"/>
      <c r="H296" s="39"/>
      <c r="I296" s="39"/>
      <c r="J296" s="39"/>
      <c r="K296" s="39"/>
      <c r="L296" s="39"/>
      <c r="M296" s="39"/>
      <c r="N296" s="39"/>
      <c r="O296" s="39"/>
      <c r="P296" s="39"/>
    </row>
    <row r="297" spans="1:16" ht="18.75" x14ac:dyDescent="0.3">
      <c r="A297" s="47" t="s">
        <v>30</v>
      </c>
      <c r="C297" s="32"/>
      <c r="D297" s="2">
        <f>D291</f>
        <v>2013</v>
      </c>
      <c r="E297" s="2">
        <f t="shared" ref="E297:J297" si="259">D297+1</f>
        <v>2014</v>
      </c>
      <c r="F297" s="2">
        <f t="shared" si="259"/>
        <v>2015</v>
      </c>
      <c r="G297" s="2">
        <f t="shared" si="259"/>
        <v>2016</v>
      </c>
      <c r="H297" s="2">
        <f t="shared" si="259"/>
        <v>2017</v>
      </c>
      <c r="I297" s="2">
        <f t="shared" si="259"/>
        <v>2018</v>
      </c>
      <c r="J297" s="2">
        <f t="shared" si="259"/>
        <v>2019</v>
      </c>
      <c r="K297" s="2">
        <f t="shared" ref="K297:P297" si="260">J297+1</f>
        <v>2020</v>
      </c>
      <c r="L297" s="2">
        <f t="shared" si="260"/>
        <v>2021</v>
      </c>
      <c r="M297" s="2">
        <f t="shared" si="260"/>
        <v>2022</v>
      </c>
      <c r="N297" s="2">
        <f t="shared" si="260"/>
        <v>2023</v>
      </c>
      <c r="O297" s="2">
        <f t="shared" si="260"/>
        <v>2024</v>
      </c>
      <c r="P297" s="2">
        <f t="shared" si="260"/>
        <v>2025</v>
      </c>
    </row>
    <row r="298" spans="1:16" x14ac:dyDescent="0.25">
      <c r="B298" s="86" t="s">
        <v>19</v>
      </c>
      <c r="C298" s="76"/>
      <c r="D298" s="56">
        <f>IF( $E9 = "Eligible", D295 * 'Facility Detail'!$B$613, 0 )</f>
        <v>0</v>
      </c>
      <c r="E298" s="13">
        <f>IF( $E9 = "Eligible", E295 * 'Facility Detail'!$B$613, 0 )</f>
        <v>0</v>
      </c>
      <c r="F298" s="14">
        <f>IF( $E9 = "Eligible", F295 * 'Facility Detail'!$B$613, 0 )</f>
        <v>0</v>
      </c>
      <c r="G298" s="14">
        <f>IF( $E9 = "Eligible", G295 * 'Facility Detail'!$B$613, 0 )</f>
        <v>0</v>
      </c>
      <c r="H298" s="14">
        <f>IF( $E9 = "Eligible", H295 * 'Facility Detail'!$B$613, 0 )</f>
        <v>0</v>
      </c>
      <c r="I298" s="14">
        <f>IF( $E9 = "Eligible", I295 * 'Facility Detail'!$B$613, 0 )</f>
        <v>0</v>
      </c>
      <c r="J298" s="14">
        <f>IF( $E9 = "Eligible", J295 * 'Facility Detail'!$B$613, 0 )</f>
        <v>0</v>
      </c>
      <c r="K298" s="14">
        <f>IF( $E9 = "Eligible", K295 * 'Facility Detail'!$B$613, 0 )</f>
        <v>0</v>
      </c>
      <c r="L298" s="14">
        <f>IF( $E9 = "Eligible", L295 * 'Facility Detail'!$B$613, 0 )</f>
        <v>0</v>
      </c>
      <c r="M298" s="14">
        <f>IF( $E9 = "Eligible", M295 * 'Facility Detail'!$B$613, 0 )</f>
        <v>0</v>
      </c>
      <c r="N298" s="14">
        <f>IF( $E9 = "Eligible", N295 * 'Facility Detail'!$B$613, 0 )</f>
        <v>0</v>
      </c>
      <c r="O298" s="14">
        <f>IF( $E9 = "Eligible", O295 * 'Facility Detail'!$B$613, 0 )</f>
        <v>0</v>
      </c>
      <c r="P298" s="14">
        <f>IF( $E9 = "Eligible", P295 * 'Facility Detail'!$B$613, 0 )</f>
        <v>0</v>
      </c>
    </row>
    <row r="299" spans="1:16" x14ac:dyDescent="0.25">
      <c r="B299" s="86" t="s">
        <v>6</v>
      </c>
      <c r="C299" s="76"/>
      <c r="D299" s="57">
        <f t="shared" ref="D299:I299" si="261">IF( $F9 = "Eligible", D295, 0 )</f>
        <v>0</v>
      </c>
      <c r="E299" s="58">
        <f t="shared" si="261"/>
        <v>0</v>
      </c>
      <c r="F299" s="59">
        <f t="shared" si="261"/>
        <v>0</v>
      </c>
      <c r="G299" s="59">
        <f t="shared" si="261"/>
        <v>0</v>
      </c>
      <c r="H299" s="59">
        <f t="shared" si="261"/>
        <v>0</v>
      </c>
      <c r="I299" s="59">
        <f t="shared" si="261"/>
        <v>0</v>
      </c>
      <c r="J299" s="59">
        <f t="shared" ref="J299:K299" si="262">IF( $F9 = "Eligible", J295, 0 )</f>
        <v>0</v>
      </c>
      <c r="K299" s="59">
        <f t="shared" si="262"/>
        <v>0</v>
      </c>
      <c r="L299" s="59">
        <f t="shared" ref="L299:M299" si="263">IF( $F9 = "Eligible", L295, 0 )</f>
        <v>0</v>
      </c>
      <c r="M299" s="59">
        <f t="shared" si="263"/>
        <v>0</v>
      </c>
      <c r="N299" s="59">
        <f t="shared" ref="N299:O299" si="264">IF( $F9 = "Eligible", N295, 0 )</f>
        <v>0</v>
      </c>
      <c r="O299" s="59">
        <f t="shared" si="264"/>
        <v>0</v>
      </c>
      <c r="P299" s="59">
        <f t="shared" ref="P299" si="265">IF( $F9 = "Eligible", P295, 0 )</f>
        <v>0</v>
      </c>
    </row>
    <row r="300" spans="1:16" x14ac:dyDescent="0.25">
      <c r="B300" s="85" t="s">
        <v>37</v>
      </c>
      <c r="C300" s="84"/>
      <c r="D300" s="42">
        <f t="shared" ref="D300:I300" si="266">SUM(D298:D299)</f>
        <v>0</v>
      </c>
      <c r="E300" s="43">
        <f t="shared" si="266"/>
        <v>0</v>
      </c>
      <c r="F300" s="43">
        <f t="shared" si="266"/>
        <v>0</v>
      </c>
      <c r="G300" s="43">
        <f t="shared" si="266"/>
        <v>0</v>
      </c>
      <c r="H300" s="43">
        <f t="shared" si="266"/>
        <v>0</v>
      </c>
      <c r="I300" s="43">
        <f t="shared" si="266"/>
        <v>0</v>
      </c>
      <c r="J300" s="43">
        <f t="shared" ref="J300:K300" si="267">SUM(J298:J299)</f>
        <v>0</v>
      </c>
      <c r="K300" s="43">
        <f t="shared" si="267"/>
        <v>0</v>
      </c>
      <c r="L300" s="43">
        <f t="shared" ref="L300:M300" si="268">SUM(L298:L299)</f>
        <v>0</v>
      </c>
      <c r="M300" s="43">
        <f t="shared" si="268"/>
        <v>0</v>
      </c>
      <c r="N300" s="43">
        <f t="shared" ref="N300:O300" si="269">SUM(N298:N299)</f>
        <v>0</v>
      </c>
      <c r="O300" s="43">
        <f t="shared" si="269"/>
        <v>0</v>
      </c>
      <c r="P300" s="43">
        <f t="shared" ref="P300" si="270">SUM(P298:P299)</f>
        <v>0</v>
      </c>
    </row>
    <row r="301" spans="1:16" x14ac:dyDescent="0.25">
      <c r="B301" s="32"/>
      <c r="C301" s="32"/>
      <c r="D301" s="41"/>
      <c r="E301" s="33"/>
      <c r="F301" s="33"/>
      <c r="G301" s="33"/>
      <c r="H301" s="33"/>
      <c r="I301" s="33"/>
      <c r="J301" s="33"/>
      <c r="K301" s="33"/>
      <c r="L301" s="33"/>
      <c r="M301" s="33"/>
      <c r="N301" s="33"/>
      <c r="O301" s="33"/>
      <c r="P301" s="33"/>
    </row>
    <row r="302" spans="1:16" ht="18.75" x14ac:dyDescent="0.3">
      <c r="A302" s="44" t="s">
        <v>35</v>
      </c>
      <c r="C302" s="32"/>
      <c r="D302" s="2">
        <f>D291</f>
        <v>2013</v>
      </c>
      <c r="E302" s="2">
        <f t="shared" ref="E302:J302" si="271">D302+1</f>
        <v>2014</v>
      </c>
      <c r="F302" s="2">
        <f t="shared" si="271"/>
        <v>2015</v>
      </c>
      <c r="G302" s="2">
        <f t="shared" si="271"/>
        <v>2016</v>
      </c>
      <c r="H302" s="2">
        <f t="shared" si="271"/>
        <v>2017</v>
      </c>
      <c r="I302" s="2">
        <f t="shared" si="271"/>
        <v>2018</v>
      </c>
      <c r="J302" s="2">
        <f t="shared" si="271"/>
        <v>2019</v>
      </c>
      <c r="K302" s="2">
        <f t="shared" ref="K302:P302" si="272">J302+1</f>
        <v>2020</v>
      </c>
      <c r="L302" s="2">
        <f t="shared" si="272"/>
        <v>2021</v>
      </c>
      <c r="M302" s="2">
        <f t="shared" si="272"/>
        <v>2022</v>
      </c>
      <c r="N302" s="2">
        <f t="shared" si="272"/>
        <v>2023</v>
      </c>
      <c r="O302" s="2">
        <f t="shared" si="272"/>
        <v>2024</v>
      </c>
      <c r="P302" s="2">
        <f t="shared" si="272"/>
        <v>2025</v>
      </c>
    </row>
    <row r="303" spans="1:16" x14ac:dyDescent="0.25">
      <c r="B303" s="86" t="s">
        <v>39</v>
      </c>
      <c r="C303" s="76"/>
      <c r="D303" s="94">
        <v>0</v>
      </c>
      <c r="E303" s="95">
        <v>0</v>
      </c>
      <c r="F303" s="96">
        <v>0</v>
      </c>
      <c r="G303" s="96">
        <v>0</v>
      </c>
      <c r="H303" s="96">
        <v>0</v>
      </c>
      <c r="I303" s="96">
        <v>0</v>
      </c>
      <c r="J303" s="96">
        <v>11010</v>
      </c>
      <c r="K303" s="96">
        <v>21306</v>
      </c>
      <c r="L303" s="96">
        <v>0</v>
      </c>
      <c r="M303" s="96">
        <v>0</v>
      </c>
      <c r="N303" s="96">
        <v>0</v>
      </c>
      <c r="O303" s="96">
        <v>0</v>
      </c>
      <c r="P303" s="96">
        <v>0</v>
      </c>
    </row>
    <row r="304" spans="1:16" x14ac:dyDescent="0.25">
      <c r="B304" s="87" t="s">
        <v>29</v>
      </c>
      <c r="C304" s="88"/>
      <c r="D304" s="97">
        <v>0</v>
      </c>
      <c r="E304" s="98">
        <v>0</v>
      </c>
      <c r="F304" s="99">
        <v>0</v>
      </c>
      <c r="G304" s="99">
        <v>0</v>
      </c>
      <c r="H304" s="99">
        <v>0</v>
      </c>
      <c r="I304" s="99">
        <v>0</v>
      </c>
      <c r="J304" s="99">
        <v>0</v>
      </c>
      <c r="K304" s="99">
        <v>0</v>
      </c>
      <c r="L304" s="99">
        <v>0</v>
      </c>
      <c r="M304" s="99">
        <v>0</v>
      </c>
      <c r="N304" s="99">
        <v>0</v>
      </c>
      <c r="O304" s="99">
        <v>0</v>
      </c>
      <c r="P304" s="99">
        <v>0</v>
      </c>
    </row>
    <row r="305" spans="1:16" x14ac:dyDescent="0.25">
      <c r="B305" s="100" t="s">
        <v>41</v>
      </c>
      <c r="C305" s="92"/>
      <c r="D305" s="63">
        <v>0</v>
      </c>
      <c r="E305" s="64">
        <v>0</v>
      </c>
      <c r="F305" s="65">
        <v>0</v>
      </c>
      <c r="G305" s="65">
        <v>0</v>
      </c>
      <c r="H305" s="65">
        <v>0</v>
      </c>
      <c r="I305" s="65">
        <v>0</v>
      </c>
      <c r="J305" s="65">
        <v>0</v>
      </c>
      <c r="K305" s="65">
        <v>0</v>
      </c>
      <c r="L305" s="65">
        <v>0</v>
      </c>
      <c r="M305" s="65">
        <v>0</v>
      </c>
      <c r="N305" s="65">
        <v>0</v>
      </c>
      <c r="O305" s="65">
        <v>0</v>
      </c>
      <c r="P305" s="65">
        <v>0</v>
      </c>
    </row>
    <row r="306" spans="1:16" x14ac:dyDescent="0.25">
      <c r="B306" s="35" t="s">
        <v>42</v>
      </c>
      <c r="D306" s="7">
        <f t="shared" ref="D306:I306" si="273">SUM(D303:D305)</f>
        <v>0</v>
      </c>
      <c r="E306" s="7">
        <f t="shared" si="273"/>
        <v>0</v>
      </c>
      <c r="F306" s="7">
        <f t="shared" si="273"/>
        <v>0</v>
      </c>
      <c r="G306" s="7">
        <f t="shared" si="273"/>
        <v>0</v>
      </c>
      <c r="H306" s="7">
        <f t="shared" si="273"/>
        <v>0</v>
      </c>
      <c r="I306" s="7">
        <f t="shared" si="273"/>
        <v>0</v>
      </c>
      <c r="J306" s="7">
        <f t="shared" ref="J306:K306" si="274">SUM(J303:J305)</f>
        <v>11010</v>
      </c>
      <c r="K306" s="7">
        <f t="shared" si="274"/>
        <v>21306</v>
      </c>
      <c r="L306" s="7">
        <f t="shared" ref="L306:M306" si="275">SUM(L303:L305)</f>
        <v>0</v>
      </c>
      <c r="M306" s="7">
        <f t="shared" si="275"/>
        <v>0</v>
      </c>
      <c r="N306" s="7">
        <f t="shared" ref="N306:O306" si="276">SUM(N303:N305)</f>
        <v>0</v>
      </c>
      <c r="O306" s="7">
        <f t="shared" si="276"/>
        <v>0</v>
      </c>
      <c r="P306" s="7">
        <f t="shared" ref="P306" si="277">SUM(P303:P305)</f>
        <v>0</v>
      </c>
    </row>
    <row r="307" spans="1:16" x14ac:dyDescent="0.25">
      <c r="B307" s="6"/>
      <c r="D307" s="7"/>
      <c r="E307" s="7"/>
      <c r="F307" s="7"/>
      <c r="G307" s="7"/>
      <c r="H307" s="7"/>
      <c r="I307" s="7"/>
      <c r="J307" s="7"/>
      <c r="K307" s="7"/>
      <c r="L307" s="7"/>
      <c r="M307" s="7"/>
      <c r="N307" s="7"/>
      <c r="O307" s="7"/>
      <c r="P307" s="7"/>
    </row>
    <row r="308" spans="1:16" ht="18.75" x14ac:dyDescent="0.3">
      <c r="A308" s="9" t="s">
        <v>43</v>
      </c>
      <c r="D308" s="2">
        <f>D291</f>
        <v>2013</v>
      </c>
      <c r="E308" s="2">
        <f t="shared" ref="E308:J308" si="278">D308+1</f>
        <v>2014</v>
      </c>
      <c r="F308" s="2">
        <f t="shared" si="278"/>
        <v>2015</v>
      </c>
      <c r="G308" s="2">
        <f t="shared" si="278"/>
        <v>2016</v>
      </c>
      <c r="H308" s="2">
        <f t="shared" si="278"/>
        <v>2017</v>
      </c>
      <c r="I308" s="2">
        <f t="shared" si="278"/>
        <v>2018</v>
      </c>
      <c r="J308" s="2">
        <f t="shared" si="278"/>
        <v>2019</v>
      </c>
      <c r="K308" s="2">
        <f t="shared" ref="K308:P308" si="279">J308+1</f>
        <v>2020</v>
      </c>
      <c r="L308" s="2">
        <f t="shared" si="279"/>
        <v>2021</v>
      </c>
      <c r="M308" s="2">
        <f t="shared" si="279"/>
        <v>2022</v>
      </c>
      <c r="N308" s="2">
        <f t="shared" si="279"/>
        <v>2023</v>
      </c>
      <c r="O308" s="2">
        <f t="shared" si="279"/>
        <v>2024</v>
      </c>
      <c r="P308" s="2">
        <f t="shared" si="279"/>
        <v>2025</v>
      </c>
    </row>
    <row r="309" spans="1:16" x14ac:dyDescent="0.25">
      <c r="B309" s="86" t="str">
        <f xml:space="preserve"> 'Facility Detail'!$B$805 &amp; " Surplus Applied to " &amp; ( 'Facility Detail'!$B$805 + 1 )</f>
        <v>2013 Surplus Applied to 2014</v>
      </c>
      <c r="C309" s="76"/>
      <c r="D309" s="3"/>
      <c r="E309" s="66">
        <f>D309</f>
        <v>0</v>
      </c>
      <c r="F309" s="136"/>
      <c r="G309" s="68"/>
      <c r="H309" s="68"/>
      <c r="I309" s="68"/>
      <c r="J309" s="68"/>
      <c r="K309" s="68"/>
      <c r="L309" s="68"/>
      <c r="M309" s="68"/>
      <c r="N309" s="68"/>
      <c r="O309" s="68"/>
      <c r="P309" s="68"/>
    </row>
    <row r="310" spans="1:16" x14ac:dyDescent="0.25">
      <c r="B310" s="86" t="str">
        <f xml:space="preserve"> ( 'Facility Detail'!$B$805 + 1 ) &amp; " Surplus Applied to " &amp; ( 'Facility Detail'!$B$805 )</f>
        <v>2014 Surplus Applied to 2013</v>
      </c>
      <c r="C310" s="76"/>
      <c r="D310" s="137">
        <f>E310</f>
        <v>0</v>
      </c>
      <c r="E310" s="10"/>
      <c r="F310" s="80"/>
      <c r="G310" s="79"/>
      <c r="H310" s="79"/>
      <c r="I310" s="79"/>
      <c r="J310" s="79"/>
      <c r="K310" s="79"/>
      <c r="L310" s="79"/>
      <c r="M310" s="79"/>
      <c r="N310" s="79"/>
      <c r="O310" s="79"/>
      <c r="P310" s="79"/>
    </row>
    <row r="311" spans="1:16" x14ac:dyDescent="0.25">
      <c r="B311" s="86" t="str">
        <f xml:space="preserve"> ( 'Facility Detail'!$B$805 + 1 ) &amp; " Surplus Applied to " &amp; ( 'Facility Detail'!$B$805 + 2 )</f>
        <v>2014 Surplus Applied to 2015</v>
      </c>
      <c r="C311" s="76"/>
      <c r="D311" s="69"/>
      <c r="E311" s="10"/>
      <c r="F311" s="75">
        <f>E311</f>
        <v>0</v>
      </c>
      <c r="G311" s="79"/>
      <c r="H311" s="79"/>
      <c r="I311" s="79"/>
      <c r="J311" s="79"/>
      <c r="K311" s="79"/>
      <c r="L311" s="79"/>
      <c r="M311" s="79"/>
      <c r="N311" s="79"/>
      <c r="O311" s="79"/>
      <c r="P311" s="79"/>
    </row>
    <row r="312" spans="1:16" x14ac:dyDescent="0.25">
      <c r="B312" s="86" t="str">
        <f xml:space="preserve"> ( 'Facility Detail'!$B$805 + 2 ) &amp; " Surplus Applied to " &amp; ( 'Facility Detail'!$B$805 + 1 )</f>
        <v>2015 Surplus Applied to 2014</v>
      </c>
      <c r="C312" s="76"/>
      <c r="D312" s="69"/>
      <c r="E312" s="75">
        <f>F312</f>
        <v>0</v>
      </c>
      <c r="F312" s="10"/>
      <c r="G312" s="79"/>
      <c r="H312" s="79"/>
      <c r="I312" s="79"/>
      <c r="J312" s="79"/>
      <c r="K312" s="79"/>
      <c r="L312" s="79"/>
      <c r="M312" s="79"/>
      <c r="N312" s="79"/>
      <c r="O312" s="79"/>
      <c r="P312" s="79"/>
    </row>
    <row r="313" spans="1:16" x14ac:dyDescent="0.25">
      <c r="B313" s="86" t="str">
        <f xml:space="preserve"> ( 'Facility Detail'!$B$805 + 2 ) &amp; " Surplus Applied to " &amp; ( 'Facility Detail'!$B$805 + 3 )</f>
        <v>2015 Surplus Applied to 2016</v>
      </c>
      <c r="C313" s="32"/>
      <c r="D313" s="69"/>
      <c r="E313" s="80"/>
      <c r="F313" s="10"/>
      <c r="G313" s="138">
        <f>F313</f>
        <v>0</v>
      </c>
      <c r="H313" s="138">
        <f>G313</f>
        <v>0</v>
      </c>
      <c r="I313" s="138">
        <f>H313</f>
        <v>0</v>
      </c>
      <c r="J313" s="138">
        <f>I313</f>
        <v>0</v>
      </c>
      <c r="K313" s="138"/>
      <c r="L313" s="138"/>
      <c r="M313" s="138"/>
      <c r="N313" s="138"/>
      <c r="O313" s="138"/>
      <c r="P313" s="138"/>
    </row>
    <row r="314" spans="1:16" x14ac:dyDescent="0.25">
      <c r="B314" s="86" t="str">
        <f xml:space="preserve"> ( 'Facility Detail'!$B$805 +3 ) &amp; " Surplus Applied to " &amp; ( 'Facility Detail'!$B$805 + 2 )</f>
        <v>2016 Surplus Applied to 2015</v>
      </c>
      <c r="C314" s="32"/>
      <c r="D314" s="70"/>
      <c r="E314" s="81"/>
      <c r="F314" s="67">
        <f>G314</f>
        <v>0</v>
      </c>
      <c r="G314" s="139"/>
      <c r="H314" s="139"/>
      <c r="I314" s="139"/>
      <c r="J314" s="139"/>
      <c r="K314" s="139"/>
      <c r="L314" s="139"/>
      <c r="M314" s="139"/>
      <c r="N314" s="139"/>
      <c r="O314" s="139"/>
      <c r="P314" s="139"/>
    </row>
    <row r="315" spans="1:16" x14ac:dyDescent="0.25">
      <c r="B315" s="86" t="str">
        <f xml:space="preserve"> ( 'Facility Detail'!$B$805 +3 ) &amp; " Surplus Applied to " &amp; ( 'Facility Detail'!$B$805 + 4 )</f>
        <v>2016 Surplus Applied to 2017</v>
      </c>
      <c r="C315" s="32"/>
      <c r="D315" s="142"/>
      <c r="E315" s="142"/>
      <c r="F315" s="20"/>
      <c r="G315" s="143"/>
      <c r="H315" s="143"/>
      <c r="I315" s="143"/>
      <c r="J315" s="143"/>
      <c r="K315" s="143"/>
      <c r="L315" s="143"/>
      <c r="M315" s="143"/>
      <c r="N315" s="143"/>
      <c r="O315" s="143"/>
      <c r="P315" s="143"/>
    </row>
    <row r="316" spans="1:16" x14ac:dyDescent="0.25">
      <c r="B316" s="35" t="s">
        <v>25</v>
      </c>
      <c r="D316" s="7">
        <f xml:space="preserve"> D310 - D309</f>
        <v>0</v>
      </c>
      <c r="E316" s="7">
        <f xml:space="preserve"> E309 + E312 - E311 - E310</f>
        <v>0</v>
      </c>
      <c r="F316" s="7">
        <f>F311+F314-F312-F313</f>
        <v>0</v>
      </c>
      <c r="G316" s="7">
        <f t="shared" ref="G316:L316" si="280">G313-G314</f>
        <v>0</v>
      </c>
      <c r="H316" s="7">
        <f t="shared" si="280"/>
        <v>0</v>
      </c>
      <c r="I316" s="7">
        <f t="shared" si="280"/>
        <v>0</v>
      </c>
      <c r="J316" s="7">
        <f t="shared" si="280"/>
        <v>0</v>
      </c>
      <c r="K316" s="7">
        <f t="shared" si="280"/>
        <v>0</v>
      </c>
      <c r="L316" s="7">
        <f t="shared" si="280"/>
        <v>0</v>
      </c>
      <c r="M316" s="7">
        <f t="shared" ref="M316:N316" si="281">M313-M314</f>
        <v>0</v>
      </c>
      <c r="N316" s="7">
        <f t="shared" si="281"/>
        <v>0</v>
      </c>
      <c r="O316" s="7">
        <f t="shared" ref="O316:P316" si="282">O313-O314</f>
        <v>0</v>
      </c>
      <c r="P316" s="7">
        <f t="shared" si="282"/>
        <v>0</v>
      </c>
    </row>
    <row r="317" spans="1:16" x14ac:dyDescent="0.25">
      <c r="B317" s="6"/>
      <c r="D317" s="7"/>
      <c r="E317" s="7"/>
      <c r="F317" s="7"/>
      <c r="G317" s="7"/>
      <c r="H317" s="7"/>
      <c r="I317" s="7"/>
      <c r="J317" s="7"/>
      <c r="K317" s="7"/>
      <c r="L317" s="7"/>
      <c r="M317" s="7"/>
      <c r="N317" s="7"/>
      <c r="O317" s="7"/>
      <c r="P317" s="7"/>
    </row>
    <row r="318" spans="1:16" x14ac:dyDescent="0.25">
      <c r="B318" s="93" t="s">
        <v>21</v>
      </c>
      <c r="C318" s="76"/>
      <c r="D318" s="107"/>
      <c r="E318" s="108"/>
      <c r="F318" s="109"/>
      <c r="G318" s="109"/>
      <c r="H318" s="109"/>
      <c r="I318" s="109"/>
      <c r="J318" s="109"/>
      <c r="K318" s="109"/>
      <c r="L318" s="109"/>
      <c r="M318" s="109"/>
      <c r="N318" s="109"/>
      <c r="O318" s="109"/>
      <c r="P318" s="109"/>
    </row>
    <row r="319" spans="1:16" x14ac:dyDescent="0.25">
      <c r="B319" s="6"/>
      <c r="D319" s="7"/>
      <c r="E319" s="7"/>
      <c r="F319" s="7"/>
      <c r="G319" s="7"/>
      <c r="H319" s="7"/>
      <c r="I319" s="7"/>
      <c r="J319" s="7"/>
      <c r="K319" s="7"/>
      <c r="L319" s="7"/>
      <c r="M319" s="7"/>
      <c r="N319" s="7"/>
      <c r="O319" s="7"/>
      <c r="P319" s="7"/>
    </row>
    <row r="320" spans="1:16" ht="15.75" x14ac:dyDescent="0.25">
      <c r="A320" s="89" t="s">
        <v>33</v>
      </c>
      <c r="C320" s="76"/>
      <c r="D320" s="48">
        <f t="shared" ref="D320:I320" si="283" xml:space="preserve"> D295 + D300 - D306 + D316 + D318</f>
        <v>14529</v>
      </c>
      <c r="E320" s="49">
        <f t="shared" si="283"/>
        <v>14529</v>
      </c>
      <c r="F320" s="50">
        <f t="shared" si="283"/>
        <v>14529</v>
      </c>
      <c r="G320" s="50">
        <f t="shared" si="283"/>
        <v>14529</v>
      </c>
      <c r="H320" s="50">
        <f t="shared" si="283"/>
        <v>14529</v>
      </c>
      <c r="I320" s="50">
        <f t="shared" si="283"/>
        <v>14529</v>
      </c>
      <c r="J320" s="50">
        <f t="shared" ref="J320:K320" si="284" xml:space="preserve"> J295 + J300 - J306 + J316 + J318</f>
        <v>14529</v>
      </c>
      <c r="K320" s="50">
        <f t="shared" si="284"/>
        <v>14529</v>
      </c>
      <c r="L320" s="50">
        <f t="shared" ref="L320:M320" si="285" xml:space="preserve"> L295 + L300 - L306 + L316 + L318</f>
        <v>32000</v>
      </c>
      <c r="M320" s="50">
        <f t="shared" si="285"/>
        <v>32039</v>
      </c>
      <c r="N320" s="50">
        <f t="shared" ref="N320:O320" si="286" xml:space="preserve"> N295 + N300 - N306 + N316 + N318</f>
        <v>21245</v>
      </c>
      <c r="O320" s="50">
        <f t="shared" si="286"/>
        <v>20875</v>
      </c>
      <c r="P320" s="50">
        <f t="shared" ref="P320" si="287" xml:space="preserve"> P295 + P300 - P306 + P316 + P318</f>
        <v>20875</v>
      </c>
    </row>
    <row r="321" spans="1:16" x14ac:dyDescent="0.25">
      <c r="B321" s="6"/>
      <c r="D321" s="7"/>
      <c r="E321" s="7"/>
      <c r="F321" s="7"/>
      <c r="G321" s="31"/>
      <c r="H321" s="31"/>
      <c r="I321" s="31"/>
      <c r="J321" s="31"/>
      <c r="K321" s="31"/>
      <c r="L321" s="31"/>
      <c r="M321" s="31"/>
      <c r="N321" s="31"/>
      <c r="O321" s="31"/>
      <c r="P321" s="31"/>
    </row>
    <row r="322" spans="1:16" ht="15.75" thickBot="1" x14ac:dyDescent="0.3"/>
    <row r="323" spans="1:16" x14ac:dyDescent="0.25">
      <c r="A323" s="8"/>
      <c r="B323" s="8"/>
      <c r="C323" s="8"/>
      <c r="D323" s="8"/>
      <c r="E323" s="8"/>
      <c r="F323" s="8"/>
      <c r="G323" s="8"/>
      <c r="H323" s="8"/>
      <c r="I323" s="8"/>
      <c r="J323" s="8"/>
      <c r="K323" s="8"/>
      <c r="L323" s="8"/>
      <c r="M323" s="8"/>
      <c r="N323" s="8"/>
      <c r="O323" s="8"/>
      <c r="P323" s="8"/>
    </row>
    <row r="324" spans="1:16" x14ac:dyDescent="0.25">
      <c r="B324" s="32"/>
      <c r="C324" s="32"/>
      <c r="D324" s="32"/>
      <c r="E324" s="32"/>
      <c r="F324" s="32"/>
      <c r="G324" s="32"/>
      <c r="H324" s="32"/>
      <c r="I324" s="32"/>
      <c r="J324" s="32"/>
      <c r="K324" s="32"/>
      <c r="L324" s="32"/>
    </row>
    <row r="325" spans="1:16" ht="21" x14ac:dyDescent="0.35">
      <c r="A325" s="16" t="s">
        <v>4</v>
      </c>
      <c r="B325" s="16"/>
      <c r="C325" s="45" t="str">
        <f>B10</f>
        <v>Noxon Rapids #4</v>
      </c>
      <c r="D325" s="46"/>
      <c r="E325" s="19"/>
      <c r="F325" s="19"/>
    </row>
    <row r="327" spans="1:16" ht="18.75" x14ac:dyDescent="0.3">
      <c r="A327" s="9" t="s">
        <v>85</v>
      </c>
      <c r="B327" s="9"/>
      <c r="D327" s="2">
        <v>2013</v>
      </c>
      <c r="E327" s="2">
        <f t="shared" ref="E327:J327" si="288">D327+1</f>
        <v>2014</v>
      </c>
      <c r="F327" s="2">
        <f t="shared" si="288"/>
        <v>2015</v>
      </c>
      <c r="G327" s="2">
        <f t="shared" si="288"/>
        <v>2016</v>
      </c>
      <c r="H327" s="2">
        <f t="shared" si="288"/>
        <v>2017</v>
      </c>
      <c r="I327" s="2">
        <f t="shared" si="288"/>
        <v>2018</v>
      </c>
      <c r="J327" s="2">
        <f t="shared" si="288"/>
        <v>2019</v>
      </c>
      <c r="K327" s="2">
        <f t="shared" ref="K327:P327" si="289">J327+1</f>
        <v>2020</v>
      </c>
      <c r="L327" s="2">
        <f t="shared" si="289"/>
        <v>2021</v>
      </c>
      <c r="M327" s="2">
        <f t="shared" si="289"/>
        <v>2022</v>
      </c>
      <c r="N327" s="2">
        <f t="shared" si="289"/>
        <v>2023</v>
      </c>
      <c r="O327" s="2">
        <f t="shared" si="289"/>
        <v>2024</v>
      </c>
      <c r="P327" s="2">
        <f t="shared" si="289"/>
        <v>2025</v>
      </c>
    </row>
    <row r="328" spans="1:16" x14ac:dyDescent="0.25">
      <c r="B328" s="86" t="str">
        <f>"Total MWh Produced / Purchased from " &amp; C325</f>
        <v>Total MWh Produced / Purchased from Noxon Rapids #4</v>
      </c>
      <c r="C328" s="76"/>
      <c r="D328" s="3">
        <v>10934</v>
      </c>
      <c r="E328" s="4">
        <v>12024</v>
      </c>
      <c r="F328" s="5">
        <v>12024</v>
      </c>
      <c r="G328" s="5">
        <v>12024</v>
      </c>
      <c r="H328" s="5">
        <v>12024</v>
      </c>
      <c r="I328" s="5">
        <v>12024</v>
      </c>
      <c r="J328" s="5">
        <v>11898</v>
      </c>
      <c r="K328" s="5">
        <v>14994</v>
      </c>
      <c r="L328" s="5">
        <v>14994</v>
      </c>
      <c r="M328" s="5">
        <v>11742</v>
      </c>
      <c r="N328" s="5">
        <v>11778</v>
      </c>
      <c r="O328" s="5">
        <v>13202</v>
      </c>
      <c r="P328" s="5">
        <v>13202</v>
      </c>
    </row>
    <row r="329" spans="1:16" x14ac:dyDescent="0.25">
      <c r="B329" s="86" t="s">
        <v>32</v>
      </c>
      <c r="C329" s="76"/>
      <c r="D329" s="60">
        <v>1</v>
      </c>
      <c r="E329" s="61">
        <v>1</v>
      </c>
      <c r="F329" s="62">
        <v>1</v>
      </c>
      <c r="G329" s="62">
        <v>1</v>
      </c>
      <c r="H329" s="62">
        <v>1</v>
      </c>
      <c r="I329" s="62">
        <v>1</v>
      </c>
      <c r="J329" s="62">
        <v>1</v>
      </c>
      <c r="K329" s="62">
        <v>1</v>
      </c>
      <c r="L329" s="62">
        <v>1</v>
      </c>
      <c r="M329" s="62">
        <v>1</v>
      </c>
      <c r="N329" s="62">
        <v>1</v>
      </c>
      <c r="O329" s="62">
        <v>1</v>
      </c>
      <c r="P329" s="62">
        <v>1</v>
      </c>
    </row>
    <row r="330" spans="1:16" x14ac:dyDescent="0.25">
      <c r="B330" s="86" t="s">
        <v>26</v>
      </c>
      <c r="C330" s="76"/>
      <c r="D330" s="53">
        <v>1</v>
      </c>
      <c r="E330" s="54">
        <v>1</v>
      </c>
      <c r="F330" s="55">
        <v>1</v>
      </c>
      <c r="G330" s="55">
        <v>1</v>
      </c>
      <c r="H330" s="55">
        <v>1</v>
      </c>
      <c r="I330" s="55">
        <v>1</v>
      </c>
      <c r="J330" s="55">
        <v>1</v>
      </c>
      <c r="K330" s="55">
        <v>1</v>
      </c>
      <c r="L330" s="55">
        <v>1</v>
      </c>
      <c r="M330" s="55">
        <v>1</v>
      </c>
      <c r="N330" s="55">
        <v>1</v>
      </c>
      <c r="O330" s="55">
        <v>1</v>
      </c>
      <c r="P330" s="55">
        <v>1</v>
      </c>
    </row>
    <row r="331" spans="1:16" x14ac:dyDescent="0.25">
      <c r="B331" s="83" t="s">
        <v>28</v>
      </c>
      <c r="C331" s="84"/>
      <c r="D331" s="40">
        <f t="shared" ref="D331:I331" si="290" xml:space="preserve"> D328 * D329 * D330</f>
        <v>10934</v>
      </c>
      <c r="E331" s="40">
        <f t="shared" si="290"/>
        <v>12024</v>
      </c>
      <c r="F331" s="40">
        <f t="shared" si="290"/>
        <v>12024</v>
      </c>
      <c r="G331" s="40">
        <f t="shared" si="290"/>
        <v>12024</v>
      </c>
      <c r="H331" s="40">
        <f t="shared" si="290"/>
        <v>12024</v>
      </c>
      <c r="I331" s="40">
        <f t="shared" si="290"/>
        <v>12024</v>
      </c>
      <c r="J331" s="40">
        <f t="shared" ref="J331:K331" si="291" xml:space="preserve"> J328 * J329 * J330</f>
        <v>11898</v>
      </c>
      <c r="K331" s="40">
        <f t="shared" si="291"/>
        <v>14994</v>
      </c>
      <c r="L331" s="40">
        <f t="shared" ref="L331:M331" si="292" xml:space="preserve"> L328 * L329 * L330</f>
        <v>14994</v>
      </c>
      <c r="M331" s="40">
        <f t="shared" si="292"/>
        <v>11742</v>
      </c>
      <c r="N331" s="40">
        <f t="shared" ref="N331:O331" si="293" xml:space="preserve"> N328 * N329 * N330</f>
        <v>11778</v>
      </c>
      <c r="O331" s="40">
        <f t="shared" si="293"/>
        <v>13202</v>
      </c>
      <c r="P331" s="40">
        <f t="shared" ref="P331" si="294" xml:space="preserve"> P328 * P329 * P330</f>
        <v>13202</v>
      </c>
    </row>
    <row r="332" spans="1:16" x14ac:dyDescent="0.25">
      <c r="B332" s="19"/>
      <c r="C332" s="32"/>
      <c r="D332" s="39"/>
      <c r="E332" s="39"/>
      <c r="F332" s="39"/>
      <c r="G332" s="39"/>
      <c r="H332" s="39"/>
      <c r="I332" s="39"/>
      <c r="J332" s="39"/>
      <c r="K332" s="39"/>
      <c r="L332" s="39"/>
      <c r="M332" s="39"/>
      <c r="N332" s="39"/>
      <c r="O332" s="39"/>
      <c r="P332" s="39"/>
    </row>
    <row r="333" spans="1:16" ht="18.75" x14ac:dyDescent="0.3">
      <c r="A333" s="47" t="s">
        <v>30</v>
      </c>
      <c r="C333" s="32"/>
      <c r="D333" s="2">
        <f>D327</f>
        <v>2013</v>
      </c>
      <c r="E333" s="2">
        <f t="shared" ref="E333:J333" si="295">D333+1</f>
        <v>2014</v>
      </c>
      <c r="F333" s="2">
        <f t="shared" si="295"/>
        <v>2015</v>
      </c>
      <c r="G333" s="2">
        <f t="shared" si="295"/>
        <v>2016</v>
      </c>
      <c r="H333" s="2">
        <f t="shared" si="295"/>
        <v>2017</v>
      </c>
      <c r="I333" s="2">
        <f t="shared" si="295"/>
        <v>2018</v>
      </c>
      <c r="J333" s="2">
        <f t="shared" si="295"/>
        <v>2019</v>
      </c>
      <c r="K333" s="2">
        <f t="shared" ref="K333:P333" si="296">J333+1</f>
        <v>2020</v>
      </c>
      <c r="L333" s="2">
        <f t="shared" si="296"/>
        <v>2021</v>
      </c>
      <c r="M333" s="2">
        <f t="shared" si="296"/>
        <v>2022</v>
      </c>
      <c r="N333" s="2">
        <f t="shared" si="296"/>
        <v>2023</v>
      </c>
      <c r="O333" s="2">
        <f t="shared" si="296"/>
        <v>2024</v>
      </c>
      <c r="P333" s="2">
        <f t="shared" si="296"/>
        <v>2025</v>
      </c>
    </row>
    <row r="334" spans="1:16" x14ac:dyDescent="0.25">
      <c r="B334" s="86" t="s">
        <v>19</v>
      </c>
      <c r="C334" s="76"/>
      <c r="D334" s="56">
        <f>IF( $E10 = "Eligible", D331 * 'Facility Detail'!$B$613, 0 )</f>
        <v>0</v>
      </c>
      <c r="E334" s="13">
        <f>IF( $E10 = "Eligible", E331 * 'Facility Detail'!$B$613, 0 )</f>
        <v>0</v>
      </c>
      <c r="F334" s="14">
        <f>IF( $E10 = "Eligible", F331 * 'Facility Detail'!$B$613, 0 )</f>
        <v>0</v>
      </c>
      <c r="G334" s="14">
        <f>IF( $E10 = "Eligible", G331 * 'Facility Detail'!$B$613, 0 )</f>
        <v>0</v>
      </c>
      <c r="H334" s="14">
        <f>IF( $E10 = "Eligible", H331 * 'Facility Detail'!$B$613, 0 )</f>
        <v>0</v>
      </c>
      <c r="I334" s="14">
        <f>IF( $E10 = "Eligible", I331 * 'Facility Detail'!$B$613, 0 )</f>
        <v>0</v>
      </c>
      <c r="J334" s="14">
        <f>IF( $E10 = "Eligible", J331 * 'Facility Detail'!$B$613, 0 )</f>
        <v>0</v>
      </c>
      <c r="K334" s="14">
        <f>IF( $E10 = "Eligible", K331 * 'Facility Detail'!$B$613, 0 )</f>
        <v>0</v>
      </c>
      <c r="L334" s="14">
        <f>IF( $E10 = "Eligible", L331 * 'Facility Detail'!$B$613, 0 )</f>
        <v>0</v>
      </c>
      <c r="M334" s="14">
        <f>IF( $E10 = "Eligible", M331 * 'Facility Detail'!$B$613, 0 )</f>
        <v>0</v>
      </c>
      <c r="N334" s="14">
        <f>IF( $E10 = "Eligible", N331 * 'Facility Detail'!$B$613, 0 )</f>
        <v>0</v>
      </c>
      <c r="O334" s="14">
        <f>IF( $E10 = "Eligible", O331 * 'Facility Detail'!$B$613, 0 )</f>
        <v>0</v>
      </c>
      <c r="P334" s="14">
        <f>IF( $E10 = "Eligible", P331 * 'Facility Detail'!$B$613, 0 )</f>
        <v>0</v>
      </c>
    </row>
    <row r="335" spans="1:16" x14ac:dyDescent="0.25">
      <c r="B335" s="86" t="s">
        <v>6</v>
      </c>
      <c r="C335" s="76"/>
      <c r="D335" s="57">
        <f t="shared" ref="D335:I335" si="297">IF( $F10 = "Eligible", D331, 0 )</f>
        <v>0</v>
      </c>
      <c r="E335" s="58">
        <f t="shared" si="297"/>
        <v>0</v>
      </c>
      <c r="F335" s="59">
        <f t="shared" si="297"/>
        <v>0</v>
      </c>
      <c r="G335" s="59">
        <f t="shared" si="297"/>
        <v>0</v>
      </c>
      <c r="H335" s="59">
        <f t="shared" si="297"/>
        <v>0</v>
      </c>
      <c r="I335" s="59">
        <f t="shared" si="297"/>
        <v>0</v>
      </c>
      <c r="J335" s="59">
        <f t="shared" ref="J335:K335" si="298">IF( $F10 = "Eligible", J331, 0 )</f>
        <v>0</v>
      </c>
      <c r="K335" s="59">
        <f t="shared" si="298"/>
        <v>0</v>
      </c>
      <c r="L335" s="59">
        <f t="shared" ref="L335:M335" si="299">IF( $F10 = "Eligible", L331, 0 )</f>
        <v>0</v>
      </c>
      <c r="M335" s="59">
        <f t="shared" si="299"/>
        <v>0</v>
      </c>
      <c r="N335" s="59">
        <f t="shared" ref="N335:O335" si="300">IF( $F10 = "Eligible", N331, 0 )</f>
        <v>0</v>
      </c>
      <c r="O335" s="59">
        <f t="shared" si="300"/>
        <v>0</v>
      </c>
      <c r="P335" s="59">
        <f t="shared" ref="P335" si="301">IF( $F10 = "Eligible", P331, 0 )</f>
        <v>0</v>
      </c>
    </row>
    <row r="336" spans="1:16" x14ac:dyDescent="0.25">
      <c r="B336" s="85" t="s">
        <v>37</v>
      </c>
      <c r="C336" s="84"/>
      <c r="D336" s="42">
        <f t="shared" ref="D336:I336" si="302">SUM(D334:D335)</f>
        <v>0</v>
      </c>
      <c r="E336" s="43">
        <f t="shared" si="302"/>
        <v>0</v>
      </c>
      <c r="F336" s="43">
        <f t="shared" si="302"/>
        <v>0</v>
      </c>
      <c r="G336" s="43">
        <f t="shared" si="302"/>
        <v>0</v>
      </c>
      <c r="H336" s="43">
        <f t="shared" si="302"/>
        <v>0</v>
      </c>
      <c r="I336" s="43">
        <f t="shared" si="302"/>
        <v>0</v>
      </c>
      <c r="J336" s="43">
        <f t="shared" ref="J336:K336" si="303">SUM(J334:J335)</f>
        <v>0</v>
      </c>
      <c r="K336" s="43">
        <f t="shared" si="303"/>
        <v>0</v>
      </c>
      <c r="L336" s="43">
        <f t="shared" ref="L336:M336" si="304">SUM(L334:L335)</f>
        <v>0</v>
      </c>
      <c r="M336" s="43">
        <f t="shared" si="304"/>
        <v>0</v>
      </c>
      <c r="N336" s="43">
        <f t="shared" ref="N336:O336" si="305">SUM(N334:N335)</f>
        <v>0</v>
      </c>
      <c r="O336" s="43">
        <f t="shared" si="305"/>
        <v>0</v>
      </c>
      <c r="P336" s="43">
        <f t="shared" ref="P336" si="306">SUM(P334:P335)</f>
        <v>0</v>
      </c>
    </row>
    <row r="337" spans="1:16" x14ac:dyDescent="0.25">
      <c r="B337" s="32"/>
      <c r="C337" s="32"/>
      <c r="D337" s="41"/>
      <c r="E337" s="33"/>
      <c r="F337" s="33"/>
      <c r="G337" s="33"/>
      <c r="H337" s="33"/>
      <c r="I337" s="33"/>
      <c r="J337" s="33"/>
      <c r="K337" s="33"/>
      <c r="L337" s="33"/>
      <c r="M337" s="33"/>
      <c r="N337" s="33"/>
      <c r="O337" s="33"/>
      <c r="P337" s="33"/>
    </row>
    <row r="338" spans="1:16" ht="18.75" x14ac:dyDescent="0.3">
      <c r="A338" s="44" t="s">
        <v>35</v>
      </c>
      <c r="C338" s="32"/>
      <c r="D338" s="2">
        <f>D327</f>
        <v>2013</v>
      </c>
      <c r="E338" s="2">
        <f t="shared" ref="E338:J338" si="307">D338+1</f>
        <v>2014</v>
      </c>
      <c r="F338" s="2">
        <f t="shared" si="307"/>
        <v>2015</v>
      </c>
      <c r="G338" s="2">
        <f t="shared" si="307"/>
        <v>2016</v>
      </c>
      <c r="H338" s="2">
        <f t="shared" si="307"/>
        <v>2017</v>
      </c>
      <c r="I338" s="2">
        <f t="shared" si="307"/>
        <v>2018</v>
      </c>
      <c r="J338" s="2">
        <f t="shared" si="307"/>
        <v>2019</v>
      </c>
      <c r="K338" s="2">
        <f t="shared" ref="K338:P338" si="308">J338+1</f>
        <v>2020</v>
      </c>
      <c r="L338" s="2">
        <f t="shared" si="308"/>
        <v>2021</v>
      </c>
      <c r="M338" s="2">
        <f t="shared" si="308"/>
        <v>2022</v>
      </c>
      <c r="N338" s="2">
        <f t="shared" si="308"/>
        <v>2023</v>
      </c>
      <c r="O338" s="2">
        <f t="shared" si="308"/>
        <v>2024</v>
      </c>
      <c r="P338" s="2">
        <f t="shared" si="308"/>
        <v>2025</v>
      </c>
    </row>
    <row r="339" spans="1:16" x14ac:dyDescent="0.25">
      <c r="B339" s="86" t="s">
        <v>39</v>
      </c>
      <c r="C339" s="76"/>
      <c r="D339" s="94">
        <v>0</v>
      </c>
      <c r="E339" s="95">
        <v>0</v>
      </c>
      <c r="F339" s="96">
        <v>0</v>
      </c>
      <c r="G339" s="96">
        <v>0</v>
      </c>
      <c r="H339" s="96">
        <v>0</v>
      </c>
      <c r="I339" s="96">
        <v>0</v>
      </c>
      <c r="J339" s="96">
        <v>0</v>
      </c>
      <c r="K339" s="96">
        <v>2970</v>
      </c>
      <c r="L339" s="96">
        <v>0</v>
      </c>
      <c r="M339" s="96">
        <v>0</v>
      </c>
      <c r="N339" s="96">
        <v>0</v>
      </c>
      <c r="O339" s="96">
        <v>0</v>
      </c>
      <c r="P339" s="96">
        <v>0</v>
      </c>
    </row>
    <row r="340" spans="1:16" x14ac:dyDescent="0.25">
      <c r="B340" s="87" t="s">
        <v>29</v>
      </c>
      <c r="C340" s="88"/>
      <c r="D340" s="97">
        <v>0</v>
      </c>
      <c r="E340" s="98">
        <v>0</v>
      </c>
      <c r="F340" s="99">
        <v>0</v>
      </c>
      <c r="G340" s="99">
        <v>0</v>
      </c>
      <c r="H340" s="99">
        <v>0</v>
      </c>
      <c r="I340" s="99">
        <v>0</v>
      </c>
      <c r="J340" s="99">
        <v>0</v>
      </c>
      <c r="K340" s="99">
        <v>0</v>
      </c>
      <c r="L340" s="99">
        <v>0</v>
      </c>
      <c r="M340" s="99">
        <v>0</v>
      </c>
      <c r="N340" s="99">
        <v>0</v>
      </c>
      <c r="O340" s="99">
        <v>0</v>
      </c>
      <c r="P340" s="99">
        <v>0</v>
      </c>
    </row>
    <row r="341" spans="1:16" x14ac:dyDescent="0.25">
      <c r="B341" s="100" t="s">
        <v>41</v>
      </c>
      <c r="C341" s="92"/>
      <c r="D341" s="63">
        <v>0</v>
      </c>
      <c r="E341" s="64">
        <v>0</v>
      </c>
      <c r="F341" s="65">
        <v>0</v>
      </c>
      <c r="G341" s="65">
        <v>0</v>
      </c>
      <c r="H341" s="65">
        <v>0</v>
      </c>
      <c r="I341" s="65">
        <v>0</v>
      </c>
      <c r="J341" s="65">
        <v>0</v>
      </c>
      <c r="K341" s="65">
        <v>0</v>
      </c>
      <c r="L341" s="65">
        <v>0</v>
      </c>
      <c r="M341" s="65">
        <v>0</v>
      </c>
      <c r="N341" s="65">
        <v>0</v>
      </c>
      <c r="O341" s="65">
        <v>0</v>
      </c>
      <c r="P341" s="65">
        <v>0</v>
      </c>
    </row>
    <row r="342" spans="1:16" x14ac:dyDescent="0.25">
      <c r="B342" s="35" t="s">
        <v>42</v>
      </c>
      <c r="D342" s="7">
        <f t="shared" ref="D342:I342" si="309">SUM(D339:D341)</f>
        <v>0</v>
      </c>
      <c r="E342" s="7">
        <f t="shared" si="309"/>
        <v>0</v>
      </c>
      <c r="F342" s="7">
        <f t="shared" si="309"/>
        <v>0</v>
      </c>
      <c r="G342" s="7">
        <f t="shared" si="309"/>
        <v>0</v>
      </c>
      <c r="H342" s="7">
        <f t="shared" si="309"/>
        <v>0</v>
      </c>
      <c r="I342" s="7">
        <f t="shared" si="309"/>
        <v>0</v>
      </c>
      <c r="J342" s="7">
        <f t="shared" ref="J342:K342" si="310">SUM(J339:J341)</f>
        <v>0</v>
      </c>
      <c r="K342" s="7">
        <f t="shared" si="310"/>
        <v>2970</v>
      </c>
      <c r="L342" s="7">
        <f t="shared" ref="L342:M342" si="311">SUM(L339:L341)</f>
        <v>0</v>
      </c>
      <c r="M342" s="7">
        <f t="shared" si="311"/>
        <v>0</v>
      </c>
      <c r="N342" s="7">
        <f t="shared" ref="N342:O342" si="312">SUM(N339:N341)</f>
        <v>0</v>
      </c>
      <c r="O342" s="7">
        <f t="shared" si="312"/>
        <v>0</v>
      </c>
      <c r="P342" s="7">
        <f t="shared" ref="P342" si="313">SUM(P339:P341)</f>
        <v>0</v>
      </c>
    </row>
    <row r="343" spans="1:16" x14ac:dyDescent="0.25">
      <c r="B343" s="6"/>
      <c r="D343" s="7"/>
      <c r="E343" s="7"/>
      <c r="F343" s="7"/>
      <c r="G343" s="7"/>
      <c r="H343" s="7"/>
      <c r="I343" s="7"/>
      <c r="J343" s="7"/>
      <c r="K343" s="7"/>
      <c r="L343" s="7"/>
      <c r="M343" s="7"/>
      <c r="N343" s="7"/>
      <c r="O343" s="7"/>
      <c r="P343" s="7"/>
    </row>
    <row r="344" spans="1:16" ht="18.75" x14ac:dyDescent="0.3">
      <c r="A344" s="9" t="s">
        <v>43</v>
      </c>
      <c r="D344" s="2">
        <f>D327</f>
        <v>2013</v>
      </c>
      <c r="E344" s="2">
        <f t="shared" ref="E344:J344" si="314">D344+1</f>
        <v>2014</v>
      </c>
      <c r="F344" s="2">
        <f t="shared" si="314"/>
        <v>2015</v>
      </c>
      <c r="G344" s="2">
        <f t="shared" si="314"/>
        <v>2016</v>
      </c>
      <c r="H344" s="2">
        <f t="shared" si="314"/>
        <v>2017</v>
      </c>
      <c r="I344" s="2">
        <f t="shared" si="314"/>
        <v>2018</v>
      </c>
      <c r="J344" s="2">
        <f t="shared" si="314"/>
        <v>2019</v>
      </c>
      <c r="K344" s="2">
        <f t="shared" ref="K344:P344" si="315">J344+1</f>
        <v>2020</v>
      </c>
      <c r="L344" s="2">
        <f t="shared" si="315"/>
        <v>2021</v>
      </c>
      <c r="M344" s="2">
        <f t="shared" si="315"/>
        <v>2022</v>
      </c>
      <c r="N344" s="2">
        <f t="shared" si="315"/>
        <v>2023</v>
      </c>
      <c r="O344" s="2">
        <f t="shared" si="315"/>
        <v>2024</v>
      </c>
      <c r="P344" s="2">
        <f t="shared" si="315"/>
        <v>2025</v>
      </c>
    </row>
    <row r="345" spans="1:16" x14ac:dyDescent="0.25">
      <c r="B345" s="86" t="str">
        <f xml:space="preserve"> 'Facility Detail'!$B$805 &amp; " Surplus Applied to " &amp; ( 'Facility Detail'!$B$805 + 1 )</f>
        <v>2013 Surplus Applied to 2014</v>
      </c>
      <c r="C345" s="76"/>
      <c r="D345" s="3"/>
      <c r="E345" s="66">
        <f>D345</f>
        <v>0</v>
      </c>
      <c r="F345" s="136"/>
      <c r="G345" s="68"/>
      <c r="H345" s="68"/>
      <c r="I345" s="68"/>
      <c r="J345" s="68"/>
      <c r="K345" s="68"/>
      <c r="L345" s="68"/>
      <c r="M345" s="68"/>
      <c r="N345" s="68"/>
      <c r="O345" s="68"/>
      <c r="P345" s="68"/>
    </row>
    <row r="346" spans="1:16" x14ac:dyDescent="0.25">
      <c r="B346" s="86" t="str">
        <f xml:space="preserve"> ( 'Facility Detail'!$B$805 + 1 ) &amp; " Surplus Applied to " &amp; ( 'Facility Detail'!$B$805 )</f>
        <v>2014 Surplus Applied to 2013</v>
      </c>
      <c r="C346" s="76"/>
      <c r="D346" s="137">
        <f>E346</f>
        <v>0</v>
      </c>
      <c r="E346" s="10"/>
      <c r="F346" s="80"/>
      <c r="G346" s="79"/>
      <c r="H346" s="79"/>
      <c r="I346" s="79"/>
      <c r="J346" s="79"/>
      <c r="K346" s="79"/>
      <c r="L346" s="79"/>
      <c r="M346" s="79"/>
      <c r="N346" s="79"/>
      <c r="O346" s="79"/>
      <c r="P346" s="79"/>
    </row>
    <row r="347" spans="1:16" x14ac:dyDescent="0.25">
      <c r="B347" s="86" t="str">
        <f xml:space="preserve"> ( 'Facility Detail'!$B$805 + 1 ) &amp; " Surplus Applied to " &amp; ( 'Facility Detail'!$B$805 + 2 )</f>
        <v>2014 Surplus Applied to 2015</v>
      </c>
      <c r="C347" s="76"/>
      <c r="D347" s="69"/>
      <c r="E347" s="10"/>
      <c r="F347" s="75">
        <f>E347</f>
        <v>0</v>
      </c>
      <c r="G347" s="79"/>
      <c r="H347" s="79"/>
      <c r="I347" s="79"/>
      <c r="J347" s="79"/>
      <c r="K347" s="79"/>
      <c r="L347" s="79"/>
      <c r="M347" s="79"/>
      <c r="N347" s="79"/>
      <c r="O347" s="79"/>
      <c r="P347" s="79"/>
    </row>
    <row r="348" spans="1:16" x14ac:dyDescent="0.25">
      <c r="B348" s="86" t="str">
        <f xml:space="preserve"> ( 'Facility Detail'!$B$805 + 2 ) &amp; " Surplus Applied to " &amp; ( 'Facility Detail'!$B$805 + 1 )</f>
        <v>2015 Surplus Applied to 2014</v>
      </c>
      <c r="C348" s="76"/>
      <c r="D348" s="69"/>
      <c r="E348" s="75">
        <f>F348</f>
        <v>0</v>
      </c>
      <c r="F348" s="10"/>
      <c r="G348" s="79"/>
      <c r="H348" s="79"/>
      <c r="I348" s="79"/>
      <c r="J348" s="79"/>
      <c r="K348" s="79"/>
      <c r="L348" s="79"/>
      <c r="M348" s="79"/>
      <c r="N348" s="79"/>
      <c r="O348" s="79"/>
      <c r="P348" s="79"/>
    </row>
    <row r="349" spans="1:16" x14ac:dyDescent="0.25">
      <c r="B349" s="86" t="str">
        <f xml:space="preserve"> ( 'Facility Detail'!$B$805 + 2 ) &amp; " Surplus Applied to " &amp; ( 'Facility Detail'!$B$805 + 3 )</f>
        <v>2015 Surplus Applied to 2016</v>
      </c>
      <c r="C349" s="32"/>
      <c r="D349" s="69"/>
      <c r="E349" s="80"/>
      <c r="F349" s="10"/>
      <c r="G349" s="138">
        <f>F349</f>
        <v>0</v>
      </c>
      <c r="H349" s="138">
        <f>G349</f>
        <v>0</v>
      </c>
      <c r="I349" s="138">
        <f>H349</f>
        <v>0</v>
      </c>
      <c r="J349" s="138">
        <f>I349</f>
        <v>0</v>
      </c>
      <c r="K349" s="138"/>
      <c r="L349" s="138"/>
      <c r="M349" s="138"/>
      <c r="N349" s="138"/>
      <c r="O349" s="138"/>
      <c r="P349" s="138"/>
    </row>
    <row r="350" spans="1:16" x14ac:dyDescent="0.25">
      <c r="B350" s="86" t="str">
        <f xml:space="preserve"> ( 'Facility Detail'!$B$805 +3 ) &amp; " Surplus Applied to " &amp; ( 'Facility Detail'!$B$805 + 2 )</f>
        <v>2016 Surplus Applied to 2015</v>
      </c>
      <c r="C350" s="32"/>
      <c r="D350" s="70"/>
      <c r="E350" s="81"/>
      <c r="F350" s="67">
        <f>G350</f>
        <v>0</v>
      </c>
      <c r="G350" s="139"/>
      <c r="H350" s="139"/>
      <c r="I350" s="139"/>
      <c r="J350" s="139"/>
      <c r="K350" s="139"/>
      <c r="L350" s="139"/>
      <c r="M350" s="139"/>
      <c r="N350" s="139"/>
      <c r="O350" s="139"/>
      <c r="P350" s="139"/>
    </row>
    <row r="351" spans="1:16" x14ac:dyDescent="0.25">
      <c r="B351" s="86" t="str">
        <f xml:space="preserve"> ( 'Facility Detail'!$B$805 +3 ) &amp; " Surplus Applied to " &amp; ( 'Facility Detail'!$B$805 + 4 )</f>
        <v>2016 Surplus Applied to 2017</v>
      </c>
      <c r="C351" s="32"/>
      <c r="D351" s="142"/>
      <c r="E351" s="142"/>
      <c r="F351" s="20"/>
      <c r="G351" s="143"/>
      <c r="H351" s="143"/>
      <c r="I351" s="143"/>
      <c r="J351" s="143"/>
      <c r="K351" s="143"/>
      <c r="L351" s="143"/>
      <c r="M351" s="143"/>
      <c r="N351" s="143"/>
      <c r="O351" s="143"/>
      <c r="P351" s="143"/>
    </row>
    <row r="352" spans="1:16" x14ac:dyDescent="0.25">
      <c r="B352" s="35" t="s">
        <v>25</v>
      </c>
      <c r="D352" s="7">
        <f xml:space="preserve"> D346 - D345</f>
        <v>0</v>
      </c>
      <c r="E352" s="7">
        <f xml:space="preserve"> E345 + E348 - E347 - E346</f>
        <v>0</v>
      </c>
      <c r="F352" s="7">
        <f>F347+F350-F348-F349</f>
        <v>0</v>
      </c>
      <c r="G352" s="7">
        <f t="shared" ref="G352:L352" si="316">G349-G350</f>
        <v>0</v>
      </c>
      <c r="H352" s="7">
        <f t="shared" si="316"/>
        <v>0</v>
      </c>
      <c r="I352" s="7">
        <f t="shared" si="316"/>
        <v>0</v>
      </c>
      <c r="J352" s="7">
        <f t="shared" si="316"/>
        <v>0</v>
      </c>
      <c r="K352" s="7">
        <f t="shared" si="316"/>
        <v>0</v>
      </c>
      <c r="L352" s="7">
        <f t="shared" si="316"/>
        <v>0</v>
      </c>
      <c r="M352" s="7">
        <f t="shared" ref="M352:N352" si="317">M349-M350</f>
        <v>0</v>
      </c>
      <c r="N352" s="7">
        <f t="shared" si="317"/>
        <v>0</v>
      </c>
      <c r="O352" s="7">
        <f t="shared" ref="O352:P352" si="318">O349-O350</f>
        <v>0</v>
      </c>
      <c r="P352" s="7">
        <f t="shared" si="318"/>
        <v>0</v>
      </c>
    </row>
    <row r="353" spans="1:16" x14ac:dyDescent="0.25">
      <c r="B353" s="6"/>
      <c r="D353" s="7"/>
      <c r="E353" s="7"/>
      <c r="F353" s="7"/>
      <c r="G353" s="7"/>
      <c r="H353" s="7"/>
      <c r="I353" s="7"/>
      <c r="J353" s="7"/>
      <c r="K353" s="7"/>
      <c r="L353" s="7"/>
      <c r="M353" s="7"/>
      <c r="N353" s="7"/>
      <c r="O353" s="7"/>
      <c r="P353" s="7"/>
    </row>
    <row r="354" spans="1:16" x14ac:dyDescent="0.25">
      <c r="B354" s="93" t="s">
        <v>21</v>
      </c>
      <c r="C354" s="76"/>
      <c r="D354" s="107"/>
      <c r="E354" s="108"/>
      <c r="F354" s="109"/>
      <c r="G354" s="109"/>
      <c r="H354" s="109"/>
      <c r="I354" s="109"/>
      <c r="J354" s="109"/>
      <c r="K354" s="109"/>
      <c r="L354" s="109"/>
      <c r="M354" s="109"/>
      <c r="N354" s="109"/>
      <c r="O354" s="109"/>
      <c r="P354" s="109"/>
    </row>
    <row r="355" spans="1:16" x14ac:dyDescent="0.25">
      <c r="B355" s="6"/>
      <c r="D355" s="7"/>
      <c r="E355" s="7"/>
      <c r="F355" s="7"/>
      <c r="G355" s="7"/>
      <c r="H355" s="7"/>
      <c r="I355" s="7"/>
      <c r="J355" s="7"/>
      <c r="K355" s="7"/>
      <c r="L355" s="7"/>
      <c r="M355" s="7"/>
      <c r="N355" s="7"/>
      <c r="O355" s="7"/>
      <c r="P355" s="7"/>
    </row>
    <row r="356" spans="1:16" ht="15.75" x14ac:dyDescent="0.25">
      <c r="A356" s="89" t="s">
        <v>33</v>
      </c>
      <c r="C356" s="76"/>
      <c r="D356" s="48">
        <f t="shared" ref="D356:I356" si="319" xml:space="preserve"> D331 + D336 - D342 + D352 + D354</f>
        <v>10934</v>
      </c>
      <c r="E356" s="49">
        <f t="shared" si="319"/>
        <v>12024</v>
      </c>
      <c r="F356" s="50">
        <f t="shared" si="319"/>
        <v>12024</v>
      </c>
      <c r="G356" s="50">
        <f t="shared" si="319"/>
        <v>12024</v>
      </c>
      <c r="H356" s="50">
        <f t="shared" si="319"/>
        <v>12024</v>
      </c>
      <c r="I356" s="50">
        <f t="shared" si="319"/>
        <v>12024</v>
      </c>
      <c r="J356" s="50">
        <f t="shared" ref="J356:K356" si="320" xml:space="preserve"> J331 + J336 - J342 + J352 + J354</f>
        <v>11898</v>
      </c>
      <c r="K356" s="50">
        <f t="shared" si="320"/>
        <v>12024</v>
      </c>
      <c r="L356" s="50">
        <f t="shared" ref="L356:M356" si="321" xml:space="preserve"> L331 + L336 - L342 + L352 + L354</f>
        <v>14994</v>
      </c>
      <c r="M356" s="50">
        <f t="shared" si="321"/>
        <v>11742</v>
      </c>
      <c r="N356" s="50">
        <f t="shared" ref="N356:O356" si="322" xml:space="preserve"> N331 + N336 - N342 + N352 + N354</f>
        <v>11778</v>
      </c>
      <c r="O356" s="50">
        <f t="shared" si="322"/>
        <v>13202</v>
      </c>
      <c r="P356" s="50">
        <f t="shared" ref="P356" si="323" xml:space="preserve"> P331 + P336 - P342 + P352 + P354</f>
        <v>13202</v>
      </c>
    </row>
    <row r="357" spans="1:16" x14ac:dyDescent="0.25">
      <c r="B357" s="6"/>
      <c r="D357" s="7"/>
      <c r="E357" s="7"/>
      <c r="F357" s="7"/>
      <c r="G357" s="31"/>
      <c r="H357" s="31"/>
      <c r="I357" s="31"/>
      <c r="J357" s="31"/>
      <c r="K357" s="31"/>
      <c r="L357" s="31"/>
      <c r="M357" s="31"/>
      <c r="N357" s="31"/>
      <c r="O357" s="31"/>
      <c r="P357" s="31"/>
    </row>
    <row r="358" spans="1:16" ht="15.75" thickBot="1" x14ac:dyDescent="0.3">
      <c r="A358" s="1" t="s">
        <v>86</v>
      </c>
    </row>
    <row r="359" spans="1:16" x14ac:dyDescent="0.25">
      <c r="A359" s="8"/>
      <c r="B359" s="8"/>
      <c r="C359" s="8"/>
      <c r="D359" s="8"/>
      <c r="E359" s="8"/>
      <c r="F359" s="8"/>
      <c r="G359" s="8"/>
      <c r="H359" s="8"/>
      <c r="I359" s="8"/>
      <c r="J359" s="8"/>
      <c r="K359" s="8"/>
      <c r="L359" s="8"/>
      <c r="M359" s="8"/>
      <c r="N359" s="8"/>
      <c r="O359" s="8"/>
      <c r="P359" s="8"/>
    </row>
    <row r="360" spans="1:16" x14ac:dyDescent="0.25">
      <c r="B360" s="32"/>
      <c r="C360" s="32"/>
      <c r="D360" s="32"/>
      <c r="E360" s="32"/>
      <c r="F360" s="32"/>
      <c r="G360" s="32"/>
      <c r="H360" s="32"/>
      <c r="I360" s="32"/>
      <c r="J360" s="32"/>
      <c r="K360" s="32"/>
      <c r="L360" s="32"/>
    </row>
    <row r="361" spans="1:16" ht="21" x14ac:dyDescent="0.35">
      <c r="A361" s="16" t="s">
        <v>4</v>
      </c>
      <c r="B361" s="16"/>
      <c r="C361" s="45" t="str">
        <f>B11</f>
        <v>Grant PUD Fish Bypasses</v>
      </c>
      <c r="D361" s="46"/>
      <c r="E361" s="19"/>
      <c r="F361" s="19"/>
    </row>
    <row r="363" spans="1:16" ht="18.75" x14ac:dyDescent="0.3">
      <c r="A363" s="9" t="s">
        <v>85</v>
      </c>
      <c r="B363" s="9"/>
      <c r="D363" s="2">
        <v>2013</v>
      </c>
      <c r="E363" s="2">
        <f t="shared" ref="E363:J363" si="324">D363+1</f>
        <v>2014</v>
      </c>
      <c r="F363" s="2">
        <f t="shared" si="324"/>
        <v>2015</v>
      </c>
      <c r="G363" s="2">
        <f t="shared" si="324"/>
        <v>2016</v>
      </c>
      <c r="H363" s="2">
        <f t="shared" si="324"/>
        <v>2017</v>
      </c>
      <c r="I363" s="2">
        <f t="shared" si="324"/>
        <v>2018</v>
      </c>
      <c r="J363" s="2">
        <f t="shared" si="324"/>
        <v>2019</v>
      </c>
      <c r="K363" s="2">
        <f t="shared" ref="K363:P363" si="325">J363+1</f>
        <v>2020</v>
      </c>
      <c r="L363" s="2">
        <f t="shared" si="325"/>
        <v>2021</v>
      </c>
      <c r="M363" s="2">
        <f t="shared" si="325"/>
        <v>2022</v>
      </c>
      <c r="N363" s="2">
        <f t="shared" si="325"/>
        <v>2023</v>
      </c>
      <c r="O363" s="2">
        <f t="shared" si="325"/>
        <v>2024</v>
      </c>
      <c r="P363" s="2">
        <f t="shared" si="325"/>
        <v>2025</v>
      </c>
    </row>
    <row r="364" spans="1:16" x14ac:dyDescent="0.25">
      <c r="B364" s="86" t="str">
        <f>"Total MWh Produced / Purchased from " &amp; C361</f>
        <v>Total MWh Produced / Purchased from Grant PUD Fish Bypasses</v>
      </c>
      <c r="C364" s="76"/>
      <c r="D364" s="3">
        <v>22206</v>
      </c>
      <c r="E364" s="4">
        <v>0</v>
      </c>
      <c r="F364" s="5">
        <v>0</v>
      </c>
      <c r="G364" s="5">
        <v>0</v>
      </c>
      <c r="H364" s="5">
        <v>0</v>
      </c>
      <c r="I364" s="5">
        <v>0</v>
      </c>
      <c r="J364" s="5">
        <v>0</v>
      </c>
      <c r="K364" s="5">
        <v>0</v>
      </c>
      <c r="L364" s="5">
        <v>0</v>
      </c>
      <c r="M364" s="5">
        <v>0</v>
      </c>
      <c r="N364" s="5">
        <v>0</v>
      </c>
      <c r="O364" s="5">
        <v>0</v>
      </c>
      <c r="P364" s="5">
        <v>0</v>
      </c>
    </row>
    <row r="365" spans="1:16" x14ac:dyDescent="0.25">
      <c r="B365" s="86" t="s">
        <v>32</v>
      </c>
      <c r="C365" s="76"/>
      <c r="D365" s="60">
        <v>1</v>
      </c>
      <c r="E365" s="61">
        <v>1</v>
      </c>
      <c r="F365" s="62">
        <v>1</v>
      </c>
      <c r="G365" s="62">
        <v>1</v>
      </c>
      <c r="H365" s="62">
        <v>1</v>
      </c>
      <c r="I365" s="62">
        <v>1</v>
      </c>
      <c r="J365" s="62">
        <v>1</v>
      </c>
      <c r="K365" s="62">
        <v>1</v>
      </c>
      <c r="L365" s="62">
        <v>1</v>
      </c>
      <c r="M365" s="62">
        <v>1</v>
      </c>
      <c r="N365" s="62">
        <v>1</v>
      </c>
      <c r="O365" s="62">
        <v>1</v>
      </c>
      <c r="P365" s="62">
        <v>1</v>
      </c>
    </row>
    <row r="366" spans="1:16" x14ac:dyDescent="0.25">
      <c r="B366" s="86" t="s">
        <v>26</v>
      </c>
      <c r="C366" s="76"/>
      <c r="D366" s="53">
        <v>1</v>
      </c>
      <c r="E366" s="54">
        <v>1</v>
      </c>
      <c r="F366" s="55">
        <v>1</v>
      </c>
      <c r="G366" s="55">
        <v>1</v>
      </c>
      <c r="H366" s="55">
        <v>1</v>
      </c>
      <c r="I366" s="55">
        <v>1</v>
      </c>
      <c r="J366" s="55">
        <v>1</v>
      </c>
      <c r="K366" s="55">
        <v>1</v>
      </c>
      <c r="L366" s="55">
        <v>1</v>
      </c>
      <c r="M366" s="55">
        <v>1</v>
      </c>
      <c r="N366" s="55">
        <v>1</v>
      </c>
      <c r="O366" s="55">
        <v>1</v>
      </c>
      <c r="P366" s="55">
        <v>1</v>
      </c>
    </row>
    <row r="367" spans="1:16" x14ac:dyDescent="0.25">
      <c r="B367" s="83" t="s">
        <v>28</v>
      </c>
      <c r="C367" s="84"/>
      <c r="D367" s="40">
        <f t="shared" ref="D367:I367" si="326" xml:space="preserve"> D364 * D365 * D366</f>
        <v>22206</v>
      </c>
      <c r="E367" s="40">
        <f t="shared" si="326"/>
        <v>0</v>
      </c>
      <c r="F367" s="40">
        <f t="shared" si="326"/>
        <v>0</v>
      </c>
      <c r="G367" s="40">
        <f t="shared" si="326"/>
        <v>0</v>
      </c>
      <c r="H367" s="40">
        <f t="shared" si="326"/>
        <v>0</v>
      </c>
      <c r="I367" s="40">
        <f t="shared" si="326"/>
        <v>0</v>
      </c>
      <c r="J367" s="40">
        <f t="shared" ref="J367:L367" si="327" xml:space="preserve"> J364 * J365 * J366</f>
        <v>0</v>
      </c>
      <c r="K367" s="40">
        <f t="shared" si="327"/>
        <v>0</v>
      </c>
      <c r="L367" s="40">
        <f t="shared" si="327"/>
        <v>0</v>
      </c>
      <c r="M367" s="40">
        <f t="shared" ref="M367:N367" si="328" xml:space="preserve"> M364 * M365 * M366</f>
        <v>0</v>
      </c>
      <c r="N367" s="40">
        <f t="shared" si="328"/>
        <v>0</v>
      </c>
      <c r="O367" s="40">
        <f t="shared" ref="O367:P367" si="329" xml:space="preserve"> O364 * O365 * O366</f>
        <v>0</v>
      </c>
      <c r="P367" s="40">
        <f t="shared" si="329"/>
        <v>0</v>
      </c>
    </row>
    <row r="368" spans="1:16" x14ac:dyDescent="0.25">
      <c r="B368" s="19"/>
      <c r="C368" s="32"/>
      <c r="D368" s="39"/>
      <c r="E368" s="39"/>
      <c r="F368" s="39"/>
      <c r="G368" s="39"/>
      <c r="H368" s="39"/>
      <c r="I368" s="39"/>
      <c r="J368" s="39"/>
      <c r="K368" s="39"/>
      <c r="L368" s="39"/>
      <c r="M368" s="39"/>
      <c r="N368" s="39"/>
      <c r="O368" s="39"/>
      <c r="P368" s="39"/>
    </row>
    <row r="369" spans="1:16" ht="18.75" x14ac:dyDescent="0.3">
      <c r="A369" s="47" t="s">
        <v>30</v>
      </c>
      <c r="C369" s="32"/>
      <c r="D369" s="2">
        <f>D363</f>
        <v>2013</v>
      </c>
      <c r="E369" s="2">
        <f t="shared" ref="E369:J369" si="330">D369+1</f>
        <v>2014</v>
      </c>
      <c r="F369" s="2">
        <f t="shared" si="330"/>
        <v>2015</v>
      </c>
      <c r="G369" s="2">
        <f t="shared" si="330"/>
        <v>2016</v>
      </c>
      <c r="H369" s="2">
        <f t="shared" si="330"/>
        <v>2017</v>
      </c>
      <c r="I369" s="2">
        <f t="shared" si="330"/>
        <v>2018</v>
      </c>
      <c r="J369" s="2">
        <f t="shared" si="330"/>
        <v>2019</v>
      </c>
      <c r="K369" s="2">
        <f t="shared" ref="K369:P369" si="331">J369+1</f>
        <v>2020</v>
      </c>
      <c r="L369" s="2">
        <f t="shared" si="331"/>
        <v>2021</v>
      </c>
      <c r="M369" s="2">
        <f t="shared" si="331"/>
        <v>2022</v>
      </c>
      <c r="N369" s="2">
        <f t="shared" si="331"/>
        <v>2023</v>
      </c>
      <c r="O369" s="2">
        <f t="shared" si="331"/>
        <v>2024</v>
      </c>
      <c r="P369" s="2">
        <f t="shared" si="331"/>
        <v>2025</v>
      </c>
    </row>
    <row r="370" spans="1:16" x14ac:dyDescent="0.25">
      <c r="B370" s="86" t="s">
        <v>19</v>
      </c>
      <c r="C370" s="76"/>
      <c r="D370" s="56">
        <f>IF( $E11 = "Eligible", D367 * 'Facility Detail'!$B$613, 0 )</f>
        <v>0</v>
      </c>
      <c r="E370" s="13">
        <f>IF( $E11 = "Eligible", E367 * 'Facility Detail'!$B$613, 0 )</f>
        <v>0</v>
      </c>
      <c r="F370" s="14">
        <f>IF( $E11 = "Eligible", F367 * 'Facility Detail'!$B$613, 0 )</f>
        <v>0</v>
      </c>
      <c r="G370" s="14">
        <f>IF( $E11 = "Eligible", G367 * 'Facility Detail'!$B$613, 0 )</f>
        <v>0</v>
      </c>
      <c r="H370" s="14">
        <f>IF( $E11 = "Eligible", H367 * 'Facility Detail'!$B$613, 0 )</f>
        <v>0</v>
      </c>
      <c r="I370" s="14">
        <f>IF( $E11 = "Eligible", I367 * 'Facility Detail'!$B$613, 0 )</f>
        <v>0</v>
      </c>
      <c r="J370" s="14">
        <f>IF( $E11 = "Eligible", J367 * 'Facility Detail'!$B$613, 0 )</f>
        <v>0</v>
      </c>
      <c r="K370" s="14">
        <f>IF( $E11 = "Eligible", K367 * 'Facility Detail'!$B$613, 0 )</f>
        <v>0</v>
      </c>
      <c r="L370" s="14">
        <f>IF( $E11 = "Eligible", L367 * 'Facility Detail'!$B$613, 0 )</f>
        <v>0</v>
      </c>
      <c r="M370" s="14">
        <f>IF( $E11 = "Eligible", M367 * 'Facility Detail'!$B$613, 0 )</f>
        <v>0</v>
      </c>
      <c r="N370" s="14">
        <f>IF( $E11 = "Eligible", N367 * 'Facility Detail'!$B$613, 0 )</f>
        <v>0</v>
      </c>
      <c r="O370" s="14">
        <f>IF( $E11 = "Eligible", O367 * 'Facility Detail'!$B$613, 0 )</f>
        <v>0</v>
      </c>
      <c r="P370" s="14">
        <f>IF( $E11 = "Eligible", P367 * 'Facility Detail'!$B$613, 0 )</f>
        <v>0</v>
      </c>
    </row>
    <row r="371" spans="1:16" x14ac:dyDescent="0.25">
      <c r="B371" s="86" t="s">
        <v>6</v>
      </c>
      <c r="C371" s="76"/>
      <c r="D371" s="57">
        <f t="shared" ref="D371:I371" si="332">IF( $F11 = "Eligible", D367, 0 )</f>
        <v>0</v>
      </c>
      <c r="E371" s="58">
        <f t="shared" si="332"/>
        <v>0</v>
      </c>
      <c r="F371" s="59">
        <f t="shared" si="332"/>
        <v>0</v>
      </c>
      <c r="G371" s="59">
        <f t="shared" si="332"/>
        <v>0</v>
      </c>
      <c r="H371" s="59">
        <f t="shared" si="332"/>
        <v>0</v>
      </c>
      <c r="I371" s="59">
        <f t="shared" si="332"/>
        <v>0</v>
      </c>
      <c r="J371" s="59">
        <f t="shared" ref="J371:K371" si="333">IF( $F11 = "Eligible", J367, 0 )</f>
        <v>0</v>
      </c>
      <c r="K371" s="59">
        <f t="shared" si="333"/>
        <v>0</v>
      </c>
      <c r="L371" s="59">
        <f t="shared" ref="L371:M371" si="334">IF( $F11 = "Eligible", L367, 0 )</f>
        <v>0</v>
      </c>
      <c r="M371" s="59">
        <f t="shared" si="334"/>
        <v>0</v>
      </c>
      <c r="N371" s="59">
        <f t="shared" ref="N371:O371" si="335">IF( $F11 = "Eligible", N367, 0 )</f>
        <v>0</v>
      </c>
      <c r="O371" s="59">
        <f t="shared" si="335"/>
        <v>0</v>
      </c>
      <c r="P371" s="59">
        <f t="shared" ref="P371" si="336">IF( $F11 = "Eligible", P367, 0 )</f>
        <v>0</v>
      </c>
    </row>
    <row r="372" spans="1:16" x14ac:dyDescent="0.25">
      <c r="B372" s="85" t="s">
        <v>37</v>
      </c>
      <c r="C372" s="84"/>
      <c r="D372" s="42">
        <f t="shared" ref="D372:I372" si="337">SUM(D370:D371)</f>
        <v>0</v>
      </c>
      <c r="E372" s="43">
        <f t="shared" si="337"/>
        <v>0</v>
      </c>
      <c r="F372" s="43">
        <f t="shared" si="337"/>
        <v>0</v>
      </c>
      <c r="G372" s="43">
        <f t="shared" si="337"/>
        <v>0</v>
      </c>
      <c r="H372" s="43">
        <f t="shared" si="337"/>
        <v>0</v>
      </c>
      <c r="I372" s="43">
        <f t="shared" si="337"/>
        <v>0</v>
      </c>
      <c r="J372" s="43">
        <f t="shared" ref="J372:K372" si="338">SUM(J370:J371)</f>
        <v>0</v>
      </c>
      <c r="K372" s="43">
        <f t="shared" si="338"/>
        <v>0</v>
      </c>
      <c r="L372" s="43">
        <f t="shared" ref="L372:M372" si="339">SUM(L370:L371)</f>
        <v>0</v>
      </c>
      <c r="M372" s="43">
        <f t="shared" si="339"/>
        <v>0</v>
      </c>
      <c r="N372" s="43">
        <f t="shared" ref="N372:O372" si="340">SUM(N370:N371)</f>
        <v>0</v>
      </c>
      <c r="O372" s="43">
        <f t="shared" si="340"/>
        <v>0</v>
      </c>
      <c r="P372" s="43">
        <f t="shared" ref="P372" si="341">SUM(P370:P371)</f>
        <v>0</v>
      </c>
    </row>
    <row r="373" spans="1:16" x14ac:dyDescent="0.25">
      <c r="B373" s="32"/>
      <c r="C373" s="32"/>
      <c r="D373" s="41"/>
      <c r="E373" s="33"/>
      <c r="F373" s="33"/>
      <c r="G373" s="33"/>
      <c r="H373" s="33"/>
      <c r="I373" s="33"/>
      <c r="J373" s="33"/>
      <c r="K373" s="33"/>
      <c r="L373" s="33"/>
      <c r="M373" s="33"/>
      <c r="N373" s="33"/>
      <c r="O373" s="33"/>
      <c r="P373" s="33"/>
    </row>
    <row r="374" spans="1:16" ht="18.75" x14ac:dyDescent="0.3">
      <c r="A374" s="44" t="s">
        <v>35</v>
      </c>
      <c r="C374" s="32"/>
      <c r="D374" s="2">
        <f>D363</f>
        <v>2013</v>
      </c>
      <c r="E374" s="2">
        <f t="shared" ref="E374:J374" si="342">D374+1</f>
        <v>2014</v>
      </c>
      <c r="F374" s="2">
        <f t="shared" si="342"/>
        <v>2015</v>
      </c>
      <c r="G374" s="2">
        <f t="shared" si="342"/>
        <v>2016</v>
      </c>
      <c r="H374" s="2">
        <f t="shared" si="342"/>
        <v>2017</v>
      </c>
      <c r="I374" s="2">
        <f t="shared" si="342"/>
        <v>2018</v>
      </c>
      <c r="J374" s="2">
        <f t="shared" si="342"/>
        <v>2019</v>
      </c>
      <c r="K374" s="2">
        <f t="shared" ref="K374:P374" si="343">J374+1</f>
        <v>2020</v>
      </c>
      <c r="L374" s="2">
        <f t="shared" si="343"/>
        <v>2021</v>
      </c>
      <c r="M374" s="2">
        <f t="shared" si="343"/>
        <v>2022</v>
      </c>
      <c r="N374" s="2">
        <f t="shared" si="343"/>
        <v>2023</v>
      </c>
      <c r="O374" s="2">
        <f t="shared" si="343"/>
        <v>2024</v>
      </c>
      <c r="P374" s="2">
        <f t="shared" si="343"/>
        <v>2025</v>
      </c>
    </row>
    <row r="375" spans="1:16" x14ac:dyDescent="0.25">
      <c r="B375" s="86" t="s">
        <v>39</v>
      </c>
      <c r="C375" s="76"/>
      <c r="D375" s="94"/>
      <c r="E375" s="95"/>
      <c r="F375" s="96"/>
      <c r="G375" s="96"/>
      <c r="H375" s="96"/>
      <c r="I375" s="96"/>
      <c r="J375" s="96"/>
      <c r="K375" s="96"/>
      <c r="L375" s="96"/>
      <c r="M375" s="96"/>
      <c r="N375" s="96"/>
      <c r="O375" s="96"/>
      <c r="P375" s="96"/>
    </row>
    <row r="376" spans="1:16" x14ac:dyDescent="0.25">
      <c r="B376" s="87" t="s">
        <v>29</v>
      </c>
      <c r="C376" s="88"/>
      <c r="D376" s="97"/>
      <c r="E376" s="98"/>
      <c r="F376" s="99"/>
      <c r="G376" s="99"/>
      <c r="H376" s="99"/>
      <c r="I376" s="99"/>
      <c r="J376" s="99"/>
      <c r="K376" s="99"/>
      <c r="L376" s="99"/>
      <c r="M376" s="99"/>
      <c r="N376" s="99"/>
      <c r="O376" s="99"/>
      <c r="P376" s="99"/>
    </row>
    <row r="377" spans="1:16" x14ac:dyDescent="0.25">
      <c r="B377" s="100" t="s">
        <v>41</v>
      </c>
      <c r="C377" s="92"/>
      <c r="D377" s="63"/>
      <c r="E377" s="64"/>
      <c r="F377" s="65"/>
      <c r="G377" s="65"/>
      <c r="H377" s="65"/>
      <c r="I377" s="65"/>
      <c r="J377" s="65"/>
      <c r="K377" s="65"/>
      <c r="L377" s="65"/>
      <c r="M377" s="65"/>
      <c r="N377" s="65"/>
      <c r="O377" s="65"/>
      <c r="P377" s="65"/>
    </row>
    <row r="378" spans="1:16" x14ac:dyDescent="0.25">
      <c r="B378" s="35" t="s">
        <v>42</v>
      </c>
      <c r="D378" s="7">
        <f t="shared" ref="D378:I378" si="344">SUM(D375:D377)</f>
        <v>0</v>
      </c>
      <c r="E378" s="7">
        <f t="shared" si="344"/>
        <v>0</v>
      </c>
      <c r="F378" s="7">
        <f t="shared" si="344"/>
        <v>0</v>
      </c>
      <c r="G378" s="7">
        <f t="shared" si="344"/>
        <v>0</v>
      </c>
      <c r="H378" s="7">
        <f t="shared" si="344"/>
        <v>0</v>
      </c>
      <c r="I378" s="7">
        <f t="shared" si="344"/>
        <v>0</v>
      </c>
      <c r="J378" s="7">
        <f t="shared" ref="J378:K378" si="345">SUM(J375:J377)</f>
        <v>0</v>
      </c>
      <c r="K378" s="7">
        <f t="shared" si="345"/>
        <v>0</v>
      </c>
      <c r="L378" s="7">
        <f t="shared" ref="L378:M378" si="346">SUM(L375:L377)</f>
        <v>0</v>
      </c>
      <c r="M378" s="7">
        <f t="shared" si="346"/>
        <v>0</v>
      </c>
      <c r="N378" s="7">
        <f t="shared" ref="N378:O378" si="347">SUM(N375:N377)</f>
        <v>0</v>
      </c>
      <c r="O378" s="7">
        <f t="shared" si="347"/>
        <v>0</v>
      </c>
      <c r="P378" s="7">
        <f t="shared" ref="P378" si="348">SUM(P375:P377)</f>
        <v>0</v>
      </c>
    </row>
    <row r="379" spans="1:16" x14ac:dyDescent="0.25">
      <c r="B379" s="6"/>
      <c r="D379" s="7"/>
      <c r="E379" s="7"/>
      <c r="F379" s="7"/>
      <c r="G379" s="7"/>
      <c r="H379" s="7"/>
      <c r="I379" s="7"/>
      <c r="J379" s="7"/>
      <c r="K379" s="7"/>
      <c r="L379" s="7"/>
      <c r="M379" s="7"/>
      <c r="N379" s="7"/>
      <c r="O379" s="7"/>
      <c r="P379" s="7"/>
    </row>
    <row r="380" spans="1:16" ht="18.75" x14ac:dyDescent="0.3">
      <c r="A380" s="9" t="s">
        <v>43</v>
      </c>
      <c r="D380" s="2">
        <f>D363</f>
        <v>2013</v>
      </c>
      <c r="E380" s="2">
        <f t="shared" ref="E380:J380" si="349">D380+1</f>
        <v>2014</v>
      </c>
      <c r="F380" s="2">
        <f t="shared" si="349"/>
        <v>2015</v>
      </c>
      <c r="G380" s="2">
        <f t="shared" si="349"/>
        <v>2016</v>
      </c>
      <c r="H380" s="2">
        <f t="shared" si="349"/>
        <v>2017</v>
      </c>
      <c r="I380" s="2">
        <f t="shared" si="349"/>
        <v>2018</v>
      </c>
      <c r="J380" s="2">
        <f t="shared" si="349"/>
        <v>2019</v>
      </c>
      <c r="K380" s="2">
        <f t="shared" ref="K380:P380" si="350">J380+1</f>
        <v>2020</v>
      </c>
      <c r="L380" s="2">
        <f t="shared" si="350"/>
        <v>2021</v>
      </c>
      <c r="M380" s="2">
        <f t="shared" si="350"/>
        <v>2022</v>
      </c>
      <c r="N380" s="2">
        <f t="shared" si="350"/>
        <v>2023</v>
      </c>
      <c r="O380" s="2">
        <f t="shared" si="350"/>
        <v>2024</v>
      </c>
      <c r="P380" s="2">
        <f t="shared" si="350"/>
        <v>2025</v>
      </c>
    </row>
    <row r="381" spans="1:16" x14ac:dyDescent="0.25">
      <c r="B381" s="86" t="str">
        <f xml:space="preserve"> 'Facility Detail'!$B$805 &amp; " Surplus Applied to " &amp; ( 'Facility Detail'!$B$805 + 1 )</f>
        <v>2013 Surplus Applied to 2014</v>
      </c>
      <c r="C381" s="76"/>
      <c r="D381" s="3"/>
      <c r="E381" s="66">
        <f>D381</f>
        <v>0</v>
      </c>
      <c r="F381" s="136"/>
      <c r="G381" s="68"/>
      <c r="H381" s="68"/>
      <c r="I381" s="68"/>
      <c r="J381" s="68"/>
      <c r="K381" s="68"/>
      <c r="L381" s="68"/>
      <c r="M381" s="68"/>
      <c r="N381" s="68"/>
      <c r="O381" s="68"/>
      <c r="P381" s="68"/>
    </row>
    <row r="382" spans="1:16" x14ac:dyDescent="0.25">
      <c r="B382" s="86" t="str">
        <f xml:space="preserve"> ( 'Facility Detail'!$B$805 + 1 ) &amp; " Surplus Applied to " &amp; ( 'Facility Detail'!$B$805 )</f>
        <v>2014 Surplus Applied to 2013</v>
      </c>
      <c r="C382" s="76"/>
      <c r="D382" s="137">
        <f>E382</f>
        <v>0</v>
      </c>
      <c r="E382" s="10"/>
      <c r="F382" s="80"/>
      <c r="G382" s="79"/>
      <c r="H382" s="79"/>
      <c r="I382" s="79"/>
      <c r="J382" s="79"/>
      <c r="K382" s="79"/>
      <c r="L382" s="79"/>
      <c r="M382" s="79"/>
      <c r="N382" s="79"/>
      <c r="O382" s="79"/>
      <c r="P382" s="79"/>
    </row>
    <row r="383" spans="1:16" x14ac:dyDescent="0.25">
      <c r="B383" s="86" t="str">
        <f xml:space="preserve"> ( 'Facility Detail'!$B$805 + 1 ) &amp; " Surplus Applied to " &amp; ( 'Facility Detail'!$B$805 + 2 )</f>
        <v>2014 Surplus Applied to 2015</v>
      </c>
      <c r="C383" s="76"/>
      <c r="D383" s="69"/>
      <c r="E383" s="10"/>
      <c r="F383" s="75">
        <f>E383</f>
        <v>0</v>
      </c>
      <c r="G383" s="79"/>
      <c r="H383" s="79"/>
      <c r="I383" s="79"/>
      <c r="J383" s="79"/>
      <c r="K383" s="79"/>
      <c r="L383" s="79"/>
      <c r="M383" s="79"/>
      <c r="N383" s="79"/>
      <c r="O383" s="79"/>
      <c r="P383" s="79"/>
    </row>
    <row r="384" spans="1:16" x14ac:dyDescent="0.25">
      <c r="B384" s="86" t="str">
        <f xml:space="preserve"> ( 'Facility Detail'!$B$805 + 2 ) &amp; " Surplus Applied to " &amp; ( 'Facility Detail'!$B$805 + 1 )</f>
        <v>2015 Surplus Applied to 2014</v>
      </c>
      <c r="C384" s="76"/>
      <c r="D384" s="69"/>
      <c r="E384" s="75">
        <f>F384</f>
        <v>0</v>
      </c>
      <c r="F384" s="10"/>
      <c r="G384" s="79"/>
      <c r="H384" s="79"/>
      <c r="I384" s="79"/>
      <c r="J384" s="79"/>
      <c r="K384" s="79"/>
      <c r="L384" s="79"/>
      <c r="M384" s="79"/>
      <c r="N384" s="79"/>
      <c r="O384" s="79"/>
      <c r="P384" s="79"/>
    </row>
    <row r="385" spans="1:16" x14ac:dyDescent="0.25">
      <c r="B385" s="86" t="str">
        <f xml:space="preserve"> ( 'Facility Detail'!$B$805 + 2 ) &amp; " Surplus Applied to " &amp; ( 'Facility Detail'!$B$805 + 3 )</f>
        <v>2015 Surplus Applied to 2016</v>
      </c>
      <c r="C385" s="32"/>
      <c r="D385" s="69"/>
      <c r="E385" s="80"/>
      <c r="F385" s="10"/>
      <c r="G385" s="138">
        <f>F385</f>
        <v>0</v>
      </c>
      <c r="H385" s="138">
        <f>G385</f>
        <v>0</v>
      </c>
      <c r="I385" s="138">
        <f>H385</f>
        <v>0</v>
      </c>
      <c r="J385" s="138">
        <f>I385</f>
        <v>0</v>
      </c>
      <c r="K385" s="138"/>
      <c r="L385" s="138"/>
      <c r="M385" s="138"/>
      <c r="N385" s="138"/>
      <c r="O385" s="138"/>
      <c r="P385" s="138"/>
    </row>
    <row r="386" spans="1:16" x14ac:dyDescent="0.25">
      <c r="B386" s="86" t="str">
        <f xml:space="preserve"> ( 'Facility Detail'!$B$805 +3 ) &amp; " Surplus Applied to " &amp; ( 'Facility Detail'!$B$805 + 2 )</f>
        <v>2016 Surplus Applied to 2015</v>
      </c>
      <c r="C386" s="32"/>
      <c r="D386" s="70"/>
      <c r="E386" s="81"/>
      <c r="F386" s="67">
        <f>G386</f>
        <v>0</v>
      </c>
      <c r="G386" s="139"/>
      <c r="H386" s="139"/>
      <c r="I386" s="139"/>
      <c r="J386" s="139"/>
      <c r="K386" s="139"/>
      <c r="L386" s="139"/>
      <c r="M386" s="139"/>
      <c r="N386" s="139"/>
      <c r="O386" s="139"/>
      <c r="P386" s="139"/>
    </row>
    <row r="387" spans="1:16" x14ac:dyDescent="0.25">
      <c r="B387" s="86" t="str">
        <f xml:space="preserve"> ( 'Facility Detail'!$B$805 +3 ) &amp; " Surplus Applied to " &amp; ( 'Facility Detail'!$B$805 + 4 )</f>
        <v>2016 Surplus Applied to 2017</v>
      </c>
      <c r="C387" s="32"/>
      <c r="D387" s="142"/>
      <c r="E387" s="142"/>
      <c r="F387" s="20"/>
      <c r="G387" s="143"/>
      <c r="H387" s="143"/>
      <c r="I387" s="143"/>
      <c r="J387" s="143"/>
      <c r="K387" s="143"/>
      <c r="L387" s="143"/>
      <c r="M387" s="143"/>
      <c r="N387" s="143"/>
      <c r="O387" s="143"/>
      <c r="P387" s="143"/>
    </row>
    <row r="388" spans="1:16" x14ac:dyDescent="0.25">
      <c r="B388" s="35" t="s">
        <v>25</v>
      </c>
      <c r="D388" s="7">
        <f xml:space="preserve"> D382 - D381</f>
        <v>0</v>
      </c>
      <c r="E388" s="7">
        <f xml:space="preserve"> E381 + E384 - E383 - E382</f>
        <v>0</v>
      </c>
      <c r="F388" s="7">
        <f>F383+F386-F384-F385</f>
        <v>0</v>
      </c>
      <c r="G388" s="7">
        <f t="shared" ref="G388:L388" si="351">G385-G386</f>
        <v>0</v>
      </c>
      <c r="H388" s="7">
        <f t="shared" si="351"/>
        <v>0</v>
      </c>
      <c r="I388" s="7">
        <f t="shared" si="351"/>
        <v>0</v>
      </c>
      <c r="J388" s="7">
        <f t="shared" si="351"/>
        <v>0</v>
      </c>
      <c r="K388" s="7">
        <f t="shared" si="351"/>
        <v>0</v>
      </c>
      <c r="L388" s="7">
        <f t="shared" si="351"/>
        <v>0</v>
      </c>
      <c r="M388" s="7">
        <f t="shared" ref="M388:N388" si="352">M385-M386</f>
        <v>0</v>
      </c>
      <c r="N388" s="7">
        <f t="shared" si="352"/>
        <v>0</v>
      </c>
      <c r="O388" s="7">
        <f t="shared" ref="O388:P388" si="353">O385-O386</f>
        <v>0</v>
      </c>
      <c r="P388" s="7">
        <f t="shared" si="353"/>
        <v>0</v>
      </c>
    </row>
    <row r="389" spans="1:16" x14ac:dyDescent="0.25">
      <c r="B389" s="6"/>
      <c r="D389" s="7"/>
      <c r="E389" s="7"/>
      <c r="F389" s="7"/>
      <c r="G389" s="7"/>
      <c r="H389" s="7"/>
      <c r="I389" s="7"/>
      <c r="J389" s="7"/>
      <c r="K389" s="7"/>
      <c r="L389" s="7"/>
      <c r="M389" s="7"/>
      <c r="N389" s="7"/>
      <c r="O389" s="7"/>
      <c r="P389" s="7"/>
    </row>
    <row r="390" spans="1:16" x14ac:dyDescent="0.25">
      <c r="B390" s="93" t="s">
        <v>21</v>
      </c>
      <c r="C390" s="76"/>
      <c r="D390" s="107"/>
      <c r="E390" s="108"/>
      <c r="F390" s="109"/>
      <c r="G390" s="109"/>
      <c r="H390" s="109"/>
      <c r="I390" s="109"/>
      <c r="J390" s="109"/>
      <c r="K390" s="109"/>
      <c r="L390" s="109"/>
      <c r="M390" s="109"/>
      <c r="N390" s="109"/>
      <c r="O390" s="109"/>
      <c r="P390" s="109"/>
    </row>
    <row r="391" spans="1:16" x14ac:dyDescent="0.25">
      <c r="B391" s="6"/>
      <c r="D391" s="7"/>
      <c r="E391" s="7"/>
      <c r="F391" s="7"/>
      <c r="G391" s="7"/>
      <c r="H391" s="7"/>
      <c r="I391" s="7"/>
      <c r="J391" s="7"/>
      <c r="K391" s="7"/>
      <c r="L391" s="7"/>
      <c r="M391" s="7"/>
      <c r="N391" s="7"/>
      <c r="O391" s="7"/>
      <c r="P391" s="7"/>
    </row>
    <row r="392" spans="1:16" ht="15.75" x14ac:dyDescent="0.25">
      <c r="A392" s="89" t="s">
        <v>33</v>
      </c>
      <c r="C392" s="76"/>
      <c r="D392" s="48">
        <f t="shared" ref="D392:I392" si="354" xml:space="preserve"> D367 + D372 - D378 + D388 + D390</f>
        <v>22206</v>
      </c>
      <c r="E392" s="49">
        <f t="shared" si="354"/>
        <v>0</v>
      </c>
      <c r="F392" s="50">
        <f t="shared" si="354"/>
        <v>0</v>
      </c>
      <c r="G392" s="50">
        <f t="shared" si="354"/>
        <v>0</v>
      </c>
      <c r="H392" s="50">
        <f t="shared" si="354"/>
        <v>0</v>
      </c>
      <c r="I392" s="50">
        <f t="shared" si="354"/>
        <v>0</v>
      </c>
      <c r="J392" s="50">
        <f t="shared" ref="J392:K392" si="355" xml:space="preserve"> J367 + J372 - J378 + J388 + J390</f>
        <v>0</v>
      </c>
      <c r="K392" s="50">
        <f t="shared" si="355"/>
        <v>0</v>
      </c>
      <c r="L392" s="50">
        <f t="shared" ref="L392:M392" si="356" xml:space="preserve"> L367 + L372 - L378 + L388 + L390</f>
        <v>0</v>
      </c>
      <c r="M392" s="50">
        <f t="shared" si="356"/>
        <v>0</v>
      </c>
      <c r="N392" s="50">
        <f t="shared" ref="N392:O392" si="357" xml:space="preserve"> N367 + N372 - N378 + N388 + N390</f>
        <v>0</v>
      </c>
      <c r="O392" s="50">
        <f t="shared" si="357"/>
        <v>0</v>
      </c>
      <c r="P392" s="50">
        <f t="shared" ref="P392" si="358" xml:space="preserve"> P367 + P372 - P378 + P388 + P390</f>
        <v>0</v>
      </c>
    </row>
    <row r="393" spans="1:16" x14ac:dyDescent="0.25">
      <c r="B393" s="6"/>
      <c r="D393" s="7"/>
      <c r="E393" s="7"/>
      <c r="F393" s="7"/>
      <c r="G393" s="31"/>
      <c r="H393" s="31"/>
      <c r="I393" s="31"/>
      <c r="J393" s="31"/>
      <c r="K393" s="31"/>
      <c r="L393" s="31"/>
      <c r="M393" s="31"/>
      <c r="N393" s="31"/>
      <c r="O393" s="31"/>
      <c r="P393" s="31"/>
    </row>
    <row r="394" spans="1:16" ht="79.5" customHeight="1" thickBot="1" x14ac:dyDescent="0.3">
      <c r="A394" s="196" t="s">
        <v>127</v>
      </c>
      <c r="B394" s="196"/>
      <c r="C394" s="196"/>
      <c r="D394" s="196"/>
      <c r="E394" s="196"/>
      <c r="F394" s="196"/>
    </row>
    <row r="395" spans="1:16" x14ac:dyDescent="0.25">
      <c r="A395" s="8"/>
      <c r="B395" s="8"/>
      <c r="C395" s="8"/>
      <c r="D395" s="8"/>
      <c r="E395" s="8"/>
      <c r="F395" s="8"/>
      <c r="G395" s="8"/>
      <c r="H395" s="8"/>
      <c r="I395" s="8"/>
      <c r="J395" s="8"/>
      <c r="K395" s="8"/>
      <c r="L395" s="8"/>
      <c r="M395" s="8"/>
      <c r="N395" s="8"/>
      <c r="O395" s="8"/>
      <c r="P395" s="8"/>
    </row>
    <row r="396" spans="1:16" x14ac:dyDescent="0.25">
      <c r="B396" s="32"/>
      <c r="C396" s="32"/>
      <c r="D396" s="32"/>
      <c r="E396" s="32"/>
      <c r="F396" s="32"/>
      <c r="G396" s="32"/>
      <c r="H396" s="32"/>
      <c r="I396" s="32"/>
      <c r="J396" s="32"/>
      <c r="K396" s="32"/>
      <c r="L396" s="32"/>
    </row>
    <row r="397" spans="1:16" ht="21" x14ac:dyDescent="0.35">
      <c r="A397" s="16" t="s">
        <v>4</v>
      </c>
      <c r="B397" s="16"/>
      <c r="C397" s="45" t="str">
        <f>B12</f>
        <v>Palouse Wind</v>
      </c>
      <c r="D397" s="46"/>
      <c r="E397" s="19"/>
      <c r="F397" s="19"/>
    </row>
    <row r="399" spans="1:16" ht="18.75" x14ac:dyDescent="0.3">
      <c r="A399" s="9" t="s">
        <v>27</v>
      </c>
      <c r="B399" s="9"/>
      <c r="D399" s="2">
        <v>2013</v>
      </c>
      <c r="E399" s="2">
        <f t="shared" ref="E399:J399" si="359">D399+1</f>
        <v>2014</v>
      </c>
      <c r="F399" s="2">
        <f t="shared" si="359"/>
        <v>2015</v>
      </c>
      <c r="G399" s="2">
        <f t="shared" si="359"/>
        <v>2016</v>
      </c>
      <c r="H399" s="2">
        <f t="shared" si="359"/>
        <v>2017</v>
      </c>
      <c r="I399" s="2">
        <f t="shared" si="359"/>
        <v>2018</v>
      </c>
      <c r="J399" s="2">
        <f t="shared" si="359"/>
        <v>2019</v>
      </c>
      <c r="K399" s="2">
        <f t="shared" ref="K399:P399" si="360">J399+1</f>
        <v>2020</v>
      </c>
      <c r="L399" s="2">
        <f t="shared" si="360"/>
        <v>2021</v>
      </c>
      <c r="M399" s="2">
        <f t="shared" si="360"/>
        <v>2022</v>
      </c>
      <c r="N399" s="2">
        <f t="shared" si="360"/>
        <v>2023</v>
      </c>
      <c r="O399" s="2">
        <f t="shared" si="360"/>
        <v>2024</v>
      </c>
      <c r="P399" s="2">
        <f t="shared" si="360"/>
        <v>2025</v>
      </c>
    </row>
    <row r="400" spans="1:16" x14ac:dyDescent="0.25">
      <c r="B400" s="86" t="str">
        <f>"Total MWh Produced / Purchased from " &amp; C397</f>
        <v>Total MWh Produced / Purchased from Palouse Wind</v>
      </c>
      <c r="C400" s="76"/>
      <c r="D400" s="3">
        <v>297027</v>
      </c>
      <c r="E400" s="4">
        <v>335291</v>
      </c>
      <c r="F400" s="5">
        <v>293563</v>
      </c>
      <c r="G400" s="5">
        <v>349771</v>
      </c>
      <c r="H400" s="5">
        <v>300380</v>
      </c>
      <c r="I400" s="5">
        <v>328275</v>
      </c>
      <c r="J400" s="5">
        <v>302136</v>
      </c>
      <c r="K400" s="5">
        <v>370142</v>
      </c>
      <c r="L400" s="5">
        <v>360783</v>
      </c>
      <c r="M400" s="5">
        <v>315410</v>
      </c>
      <c r="N400" s="5">
        <v>294887</v>
      </c>
      <c r="O400" s="5">
        <v>308600</v>
      </c>
      <c r="P400" s="5">
        <v>320599</v>
      </c>
    </row>
    <row r="401" spans="1:16" x14ac:dyDescent="0.25">
      <c r="B401" s="86" t="s">
        <v>32</v>
      </c>
      <c r="C401" s="76"/>
      <c r="D401" s="60">
        <v>1</v>
      </c>
      <c r="E401" s="61">
        <v>1</v>
      </c>
      <c r="F401" s="62">
        <v>1</v>
      </c>
      <c r="G401" s="62">
        <v>1</v>
      </c>
      <c r="H401" s="62">
        <v>1</v>
      </c>
      <c r="I401" s="62">
        <v>1</v>
      </c>
      <c r="J401" s="62">
        <v>1</v>
      </c>
      <c r="K401" s="62">
        <v>1</v>
      </c>
      <c r="L401" s="62">
        <v>1</v>
      </c>
      <c r="M401" s="62">
        <v>1</v>
      </c>
      <c r="N401" s="62">
        <v>1</v>
      </c>
      <c r="O401" s="62">
        <v>1</v>
      </c>
      <c r="P401" s="62">
        <v>1</v>
      </c>
    </row>
    <row r="402" spans="1:16" x14ac:dyDescent="0.25">
      <c r="B402" s="86" t="s">
        <v>26</v>
      </c>
      <c r="C402" s="76"/>
      <c r="D402" s="53">
        <v>1</v>
      </c>
      <c r="E402" s="54">
        <v>1</v>
      </c>
      <c r="F402" s="55">
        <v>1</v>
      </c>
      <c r="G402" s="55">
        <v>1</v>
      </c>
      <c r="H402" s="55">
        <v>1</v>
      </c>
      <c r="I402" s="55">
        <v>1</v>
      </c>
      <c r="J402" s="55">
        <v>1</v>
      </c>
      <c r="K402" s="55">
        <v>1</v>
      </c>
      <c r="L402" s="55">
        <v>1</v>
      </c>
      <c r="M402" s="55">
        <v>1</v>
      </c>
      <c r="N402" s="55">
        <v>1</v>
      </c>
      <c r="O402" s="55">
        <v>1</v>
      </c>
      <c r="P402" s="55">
        <v>1</v>
      </c>
    </row>
    <row r="403" spans="1:16" x14ac:dyDescent="0.25">
      <c r="B403" s="83" t="s">
        <v>28</v>
      </c>
      <c r="C403" s="84"/>
      <c r="D403" s="40">
        <f t="shared" ref="D403:I403" si="361" xml:space="preserve"> D400 * D401 * D402</f>
        <v>297027</v>
      </c>
      <c r="E403" s="40">
        <f t="shared" si="361"/>
        <v>335291</v>
      </c>
      <c r="F403" s="40">
        <f t="shared" si="361"/>
        <v>293563</v>
      </c>
      <c r="G403" s="40">
        <f t="shared" si="361"/>
        <v>349771</v>
      </c>
      <c r="H403" s="40">
        <f t="shared" si="361"/>
        <v>300380</v>
      </c>
      <c r="I403" s="40">
        <f t="shared" si="361"/>
        <v>328275</v>
      </c>
      <c r="J403" s="40">
        <f t="shared" ref="J403:K403" si="362" xml:space="preserve"> J400 * J401 * J402</f>
        <v>302136</v>
      </c>
      <c r="K403" s="40">
        <f t="shared" si="362"/>
        <v>370142</v>
      </c>
      <c r="L403" s="40">
        <f t="shared" ref="L403:M403" si="363" xml:space="preserve"> L400 * L401 * L402</f>
        <v>360783</v>
      </c>
      <c r="M403" s="40">
        <f t="shared" si="363"/>
        <v>315410</v>
      </c>
      <c r="N403" s="40">
        <f t="shared" ref="N403:O403" si="364" xml:space="preserve"> N400 * N401 * N402</f>
        <v>294887</v>
      </c>
      <c r="O403" s="40">
        <f t="shared" si="364"/>
        <v>308600</v>
      </c>
      <c r="P403" s="40">
        <f t="shared" ref="P403" si="365" xml:space="preserve"> P400 * P401 * P402</f>
        <v>320599</v>
      </c>
    </row>
    <row r="404" spans="1:16" x14ac:dyDescent="0.25">
      <c r="B404" s="19"/>
      <c r="C404" s="32"/>
      <c r="D404" s="39"/>
      <c r="E404" s="39"/>
      <c r="F404" s="39"/>
      <c r="G404" s="39"/>
      <c r="H404" s="39"/>
      <c r="I404" s="39"/>
      <c r="J404" s="39"/>
      <c r="K404" s="39"/>
      <c r="L404" s="39"/>
      <c r="M404" s="39"/>
      <c r="N404" s="39"/>
      <c r="O404" s="39"/>
      <c r="P404" s="39"/>
    </row>
    <row r="405" spans="1:16" ht="18.75" x14ac:dyDescent="0.3">
      <c r="A405" s="47" t="s">
        <v>30</v>
      </c>
      <c r="C405" s="32"/>
      <c r="D405" s="2">
        <f>D399</f>
        <v>2013</v>
      </c>
      <c r="E405" s="2">
        <f t="shared" ref="E405:J405" si="366">D405+1</f>
        <v>2014</v>
      </c>
      <c r="F405" s="2">
        <f t="shared" si="366"/>
        <v>2015</v>
      </c>
      <c r="G405" s="2">
        <f t="shared" si="366"/>
        <v>2016</v>
      </c>
      <c r="H405" s="2">
        <f t="shared" si="366"/>
        <v>2017</v>
      </c>
      <c r="I405" s="2">
        <f t="shared" si="366"/>
        <v>2018</v>
      </c>
      <c r="J405" s="2">
        <f t="shared" si="366"/>
        <v>2019</v>
      </c>
      <c r="K405" s="2">
        <f t="shared" ref="K405:P405" si="367">J405+1</f>
        <v>2020</v>
      </c>
      <c r="L405" s="2">
        <f t="shared" si="367"/>
        <v>2021</v>
      </c>
      <c r="M405" s="2">
        <f t="shared" si="367"/>
        <v>2022</v>
      </c>
      <c r="N405" s="2">
        <f t="shared" si="367"/>
        <v>2023</v>
      </c>
      <c r="O405" s="2">
        <f t="shared" si="367"/>
        <v>2024</v>
      </c>
      <c r="P405" s="2">
        <f t="shared" si="367"/>
        <v>2025</v>
      </c>
    </row>
    <row r="406" spans="1:16" x14ac:dyDescent="0.25">
      <c r="B406" s="86" t="s">
        <v>19</v>
      </c>
      <c r="C406" s="76"/>
      <c r="D406" s="148">
        <f>ROUND(IF( $E12 = "Eligible", D403 * 'Facility Detail'!$B$802, 0 ),0)</f>
        <v>59405</v>
      </c>
      <c r="E406" s="148">
        <f>ROUND(IF( $E12 = "Eligible", E403 * 'Facility Detail'!$B$802, 0 ),0)</f>
        <v>67058</v>
      </c>
      <c r="F406" s="148">
        <f>ROUND(IF( $E12 = "Eligible", F403 * 'Facility Detail'!$B$802, 0 ),0)</f>
        <v>58713</v>
      </c>
      <c r="G406" s="148">
        <f>ROUND(IF( $E12 = "Eligible", G403 * 'Facility Detail'!$B$802, 0 ),0)</f>
        <v>69954</v>
      </c>
      <c r="H406" s="148">
        <f>ROUND(IF( $E12 = "Eligible", H403 * 'Facility Detail'!$B$802, 0 ),0)</f>
        <v>60076</v>
      </c>
      <c r="I406" s="148">
        <f>ROUND(IF( $E12 = "Eligible", I403 * 'Facility Detail'!$B$802, 0 ),0)</f>
        <v>65655</v>
      </c>
      <c r="J406" s="148">
        <f>ROUND(IF( $E12 = "Eligible", J403 * 'Facility Detail'!$B$802, 0 ),0)</f>
        <v>60427</v>
      </c>
      <c r="K406" s="148">
        <f>ROUND(IF( $E12 = "Eligible", K403 * 'Facility Detail'!$B$802, 0 ),0)</f>
        <v>74028</v>
      </c>
      <c r="L406" s="148">
        <f>ROUND(IF( $E12 = "Eligible", L403 * 'Facility Detail'!$B$802, 0 ),0)</f>
        <v>72157</v>
      </c>
      <c r="M406" s="148">
        <f>ROUND(IF( $E12 = "Eligible", M403 * 'Facility Detail'!$B$802, 0 ),0)</f>
        <v>63082</v>
      </c>
      <c r="N406" s="148">
        <f>ROUND(IF( $E12 = "Eligible", N403 * 'Facility Detail'!$B$802, 0 ),0)</f>
        <v>58977</v>
      </c>
      <c r="O406" s="148">
        <f>ROUND(IF( $E12 = "Eligible", O403 * 'Facility Detail'!$B$802, 0 ),0)</f>
        <v>61720</v>
      </c>
      <c r="P406" s="148">
        <f>ROUND(IF( $E12 = "Eligible", P403 * 'Facility Detail'!$B$802, 0 ),0)</f>
        <v>64120</v>
      </c>
    </row>
    <row r="407" spans="1:16" x14ac:dyDescent="0.25">
      <c r="B407" s="86" t="s">
        <v>6</v>
      </c>
      <c r="C407" s="76"/>
      <c r="D407" s="57">
        <f t="shared" ref="D407:I407" si="368">IF( $F12 = "Eligible", D403, 0 )</f>
        <v>0</v>
      </c>
      <c r="E407" s="58">
        <f t="shared" si="368"/>
        <v>0</v>
      </c>
      <c r="F407" s="59">
        <f t="shared" si="368"/>
        <v>0</v>
      </c>
      <c r="G407" s="59">
        <f t="shared" si="368"/>
        <v>0</v>
      </c>
      <c r="H407" s="59">
        <f t="shared" si="368"/>
        <v>0</v>
      </c>
      <c r="I407" s="59">
        <f t="shared" si="368"/>
        <v>0</v>
      </c>
      <c r="J407" s="59">
        <f t="shared" ref="J407:K407" si="369">IF( $F12 = "Eligible", J403, 0 )</f>
        <v>0</v>
      </c>
      <c r="K407" s="59">
        <f t="shared" si="369"/>
        <v>0</v>
      </c>
      <c r="L407" s="59">
        <f t="shared" ref="L407:M407" si="370">IF( $F12 = "Eligible", L403, 0 )</f>
        <v>0</v>
      </c>
      <c r="M407" s="59">
        <f t="shared" si="370"/>
        <v>0</v>
      </c>
      <c r="N407" s="59">
        <f t="shared" ref="N407:O407" si="371">IF( $F12 = "Eligible", N403, 0 )</f>
        <v>0</v>
      </c>
      <c r="O407" s="59">
        <f t="shared" si="371"/>
        <v>0</v>
      </c>
      <c r="P407" s="59">
        <f t="shared" ref="P407" si="372">IF( $F12 = "Eligible", P403, 0 )</f>
        <v>0</v>
      </c>
    </row>
    <row r="408" spans="1:16" x14ac:dyDescent="0.25">
      <c r="B408" s="85" t="s">
        <v>37</v>
      </c>
      <c r="C408" s="84"/>
      <c r="D408" s="42">
        <f t="shared" ref="D408:I408" si="373">SUM(D406:D407)</f>
        <v>59405</v>
      </c>
      <c r="E408" s="43">
        <f t="shared" si="373"/>
        <v>67058</v>
      </c>
      <c r="F408" s="43">
        <f t="shared" si="373"/>
        <v>58713</v>
      </c>
      <c r="G408" s="43">
        <f t="shared" si="373"/>
        <v>69954</v>
      </c>
      <c r="H408" s="43">
        <f t="shared" si="373"/>
        <v>60076</v>
      </c>
      <c r="I408" s="43">
        <f t="shared" si="373"/>
        <v>65655</v>
      </c>
      <c r="J408" s="43">
        <f t="shared" ref="J408:K408" si="374">SUM(J406:J407)</f>
        <v>60427</v>
      </c>
      <c r="K408" s="43">
        <f t="shared" si="374"/>
        <v>74028</v>
      </c>
      <c r="L408" s="43">
        <f t="shared" ref="L408:M408" si="375">SUM(L406:L407)</f>
        <v>72157</v>
      </c>
      <c r="M408" s="43">
        <f t="shared" si="375"/>
        <v>63082</v>
      </c>
      <c r="N408" s="43">
        <f t="shared" ref="N408:O408" si="376">SUM(N406:N407)</f>
        <v>58977</v>
      </c>
      <c r="O408" s="43">
        <f t="shared" si="376"/>
        <v>61720</v>
      </c>
      <c r="P408" s="43">
        <f t="shared" ref="P408" si="377">SUM(P406:P407)</f>
        <v>64120</v>
      </c>
    </row>
    <row r="409" spans="1:16" x14ac:dyDescent="0.25">
      <c r="B409" s="32"/>
      <c r="C409" s="32"/>
      <c r="D409" s="41"/>
      <c r="E409" s="33"/>
      <c r="F409" s="33"/>
      <c r="G409" s="33"/>
      <c r="H409" s="33"/>
      <c r="I409" s="33"/>
      <c r="J409" s="33"/>
      <c r="K409" s="33"/>
      <c r="L409" s="33"/>
      <c r="M409" s="33"/>
      <c r="N409" s="33"/>
      <c r="O409" s="33"/>
      <c r="P409" s="33"/>
    </row>
    <row r="410" spans="1:16" ht="18.75" x14ac:dyDescent="0.3">
      <c r="A410" s="44" t="s">
        <v>35</v>
      </c>
      <c r="C410" s="32"/>
      <c r="D410" s="2">
        <f>D399</f>
        <v>2013</v>
      </c>
      <c r="E410" s="2">
        <f t="shared" ref="E410:J410" si="378">D410+1</f>
        <v>2014</v>
      </c>
      <c r="F410" s="2">
        <f t="shared" si="378"/>
        <v>2015</v>
      </c>
      <c r="G410" s="2">
        <f t="shared" si="378"/>
        <v>2016</v>
      </c>
      <c r="H410" s="2">
        <f t="shared" si="378"/>
        <v>2017</v>
      </c>
      <c r="I410" s="2">
        <f t="shared" si="378"/>
        <v>2018</v>
      </c>
      <c r="J410" s="2">
        <f t="shared" si="378"/>
        <v>2019</v>
      </c>
      <c r="K410" s="2">
        <f t="shared" ref="K410:P410" si="379">J410+1</f>
        <v>2020</v>
      </c>
      <c r="L410" s="2">
        <f t="shared" si="379"/>
        <v>2021</v>
      </c>
      <c r="M410" s="2">
        <f t="shared" si="379"/>
        <v>2022</v>
      </c>
      <c r="N410" s="2">
        <f t="shared" si="379"/>
        <v>2023</v>
      </c>
      <c r="O410" s="2">
        <f t="shared" si="379"/>
        <v>2024</v>
      </c>
      <c r="P410" s="2">
        <f t="shared" si="379"/>
        <v>2025</v>
      </c>
    </row>
    <row r="411" spans="1:16" x14ac:dyDescent="0.25">
      <c r="B411" s="86" t="s">
        <v>122</v>
      </c>
      <c r="C411" s="76"/>
      <c r="D411" s="94">
        <v>-61450</v>
      </c>
      <c r="E411" s="95">
        <v>-297027</v>
      </c>
      <c r="F411" s="96">
        <v>-293563</v>
      </c>
      <c r="G411" s="96">
        <v>-254068</v>
      </c>
      <c r="H411" s="96">
        <v>-21633</v>
      </c>
      <c r="I411" s="96">
        <v>-19205</v>
      </c>
      <c r="J411" s="96">
        <f>-205-5885</f>
        <v>-6090</v>
      </c>
      <c r="K411" s="96">
        <f>-37157-6479</f>
        <v>-43636</v>
      </c>
      <c r="L411" s="96">
        <f>-22497-0-6106</f>
        <v>-28603</v>
      </c>
      <c r="M411" s="96">
        <f>0-0-5451</f>
        <v>-5451</v>
      </c>
      <c r="N411" s="96">
        <f>0-0-0</f>
        <v>0</v>
      </c>
      <c r="O411" s="96">
        <f>0-0</f>
        <v>0</v>
      </c>
      <c r="P411" s="96">
        <f>0-0</f>
        <v>0</v>
      </c>
    </row>
    <row r="412" spans="1:16" x14ac:dyDescent="0.25">
      <c r="B412" s="87" t="s">
        <v>29</v>
      </c>
      <c r="C412" s="88"/>
      <c r="D412" s="97">
        <v>0</v>
      </c>
      <c r="E412" s="98">
        <v>0</v>
      </c>
      <c r="F412" s="99">
        <v>0</v>
      </c>
      <c r="G412" s="99">
        <v>0</v>
      </c>
      <c r="H412" s="99">
        <v>0</v>
      </c>
      <c r="I412" s="99">
        <v>0</v>
      </c>
      <c r="J412" s="99">
        <v>0</v>
      </c>
      <c r="K412" s="99">
        <v>0</v>
      </c>
      <c r="L412" s="99">
        <v>0</v>
      </c>
      <c r="M412" s="99">
        <v>0</v>
      </c>
      <c r="N412" s="99">
        <v>0</v>
      </c>
      <c r="O412" s="99">
        <v>0</v>
      </c>
      <c r="P412" s="99">
        <v>0</v>
      </c>
    </row>
    <row r="413" spans="1:16" x14ac:dyDescent="0.25">
      <c r="B413" s="100" t="s">
        <v>41</v>
      </c>
      <c r="C413" s="92"/>
      <c r="D413" s="63">
        <v>-12290</v>
      </c>
      <c r="E413" s="64">
        <v>-59405</v>
      </c>
      <c r="F413" s="65">
        <f>0.2*F411</f>
        <v>-58712.600000000006</v>
      </c>
      <c r="G413" s="65">
        <f>ROUND(0.2*G411,0)</f>
        <v>-50814</v>
      </c>
      <c r="H413" s="65">
        <f t="shared" ref="H413:I413" si="380">ROUND(0.2*H411,0)</f>
        <v>-4327</v>
      </c>
      <c r="I413" s="65">
        <f t="shared" si="380"/>
        <v>-3841</v>
      </c>
      <c r="J413" s="65">
        <f t="shared" ref="J413:K413" si="381">ROUND(0.2*J411,0)</f>
        <v>-1218</v>
      </c>
      <c r="K413" s="65">
        <f t="shared" si="381"/>
        <v>-8727</v>
      </c>
      <c r="L413" s="65">
        <f t="shared" ref="L413:M413" si="382">ROUND(0.2*L411,0)</f>
        <v>-5721</v>
      </c>
      <c r="M413" s="65">
        <f t="shared" si="382"/>
        <v>-1090</v>
      </c>
      <c r="N413" s="65">
        <f t="shared" ref="N413:O413" si="383">ROUND(0.2*N411,0)</f>
        <v>0</v>
      </c>
      <c r="O413" s="65">
        <f t="shared" si="383"/>
        <v>0</v>
      </c>
      <c r="P413" s="65">
        <f t="shared" ref="P413" si="384">ROUND(0.2*P411,0)</f>
        <v>0</v>
      </c>
    </row>
    <row r="414" spans="1:16" x14ac:dyDescent="0.25">
      <c r="B414" s="35" t="s">
        <v>42</v>
      </c>
      <c r="D414" s="7">
        <f t="shared" ref="D414:I414" si="385">SUM(D411:D413)</f>
        <v>-73740</v>
      </c>
      <c r="E414" s="7">
        <f t="shared" si="385"/>
        <v>-356432</v>
      </c>
      <c r="F414" s="7">
        <f t="shared" si="385"/>
        <v>-352275.6</v>
      </c>
      <c r="G414" s="7">
        <f t="shared" si="385"/>
        <v>-304882</v>
      </c>
      <c r="H414" s="7">
        <f t="shared" si="385"/>
        <v>-25960</v>
      </c>
      <c r="I414" s="7">
        <f t="shared" si="385"/>
        <v>-23046</v>
      </c>
      <c r="J414" s="7">
        <f t="shared" ref="J414:K414" si="386">SUM(J411:J413)</f>
        <v>-7308</v>
      </c>
      <c r="K414" s="7">
        <f t="shared" si="386"/>
        <v>-52363</v>
      </c>
      <c r="L414" s="7">
        <f t="shared" ref="L414:M414" si="387">SUM(L411:L413)</f>
        <v>-34324</v>
      </c>
      <c r="M414" s="7">
        <f t="shared" si="387"/>
        <v>-6541</v>
      </c>
      <c r="N414" s="7">
        <f t="shared" ref="N414:O414" si="388">SUM(N411:N413)</f>
        <v>0</v>
      </c>
      <c r="O414" s="7">
        <f t="shared" si="388"/>
        <v>0</v>
      </c>
      <c r="P414" s="7">
        <f t="shared" ref="P414" si="389">SUM(P411:P413)</f>
        <v>0</v>
      </c>
    </row>
    <row r="415" spans="1:16" x14ac:dyDescent="0.25">
      <c r="B415" s="6"/>
      <c r="D415" s="7"/>
      <c r="E415" s="7"/>
      <c r="F415" s="7"/>
      <c r="G415" s="7"/>
      <c r="H415" s="7"/>
      <c r="I415" s="7"/>
      <c r="J415" s="7"/>
      <c r="K415" s="7"/>
      <c r="L415" s="7"/>
      <c r="M415" s="7"/>
      <c r="N415" s="7"/>
      <c r="O415" s="7"/>
      <c r="P415" s="7"/>
    </row>
    <row r="416" spans="1:16" ht="18.75" x14ac:dyDescent="0.3">
      <c r="A416" s="9" t="s">
        <v>43</v>
      </c>
      <c r="D416" s="2">
        <f>D399</f>
        <v>2013</v>
      </c>
      <c r="E416" s="2">
        <f t="shared" ref="E416:J416" si="390">D416+1</f>
        <v>2014</v>
      </c>
      <c r="F416" s="2">
        <f t="shared" si="390"/>
        <v>2015</v>
      </c>
      <c r="G416" s="2">
        <f t="shared" si="390"/>
        <v>2016</v>
      </c>
      <c r="H416" s="2">
        <f t="shared" si="390"/>
        <v>2017</v>
      </c>
      <c r="I416" s="2">
        <f t="shared" si="390"/>
        <v>2018</v>
      </c>
      <c r="J416" s="2">
        <f t="shared" si="390"/>
        <v>2019</v>
      </c>
      <c r="K416" s="2">
        <f t="shared" ref="K416:P416" si="391">J416+1</f>
        <v>2020</v>
      </c>
      <c r="L416" s="2">
        <f t="shared" si="391"/>
        <v>2021</v>
      </c>
      <c r="M416" s="2">
        <f t="shared" si="391"/>
        <v>2022</v>
      </c>
      <c r="N416" s="2">
        <f t="shared" si="391"/>
        <v>2023</v>
      </c>
      <c r="O416" s="2">
        <f t="shared" si="391"/>
        <v>2024</v>
      </c>
      <c r="P416" s="2">
        <f t="shared" si="391"/>
        <v>2025</v>
      </c>
    </row>
    <row r="417" spans="2:16" x14ac:dyDescent="0.25">
      <c r="B417" s="86" t="str">
        <f xml:space="preserve"> 'Facility Detail'!$B$805 &amp; " Surplus Applied to " &amp; ( 'Facility Detail'!$B$805 + 1 )</f>
        <v>2013 Surplus Applied to 2014</v>
      </c>
      <c r="C417" s="76"/>
      <c r="D417" s="3"/>
      <c r="E417" s="66">
        <f>D417</f>
        <v>0</v>
      </c>
      <c r="F417" s="136"/>
      <c r="G417" s="68"/>
      <c r="H417" s="68"/>
      <c r="I417" s="68"/>
      <c r="J417" s="68"/>
      <c r="K417" s="68"/>
      <c r="L417" s="68"/>
      <c r="M417" s="68"/>
      <c r="N417" s="68"/>
      <c r="O417" s="68"/>
      <c r="P417" s="68"/>
    </row>
    <row r="418" spans="2:16" x14ac:dyDescent="0.25">
      <c r="B418" s="86" t="str">
        <f xml:space="preserve"> ( 'Facility Detail'!$B$805 + 1 ) &amp; " Surplus Applied to " &amp; ( 'Facility Detail'!$B$805 )</f>
        <v>2014 Surplus Applied to 2013</v>
      </c>
      <c r="C418" s="76"/>
      <c r="D418" s="137">
        <f>E418</f>
        <v>0</v>
      </c>
      <c r="E418" s="10"/>
      <c r="F418" s="80"/>
      <c r="G418" s="79"/>
      <c r="H418" s="79"/>
      <c r="I418" s="79"/>
      <c r="J418" s="79"/>
      <c r="K418" s="79"/>
      <c r="L418" s="79"/>
      <c r="M418" s="79"/>
      <c r="N418" s="79"/>
      <c r="O418" s="79"/>
      <c r="P418" s="79"/>
    </row>
    <row r="419" spans="2:16" x14ac:dyDescent="0.25">
      <c r="B419" s="86" t="str">
        <f xml:space="preserve"> ( 'Facility Detail'!$B$805 + 1 ) &amp; " Surplus Applied to " &amp; ( 'Facility Detail'!$B$805 + 2 )</f>
        <v>2014 Surplus Applied to 2015</v>
      </c>
      <c r="C419" s="76"/>
      <c r="D419" s="69"/>
      <c r="E419" s="10"/>
      <c r="F419" s="75">
        <f>E419</f>
        <v>0</v>
      </c>
      <c r="G419" s="79"/>
      <c r="H419" s="79"/>
      <c r="I419" s="79"/>
      <c r="J419" s="79"/>
      <c r="K419" s="79"/>
      <c r="L419" s="79"/>
      <c r="M419" s="79"/>
      <c r="N419" s="79"/>
      <c r="O419" s="79"/>
      <c r="P419" s="79"/>
    </row>
    <row r="420" spans="2:16" x14ac:dyDescent="0.25">
      <c r="B420" s="86" t="str">
        <f xml:space="preserve"> ( 'Facility Detail'!$B$805 + 2 ) &amp; " Surplus Applied to " &amp; ( 'Facility Detail'!$B$805 + 1 )</f>
        <v>2015 Surplus Applied to 2014</v>
      </c>
      <c r="C420" s="76"/>
      <c r="D420" s="69"/>
      <c r="E420" s="75">
        <f>F420</f>
        <v>0</v>
      </c>
      <c r="F420" s="10"/>
      <c r="G420" s="79"/>
      <c r="H420" s="79"/>
      <c r="I420" s="79"/>
      <c r="J420" s="79"/>
      <c r="K420" s="79"/>
      <c r="L420" s="79"/>
      <c r="M420" s="79"/>
      <c r="N420" s="79"/>
      <c r="O420" s="79"/>
      <c r="P420" s="79"/>
    </row>
    <row r="421" spans="2:16" x14ac:dyDescent="0.25">
      <c r="B421" s="86" t="str">
        <f xml:space="preserve"> ( 'Facility Detail'!$B$805 + 2 ) &amp; " Surplus Applied to " &amp; ( 'Facility Detail'!$B$805 + 3 )</f>
        <v>2015 Surplus Applied to 2016</v>
      </c>
      <c r="C421" s="32"/>
      <c r="D421" s="69"/>
      <c r="E421" s="80"/>
      <c r="F421" s="10"/>
      <c r="G421" s="147">
        <f>F421</f>
        <v>0</v>
      </c>
      <c r="H421" s="79">
        <f>G421</f>
        <v>0</v>
      </c>
      <c r="I421" s="79">
        <f>H421</f>
        <v>0</v>
      </c>
      <c r="J421" s="79">
        <f>I421</f>
        <v>0</v>
      </c>
      <c r="K421" s="79"/>
      <c r="L421" s="79"/>
      <c r="M421" s="79"/>
      <c r="N421" s="79"/>
      <c r="O421" s="79"/>
      <c r="P421" s="79"/>
    </row>
    <row r="422" spans="2:16" x14ac:dyDescent="0.25">
      <c r="B422" s="86" t="str">
        <f xml:space="preserve"> ( 'Facility Detail'!$B$805 +3 ) &amp; " Surplus Applied to " &amp; ( 'Facility Detail'!$B$805 + 2 )</f>
        <v>2016 Surplus Applied to 2015</v>
      </c>
      <c r="C422" s="32"/>
      <c r="D422" s="70"/>
      <c r="E422" s="81"/>
      <c r="F422" s="67">
        <f>G422</f>
        <v>0</v>
      </c>
      <c r="G422" s="10"/>
      <c r="H422" s="79"/>
      <c r="I422" s="79"/>
      <c r="J422" s="79"/>
      <c r="K422" s="79"/>
      <c r="L422" s="79"/>
      <c r="M422" s="79"/>
      <c r="N422" s="79"/>
      <c r="O422" s="79"/>
      <c r="P422" s="79"/>
    </row>
    <row r="423" spans="2:16" x14ac:dyDescent="0.25">
      <c r="B423" s="86" t="str">
        <f xml:space="preserve"> ( 'Facility Detail'!$B$805 +3 ) &amp; " Surplus Applied to " &amp; ( 'Facility Detail'!$B$805 + 4 )</f>
        <v>2016 Surplus Applied to 2017</v>
      </c>
      <c r="C423" s="32"/>
      <c r="D423" s="79"/>
      <c r="E423" s="79"/>
      <c r="F423" s="79"/>
      <c r="G423" s="10"/>
      <c r="H423" s="147">
        <f>G423</f>
        <v>0</v>
      </c>
      <c r="I423" s="79"/>
      <c r="J423" s="79"/>
      <c r="K423" s="79"/>
      <c r="L423" s="79"/>
      <c r="M423" s="79"/>
      <c r="N423" s="79"/>
      <c r="O423" s="79"/>
      <c r="P423" s="79"/>
    </row>
    <row r="424" spans="2:16" x14ac:dyDescent="0.25">
      <c r="B424" s="86" t="str">
        <f xml:space="preserve"> ( 'Facility Detail'!$B$805 +4 ) &amp; " Surplus Applied to " &amp; ( 'Facility Detail'!$B$805 + 3 )</f>
        <v>2017 Surplus Applied to 2016</v>
      </c>
      <c r="C424" s="32"/>
      <c r="D424" s="79"/>
      <c r="E424" s="79"/>
      <c r="F424" s="79"/>
      <c r="G424" s="147">
        <f>H424</f>
        <v>135199</v>
      </c>
      <c r="H424" s="10">
        <v>135199</v>
      </c>
      <c r="I424" s="79"/>
      <c r="J424" s="79"/>
      <c r="K424" s="79"/>
      <c r="L424" s="79"/>
      <c r="M424" s="79"/>
      <c r="N424" s="79"/>
      <c r="O424" s="79"/>
      <c r="P424" s="79"/>
    </row>
    <row r="425" spans="2:16" x14ac:dyDescent="0.25">
      <c r="B425" s="86" t="str">
        <f xml:space="preserve"> ( 'Facility Detail'!$B$805 +4 ) &amp; " Surplus Applied to " &amp; ( 'Facility Detail'!$B$805 + 5 )</f>
        <v>2017 Surplus Applied to 2018</v>
      </c>
      <c r="C425" s="32"/>
      <c r="D425" s="79"/>
      <c r="E425" s="79"/>
      <c r="F425" s="79"/>
      <c r="G425" s="79"/>
      <c r="H425" s="10"/>
      <c r="I425" s="147">
        <f>H425</f>
        <v>0</v>
      </c>
      <c r="J425" s="79">
        <f>I425</f>
        <v>0</v>
      </c>
      <c r="K425" s="79"/>
      <c r="L425" s="79"/>
      <c r="M425" s="79"/>
      <c r="N425" s="79"/>
      <c r="O425" s="79"/>
      <c r="P425" s="79"/>
    </row>
    <row r="426" spans="2:16" x14ac:dyDescent="0.25">
      <c r="B426" s="86" t="str">
        <f xml:space="preserve"> ( 'Facility Detail'!$B$805 +5 ) &amp; " Surplus Applied to " &amp; ( 'Facility Detail'!$B$805 + 4 )</f>
        <v>2018 Surplus Applied to 2017</v>
      </c>
      <c r="C426" s="32"/>
      <c r="D426" s="79"/>
      <c r="E426" s="79"/>
      <c r="F426" s="79"/>
      <c r="G426" s="79"/>
      <c r="H426" s="147">
        <f>I426</f>
        <v>6922</v>
      </c>
      <c r="I426" s="10">
        <v>6922</v>
      </c>
      <c r="J426" s="79"/>
      <c r="K426" s="79"/>
      <c r="L426" s="79"/>
      <c r="M426" s="79"/>
      <c r="N426" s="79"/>
      <c r="O426" s="79"/>
      <c r="P426" s="79"/>
    </row>
    <row r="427" spans="2:16" x14ac:dyDescent="0.25">
      <c r="B427" s="86" t="str">
        <f xml:space="preserve"> ( 'Facility Detail'!$B$805 + 5 ) &amp; " Surplus Applied to " &amp; ( 'Facility Detail'!$B$805 + 6 )</f>
        <v>2018 Surplus Applied to 2019</v>
      </c>
      <c r="C427" s="32"/>
      <c r="D427" s="79"/>
      <c r="E427" s="79"/>
      <c r="F427" s="79"/>
      <c r="G427" s="79"/>
      <c r="H427" s="79"/>
      <c r="I427" s="10">
        <v>55132</v>
      </c>
      <c r="J427" s="147">
        <v>55132</v>
      </c>
      <c r="K427" s="79"/>
      <c r="L427" s="79"/>
      <c r="M427" s="79"/>
      <c r="N427" s="79"/>
      <c r="O427" s="79"/>
      <c r="P427" s="79"/>
    </row>
    <row r="428" spans="2:16" x14ac:dyDescent="0.25">
      <c r="B428" s="86" t="str">
        <f xml:space="preserve"> ( 'Facility Detail'!$B$805 +6 ) &amp; " Surplus Applied to " &amp; ( 'Facility Detail'!$B$805 + 5 )</f>
        <v>2019 Surplus Applied to 2018</v>
      </c>
      <c r="C428" s="32"/>
      <c r="D428" s="79"/>
      <c r="E428" s="79"/>
      <c r="F428" s="79"/>
      <c r="G428" s="79"/>
      <c r="H428" s="79"/>
      <c r="I428" s="147"/>
      <c r="J428" s="10"/>
      <c r="K428" s="79"/>
      <c r="L428" s="79"/>
      <c r="M428" s="79"/>
      <c r="N428" s="79"/>
      <c r="O428" s="79"/>
      <c r="P428" s="79"/>
    </row>
    <row r="429" spans="2:16" x14ac:dyDescent="0.25">
      <c r="B429" s="86" t="str">
        <f xml:space="preserve"> ( 'Facility Detail'!$B$805 + 6 ) &amp; " Surplus Applied to " &amp; ( 'Facility Detail'!$B$805 + 7 )</f>
        <v>2019 Surplus Applied to 2020</v>
      </c>
      <c r="C429" s="32"/>
      <c r="D429" s="79"/>
      <c r="E429" s="79"/>
      <c r="F429" s="79"/>
      <c r="G429" s="79"/>
      <c r="H429" s="79"/>
      <c r="I429" s="79"/>
      <c r="J429" s="10">
        <v>153724</v>
      </c>
      <c r="K429" s="147">
        <v>153724</v>
      </c>
      <c r="L429" s="79"/>
      <c r="M429" s="79"/>
      <c r="N429" s="79"/>
      <c r="O429" s="79"/>
      <c r="P429" s="79"/>
    </row>
    <row r="430" spans="2:16" x14ac:dyDescent="0.25">
      <c r="B430" s="86" t="str">
        <f xml:space="preserve"> ( 'Facility Detail'!$B$805 +7 ) &amp; " Surplus Applied to " &amp; ( 'Facility Detail'!$B$805 + 6 )</f>
        <v>2020 Surplus Applied to 2019</v>
      </c>
      <c r="C430" s="32"/>
      <c r="D430" s="79"/>
      <c r="E430" s="79"/>
      <c r="F430" s="79"/>
      <c r="G430" s="79"/>
      <c r="H430" s="79"/>
      <c r="I430" s="79"/>
      <c r="J430" s="147"/>
      <c r="K430" s="10"/>
      <c r="L430" s="79"/>
      <c r="M430" s="79"/>
      <c r="N430" s="79"/>
      <c r="O430" s="79"/>
      <c r="P430" s="79"/>
    </row>
    <row r="431" spans="2:16" x14ac:dyDescent="0.25">
      <c r="B431" s="86" t="str">
        <f xml:space="preserve"> ( 'Facility Detail'!$B$805 + 7 ) &amp; " Surplus Applied to " &amp; ( 'Facility Detail'!$B$805 + 8 )</f>
        <v>2020 Surplus Applied to 2021</v>
      </c>
      <c r="C431" s="32"/>
      <c r="D431" s="79"/>
      <c r="E431" s="79"/>
      <c r="F431" s="79"/>
      <c r="G431" s="79"/>
      <c r="H431" s="79"/>
      <c r="I431" s="79"/>
      <c r="J431" s="79"/>
      <c r="K431" s="10">
        <v>242803</v>
      </c>
      <c r="L431" s="147"/>
      <c r="M431" s="147"/>
      <c r="N431" s="147"/>
      <c r="O431" s="147"/>
      <c r="P431" s="147"/>
    </row>
    <row r="432" spans="2:16" x14ac:dyDescent="0.25">
      <c r="B432" s="86" t="str">
        <f xml:space="preserve"> ( 'Facility Detail'!$B$805 +8 ) &amp; " Surplus Applied to " &amp; ( 'Facility Detail'!$B$805 + 7 )</f>
        <v>2021 Surplus Applied to 2020</v>
      </c>
      <c r="C432" s="32"/>
      <c r="D432" s="79"/>
      <c r="E432" s="79"/>
      <c r="F432" s="79"/>
      <c r="G432" s="79"/>
      <c r="H432" s="79"/>
      <c r="I432" s="79"/>
      <c r="J432" s="79"/>
      <c r="K432" s="147">
        <f>L432</f>
        <v>0</v>
      </c>
      <c r="L432" s="10"/>
      <c r="M432" s="10"/>
      <c r="N432" s="10"/>
      <c r="O432" s="10"/>
      <c r="P432" s="10"/>
    </row>
    <row r="433" spans="1:16" x14ac:dyDescent="0.25">
      <c r="B433" s="86" t="str">
        <f xml:space="preserve"> ( 'Facility Detail'!$B$805 + 8 ) &amp; " Surplus Applied to " &amp; ( 'Facility Detail'!$B$805 + 9 )</f>
        <v>2021 Surplus Applied to 2022</v>
      </c>
      <c r="C433" s="32"/>
      <c r="D433" s="79"/>
      <c r="E433" s="79"/>
      <c r="F433" s="79"/>
      <c r="G433" s="79"/>
      <c r="H433" s="79"/>
      <c r="I433" s="79"/>
      <c r="J433" s="79"/>
      <c r="K433" s="79"/>
      <c r="L433" s="10"/>
      <c r="M433" s="10"/>
      <c r="N433" s="10"/>
      <c r="O433" s="10"/>
      <c r="P433" s="10"/>
    </row>
    <row r="434" spans="1:16" x14ac:dyDescent="0.25">
      <c r="B434" s="35" t="s">
        <v>25</v>
      </c>
      <c r="D434" s="7">
        <f xml:space="preserve"> D418 - D417</f>
        <v>0</v>
      </c>
      <c r="E434" s="7">
        <f xml:space="preserve"> E417 + E420 - E419 - E418</f>
        <v>0</v>
      </c>
      <c r="F434" s="7">
        <f>F419+F422-F420-F421</f>
        <v>0</v>
      </c>
      <c r="G434" s="7">
        <f>G421+G424-G422-G423</f>
        <v>135199</v>
      </c>
      <c r="H434" s="7">
        <f>H423-H426-H424+H425</f>
        <v>-142121</v>
      </c>
      <c r="I434" s="7">
        <f>I425-I426-I427</f>
        <v>-62054</v>
      </c>
      <c r="J434" s="7">
        <f>J427-J428-J429</f>
        <v>-98592</v>
      </c>
      <c r="K434" s="7">
        <f>K429-K430-K431+K432</f>
        <v>-89079</v>
      </c>
      <c r="L434" s="7">
        <f>L431-L432-L433</f>
        <v>0</v>
      </c>
      <c r="M434" s="7">
        <f>M431-M432-M433</f>
        <v>0</v>
      </c>
      <c r="N434" s="7">
        <f>N431-N432-N433</f>
        <v>0</v>
      </c>
      <c r="O434" s="7">
        <f>O431-O432-O433</f>
        <v>0</v>
      </c>
      <c r="P434" s="7">
        <f>P431-P432-P433</f>
        <v>0</v>
      </c>
    </row>
    <row r="435" spans="1:16" x14ac:dyDescent="0.25">
      <c r="B435" s="6"/>
      <c r="D435" s="7"/>
      <c r="E435" s="7"/>
      <c r="F435" s="7"/>
      <c r="G435" s="7"/>
      <c r="H435" s="7"/>
      <c r="I435" s="7"/>
      <c r="J435" s="7"/>
      <c r="K435" s="7"/>
      <c r="L435" s="7"/>
      <c r="M435" s="7"/>
      <c r="N435" s="7"/>
      <c r="O435" s="7"/>
      <c r="P435" s="7"/>
    </row>
    <row r="436" spans="1:16" x14ac:dyDescent="0.25">
      <c r="B436" s="93" t="s">
        <v>21</v>
      </c>
      <c r="C436" s="76"/>
      <c r="D436" s="107"/>
      <c r="E436" s="108"/>
      <c r="F436" s="109"/>
      <c r="G436" s="109"/>
      <c r="H436" s="109"/>
      <c r="I436" s="109"/>
      <c r="J436" s="109"/>
      <c r="K436" s="109"/>
      <c r="L436" s="109"/>
      <c r="M436" s="109"/>
      <c r="N436" s="109"/>
      <c r="O436" s="109"/>
      <c r="P436" s="109"/>
    </row>
    <row r="437" spans="1:16" x14ac:dyDescent="0.25">
      <c r="B437" s="6"/>
      <c r="D437" s="7"/>
      <c r="E437" s="7"/>
      <c r="F437" s="7"/>
      <c r="G437" s="7"/>
      <c r="H437" s="7"/>
      <c r="I437" s="7"/>
      <c r="J437" s="7"/>
      <c r="K437" s="7"/>
      <c r="L437" s="7"/>
      <c r="M437" s="7"/>
      <c r="N437" s="7"/>
      <c r="O437" s="7"/>
      <c r="P437" s="7"/>
    </row>
    <row r="438" spans="1:16" ht="15.75" x14ac:dyDescent="0.25">
      <c r="A438" s="89" t="s">
        <v>33</v>
      </c>
      <c r="C438" s="76"/>
      <c r="D438" s="48">
        <f t="shared" ref="D438:L438" si="392" xml:space="preserve"> D403 + D408 + D414 + D434 + D436</f>
        <v>282692</v>
      </c>
      <c r="E438" s="49">
        <f t="shared" si="392"/>
        <v>45917</v>
      </c>
      <c r="F438" s="50">
        <f t="shared" si="392"/>
        <v>0.40000000002328306</v>
      </c>
      <c r="G438" s="50">
        <f t="shared" si="392"/>
        <v>250042</v>
      </c>
      <c r="H438" s="50">
        <f t="shared" si="392"/>
        <v>192375</v>
      </c>
      <c r="I438" s="50">
        <f t="shared" si="392"/>
        <v>308830</v>
      </c>
      <c r="J438" s="50">
        <f t="shared" si="392"/>
        <v>256663</v>
      </c>
      <c r="K438" s="50">
        <f xml:space="preserve"> K403 + K408 + K414 + K434 + K436</f>
        <v>302728</v>
      </c>
      <c r="L438" s="50">
        <f t="shared" si="392"/>
        <v>398616</v>
      </c>
      <c r="M438" s="50">
        <f t="shared" ref="M438:N438" si="393" xml:space="preserve"> M403 + M408 + M414 + M434 + M436</f>
        <v>371951</v>
      </c>
      <c r="N438" s="50">
        <f t="shared" si="393"/>
        <v>353864</v>
      </c>
      <c r="O438" s="50">
        <f t="shared" ref="O438:P438" si="394" xml:space="preserve"> O403 + O408 + O414 + O434 + O436</f>
        <v>370320</v>
      </c>
      <c r="P438" s="50">
        <f t="shared" si="394"/>
        <v>384719</v>
      </c>
    </row>
    <row r="439" spans="1:16" ht="50.25" customHeight="1" thickBot="1" x14ac:dyDescent="0.3">
      <c r="A439" s="196" t="s">
        <v>123</v>
      </c>
      <c r="B439" s="196"/>
      <c r="C439" s="196"/>
      <c r="D439" s="196"/>
      <c r="E439" s="196"/>
      <c r="F439" s="196"/>
      <c r="K439" s="133">
        <f>K438-L438</f>
        <v>-95888</v>
      </c>
    </row>
    <row r="440" spans="1:16" x14ac:dyDescent="0.25">
      <c r="A440" s="8"/>
      <c r="B440" s="8"/>
      <c r="C440" s="8"/>
      <c r="D440" s="8"/>
      <c r="E440" s="8"/>
      <c r="F440" s="8"/>
      <c r="G440" s="8"/>
      <c r="H440" s="8"/>
      <c r="I440" s="8"/>
      <c r="J440" s="8"/>
      <c r="K440" s="8"/>
      <c r="L440" s="8"/>
      <c r="M440" s="8"/>
      <c r="N440" s="8"/>
      <c r="O440" s="8"/>
      <c r="P440" s="8"/>
    </row>
    <row r="441" spans="1:16" ht="21" x14ac:dyDescent="0.35">
      <c r="A441" s="16" t="s">
        <v>4</v>
      </c>
      <c r="B441" s="16"/>
      <c r="C441" s="45" t="str">
        <f>B13</f>
        <v>EWEB (Stateline) Wind REC Purchase</v>
      </c>
      <c r="D441" s="46"/>
      <c r="E441" s="19"/>
      <c r="F441" s="19"/>
    </row>
    <row r="443" spans="1:16" ht="18.75" x14ac:dyDescent="0.3">
      <c r="A443" s="9" t="s">
        <v>27</v>
      </c>
      <c r="B443" s="9"/>
      <c r="D443" s="2">
        <v>2013</v>
      </c>
      <c r="E443" s="2">
        <f t="shared" ref="E443:J443" si="395">D443+1</f>
        <v>2014</v>
      </c>
      <c r="F443" s="2">
        <f t="shared" si="395"/>
        <v>2015</v>
      </c>
      <c r="G443" s="2">
        <f t="shared" si="395"/>
        <v>2016</v>
      </c>
      <c r="H443" s="2">
        <f t="shared" si="395"/>
        <v>2017</v>
      </c>
      <c r="I443" s="2">
        <f t="shared" si="395"/>
        <v>2018</v>
      </c>
      <c r="J443" s="2">
        <f t="shared" si="395"/>
        <v>2019</v>
      </c>
      <c r="K443" s="2">
        <f t="shared" ref="K443:P443" si="396">J443+1</f>
        <v>2020</v>
      </c>
      <c r="L443" s="2">
        <f t="shared" si="396"/>
        <v>2021</v>
      </c>
      <c r="M443" s="2">
        <f t="shared" si="396"/>
        <v>2022</v>
      </c>
      <c r="N443" s="2">
        <f t="shared" si="396"/>
        <v>2023</v>
      </c>
      <c r="O443" s="2">
        <f t="shared" si="396"/>
        <v>2024</v>
      </c>
      <c r="P443" s="2">
        <f t="shared" si="396"/>
        <v>2025</v>
      </c>
    </row>
    <row r="444" spans="1:16" x14ac:dyDescent="0.25">
      <c r="B444" s="86" t="str">
        <f>"Total MWh Produced / Purchased from " &amp; C441</f>
        <v>Total MWh Produced / Purchased from EWEB (Stateline) Wind REC Purchase</v>
      </c>
      <c r="C444" s="76"/>
      <c r="D444" s="3">
        <v>0</v>
      </c>
      <c r="E444" s="4">
        <v>0</v>
      </c>
      <c r="F444" s="5">
        <v>50000</v>
      </c>
      <c r="G444" s="5">
        <v>0</v>
      </c>
      <c r="H444" s="5">
        <v>0</v>
      </c>
      <c r="I444" s="5">
        <v>0</v>
      </c>
      <c r="J444" s="5">
        <v>0</v>
      </c>
      <c r="K444" s="5">
        <v>0</v>
      </c>
      <c r="L444" s="5">
        <v>0</v>
      </c>
      <c r="M444" s="5">
        <v>0</v>
      </c>
      <c r="N444" s="5">
        <v>0</v>
      </c>
      <c r="O444" s="5">
        <v>0</v>
      </c>
      <c r="P444" s="5">
        <v>0</v>
      </c>
    </row>
    <row r="445" spans="1:16" x14ac:dyDescent="0.25">
      <c r="B445" s="86" t="s">
        <v>32</v>
      </c>
      <c r="C445" s="76"/>
      <c r="D445" s="60">
        <v>1</v>
      </c>
      <c r="E445" s="61">
        <v>1</v>
      </c>
      <c r="F445" s="62">
        <v>1</v>
      </c>
      <c r="G445" s="62">
        <v>1</v>
      </c>
      <c r="H445" s="62">
        <v>1</v>
      </c>
      <c r="I445" s="62">
        <v>1</v>
      </c>
      <c r="J445" s="62">
        <v>1</v>
      </c>
      <c r="K445" s="62">
        <v>1</v>
      </c>
      <c r="L445" s="62">
        <v>1</v>
      </c>
      <c r="M445" s="62">
        <v>1</v>
      </c>
      <c r="N445" s="62">
        <v>1</v>
      </c>
      <c r="O445" s="62">
        <v>1</v>
      </c>
      <c r="P445" s="62">
        <v>1</v>
      </c>
    </row>
    <row r="446" spans="1:16" x14ac:dyDescent="0.25">
      <c r="B446" s="86" t="s">
        <v>26</v>
      </c>
      <c r="C446" s="76"/>
      <c r="D446" s="53">
        <v>1</v>
      </c>
      <c r="E446" s="54">
        <v>1</v>
      </c>
      <c r="F446" s="55">
        <v>1</v>
      </c>
      <c r="G446" s="55">
        <v>1</v>
      </c>
      <c r="H446" s="55">
        <v>1</v>
      </c>
      <c r="I446" s="55">
        <v>1</v>
      </c>
      <c r="J446" s="55">
        <v>1</v>
      </c>
      <c r="K446" s="55">
        <v>1</v>
      </c>
      <c r="L446" s="55">
        <v>1</v>
      </c>
      <c r="M446" s="55">
        <v>1</v>
      </c>
      <c r="N446" s="55">
        <v>1</v>
      </c>
      <c r="O446" s="55">
        <v>1</v>
      </c>
      <c r="P446" s="55">
        <v>1</v>
      </c>
    </row>
    <row r="447" spans="1:16" x14ac:dyDescent="0.25">
      <c r="B447" s="83" t="s">
        <v>28</v>
      </c>
      <c r="C447" s="84"/>
      <c r="D447" s="40">
        <f t="shared" ref="D447:I447" si="397" xml:space="preserve"> D444 * D445 * D446</f>
        <v>0</v>
      </c>
      <c r="E447" s="40">
        <f t="shared" si="397"/>
        <v>0</v>
      </c>
      <c r="F447" s="40">
        <f t="shared" si="397"/>
        <v>50000</v>
      </c>
      <c r="G447" s="40">
        <f t="shared" si="397"/>
        <v>0</v>
      </c>
      <c r="H447" s="40">
        <f t="shared" si="397"/>
        <v>0</v>
      </c>
      <c r="I447" s="40">
        <f t="shared" si="397"/>
        <v>0</v>
      </c>
      <c r="J447" s="40">
        <f t="shared" ref="J447:K447" si="398" xml:space="preserve"> J444 * J445 * J446</f>
        <v>0</v>
      </c>
      <c r="K447" s="40">
        <f t="shared" si="398"/>
        <v>0</v>
      </c>
      <c r="L447" s="40">
        <f t="shared" ref="L447:M447" si="399" xml:space="preserve"> L444 * L445 * L446</f>
        <v>0</v>
      </c>
      <c r="M447" s="40">
        <f t="shared" si="399"/>
        <v>0</v>
      </c>
      <c r="N447" s="40">
        <f t="shared" ref="N447:O447" si="400" xml:space="preserve"> N444 * N445 * N446</f>
        <v>0</v>
      </c>
      <c r="O447" s="40">
        <f t="shared" si="400"/>
        <v>0</v>
      </c>
      <c r="P447" s="40">
        <f t="shared" ref="P447" si="401" xml:space="preserve"> P444 * P445 * P446</f>
        <v>0</v>
      </c>
    </row>
    <row r="448" spans="1:16" x14ac:dyDescent="0.25">
      <c r="B448" s="19"/>
      <c r="C448" s="32"/>
      <c r="D448" s="39"/>
      <c r="E448" s="39"/>
      <c r="F448" s="39"/>
      <c r="G448" s="39"/>
      <c r="H448" s="39"/>
      <c r="I448" s="39"/>
      <c r="J448" s="39"/>
      <c r="K448" s="39"/>
      <c r="L448" s="39"/>
      <c r="M448" s="39"/>
      <c r="N448" s="39"/>
      <c r="O448" s="39"/>
      <c r="P448" s="39"/>
    </row>
    <row r="449" spans="1:16" ht="18.75" x14ac:dyDescent="0.3">
      <c r="A449" s="47" t="s">
        <v>30</v>
      </c>
      <c r="C449" s="32"/>
      <c r="D449" s="2">
        <f>D443</f>
        <v>2013</v>
      </c>
      <c r="E449" s="2">
        <f t="shared" ref="E449:J449" si="402">D449+1</f>
        <v>2014</v>
      </c>
      <c r="F449" s="2">
        <f t="shared" si="402"/>
        <v>2015</v>
      </c>
      <c r="G449" s="2">
        <f t="shared" si="402"/>
        <v>2016</v>
      </c>
      <c r="H449" s="2">
        <f t="shared" si="402"/>
        <v>2017</v>
      </c>
      <c r="I449" s="2">
        <f t="shared" si="402"/>
        <v>2018</v>
      </c>
      <c r="J449" s="2">
        <f t="shared" si="402"/>
        <v>2019</v>
      </c>
      <c r="K449" s="2">
        <f t="shared" ref="K449:P449" si="403">J449+1</f>
        <v>2020</v>
      </c>
      <c r="L449" s="2">
        <f t="shared" si="403"/>
        <v>2021</v>
      </c>
      <c r="M449" s="2">
        <f t="shared" si="403"/>
        <v>2022</v>
      </c>
      <c r="N449" s="2">
        <f t="shared" si="403"/>
        <v>2023</v>
      </c>
      <c r="O449" s="2">
        <f t="shared" si="403"/>
        <v>2024</v>
      </c>
      <c r="P449" s="2">
        <f t="shared" si="403"/>
        <v>2025</v>
      </c>
    </row>
    <row r="450" spans="1:16" x14ac:dyDescent="0.25">
      <c r="B450" s="86" t="s">
        <v>19</v>
      </c>
      <c r="C450" s="76"/>
      <c r="D450" s="56">
        <f>IF( $E13 = "Eligible", D447 * 'Facility Detail'!$B$802, 0 )</f>
        <v>0</v>
      </c>
      <c r="E450" s="56">
        <f>IF( $E13 = "Eligible", E447 * 'Facility Detail'!$B$802, 0 )</f>
        <v>0</v>
      </c>
      <c r="F450" s="56">
        <f>IF( $E13 = "Eligible", F447 * 'Facility Detail'!$B$802, 0 )</f>
        <v>0</v>
      </c>
      <c r="G450" s="56">
        <f>IF( $E13 = "Eligible", G447 * 'Facility Detail'!$B$802, 0 )</f>
        <v>0</v>
      </c>
      <c r="H450" s="56">
        <f>IF( $E13 = "Eligible", H447 * 'Facility Detail'!$B$802, 0 )</f>
        <v>0</v>
      </c>
      <c r="I450" s="56">
        <f>IF( $E13 = "Eligible", I447 * 'Facility Detail'!$B$802, 0 )</f>
        <v>0</v>
      </c>
      <c r="J450" s="56">
        <f>IF( $E13 = "Eligible", J447 * 'Facility Detail'!$B$802, 0 )</f>
        <v>0</v>
      </c>
      <c r="K450" s="56">
        <f>IF( $E13 = "Eligible", K447 * 'Facility Detail'!$B$802, 0 )</f>
        <v>0</v>
      </c>
      <c r="L450" s="56">
        <f>IF( $E13 = "Eligible", L447 * 'Facility Detail'!$B$802, 0 )</f>
        <v>0</v>
      </c>
      <c r="M450" s="56">
        <f>IF( $E13 = "Eligible", M447 * 'Facility Detail'!$B$802, 0 )</f>
        <v>0</v>
      </c>
      <c r="N450" s="56">
        <f>IF( $E13 = "Eligible", N447 * 'Facility Detail'!$B$802, 0 )</f>
        <v>0</v>
      </c>
      <c r="O450" s="56">
        <f>IF( $E13 = "Eligible", O447 * 'Facility Detail'!$B$802, 0 )</f>
        <v>0</v>
      </c>
      <c r="P450" s="56">
        <f>IF( $E13 = "Eligible", P447 * 'Facility Detail'!$B$802, 0 )</f>
        <v>0</v>
      </c>
    </row>
    <row r="451" spans="1:16" x14ac:dyDescent="0.25">
      <c r="B451" s="86" t="s">
        <v>6</v>
      </c>
      <c r="C451" s="76"/>
      <c r="D451" s="57">
        <f t="shared" ref="D451:L451" si="404">IF( $F13 = "Eligible", D447, 0 )</f>
        <v>0</v>
      </c>
      <c r="E451" s="58">
        <f t="shared" si="404"/>
        <v>0</v>
      </c>
      <c r="F451" s="59">
        <f t="shared" si="404"/>
        <v>0</v>
      </c>
      <c r="G451" s="59">
        <f t="shared" si="404"/>
        <v>0</v>
      </c>
      <c r="H451" s="59">
        <f t="shared" si="404"/>
        <v>0</v>
      </c>
      <c r="I451" s="59">
        <f t="shared" si="404"/>
        <v>0</v>
      </c>
      <c r="J451" s="59">
        <f t="shared" si="404"/>
        <v>0</v>
      </c>
      <c r="K451" s="59">
        <f t="shared" si="404"/>
        <v>0</v>
      </c>
      <c r="L451" s="59">
        <f t="shared" si="404"/>
        <v>0</v>
      </c>
      <c r="M451" s="59">
        <f t="shared" ref="M451:N451" si="405">IF( $F13 = "Eligible", M447, 0 )</f>
        <v>0</v>
      </c>
      <c r="N451" s="59">
        <f t="shared" si="405"/>
        <v>0</v>
      </c>
      <c r="O451" s="59">
        <f t="shared" ref="O451:P451" si="406">IF( $F13 = "Eligible", O447, 0 )</f>
        <v>0</v>
      </c>
      <c r="P451" s="59">
        <f t="shared" si="406"/>
        <v>0</v>
      </c>
    </row>
    <row r="452" spans="1:16" x14ac:dyDescent="0.25">
      <c r="B452" s="85" t="s">
        <v>37</v>
      </c>
      <c r="C452" s="84"/>
      <c r="D452" s="42">
        <f t="shared" ref="D452:I452" si="407">SUM(D450:D451)</f>
        <v>0</v>
      </c>
      <c r="E452" s="43">
        <f t="shared" si="407"/>
        <v>0</v>
      </c>
      <c r="F452" s="43">
        <f t="shared" si="407"/>
        <v>0</v>
      </c>
      <c r="G452" s="43">
        <f t="shared" si="407"/>
        <v>0</v>
      </c>
      <c r="H452" s="43">
        <f t="shared" si="407"/>
        <v>0</v>
      </c>
      <c r="I452" s="43">
        <f t="shared" si="407"/>
        <v>0</v>
      </c>
      <c r="J452" s="43">
        <f t="shared" ref="J452:K452" si="408">SUM(J450:J451)</f>
        <v>0</v>
      </c>
      <c r="K452" s="43">
        <f t="shared" si="408"/>
        <v>0</v>
      </c>
      <c r="L452" s="43">
        <f t="shared" ref="L452:M452" si="409">SUM(L450:L451)</f>
        <v>0</v>
      </c>
      <c r="M452" s="43">
        <f t="shared" si="409"/>
        <v>0</v>
      </c>
      <c r="N452" s="43">
        <f t="shared" ref="N452:O452" si="410">SUM(N450:N451)</f>
        <v>0</v>
      </c>
      <c r="O452" s="43">
        <f t="shared" si="410"/>
        <v>0</v>
      </c>
      <c r="P452" s="43">
        <f t="shared" ref="P452" si="411">SUM(P450:P451)</f>
        <v>0</v>
      </c>
    </row>
    <row r="453" spans="1:16" x14ac:dyDescent="0.25">
      <c r="B453" s="32"/>
      <c r="C453" s="32"/>
      <c r="D453" s="41"/>
      <c r="E453" s="33"/>
      <c r="F453" s="33"/>
      <c r="G453" s="33"/>
      <c r="H453" s="33"/>
      <c r="I453" s="33"/>
      <c r="J453" s="33"/>
      <c r="K453" s="33"/>
      <c r="L453" s="33"/>
      <c r="M453" s="33"/>
      <c r="N453" s="33"/>
      <c r="O453" s="33"/>
      <c r="P453" s="33"/>
    </row>
    <row r="454" spans="1:16" ht="18.75" x14ac:dyDescent="0.3">
      <c r="A454" s="44" t="s">
        <v>35</v>
      </c>
      <c r="C454" s="32"/>
      <c r="D454" s="2">
        <f>D443</f>
        <v>2013</v>
      </c>
      <c r="E454" s="2">
        <f t="shared" ref="E454:J454" si="412">D454+1</f>
        <v>2014</v>
      </c>
      <c r="F454" s="2">
        <f t="shared" si="412"/>
        <v>2015</v>
      </c>
      <c r="G454" s="2">
        <f t="shared" si="412"/>
        <v>2016</v>
      </c>
      <c r="H454" s="2">
        <f t="shared" si="412"/>
        <v>2017</v>
      </c>
      <c r="I454" s="2">
        <f t="shared" si="412"/>
        <v>2018</v>
      </c>
      <c r="J454" s="2">
        <f t="shared" si="412"/>
        <v>2019</v>
      </c>
      <c r="K454" s="2">
        <f t="shared" ref="K454:P454" si="413">J454+1</f>
        <v>2020</v>
      </c>
      <c r="L454" s="2">
        <f t="shared" si="413"/>
        <v>2021</v>
      </c>
      <c r="M454" s="2">
        <f t="shared" si="413"/>
        <v>2022</v>
      </c>
      <c r="N454" s="2">
        <f t="shared" si="413"/>
        <v>2023</v>
      </c>
      <c r="O454" s="2">
        <f t="shared" si="413"/>
        <v>2024</v>
      </c>
      <c r="P454" s="2">
        <f t="shared" si="413"/>
        <v>2025</v>
      </c>
    </row>
    <row r="455" spans="1:16" x14ac:dyDescent="0.25">
      <c r="B455" s="86" t="s">
        <v>39</v>
      </c>
      <c r="C455" s="76"/>
      <c r="D455" s="94">
        <v>0</v>
      </c>
      <c r="E455" s="95">
        <v>0</v>
      </c>
      <c r="F455" s="96">
        <v>0</v>
      </c>
      <c r="G455" s="96">
        <v>0</v>
      </c>
      <c r="H455" s="96"/>
      <c r="I455" s="96"/>
      <c r="J455" s="96"/>
      <c r="K455" s="96"/>
      <c r="L455" s="96"/>
      <c r="M455" s="96"/>
      <c r="N455" s="96"/>
      <c r="O455" s="96"/>
      <c r="P455" s="96"/>
    </row>
    <row r="456" spans="1:16" x14ac:dyDescent="0.25">
      <c r="B456" s="87" t="s">
        <v>29</v>
      </c>
      <c r="C456" s="88"/>
      <c r="D456" s="97">
        <v>0</v>
      </c>
      <c r="E456" s="98">
        <v>0</v>
      </c>
      <c r="F456" s="99">
        <v>0</v>
      </c>
      <c r="G456" s="99">
        <v>0</v>
      </c>
      <c r="H456" s="99">
        <v>0</v>
      </c>
      <c r="I456" s="99"/>
      <c r="J456" s="99"/>
      <c r="K456" s="99"/>
      <c r="L456" s="99"/>
      <c r="M456" s="99"/>
      <c r="N456" s="99"/>
      <c r="O456" s="99"/>
      <c r="P456" s="99"/>
    </row>
    <row r="457" spans="1:16" x14ac:dyDescent="0.25">
      <c r="B457" s="100" t="s">
        <v>41</v>
      </c>
      <c r="C457" s="92"/>
      <c r="D457" s="63"/>
      <c r="E457" s="64"/>
      <c r="F457" s="65"/>
      <c r="G457" s="65"/>
      <c r="H457" s="65"/>
      <c r="I457" s="65"/>
      <c r="J457" s="65"/>
      <c r="K457" s="65"/>
      <c r="L457" s="65"/>
      <c r="M457" s="65"/>
      <c r="N457" s="65"/>
      <c r="O457" s="65"/>
      <c r="P457" s="65"/>
    </row>
    <row r="458" spans="1:16" x14ac:dyDescent="0.25">
      <c r="B458" s="35" t="s">
        <v>42</v>
      </c>
      <c r="D458" s="7">
        <f t="shared" ref="D458:I458" si="414">SUM(D455:D457)</f>
        <v>0</v>
      </c>
      <c r="E458" s="7">
        <f t="shared" si="414"/>
        <v>0</v>
      </c>
      <c r="F458" s="7">
        <f t="shared" si="414"/>
        <v>0</v>
      </c>
      <c r="G458" s="7">
        <f t="shared" si="414"/>
        <v>0</v>
      </c>
      <c r="H458" s="7">
        <f t="shared" si="414"/>
        <v>0</v>
      </c>
      <c r="I458" s="7">
        <f t="shared" si="414"/>
        <v>0</v>
      </c>
      <c r="J458" s="7">
        <f t="shared" ref="J458:K458" si="415">SUM(J455:J457)</f>
        <v>0</v>
      </c>
      <c r="K458" s="7">
        <f t="shared" si="415"/>
        <v>0</v>
      </c>
      <c r="L458" s="7">
        <f t="shared" ref="L458:M458" si="416">SUM(L455:L457)</f>
        <v>0</v>
      </c>
      <c r="M458" s="7">
        <f t="shared" si="416"/>
        <v>0</v>
      </c>
      <c r="N458" s="7">
        <f t="shared" ref="N458:O458" si="417">SUM(N455:N457)</f>
        <v>0</v>
      </c>
      <c r="O458" s="7">
        <f t="shared" si="417"/>
        <v>0</v>
      </c>
      <c r="P458" s="7">
        <f t="shared" ref="P458" si="418">SUM(P455:P457)</f>
        <v>0</v>
      </c>
    </row>
    <row r="459" spans="1:16" x14ac:dyDescent="0.25">
      <c r="B459" s="6"/>
      <c r="D459" s="7"/>
      <c r="E459" s="7"/>
      <c r="F459" s="7"/>
      <c r="G459" s="7"/>
      <c r="H459" s="7"/>
      <c r="I459" s="7"/>
      <c r="J459" s="7"/>
      <c r="K459" s="7"/>
      <c r="L459" s="7"/>
      <c r="M459" s="7"/>
      <c r="N459" s="7"/>
      <c r="O459" s="7"/>
      <c r="P459" s="7"/>
    </row>
    <row r="460" spans="1:16" ht="18.75" x14ac:dyDescent="0.3">
      <c r="A460" s="9" t="s">
        <v>43</v>
      </c>
      <c r="D460" s="2">
        <f>D443</f>
        <v>2013</v>
      </c>
      <c r="E460" s="2">
        <f t="shared" ref="E460:J460" si="419">D460+1</f>
        <v>2014</v>
      </c>
      <c r="F460" s="2">
        <f t="shared" si="419"/>
        <v>2015</v>
      </c>
      <c r="G460" s="2">
        <f t="shared" si="419"/>
        <v>2016</v>
      </c>
      <c r="H460" s="2">
        <f t="shared" si="419"/>
        <v>2017</v>
      </c>
      <c r="I460" s="2">
        <f t="shared" si="419"/>
        <v>2018</v>
      </c>
      <c r="J460" s="2">
        <f t="shared" si="419"/>
        <v>2019</v>
      </c>
      <c r="K460" s="2">
        <f t="shared" ref="K460" si="420">J460+1</f>
        <v>2020</v>
      </c>
      <c r="L460" s="2">
        <f t="shared" ref="L460:P460" si="421">K460+1</f>
        <v>2021</v>
      </c>
      <c r="M460" s="2">
        <f t="shared" si="421"/>
        <v>2022</v>
      </c>
      <c r="N460" s="2">
        <f t="shared" si="421"/>
        <v>2023</v>
      </c>
      <c r="O460" s="2">
        <f t="shared" si="421"/>
        <v>2024</v>
      </c>
      <c r="P460" s="2">
        <f t="shared" si="421"/>
        <v>2025</v>
      </c>
    </row>
    <row r="461" spans="1:16" x14ac:dyDescent="0.25">
      <c r="B461" s="86" t="str">
        <f xml:space="preserve"> 'Facility Detail'!$B$805 &amp; " Surplus Applied to " &amp; ( 'Facility Detail'!$B$805 + 1 )</f>
        <v>2013 Surplus Applied to 2014</v>
      </c>
      <c r="C461" s="76"/>
      <c r="D461" s="3"/>
      <c r="E461" s="66">
        <f>D461</f>
        <v>0</v>
      </c>
      <c r="F461" s="136"/>
      <c r="G461" s="68"/>
      <c r="H461" s="68"/>
      <c r="I461" s="68"/>
      <c r="J461" s="68"/>
      <c r="K461" s="68"/>
      <c r="L461" s="68"/>
      <c r="M461" s="68"/>
      <c r="N461" s="68"/>
      <c r="O461" s="68"/>
      <c r="P461" s="68"/>
    </row>
    <row r="462" spans="1:16" x14ac:dyDescent="0.25">
      <c r="B462" s="86" t="str">
        <f xml:space="preserve"> ( 'Facility Detail'!$B$805 + 1 ) &amp; " Surplus Applied to " &amp; ( 'Facility Detail'!$B$805 )</f>
        <v>2014 Surplus Applied to 2013</v>
      </c>
      <c r="C462" s="76"/>
      <c r="D462" s="137">
        <f>E462</f>
        <v>0</v>
      </c>
      <c r="E462" s="10"/>
      <c r="F462" s="80"/>
      <c r="G462" s="79"/>
      <c r="H462" s="79"/>
      <c r="I462" s="79"/>
      <c r="J462" s="79"/>
      <c r="K462" s="79"/>
      <c r="L462" s="79"/>
      <c r="M462" s="79"/>
      <c r="N462" s="79"/>
      <c r="O462" s="79"/>
      <c r="P462" s="79"/>
    </row>
    <row r="463" spans="1:16" x14ac:dyDescent="0.25">
      <c r="B463" s="86" t="str">
        <f xml:space="preserve"> ( 'Facility Detail'!$B$805 + 1 ) &amp; " Surplus Applied to " &amp; ( 'Facility Detail'!$B$805 + 2 )</f>
        <v>2014 Surplus Applied to 2015</v>
      </c>
      <c r="C463" s="76"/>
      <c r="D463" s="69"/>
      <c r="E463" s="10"/>
      <c r="F463" s="75">
        <f>E463</f>
        <v>0</v>
      </c>
      <c r="G463" s="79"/>
      <c r="H463" s="79"/>
      <c r="I463" s="79"/>
      <c r="J463" s="79"/>
      <c r="K463" s="79"/>
      <c r="L463" s="79"/>
      <c r="M463" s="79"/>
      <c r="N463" s="79"/>
      <c r="O463" s="79"/>
      <c r="P463" s="79"/>
    </row>
    <row r="464" spans="1:16" x14ac:dyDescent="0.25">
      <c r="B464" s="86" t="str">
        <f xml:space="preserve"> ( 'Facility Detail'!$B$805 + 2 ) &amp; " Surplus Applied to " &amp; ( 'Facility Detail'!$B$805 + 1 )</f>
        <v>2015 Surplus Applied to 2014</v>
      </c>
      <c r="C464" s="76"/>
      <c r="D464" s="69"/>
      <c r="E464" s="75">
        <f>F464</f>
        <v>0</v>
      </c>
      <c r="F464" s="10"/>
      <c r="G464" s="79"/>
      <c r="H464" s="79"/>
      <c r="I464" s="79"/>
      <c r="J464" s="79"/>
      <c r="K464" s="79"/>
      <c r="L464" s="79"/>
      <c r="M464" s="79"/>
      <c r="N464" s="79"/>
      <c r="O464" s="79"/>
      <c r="P464" s="79"/>
    </row>
    <row r="465" spans="1:16" x14ac:dyDescent="0.25">
      <c r="B465" s="86" t="str">
        <f xml:space="preserve"> ( 'Facility Detail'!$B$805 + 2 ) &amp; " Surplus Applied to " &amp; ( 'Facility Detail'!$B$805 + 3 )</f>
        <v>2015 Surplus Applied to 2016</v>
      </c>
      <c r="C465" s="32"/>
      <c r="D465" s="69"/>
      <c r="E465" s="80"/>
      <c r="F465" s="10">
        <v>49617</v>
      </c>
      <c r="G465" s="138">
        <f>F465</f>
        <v>49617</v>
      </c>
      <c r="H465" s="79"/>
      <c r="I465" s="79"/>
      <c r="J465" s="79"/>
      <c r="K465" s="79"/>
      <c r="L465" s="79"/>
      <c r="M465" s="79"/>
      <c r="N465" s="79"/>
      <c r="O465" s="79"/>
      <c r="P465" s="79"/>
    </row>
    <row r="466" spans="1:16" x14ac:dyDescent="0.25">
      <c r="B466" s="86" t="str">
        <f xml:space="preserve"> ( 'Facility Detail'!$B$805 +3 ) &amp; " Surplus Applied to " &amp; ( 'Facility Detail'!$B$805 + 2 )</f>
        <v>2016 Surplus Applied to 2015</v>
      </c>
      <c r="C466" s="32"/>
      <c r="D466" s="70"/>
      <c r="E466" s="81"/>
      <c r="F466" s="67">
        <f>G466</f>
        <v>0</v>
      </c>
      <c r="G466" s="139"/>
      <c r="H466" s="79"/>
      <c r="I466" s="79"/>
      <c r="J466" s="79"/>
      <c r="K466" s="79"/>
      <c r="L466" s="79"/>
      <c r="M466" s="79"/>
      <c r="N466" s="79"/>
      <c r="O466" s="79"/>
      <c r="P466" s="79"/>
    </row>
    <row r="467" spans="1:16" x14ac:dyDescent="0.25">
      <c r="B467" s="86" t="str">
        <f xml:space="preserve"> ( 'Facility Detail'!$B$805 +3 ) &amp; " Surplus Applied to " &amp; ( 'Facility Detail'!$B$805 + 4 )</f>
        <v>2016 Surplus Applied to 2017</v>
      </c>
      <c r="C467" s="32"/>
      <c r="D467" s="142"/>
      <c r="E467" s="142"/>
      <c r="F467" s="142"/>
      <c r="G467" s="143">
        <v>49617</v>
      </c>
      <c r="H467" s="79"/>
      <c r="I467" s="79"/>
      <c r="J467" s="79"/>
      <c r="K467" s="79"/>
      <c r="L467" s="79"/>
      <c r="M467" s="79"/>
      <c r="N467" s="79"/>
      <c r="O467" s="79"/>
      <c r="P467" s="79"/>
    </row>
    <row r="468" spans="1:16" x14ac:dyDescent="0.25">
      <c r="B468" s="35" t="s">
        <v>25</v>
      </c>
      <c r="D468" s="7">
        <f xml:space="preserve"> D462 - D461</f>
        <v>0</v>
      </c>
      <c r="E468" s="7">
        <f xml:space="preserve"> E461 + E464 - E463 - E462</f>
        <v>0</v>
      </c>
      <c r="F468" s="7">
        <f>F463+F466-F464-F465</f>
        <v>-49617</v>
      </c>
      <c r="G468" s="7">
        <f>G465-G466</f>
        <v>49617</v>
      </c>
      <c r="H468" s="7">
        <f t="shared" ref="H468:M468" si="422">H465+H466</f>
        <v>0</v>
      </c>
      <c r="I468" s="7">
        <f t="shared" si="422"/>
        <v>0</v>
      </c>
      <c r="J468" s="7">
        <f t="shared" si="422"/>
        <v>0</v>
      </c>
      <c r="K468" s="7">
        <f t="shared" si="422"/>
        <v>0</v>
      </c>
      <c r="L468" s="7">
        <f t="shared" si="422"/>
        <v>0</v>
      </c>
      <c r="M468" s="7">
        <f t="shared" si="422"/>
        <v>0</v>
      </c>
      <c r="N468" s="7">
        <f t="shared" ref="N468:O468" si="423">N465+N466</f>
        <v>0</v>
      </c>
      <c r="O468" s="7">
        <f t="shared" si="423"/>
        <v>0</v>
      </c>
      <c r="P468" s="7">
        <f t="shared" ref="P468" si="424">P465+P466</f>
        <v>0</v>
      </c>
    </row>
    <row r="469" spans="1:16" x14ac:dyDescent="0.25">
      <c r="B469" s="6"/>
      <c r="D469" s="7"/>
      <c r="E469" s="7"/>
      <c r="F469" s="7"/>
      <c r="G469" s="7"/>
      <c r="H469" s="7"/>
      <c r="I469" s="7"/>
      <c r="J469" s="7"/>
      <c r="K469" s="7"/>
      <c r="L469" s="7"/>
      <c r="M469" s="7"/>
      <c r="N469" s="7"/>
      <c r="O469" s="7"/>
      <c r="P469" s="7"/>
    </row>
    <row r="470" spans="1:16" x14ac:dyDescent="0.25">
      <c r="B470" s="93" t="s">
        <v>21</v>
      </c>
      <c r="C470" s="76"/>
      <c r="D470" s="107"/>
      <c r="E470" s="108"/>
      <c r="F470" s="109"/>
      <c r="G470" s="109"/>
      <c r="H470" s="109"/>
      <c r="I470" s="109"/>
      <c r="J470" s="109"/>
      <c r="K470" s="109"/>
      <c r="L470" s="109"/>
      <c r="M470" s="109"/>
      <c r="N470" s="109"/>
      <c r="O470" s="109"/>
      <c r="P470" s="109"/>
    </row>
    <row r="471" spans="1:16" x14ac:dyDescent="0.25">
      <c r="B471" s="6"/>
      <c r="D471" s="7"/>
      <c r="E471" s="7"/>
      <c r="F471" s="7"/>
      <c r="G471" s="7"/>
      <c r="H471" s="7"/>
      <c r="I471" s="7"/>
      <c r="J471" s="7"/>
      <c r="K471" s="7"/>
      <c r="L471" s="7"/>
      <c r="M471" s="7"/>
      <c r="N471" s="7"/>
      <c r="O471" s="7"/>
      <c r="P471" s="7"/>
    </row>
    <row r="472" spans="1:16" ht="15.75" x14ac:dyDescent="0.25">
      <c r="A472" s="89" t="s">
        <v>33</v>
      </c>
      <c r="C472" s="76"/>
      <c r="D472" s="48">
        <f t="shared" ref="D472:I472" si="425" xml:space="preserve"> D447 + D452 + D458 + D468 + D470</f>
        <v>0</v>
      </c>
      <c r="E472" s="49">
        <f t="shared" si="425"/>
        <v>0</v>
      </c>
      <c r="F472" s="50">
        <f t="shared" si="425"/>
        <v>383</v>
      </c>
      <c r="G472" s="50">
        <f t="shared" si="425"/>
        <v>49617</v>
      </c>
      <c r="H472" s="50">
        <f t="shared" si="425"/>
        <v>0</v>
      </c>
      <c r="I472" s="50">
        <f t="shared" si="425"/>
        <v>0</v>
      </c>
      <c r="J472" s="50">
        <f t="shared" ref="J472:K472" si="426" xml:space="preserve"> J447 + J452 + J458 + J468 + J470</f>
        <v>0</v>
      </c>
      <c r="K472" s="50">
        <f t="shared" si="426"/>
        <v>0</v>
      </c>
      <c r="L472" s="50">
        <f t="shared" ref="L472:M472" si="427" xml:space="preserve"> L447 + L452 + L458 + L468 + L470</f>
        <v>0</v>
      </c>
      <c r="M472" s="50">
        <f t="shared" si="427"/>
        <v>0</v>
      </c>
      <c r="N472" s="50">
        <f t="shared" ref="N472:O472" si="428" xml:space="preserve"> N447 + N452 + N458 + N468 + N470</f>
        <v>0</v>
      </c>
      <c r="O472" s="50">
        <f t="shared" si="428"/>
        <v>0</v>
      </c>
      <c r="P472" s="50">
        <f t="shared" ref="P472" si="429" xml:space="preserve"> P447 + P452 + P458 + P468 + P470</f>
        <v>0</v>
      </c>
    </row>
    <row r="473" spans="1:16" x14ac:dyDescent="0.25">
      <c r="B473" s="6"/>
      <c r="D473" s="7"/>
      <c r="E473" s="7"/>
      <c r="F473" s="7"/>
      <c r="G473" s="31"/>
      <c r="H473" s="31"/>
      <c r="I473" s="31"/>
      <c r="J473" s="31"/>
      <c r="K473" s="31"/>
      <c r="L473" s="31"/>
      <c r="M473" s="31"/>
      <c r="N473" s="31"/>
      <c r="O473" s="31"/>
      <c r="P473" s="31"/>
    </row>
    <row r="474" spans="1:16" x14ac:dyDescent="0.25">
      <c r="B474" s="6"/>
      <c r="D474" s="7"/>
      <c r="E474" s="7"/>
      <c r="F474" s="7"/>
      <c r="G474" s="31"/>
      <c r="H474" s="31"/>
      <c r="I474" s="31"/>
      <c r="J474" s="31"/>
      <c r="K474" s="31"/>
      <c r="L474" s="31"/>
      <c r="M474" s="31"/>
      <c r="N474" s="31"/>
      <c r="O474" s="31"/>
      <c r="P474" s="31"/>
    </row>
    <row r="475" spans="1:16" ht="15.75" thickBot="1" x14ac:dyDescent="0.3">
      <c r="A475" s="195"/>
      <c r="B475" s="195"/>
      <c r="C475" s="195"/>
      <c r="D475" s="195"/>
      <c r="E475" s="195"/>
      <c r="F475" s="195"/>
    </row>
    <row r="476" spans="1:16" x14ac:dyDescent="0.25">
      <c r="A476" s="8"/>
      <c r="B476" s="8"/>
      <c r="C476" s="8"/>
      <c r="D476" s="8"/>
      <c r="E476" s="8"/>
      <c r="F476" s="8"/>
      <c r="G476" s="8"/>
      <c r="H476" s="8"/>
      <c r="I476" s="8"/>
      <c r="J476" s="8"/>
      <c r="K476" s="8"/>
      <c r="L476" s="8"/>
      <c r="M476" s="8"/>
      <c r="N476" s="8"/>
      <c r="O476" s="8"/>
      <c r="P476" s="8"/>
    </row>
    <row r="477" spans="1:16" ht="21" x14ac:dyDescent="0.35">
      <c r="A477" s="16" t="s">
        <v>4</v>
      </c>
      <c r="B477" s="16"/>
      <c r="C477" s="45" t="str">
        <f>B14</f>
        <v>Nine Mile #1</v>
      </c>
      <c r="D477" s="46"/>
      <c r="E477" s="19"/>
      <c r="F477" s="19"/>
    </row>
    <row r="479" spans="1:16" ht="18.75" x14ac:dyDescent="0.3">
      <c r="A479" s="9" t="s">
        <v>85</v>
      </c>
      <c r="B479" s="9"/>
      <c r="D479" s="2">
        <v>2013</v>
      </c>
      <c r="E479" s="2">
        <f t="shared" ref="E479:J479" si="430">D479+1</f>
        <v>2014</v>
      </c>
      <c r="F479" s="2">
        <f t="shared" si="430"/>
        <v>2015</v>
      </c>
      <c r="G479" s="2">
        <f t="shared" si="430"/>
        <v>2016</v>
      </c>
      <c r="H479" s="2">
        <f t="shared" si="430"/>
        <v>2017</v>
      </c>
      <c r="I479" s="2">
        <f t="shared" si="430"/>
        <v>2018</v>
      </c>
      <c r="J479" s="2">
        <f t="shared" si="430"/>
        <v>2019</v>
      </c>
      <c r="K479" s="2">
        <f t="shared" ref="K479:P479" si="431">J479+1</f>
        <v>2020</v>
      </c>
      <c r="L479" s="2">
        <f t="shared" si="431"/>
        <v>2021</v>
      </c>
      <c r="M479" s="2">
        <f t="shared" si="431"/>
        <v>2022</v>
      </c>
      <c r="N479" s="2">
        <f t="shared" si="431"/>
        <v>2023</v>
      </c>
      <c r="O479" s="2">
        <f t="shared" si="431"/>
        <v>2024</v>
      </c>
      <c r="P479" s="2">
        <f t="shared" si="431"/>
        <v>2025</v>
      </c>
    </row>
    <row r="480" spans="1:16" x14ac:dyDescent="0.25">
      <c r="B480" s="86" t="str">
        <f>"Total MWh Produced / Purchased from " &amp; C477</f>
        <v>Total MWh Produced / Purchased from Nine Mile #1</v>
      </c>
      <c r="C480" s="76"/>
      <c r="D480" s="3">
        <v>0</v>
      </c>
      <c r="E480" s="4">
        <v>0</v>
      </c>
      <c r="F480" s="5">
        <v>0</v>
      </c>
      <c r="G480" s="5">
        <v>215</v>
      </c>
      <c r="H480" s="5">
        <v>8804</v>
      </c>
      <c r="I480" s="5">
        <v>8804</v>
      </c>
      <c r="J480" s="5">
        <v>6608</v>
      </c>
      <c r="K480" s="5">
        <v>3395</v>
      </c>
      <c r="L480" s="5">
        <v>3395</v>
      </c>
      <c r="M480" s="5">
        <v>18326</v>
      </c>
      <c r="N480" s="5">
        <v>14469</v>
      </c>
      <c r="O480" s="5">
        <v>15048</v>
      </c>
      <c r="P480" s="5">
        <v>15048</v>
      </c>
    </row>
    <row r="481" spans="1:16" x14ac:dyDescent="0.25">
      <c r="B481" s="86" t="s">
        <v>32</v>
      </c>
      <c r="C481" s="76"/>
      <c r="D481" s="60">
        <v>1</v>
      </c>
      <c r="E481" s="61">
        <v>1</v>
      </c>
      <c r="F481" s="62">
        <v>1</v>
      </c>
      <c r="G481" s="62">
        <v>1</v>
      </c>
      <c r="H481" s="62">
        <v>1</v>
      </c>
      <c r="I481" s="62">
        <v>1</v>
      </c>
      <c r="J481" s="62">
        <v>1</v>
      </c>
      <c r="K481" s="62">
        <v>1</v>
      </c>
      <c r="L481" s="62">
        <v>1</v>
      </c>
      <c r="M481" s="62">
        <v>1</v>
      </c>
      <c r="N481" s="62">
        <v>1</v>
      </c>
      <c r="O481" s="62">
        <v>1</v>
      </c>
      <c r="P481" s="62">
        <v>1</v>
      </c>
    </row>
    <row r="482" spans="1:16" x14ac:dyDescent="0.25">
      <c r="B482" s="86" t="s">
        <v>26</v>
      </c>
      <c r="C482" s="76"/>
      <c r="D482" s="53">
        <v>1</v>
      </c>
      <c r="E482" s="54">
        <v>1</v>
      </c>
      <c r="F482" s="55">
        <v>1</v>
      </c>
      <c r="G482" s="55">
        <v>1</v>
      </c>
      <c r="H482" s="55">
        <v>1</v>
      </c>
      <c r="I482" s="55">
        <v>1</v>
      </c>
      <c r="J482" s="55">
        <v>1</v>
      </c>
      <c r="K482" s="55">
        <v>1</v>
      </c>
      <c r="L482" s="55">
        <v>1</v>
      </c>
      <c r="M482" s="55">
        <v>1</v>
      </c>
      <c r="N482" s="55">
        <v>1</v>
      </c>
      <c r="O482" s="55">
        <v>1</v>
      </c>
      <c r="P482" s="55">
        <v>1</v>
      </c>
    </row>
    <row r="483" spans="1:16" x14ac:dyDescent="0.25">
      <c r="B483" s="83" t="s">
        <v>28</v>
      </c>
      <c r="C483" s="84"/>
      <c r="D483" s="40">
        <f t="shared" ref="D483:I483" si="432" xml:space="preserve"> D480 * D481 * D482</f>
        <v>0</v>
      </c>
      <c r="E483" s="40">
        <f t="shared" si="432"/>
        <v>0</v>
      </c>
      <c r="F483" s="40">
        <f t="shared" si="432"/>
        <v>0</v>
      </c>
      <c r="G483" s="40">
        <f t="shared" si="432"/>
        <v>215</v>
      </c>
      <c r="H483" s="40">
        <f t="shared" si="432"/>
        <v>8804</v>
      </c>
      <c r="I483" s="40">
        <f t="shared" si="432"/>
        <v>8804</v>
      </c>
      <c r="J483" s="40">
        <f t="shared" ref="J483:K483" si="433" xml:space="preserve"> J480 * J481 * J482</f>
        <v>6608</v>
      </c>
      <c r="K483" s="40">
        <f t="shared" si="433"/>
        <v>3395</v>
      </c>
      <c r="L483" s="40">
        <f t="shared" ref="L483:M483" si="434" xml:space="preserve"> L480 * L481 * L482</f>
        <v>3395</v>
      </c>
      <c r="M483" s="40">
        <f t="shared" si="434"/>
        <v>18326</v>
      </c>
      <c r="N483" s="40">
        <f t="shared" ref="N483:O483" si="435" xml:space="preserve"> N480 * N481 * N482</f>
        <v>14469</v>
      </c>
      <c r="O483" s="40">
        <f t="shared" si="435"/>
        <v>15048</v>
      </c>
      <c r="P483" s="40">
        <f t="shared" ref="P483" si="436" xml:space="preserve"> P480 * P481 * P482</f>
        <v>15048</v>
      </c>
    </row>
    <row r="484" spans="1:16" x14ac:dyDescent="0.25">
      <c r="B484" s="19"/>
      <c r="C484" s="32"/>
      <c r="D484" s="39"/>
      <c r="E484" s="39"/>
      <c r="F484" s="39"/>
      <c r="G484" s="39"/>
      <c r="H484" s="39"/>
      <c r="I484" s="39"/>
      <c r="J484" s="39"/>
      <c r="K484" s="39"/>
      <c r="L484" s="39"/>
      <c r="M484" s="39"/>
      <c r="N484" s="39"/>
      <c r="O484" s="39"/>
      <c r="P484" s="39"/>
    </row>
    <row r="485" spans="1:16" ht="18.75" x14ac:dyDescent="0.3">
      <c r="A485" s="47" t="s">
        <v>30</v>
      </c>
      <c r="C485" s="32"/>
      <c r="D485" s="2">
        <f>D479</f>
        <v>2013</v>
      </c>
      <c r="E485" s="2">
        <f t="shared" ref="E485:J485" si="437">D485+1</f>
        <v>2014</v>
      </c>
      <c r="F485" s="2">
        <f t="shared" si="437"/>
        <v>2015</v>
      </c>
      <c r="G485" s="2">
        <f t="shared" si="437"/>
        <v>2016</v>
      </c>
      <c r="H485" s="2">
        <f t="shared" si="437"/>
        <v>2017</v>
      </c>
      <c r="I485" s="2">
        <f t="shared" si="437"/>
        <v>2018</v>
      </c>
      <c r="J485" s="2">
        <f t="shared" si="437"/>
        <v>2019</v>
      </c>
      <c r="K485" s="2">
        <f t="shared" ref="K485:P485" si="438">J485+1</f>
        <v>2020</v>
      </c>
      <c r="L485" s="2">
        <f t="shared" si="438"/>
        <v>2021</v>
      </c>
      <c r="M485" s="2">
        <f t="shared" si="438"/>
        <v>2022</v>
      </c>
      <c r="N485" s="2">
        <f t="shared" si="438"/>
        <v>2023</v>
      </c>
      <c r="O485" s="2">
        <f t="shared" si="438"/>
        <v>2024</v>
      </c>
      <c r="P485" s="2">
        <f t="shared" si="438"/>
        <v>2025</v>
      </c>
    </row>
    <row r="486" spans="1:16" x14ac:dyDescent="0.25">
      <c r="B486" s="86" t="s">
        <v>19</v>
      </c>
      <c r="C486" s="76"/>
      <c r="D486" s="56">
        <f>IF( $E14 = "Eligible", D483 * 'Facility Detail'!$B$802, 0 )</f>
        <v>0</v>
      </c>
      <c r="E486" s="56">
        <f>IF( $E14 = "Eligible", E483 * 'Facility Detail'!$B$802, 0 )</f>
        <v>0</v>
      </c>
      <c r="F486" s="56">
        <f>IF( $E14 = "Eligible", F483 * 'Facility Detail'!$B$802, 0 )</f>
        <v>0</v>
      </c>
      <c r="G486" s="56">
        <f>IF( $E14 = "Eligible", G483 * 'Facility Detail'!$B$802, 0 )</f>
        <v>0</v>
      </c>
      <c r="H486" s="56">
        <f>IF( $E14 = "Eligible", H483 * 'Facility Detail'!$B$802, 0 )</f>
        <v>0</v>
      </c>
      <c r="I486" s="56">
        <f>IF( $E14 = "Eligible", I483 * 'Facility Detail'!$B$802, 0 )</f>
        <v>0</v>
      </c>
      <c r="J486" s="56">
        <f>IF( $E14 = "Eligible", J483 * 'Facility Detail'!$B$802, 0 )</f>
        <v>0</v>
      </c>
      <c r="K486" s="56">
        <f>IF( $E14 = "Eligible", K483 * 'Facility Detail'!$B$802, 0 )</f>
        <v>0</v>
      </c>
      <c r="L486" s="56">
        <f>IF( $E14 = "Eligible", L483 * 'Facility Detail'!$B$802, 0 )</f>
        <v>0</v>
      </c>
      <c r="M486" s="56">
        <f>IF( $E14 = "Eligible", M483 * 'Facility Detail'!$B$802, 0 )</f>
        <v>0</v>
      </c>
      <c r="N486" s="56">
        <f>IF( $E14 = "Eligible", N483 * 'Facility Detail'!$B$802, 0 )</f>
        <v>0</v>
      </c>
      <c r="O486" s="56">
        <f>IF( $E14 = "Eligible", O483 * 'Facility Detail'!$B$802, 0 )</f>
        <v>0</v>
      </c>
      <c r="P486" s="56">
        <f>IF( $E14 = "Eligible", P483 * 'Facility Detail'!$B$802, 0 )</f>
        <v>0</v>
      </c>
    </row>
    <row r="487" spans="1:16" x14ac:dyDescent="0.25">
      <c r="B487" s="86" t="s">
        <v>6</v>
      </c>
      <c r="C487" s="76"/>
      <c r="D487" s="57">
        <f t="shared" ref="D487:L487" si="439">IF( $F14 = "Eligible", D483, 0 )</f>
        <v>0</v>
      </c>
      <c r="E487" s="58">
        <f t="shared" si="439"/>
        <v>0</v>
      </c>
      <c r="F487" s="59">
        <f t="shared" si="439"/>
        <v>0</v>
      </c>
      <c r="G487" s="59">
        <f t="shared" si="439"/>
        <v>0</v>
      </c>
      <c r="H487" s="59">
        <f t="shared" si="439"/>
        <v>0</v>
      </c>
      <c r="I487" s="59">
        <f t="shared" si="439"/>
        <v>0</v>
      </c>
      <c r="J487" s="59">
        <f t="shared" si="439"/>
        <v>0</v>
      </c>
      <c r="K487" s="59">
        <f t="shared" si="439"/>
        <v>0</v>
      </c>
      <c r="L487" s="59">
        <f t="shared" si="439"/>
        <v>0</v>
      </c>
      <c r="M487" s="59">
        <f t="shared" ref="M487:N487" si="440">IF( $F14 = "Eligible", M483, 0 )</f>
        <v>0</v>
      </c>
      <c r="N487" s="59">
        <f t="shared" si="440"/>
        <v>0</v>
      </c>
      <c r="O487" s="59">
        <f t="shared" ref="O487:P487" si="441">IF( $F14 = "Eligible", O483, 0 )</f>
        <v>0</v>
      </c>
      <c r="P487" s="59">
        <f t="shared" si="441"/>
        <v>0</v>
      </c>
    </row>
    <row r="488" spans="1:16" x14ac:dyDescent="0.25">
      <c r="B488" s="85" t="s">
        <v>37</v>
      </c>
      <c r="C488" s="84"/>
      <c r="D488" s="42">
        <f t="shared" ref="D488:I488" si="442">SUM(D486:D487)</f>
        <v>0</v>
      </c>
      <c r="E488" s="43">
        <f t="shared" si="442"/>
        <v>0</v>
      </c>
      <c r="F488" s="43">
        <f t="shared" si="442"/>
        <v>0</v>
      </c>
      <c r="G488" s="43">
        <f t="shared" si="442"/>
        <v>0</v>
      </c>
      <c r="H488" s="43">
        <f t="shared" si="442"/>
        <v>0</v>
      </c>
      <c r="I488" s="43">
        <f t="shared" si="442"/>
        <v>0</v>
      </c>
      <c r="J488" s="43">
        <f t="shared" ref="J488:K488" si="443">SUM(J486:J487)</f>
        <v>0</v>
      </c>
      <c r="K488" s="43">
        <f t="shared" si="443"/>
        <v>0</v>
      </c>
      <c r="L488" s="43">
        <f t="shared" ref="L488:M488" si="444">SUM(L486:L487)</f>
        <v>0</v>
      </c>
      <c r="M488" s="43">
        <f t="shared" si="444"/>
        <v>0</v>
      </c>
      <c r="N488" s="43">
        <f t="shared" ref="N488:O488" si="445">SUM(N486:N487)</f>
        <v>0</v>
      </c>
      <c r="O488" s="43">
        <f t="shared" si="445"/>
        <v>0</v>
      </c>
      <c r="P488" s="43">
        <f t="shared" ref="P488" si="446">SUM(P486:P487)</f>
        <v>0</v>
      </c>
    </row>
    <row r="489" spans="1:16" x14ac:dyDescent="0.25">
      <c r="B489" s="32"/>
      <c r="C489" s="32"/>
      <c r="D489" s="41"/>
      <c r="E489" s="33"/>
      <c r="F489" s="33"/>
      <c r="G489" s="33"/>
      <c r="H489" s="33"/>
      <c r="I489" s="33"/>
      <c r="J489" s="33"/>
      <c r="K489" s="33"/>
      <c r="L489" s="33"/>
      <c r="M489" s="33"/>
      <c r="N489" s="33"/>
      <c r="O489" s="33"/>
      <c r="P489" s="33"/>
    </row>
    <row r="490" spans="1:16" ht="18.75" x14ac:dyDescent="0.3">
      <c r="A490" s="44" t="s">
        <v>35</v>
      </c>
      <c r="C490" s="32"/>
      <c r="D490" s="2">
        <f>D479</f>
        <v>2013</v>
      </c>
      <c r="E490" s="2">
        <f t="shared" ref="E490:J490" si="447">D490+1</f>
        <v>2014</v>
      </c>
      <c r="F490" s="2">
        <f t="shared" si="447"/>
        <v>2015</v>
      </c>
      <c r="G490" s="2">
        <f t="shared" si="447"/>
        <v>2016</v>
      </c>
      <c r="H490" s="2">
        <f t="shared" si="447"/>
        <v>2017</v>
      </c>
      <c r="I490" s="2">
        <f t="shared" si="447"/>
        <v>2018</v>
      </c>
      <c r="J490" s="2">
        <f t="shared" si="447"/>
        <v>2019</v>
      </c>
      <c r="K490" s="2">
        <f t="shared" ref="K490:P490" si="448">J490+1</f>
        <v>2020</v>
      </c>
      <c r="L490" s="2">
        <f t="shared" si="448"/>
        <v>2021</v>
      </c>
      <c r="M490" s="2">
        <f t="shared" si="448"/>
        <v>2022</v>
      </c>
      <c r="N490" s="2">
        <f t="shared" si="448"/>
        <v>2023</v>
      </c>
      <c r="O490" s="2">
        <f t="shared" si="448"/>
        <v>2024</v>
      </c>
      <c r="P490" s="2">
        <f t="shared" si="448"/>
        <v>2025</v>
      </c>
    </row>
    <row r="491" spans="1:16" x14ac:dyDescent="0.25">
      <c r="B491" s="86" t="s">
        <v>39</v>
      </c>
      <c r="C491" s="76"/>
      <c r="D491" s="94">
        <v>0</v>
      </c>
      <c r="E491" s="95">
        <v>0</v>
      </c>
      <c r="F491" s="96">
        <v>0</v>
      </c>
      <c r="G491" s="96">
        <v>0</v>
      </c>
      <c r="H491" s="96">
        <v>0</v>
      </c>
      <c r="I491" s="96">
        <v>0</v>
      </c>
      <c r="J491" s="96">
        <v>0</v>
      </c>
      <c r="K491" s="96">
        <v>0</v>
      </c>
      <c r="L491" s="96">
        <v>0</v>
      </c>
      <c r="M491" s="96">
        <v>0</v>
      </c>
      <c r="N491" s="96">
        <v>0</v>
      </c>
      <c r="O491" s="96">
        <v>0</v>
      </c>
      <c r="P491" s="96">
        <v>0</v>
      </c>
    </row>
    <row r="492" spans="1:16" x14ac:dyDescent="0.25">
      <c r="B492" s="87" t="s">
        <v>29</v>
      </c>
      <c r="C492" s="88"/>
      <c r="D492" s="97">
        <v>0</v>
      </c>
      <c r="E492" s="98">
        <v>0</v>
      </c>
      <c r="F492" s="99">
        <v>0</v>
      </c>
      <c r="G492" s="99">
        <v>0</v>
      </c>
      <c r="H492" s="99">
        <v>0</v>
      </c>
      <c r="I492" s="99">
        <v>0</v>
      </c>
      <c r="J492" s="99">
        <v>0</v>
      </c>
      <c r="K492" s="99">
        <v>0</v>
      </c>
      <c r="L492" s="99">
        <v>0</v>
      </c>
      <c r="M492" s="99">
        <v>0</v>
      </c>
      <c r="N492" s="99">
        <v>0</v>
      </c>
      <c r="O492" s="99">
        <v>0</v>
      </c>
      <c r="P492" s="99">
        <v>0</v>
      </c>
    </row>
    <row r="493" spans="1:16" x14ac:dyDescent="0.25">
      <c r="B493" s="100" t="s">
        <v>41</v>
      </c>
      <c r="C493" s="92"/>
      <c r="D493" s="63"/>
      <c r="E493" s="64"/>
      <c r="F493" s="65"/>
      <c r="G493" s="65">
        <v>0</v>
      </c>
      <c r="H493" s="65">
        <v>0</v>
      </c>
      <c r="I493" s="65">
        <v>0</v>
      </c>
      <c r="J493" s="65">
        <v>0</v>
      </c>
      <c r="K493" s="65">
        <v>0</v>
      </c>
      <c r="L493" s="65">
        <v>0</v>
      </c>
      <c r="M493" s="65">
        <v>0</v>
      </c>
      <c r="N493" s="65">
        <v>0</v>
      </c>
      <c r="O493" s="65">
        <v>0</v>
      </c>
      <c r="P493" s="65">
        <v>0</v>
      </c>
    </row>
    <row r="494" spans="1:16" x14ac:dyDescent="0.25">
      <c r="B494" s="35" t="s">
        <v>42</v>
      </c>
      <c r="D494" s="7">
        <f t="shared" ref="D494:I494" si="449">SUM(D491:D493)</f>
        <v>0</v>
      </c>
      <c r="E494" s="7">
        <f t="shared" si="449"/>
        <v>0</v>
      </c>
      <c r="F494" s="7">
        <f t="shared" si="449"/>
        <v>0</v>
      </c>
      <c r="G494" s="7">
        <f t="shared" si="449"/>
        <v>0</v>
      </c>
      <c r="H494" s="7">
        <f t="shared" si="449"/>
        <v>0</v>
      </c>
      <c r="I494" s="7">
        <f t="shared" si="449"/>
        <v>0</v>
      </c>
      <c r="J494" s="7">
        <f t="shared" ref="J494:K494" si="450">SUM(J491:J493)</f>
        <v>0</v>
      </c>
      <c r="K494" s="7">
        <f t="shared" si="450"/>
        <v>0</v>
      </c>
      <c r="L494" s="7">
        <f t="shared" ref="L494:M494" si="451">SUM(L491:L493)</f>
        <v>0</v>
      </c>
      <c r="M494" s="7">
        <f t="shared" si="451"/>
        <v>0</v>
      </c>
      <c r="N494" s="7">
        <f t="shared" ref="N494:O494" si="452">SUM(N491:N493)</f>
        <v>0</v>
      </c>
      <c r="O494" s="7">
        <f t="shared" si="452"/>
        <v>0</v>
      </c>
      <c r="P494" s="7">
        <f t="shared" ref="P494" si="453">SUM(P491:P493)</f>
        <v>0</v>
      </c>
    </row>
    <row r="495" spans="1:16" x14ac:dyDescent="0.25">
      <c r="B495" s="6"/>
      <c r="D495" s="7"/>
      <c r="E495" s="7"/>
      <c r="F495" s="7"/>
      <c r="G495" s="7"/>
      <c r="H495" s="7"/>
      <c r="I495" s="7"/>
      <c r="J495" s="7"/>
      <c r="K495" s="7"/>
      <c r="L495" s="7"/>
      <c r="M495" s="7"/>
      <c r="N495" s="7"/>
      <c r="O495" s="7"/>
      <c r="P495" s="7"/>
    </row>
    <row r="496" spans="1:16" ht="18.75" x14ac:dyDescent="0.3">
      <c r="A496" s="9" t="s">
        <v>43</v>
      </c>
      <c r="D496" s="2">
        <f>D479</f>
        <v>2013</v>
      </c>
      <c r="E496" s="2">
        <f t="shared" ref="E496:J496" si="454">D496+1</f>
        <v>2014</v>
      </c>
      <c r="F496" s="2">
        <f t="shared" si="454"/>
        <v>2015</v>
      </c>
      <c r="G496" s="2">
        <f t="shared" si="454"/>
        <v>2016</v>
      </c>
      <c r="H496" s="2">
        <f t="shared" si="454"/>
        <v>2017</v>
      </c>
      <c r="I496" s="2">
        <f t="shared" si="454"/>
        <v>2018</v>
      </c>
      <c r="J496" s="2">
        <f t="shared" si="454"/>
        <v>2019</v>
      </c>
      <c r="K496" s="2">
        <f t="shared" ref="K496:P496" si="455">J496+1</f>
        <v>2020</v>
      </c>
      <c r="L496" s="2">
        <f t="shared" si="455"/>
        <v>2021</v>
      </c>
      <c r="M496" s="2">
        <f t="shared" si="455"/>
        <v>2022</v>
      </c>
      <c r="N496" s="2">
        <f t="shared" si="455"/>
        <v>2023</v>
      </c>
      <c r="O496" s="2">
        <f t="shared" si="455"/>
        <v>2024</v>
      </c>
      <c r="P496" s="2">
        <f t="shared" si="455"/>
        <v>2025</v>
      </c>
    </row>
    <row r="497" spans="1:16" x14ac:dyDescent="0.25">
      <c r="B497" s="86" t="str">
        <f xml:space="preserve"> 'Facility Detail'!$B$805 &amp; " Surplus Applied to " &amp; ( 'Facility Detail'!$B$805 + 1 )</f>
        <v>2013 Surplus Applied to 2014</v>
      </c>
      <c r="C497" s="76"/>
      <c r="D497" s="3"/>
      <c r="E497" s="66">
        <f>D497</f>
        <v>0</v>
      </c>
      <c r="F497" s="136"/>
      <c r="G497" s="68"/>
      <c r="H497" s="68"/>
      <c r="I497" s="68"/>
      <c r="J497" s="68"/>
      <c r="K497" s="68"/>
      <c r="L497" s="68"/>
      <c r="M497" s="68"/>
      <c r="N497" s="68"/>
      <c r="O497" s="68"/>
      <c r="P497" s="68"/>
    </row>
    <row r="498" spans="1:16" x14ac:dyDescent="0.25">
      <c r="B498" s="86" t="str">
        <f xml:space="preserve"> ( 'Facility Detail'!$B$805 + 1 ) &amp; " Surplus Applied to " &amp; ( 'Facility Detail'!$B$805 )</f>
        <v>2014 Surplus Applied to 2013</v>
      </c>
      <c r="C498" s="76"/>
      <c r="D498" s="137">
        <f>E498</f>
        <v>0</v>
      </c>
      <c r="E498" s="10"/>
      <c r="F498" s="80"/>
      <c r="G498" s="79"/>
      <c r="H498" s="79"/>
      <c r="I498" s="79"/>
      <c r="J498" s="79"/>
      <c r="K498" s="79"/>
      <c r="L498" s="79"/>
      <c r="M498" s="79"/>
      <c r="N498" s="79"/>
      <c r="O498" s="79"/>
      <c r="P498" s="79"/>
    </row>
    <row r="499" spans="1:16" x14ac:dyDescent="0.25">
      <c r="B499" s="86" t="str">
        <f xml:space="preserve"> ( 'Facility Detail'!$B$805 + 1 ) &amp; " Surplus Applied to " &amp; ( 'Facility Detail'!$B$805 + 2 )</f>
        <v>2014 Surplus Applied to 2015</v>
      </c>
      <c r="C499" s="76"/>
      <c r="D499" s="69"/>
      <c r="E499" s="10"/>
      <c r="F499" s="75">
        <f>E499</f>
        <v>0</v>
      </c>
      <c r="G499" s="79"/>
      <c r="H499" s="79"/>
      <c r="I499" s="79"/>
      <c r="J499" s="79"/>
      <c r="K499" s="79"/>
      <c r="L499" s="79"/>
      <c r="M499" s="79"/>
      <c r="N499" s="79"/>
      <c r="O499" s="79"/>
      <c r="P499" s="79"/>
    </row>
    <row r="500" spans="1:16" x14ac:dyDescent="0.25">
      <c r="B500" s="86" t="str">
        <f xml:space="preserve"> ( 'Facility Detail'!$B$805 + 2 ) &amp; " Surplus Applied to " &amp; ( 'Facility Detail'!$B$805 + 1 )</f>
        <v>2015 Surplus Applied to 2014</v>
      </c>
      <c r="C500" s="76"/>
      <c r="D500" s="69"/>
      <c r="E500" s="75">
        <f>F500</f>
        <v>0</v>
      </c>
      <c r="F500" s="10"/>
      <c r="G500" s="79"/>
      <c r="H500" s="79"/>
      <c r="I500" s="79"/>
      <c r="J500" s="79"/>
      <c r="K500" s="79"/>
      <c r="L500" s="79"/>
      <c r="M500" s="79"/>
      <c r="N500" s="79"/>
      <c r="O500" s="79"/>
      <c r="P500" s="79"/>
    </row>
    <row r="501" spans="1:16" x14ac:dyDescent="0.25">
      <c r="B501" s="86" t="str">
        <f xml:space="preserve"> ( 'Facility Detail'!$B$805 + 2 ) &amp; " Surplus Applied to " &amp; ( 'Facility Detail'!$B$805 + 3 )</f>
        <v>2015 Surplus Applied to 2016</v>
      </c>
      <c r="C501" s="32"/>
      <c r="D501" s="69"/>
      <c r="E501" s="80"/>
      <c r="F501" s="10"/>
      <c r="G501" s="138">
        <f>F501</f>
        <v>0</v>
      </c>
      <c r="H501" s="138">
        <f>G501</f>
        <v>0</v>
      </c>
      <c r="I501" s="138">
        <f>H501</f>
        <v>0</v>
      </c>
      <c r="J501" s="138">
        <f>I501</f>
        <v>0</v>
      </c>
      <c r="K501" s="138"/>
      <c r="L501" s="138"/>
      <c r="M501" s="138"/>
      <c r="N501" s="138"/>
      <c r="O501" s="138"/>
      <c r="P501" s="138"/>
    </row>
    <row r="502" spans="1:16" x14ac:dyDescent="0.25">
      <c r="B502" s="86" t="str">
        <f xml:space="preserve"> ( 'Facility Detail'!$B$805 +3 ) &amp; " Surplus Applied to " &amp; ( 'Facility Detail'!$B$805 + 2 )</f>
        <v>2016 Surplus Applied to 2015</v>
      </c>
      <c r="C502" s="32"/>
      <c r="D502" s="70"/>
      <c r="E502" s="81"/>
      <c r="F502" s="67">
        <f>G502</f>
        <v>0</v>
      </c>
      <c r="G502" s="139"/>
      <c r="H502" s="139"/>
      <c r="I502" s="139"/>
      <c r="J502" s="139"/>
      <c r="K502" s="139"/>
      <c r="L502" s="139"/>
      <c r="M502" s="139"/>
      <c r="N502" s="139"/>
      <c r="O502" s="139"/>
      <c r="P502" s="139"/>
    </row>
    <row r="503" spans="1:16" x14ac:dyDescent="0.25">
      <c r="B503" s="86" t="str">
        <f xml:space="preserve"> ( 'Facility Detail'!$B$805 +3 ) &amp; " Surplus Applied to " &amp; ( 'Facility Detail'!$B$805 + 4 )</f>
        <v>2016 Surplus Applied to 2017</v>
      </c>
      <c r="C503" s="32"/>
      <c r="D503" s="142"/>
      <c r="E503" s="142"/>
      <c r="F503" s="20"/>
      <c r="G503" s="143"/>
      <c r="H503" s="143"/>
      <c r="I503" s="143"/>
      <c r="J503" s="143"/>
      <c r="K503" s="143"/>
      <c r="L503" s="143"/>
      <c r="M503" s="143"/>
      <c r="N503" s="143"/>
      <c r="O503" s="143"/>
      <c r="P503" s="143"/>
    </row>
    <row r="504" spans="1:16" x14ac:dyDescent="0.25">
      <c r="B504" s="35" t="s">
        <v>25</v>
      </c>
      <c r="D504" s="7">
        <f xml:space="preserve"> D498 - D497</f>
        <v>0</v>
      </c>
      <c r="E504" s="7">
        <f xml:space="preserve"> E497 + E500 - E499 - E498</f>
        <v>0</v>
      </c>
      <c r="F504" s="7">
        <f>F499+F502-F500-F501</f>
        <v>0</v>
      </c>
      <c r="G504" s="7">
        <f t="shared" ref="G504:L504" si="456">G501-G502</f>
        <v>0</v>
      </c>
      <c r="H504" s="7">
        <f t="shared" si="456"/>
        <v>0</v>
      </c>
      <c r="I504" s="7">
        <f t="shared" si="456"/>
        <v>0</v>
      </c>
      <c r="J504" s="7">
        <f t="shared" si="456"/>
        <v>0</v>
      </c>
      <c r="K504" s="7">
        <f t="shared" si="456"/>
        <v>0</v>
      </c>
      <c r="L504" s="7">
        <f t="shared" si="456"/>
        <v>0</v>
      </c>
      <c r="M504" s="7">
        <f t="shared" ref="M504:N504" si="457">M501-M502</f>
        <v>0</v>
      </c>
      <c r="N504" s="7">
        <f t="shared" si="457"/>
        <v>0</v>
      </c>
      <c r="O504" s="7">
        <f t="shared" ref="O504:P504" si="458">O501-O502</f>
        <v>0</v>
      </c>
      <c r="P504" s="7">
        <f t="shared" si="458"/>
        <v>0</v>
      </c>
    </row>
    <row r="505" spans="1:16" x14ac:dyDescent="0.25">
      <c r="B505" s="6"/>
      <c r="D505" s="7"/>
      <c r="E505" s="7"/>
      <c r="F505" s="7"/>
      <c r="G505" s="7"/>
      <c r="H505" s="7"/>
      <c r="I505" s="7"/>
      <c r="J505" s="7"/>
      <c r="K505" s="7"/>
      <c r="L505" s="7"/>
      <c r="M505" s="7"/>
      <c r="N505" s="7"/>
      <c r="O505" s="7"/>
      <c r="P505" s="7"/>
    </row>
    <row r="506" spans="1:16" x14ac:dyDescent="0.25">
      <c r="B506" s="93" t="s">
        <v>21</v>
      </c>
      <c r="C506" s="76"/>
      <c r="D506" s="107"/>
      <c r="E506" s="108"/>
      <c r="F506" s="109"/>
      <c r="G506" s="109"/>
      <c r="H506" s="109"/>
      <c r="I506" s="109"/>
      <c r="J506" s="109"/>
      <c r="K506" s="109"/>
      <c r="L506" s="109"/>
      <c r="M506" s="109"/>
      <c r="N506" s="109"/>
      <c r="O506" s="109"/>
      <c r="P506" s="109"/>
    </row>
    <row r="507" spans="1:16" x14ac:dyDescent="0.25">
      <c r="B507" s="6"/>
      <c r="D507" s="7"/>
      <c r="E507" s="7"/>
      <c r="F507" s="7"/>
      <c r="G507" s="7"/>
      <c r="H507" s="7"/>
      <c r="I507" s="7"/>
      <c r="J507" s="7"/>
      <c r="K507" s="7"/>
      <c r="L507" s="7"/>
      <c r="M507" s="7"/>
      <c r="N507" s="7"/>
      <c r="O507" s="7"/>
      <c r="P507" s="7"/>
    </row>
    <row r="508" spans="1:16" ht="15.75" x14ac:dyDescent="0.25">
      <c r="A508" s="89" t="s">
        <v>33</v>
      </c>
      <c r="C508" s="76"/>
      <c r="D508" s="48">
        <f t="shared" ref="D508:I508" si="459" xml:space="preserve"> D483 + D488 + D494 + D504 + D506</f>
        <v>0</v>
      </c>
      <c r="E508" s="49">
        <f t="shared" si="459"/>
        <v>0</v>
      </c>
      <c r="F508" s="50">
        <f t="shared" si="459"/>
        <v>0</v>
      </c>
      <c r="G508" s="50">
        <f t="shared" si="459"/>
        <v>215</v>
      </c>
      <c r="H508" s="50">
        <f t="shared" si="459"/>
        <v>8804</v>
      </c>
      <c r="I508" s="50">
        <f t="shared" si="459"/>
        <v>8804</v>
      </c>
      <c r="J508" s="50">
        <f t="shared" ref="J508:K508" si="460" xml:space="preserve"> J483 + J488 + J494 + J504 + J506</f>
        <v>6608</v>
      </c>
      <c r="K508" s="50">
        <f t="shared" si="460"/>
        <v>3395</v>
      </c>
      <c r="L508" s="50">
        <f t="shared" ref="L508:M508" si="461" xml:space="preserve"> L483 + L488 + L494 + L504 + L506</f>
        <v>3395</v>
      </c>
      <c r="M508" s="50">
        <f t="shared" si="461"/>
        <v>18326</v>
      </c>
      <c r="N508" s="50">
        <f t="shared" ref="N508:O508" si="462" xml:space="preserve"> N483 + N488 + N494 + N504 + N506</f>
        <v>14469</v>
      </c>
      <c r="O508" s="50">
        <f t="shared" si="462"/>
        <v>15048</v>
      </c>
      <c r="P508" s="50">
        <f t="shared" ref="P508" si="463" xml:space="preserve"> P483 + P488 + P494 + P504 + P506</f>
        <v>15048</v>
      </c>
    </row>
    <row r="509" spans="1:16" x14ac:dyDescent="0.25">
      <c r="B509" s="6"/>
      <c r="D509" s="7"/>
      <c r="E509" s="7"/>
      <c r="F509" s="7"/>
      <c r="G509" s="31"/>
      <c r="H509" s="31"/>
      <c r="I509" s="31"/>
      <c r="J509" s="31"/>
      <c r="K509" s="31"/>
      <c r="L509" s="31"/>
      <c r="M509" s="31"/>
      <c r="N509" s="31"/>
      <c r="O509" s="31"/>
      <c r="P509" s="31"/>
    </row>
    <row r="510" spans="1:16" x14ac:dyDescent="0.25">
      <c r="B510" s="6"/>
      <c r="D510" s="7"/>
      <c r="E510" s="7"/>
      <c r="F510" s="7"/>
      <c r="G510" s="31"/>
      <c r="H510" s="31"/>
      <c r="I510" s="31"/>
      <c r="J510" s="31"/>
      <c r="K510" s="31"/>
      <c r="L510" s="31"/>
    </row>
    <row r="511" spans="1:16" ht="15.75" customHeight="1" thickBot="1" x14ac:dyDescent="0.3">
      <c r="A511" s="195" t="s">
        <v>102</v>
      </c>
      <c r="B511" s="195"/>
      <c r="C511" s="195"/>
      <c r="D511" s="195"/>
      <c r="E511" s="195"/>
      <c r="F511" s="195"/>
      <c r="G511" s="195"/>
      <c r="H511" s="195"/>
      <c r="I511" s="195"/>
      <c r="J511" s="145"/>
      <c r="K511" s="170"/>
      <c r="L511" s="171"/>
      <c r="M511" s="145"/>
      <c r="N511" s="180"/>
      <c r="O511" s="182"/>
      <c r="P511" s="187"/>
    </row>
    <row r="512" spans="1:16" x14ac:dyDescent="0.25">
      <c r="A512" s="8"/>
      <c r="B512" s="8"/>
      <c r="C512" s="8"/>
      <c r="D512" s="8"/>
      <c r="E512" s="8"/>
      <c r="F512" s="8"/>
      <c r="G512" s="8"/>
      <c r="H512" s="8"/>
      <c r="I512" s="8"/>
      <c r="J512" s="8"/>
      <c r="K512" s="8"/>
      <c r="L512" s="8"/>
    </row>
    <row r="513" spans="1:16" ht="21" x14ac:dyDescent="0.35">
      <c r="A513" s="16" t="s">
        <v>4</v>
      </c>
      <c r="B513" s="16"/>
      <c r="C513" s="45" t="str">
        <f>B15</f>
        <v>Nine Mile #2</v>
      </c>
      <c r="D513" s="46"/>
      <c r="E513" s="19"/>
      <c r="F513" s="19"/>
    </row>
    <row r="515" spans="1:16" ht="18.75" x14ac:dyDescent="0.3">
      <c r="A515" s="9" t="s">
        <v>85</v>
      </c>
      <c r="B515" s="9"/>
      <c r="D515" s="2">
        <v>2013</v>
      </c>
      <c r="E515" s="2">
        <f t="shared" ref="E515:J515" si="464">D515+1</f>
        <v>2014</v>
      </c>
      <c r="F515" s="2">
        <f t="shared" si="464"/>
        <v>2015</v>
      </c>
      <c r="G515" s="2">
        <f t="shared" si="464"/>
        <v>2016</v>
      </c>
      <c r="H515" s="2">
        <f t="shared" si="464"/>
        <v>2017</v>
      </c>
      <c r="I515" s="2">
        <f t="shared" si="464"/>
        <v>2018</v>
      </c>
      <c r="J515" s="2">
        <f t="shared" si="464"/>
        <v>2019</v>
      </c>
      <c r="K515" s="2">
        <f t="shared" ref="K515:P515" si="465">J515+1</f>
        <v>2020</v>
      </c>
      <c r="L515" s="2">
        <f t="shared" si="465"/>
        <v>2021</v>
      </c>
      <c r="M515" s="2">
        <f t="shared" si="465"/>
        <v>2022</v>
      </c>
      <c r="N515" s="2">
        <f t="shared" si="465"/>
        <v>2023</v>
      </c>
      <c r="O515" s="2">
        <f t="shared" si="465"/>
        <v>2024</v>
      </c>
      <c r="P515" s="2">
        <f t="shared" si="465"/>
        <v>2025</v>
      </c>
    </row>
    <row r="516" spans="1:16" x14ac:dyDescent="0.25">
      <c r="B516" s="86" t="str">
        <f>"Total MWh Produced / Purchased from " &amp; C513</f>
        <v>Total MWh Produced / Purchased from Nine Mile #2</v>
      </c>
      <c r="C516" s="76"/>
      <c r="D516" s="3">
        <v>0</v>
      </c>
      <c r="E516" s="4">
        <v>0</v>
      </c>
      <c r="F516" s="5">
        <v>0</v>
      </c>
      <c r="G516" s="5">
        <v>0</v>
      </c>
      <c r="H516" s="5">
        <v>13146</v>
      </c>
      <c r="I516" s="5">
        <v>13146</v>
      </c>
      <c r="J516" s="5">
        <v>1830</v>
      </c>
      <c r="K516" s="5">
        <v>5343</v>
      </c>
      <c r="L516" s="5">
        <v>5343</v>
      </c>
      <c r="M516" s="5">
        <v>19241</v>
      </c>
      <c r="N516" s="5">
        <v>15192</v>
      </c>
      <c r="O516" s="5">
        <v>15900</v>
      </c>
      <c r="P516" s="5">
        <v>15900</v>
      </c>
    </row>
    <row r="517" spans="1:16" x14ac:dyDescent="0.25">
      <c r="B517" s="86" t="s">
        <v>32</v>
      </c>
      <c r="C517" s="76"/>
      <c r="D517" s="60">
        <v>1</v>
      </c>
      <c r="E517" s="61">
        <v>1</v>
      </c>
      <c r="F517" s="62">
        <v>1</v>
      </c>
      <c r="G517" s="62">
        <v>1</v>
      </c>
      <c r="H517" s="62">
        <v>1</v>
      </c>
      <c r="I517" s="62">
        <v>1</v>
      </c>
      <c r="J517" s="62">
        <v>1</v>
      </c>
      <c r="K517" s="62">
        <v>1</v>
      </c>
      <c r="L517" s="62">
        <v>1</v>
      </c>
      <c r="M517" s="62">
        <v>1</v>
      </c>
      <c r="N517" s="62">
        <v>1</v>
      </c>
      <c r="O517" s="62">
        <v>1</v>
      </c>
      <c r="P517" s="62">
        <v>1</v>
      </c>
    </row>
    <row r="518" spans="1:16" x14ac:dyDescent="0.25">
      <c r="B518" s="86" t="s">
        <v>26</v>
      </c>
      <c r="C518" s="76"/>
      <c r="D518" s="53">
        <v>1</v>
      </c>
      <c r="E518" s="54">
        <v>1</v>
      </c>
      <c r="F518" s="55">
        <v>1</v>
      </c>
      <c r="G518" s="55">
        <v>1</v>
      </c>
      <c r="H518" s="55">
        <v>1</v>
      </c>
      <c r="I518" s="55">
        <v>1</v>
      </c>
      <c r="J518" s="55">
        <v>1</v>
      </c>
      <c r="K518" s="55">
        <v>1</v>
      </c>
      <c r="L518" s="55">
        <v>1</v>
      </c>
      <c r="M518" s="55">
        <v>1</v>
      </c>
      <c r="N518" s="55">
        <v>1</v>
      </c>
      <c r="O518" s="55">
        <v>1</v>
      </c>
      <c r="P518" s="55">
        <v>1</v>
      </c>
    </row>
    <row r="519" spans="1:16" x14ac:dyDescent="0.25">
      <c r="B519" s="83" t="s">
        <v>28</v>
      </c>
      <c r="C519" s="84"/>
      <c r="D519" s="40">
        <f t="shared" ref="D519:I519" si="466" xml:space="preserve"> D516 * D517 * D518</f>
        <v>0</v>
      </c>
      <c r="E519" s="40">
        <f t="shared" si="466"/>
        <v>0</v>
      </c>
      <c r="F519" s="40">
        <f t="shared" si="466"/>
        <v>0</v>
      </c>
      <c r="G519" s="40">
        <f t="shared" si="466"/>
        <v>0</v>
      </c>
      <c r="H519" s="40">
        <f t="shared" si="466"/>
        <v>13146</v>
      </c>
      <c r="I519" s="40">
        <f t="shared" si="466"/>
        <v>13146</v>
      </c>
      <c r="J519" s="40">
        <f t="shared" ref="J519:K519" si="467" xml:space="preserve"> J516 * J517 * J518</f>
        <v>1830</v>
      </c>
      <c r="K519" s="40">
        <f t="shared" si="467"/>
        <v>5343</v>
      </c>
      <c r="L519" s="40">
        <f t="shared" ref="L519:M519" si="468" xml:space="preserve"> L516 * L517 * L518</f>
        <v>5343</v>
      </c>
      <c r="M519" s="40">
        <f t="shared" si="468"/>
        <v>19241</v>
      </c>
      <c r="N519" s="40">
        <f t="shared" ref="N519:O519" si="469" xml:space="preserve"> N516 * N517 * N518</f>
        <v>15192</v>
      </c>
      <c r="O519" s="40">
        <f t="shared" si="469"/>
        <v>15900</v>
      </c>
      <c r="P519" s="40">
        <f t="shared" ref="P519" si="470" xml:space="preserve"> P516 * P517 * P518</f>
        <v>15900</v>
      </c>
    </row>
    <row r="520" spans="1:16" x14ac:dyDescent="0.25">
      <c r="B520" s="19"/>
      <c r="C520" s="32"/>
      <c r="D520" s="39"/>
      <c r="E520" s="39"/>
      <c r="F520" s="39"/>
      <c r="G520" s="39"/>
      <c r="H520" s="39"/>
      <c r="I520" s="39"/>
      <c r="J520" s="39"/>
      <c r="K520" s="39"/>
      <c r="L520" s="39"/>
      <c r="M520" s="39"/>
      <c r="N520" s="39"/>
      <c r="O520" s="39"/>
      <c r="P520" s="39"/>
    </row>
    <row r="521" spans="1:16" ht="18.75" x14ac:dyDescent="0.3">
      <c r="A521" s="47" t="s">
        <v>30</v>
      </c>
      <c r="C521" s="32"/>
      <c r="D521" s="2">
        <f>D515</f>
        <v>2013</v>
      </c>
      <c r="E521" s="2">
        <f t="shared" ref="E521:J521" si="471">D521+1</f>
        <v>2014</v>
      </c>
      <c r="F521" s="2">
        <f t="shared" si="471"/>
        <v>2015</v>
      </c>
      <c r="G521" s="2">
        <f t="shared" si="471"/>
        <v>2016</v>
      </c>
      <c r="H521" s="2">
        <f t="shared" si="471"/>
        <v>2017</v>
      </c>
      <c r="I521" s="2">
        <f t="shared" si="471"/>
        <v>2018</v>
      </c>
      <c r="J521" s="2">
        <f t="shared" si="471"/>
        <v>2019</v>
      </c>
      <c r="K521" s="2">
        <f t="shared" ref="K521:P521" si="472">J521+1</f>
        <v>2020</v>
      </c>
      <c r="L521" s="2">
        <f t="shared" si="472"/>
        <v>2021</v>
      </c>
      <c r="M521" s="2">
        <f t="shared" si="472"/>
        <v>2022</v>
      </c>
      <c r="N521" s="2">
        <f t="shared" si="472"/>
        <v>2023</v>
      </c>
      <c r="O521" s="2">
        <f t="shared" si="472"/>
        <v>2024</v>
      </c>
      <c r="P521" s="2">
        <f t="shared" si="472"/>
        <v>2025</v>
      </c>
    </row>
    <row r="522" spans="1:16" x14ac:dyDescent="0.25">
      <c r="B522" s="86" t="s">
        <v>19</v>
      </c>
      <c r="C522" s="76"/>
      <c r="D522" s="56">
        <f>IF( $E15 = "Eligible", D519 * 'Facility Detail'!$B$802, 0 )</f>
        <v>0</v>
      </c>
      <c r="E522" s="56">
        <f>IF( $E15 = "Eligible", E519 * 'Facility Detail'!$B$802, 0 )</f>
        <v>0</v>
      </c>
      <c r="F522" s="56">
        <f>IF( $E15 = "Eligible", F519 * 'Facility Detail'!$B$802, 0 )</f>
        <v>0</v>
      </c>
      <c r="G522" s="56">
        <f>IF( $E15 = "Eligible", G519 * 'Facility Detail'!$B$802, 0 )</f>
        <v>0</v>
      </c>
      <c r="H522" s="56">
        <f>IF( $E15 = "Eligible", H519 * 'Facility Detail'!$B$802, 0 )</f>
        <v>0</v>
      </c>
      <c r="I522" s="56">
        <f>IF( $E15 = "Eligible", I519 * 'Facility Detail'!$B$802, 0 )</f>
        <v>0</v>
      </c>
      <c r="J522" s="56">
        <f>IF( $E15 = "Eligible", J519 * 'Facility Detail'!$B$802, 0 )</f>
        <v>0</v>
      </c>
      <c r="K522" s="56">
        <f>IF( $E15 = "Eligible", K519 * 'Facility Detail'!$B$802, 0 )</f>
        <v>0</v>
      </c>
      <c r="L522" s="56">
        <f>IF( $E15 = "Eligible", L519 * 'Facility Detail'!$B$802, 0 )</f>
        <v>0</v>
      </c>
      <c r="M522" s="56">
        <f>IF( $E15 = "Eligible", M519 * 'Facility Detail'!$B$802, 0 )</f>
        <v>0</v>
      </c>
      <c r="N522" s="56">
        <f>IF( $E15 = "Eligible", N519 * 'Facility Detail'!$B$802, 0 )</f>
        <v>0</v>
      </c>
      <c r="O522" s="56">
        <f>IF( $E15 = "Eligible", O519 * 'Facility Detail'!$B$802, 0 )</f>
        <v>0</v>
      </c>
      <c r="P522" s="56">
        <f>IF( $E15 = "Eligible", P519 * 'Facility Detail'!$B$802, 0 )</f>
        <v>0</v>
      </c>
    </row>
    <row r="523" spans="1:16" x14ac:dyDescent="0.25">
      <c r="B523" s="86" t="s">
        <v>6</v>
      </c>
      <c r="C523" s="76"/>
      <c r="D523" s="59">
        <f t="shared" ref="D523:L523" si="473">IF( $F15 = "Eligible", D519, 0 )</f>
        <v>0</v>
      </c>
      <c r="E523" s="59">
        <f t="shared" si="473"/>
        <v>0</v>
      </c>
      <c r="F523" s="59">
        <f t="shared" si="473"/>
        <v>0</v>
      </c>
      <c r="G523" s="59">
        <f t="shared" si="473"/>
        <v>0</v>
      </c>
      <c r="H523" s="59">
        <f t="shared" si="473"/>
        <v>0</v>
      </c>
      <c r="I523" s="59">
        <f t="shared" si="473"/>
        <v>0</v>
      </c>
      <c r="J523" s="59">
        <f t="shared" si="473"/>
        <v>0</v>
      </c>
      <c r="K523" s="59">
        <f t="shared" si="473"/>
        <v>0</v>
      </c>
      <c r="L523" s="59">
        <f t="shared" si="473"/>
        <v>0</v>
      </c>
      <c r="M523" s="59">
        <f t="shared" ref="M523:N523" si="474">IF( $F15 = "Eligible", M519, 0 )</f>
        <v>0</v>
      </c>
      <c r="N523" s="59">
        <f t="shared" si="474"/>
        <v>0</v>
      </c>
      <c r="O523" s="59">
        <f t="shared" ref="O523:P523" si="475">IF( $F15 = "Eligible", O519, 0 )</f>
        <v>0</v>
      </c>
      <c r="P523" s="59">
        <f t="shared" si="475"/>
        <v>0</v>
      </c>
    </row>
    <row r="524" spans="1:16" x14ac:dyDescent="0.25">
      <c r="B524" s="85" t="s">
        <v>37</v>
      </c>
      <c r="C524" s="84"/>
      <c r="D524" s="42">
        <f t="shared" ref="D524:I524" si="476">SUM(D522:D523)</f>
        <v>0</v>
      </c>
      <c r="E524" s="43">
        <f t="shared" si="476"/>
        <v>0</v>
      </c>
      <c r="F524" s="43">
        <f t="shared" si="476"/>
        <v>0</v>
      </c>
      <c r="G524" s="43">
        <f t="shared" si="476"/>
        <v>0</v>
      </c>
      <c r="H524" s="43">
        <f t="shared" si="476"/>
        <v>0</v>
      </c>
      <c r="I524" s="43">
        <f t="shared" si="476"/>
        <v>0</v>
      </c>
      <c r="J524" s="43">
        <f t="shared" ref="J524:K524" si="477">SUM(J522:J523)</f>
        <v>0</v>
      </c>
      <c r="K524" s="43">
        <f t="shared" si="477"/>
        <v>0</v>
      </c>
      <c r="L524" s="43">
        <f t="shared" ref="L524:M524" si="478">SUM(L522:L523)</f>
        <v>0</v>
      </c>
      <c r="M524" s="43">
        <f t="shared" si="478"/>
        <v>0</v>
      </c>
      <c r="N524" s="43">
        <f t="shared" ref="N524:O524" si="479">SUM(N522:N523)</f>
        <v>0</v>
      </c>
      <c r="O524" s="43">
        <f t="shared" si="479"/>
        <v>0</v>
      </c>
      <c r="P524" s="43">
        <f t="shared" ref="P524" si="480">SUM(P522:P523)</f>
        <v>0</v>
      </c>
    </row>
    <row r="525" spans="1:16" x14ac:dyDescent="0.25">
      <c r="B525" s="32"/>
      <c r="C525" s="32"/>
      <c r="D525" s="41"/>
      <c r="E525" s="33"/>
      <c r="F525" s="33"/>
      <c r="G525" s="33"/>
      <c r="H525" s="33"/>
      <c r="I525" s="33"/>
      <c r="J525" s="33"/>
      <c r="K525" s="33"/>
      <c r="L525" s="33"/>
      <c r="M525" s="33"/>
      <c r="N525" s="33"/>
      <c r="O525" s="33"/>
      <c r="P525" s="33"/>
    </row>
    <row r="526" spans="1:16" ht="18.75" x14ac:dyDescent="0.3">
      <c r="A526" s="44" t="s">
        <v>35</v>
      </c>
      <c r="C526" s="32"/>
      <c r="D526" s="2">
        <f>D515</f>
        <v>2013</v>
      </c>
      <c r="E526" s="2">
        <f t="shared" ref="E526:J526" si="481">D526+1</f>
        <v>2014</v>
      </c>
      <c r="F526" s="2">
        <f t="shared" si="481"/>
        <v>2015</v>
      </c>
      <c r="G526" s="2">
        <f t="shared" si="481"/>
        <v>2016</v>
      </c>
      <c r="H526" s="2">
        <f t="shared" si="481"/>
        <v>2017</v>
      </c>
      <c r="I526" s="2">
        <f t="shared" si="481"/>
        <v>2018</v>
      </c>
      <c r="J526" s="2">
        <f t="shared" si="481"/>
        <v>2019</v>
      </c>
      <c r="K526" s="2">
        <f t="shared" ref="K526:P526" si="482">J526+1</f>
        <v>2020</v>
      </c>
      <c r="L526" s="2">
        <f t="shared" si="482"/>
        <v>2021</v>
      </c>
      <c r="M526" s="2">
        <f t="shared" si="482"/>
        <v>2022</v>
      </c>
      <c r="N526" s="2">
        <f t="shared" si="482"/>
        <v>2023</v>
      </c>
      <c r="O526" s="2">
        <f t="shared" si="482"/>
        <v>2024</v>
      </c>
      <c r="P526" s="2">
        <f t="shared" si="482"/>
        <v>2025</v>
      </c>
    </row>
    <row r="527" spans="1:16" x14ac:dyDescent="0.25">
      <c r="B527" s="86" t="s">
        <v>39</v>
      </c>
      <c r="C527" s="76"/>
      <c r="D527" s="94">
        <v>0</v>
      </c>
      <c r="E527" s="95">
        <v>0</v>
      </c>
      <c r="F527" s="96">
        <v>0</v>
      </c>
      <c r="G527" s="96">
        <v>0</v>
      </c>
      <c r="H527" s="96">
        <v>0</v>
      </c>
      <c r="I527" s="96">
        <v>0</v>
      </c>
      <c r="J527" s="96">
        <v>0</v>
      </c>
      <c r="K527" s="96">
        <v>0</v>
      </c>
      <c r="L527" s="96">
        <v>0</v>
      </c>
      <c r="M527" s="96">
        <v>0</v>
      </c>
      <c r="N527" s="96">
        <v>0</v>
      </c>
      <c r="O527" s="96">
        <v>0</v>
      </c>
      <c r="P527" s="96">
        <v>0</v>
      </c>
    </row>
    <row r="528" spans="1:16" x14ac:dyDescent="0.25">
      <c r="B528" s="87" t="s">
        <v>29</v>
      </c>
      <c r="C528" s="88"/>
      <c r="D528" s="97">
        <v>0</v>
      </c>
      <c r="E528" s="98">
        <v>0</v>
      </c>
      <c r="F528" s="99">
        <v>0</v>
      </c>
      <c r="G528" s="99">
        <v>0</v>
      </c>
      <c r="H528" s="99">
        <v>0</v>
      </c>
      <c r="I528" s="99">
        <v>0</v>
      </c>
      <c r="J528" s="99">
        <v>0</v>
      </c>
      <c r="K528" s="99">
        <v>0</v>
      </c>
      <c r="L528" s="99">
        <v>0</v>
      </c>
      <c r="M528" s="99">
        <v>0</v>
      </c>
      <c r="N528" s="99">
        <v>0</v>
      </c>
      <c r="O528" s="99">
        <v>0</v>
      </c>
      <c r="P528" s="99">
        <v>0</v>
      </c>
    </row>
    <row r="529" spans="1:16" x14ac:dyDescent="0.25">
      <c r="B529" s="100" t="s">
        <v>41</v>
      </c>
      <c r="C529" s="92"/>
      <c r="D529" s="63"/>
      <c r="E529" s="64"/>
      <c r="F529" s="65"/>
      <c r="G529" s="65">
        <v>0</v>
      </c>
      <c r="H529" s="65">
        <v>0</v>
      </c>
      <c r="I529" s="65">
        <v>0</v>
      </c>
      <c r="J529" s="65">
        <v>0</v>
      </c>
      <c r="K529" s="65">
        <v>0</v>
      </c>
      <c r="L529" s="65">
        <v>0</v>
      </c>
      <c r="M529" s="65">
        <v>0</v>
      </c>
      <c r="N529" s="65">
        <v>0</v>
      </c>
      <c r="O529" s="65">
        <v>0</v>
      </c>
      <c r="P529" s="65">
        <v>0</v>
      </c>
    </row>
    <row r="530" spans="1:16" x14ac:dyDescent="0.25">
      <c r="B530" s="35" t="s">
        <v>42</v>
      </c>
      <c r="D530" s="7">
        <f t="shared" ref="D530:I530" si="483">SUM(D527:D529)</f>
        <v>0</v>
      </c>
      <c r="E530" s="7">
        <f t="shared" si="483"/>
        <v>0</v>
      </c>
      <c r="F530" s="7">
        <f t="shared" si="483"/>
        <v>0</v>
      </c>
      <c r="G530" s="7">
        <f t="shared" si="483"/>
        <v>0</v>
      </c>
      <c r="H530" s="7">
        <f t="shared" si="483"/>
        <v>0</v>
      </c>
      <c r="I530" s="7">
        <f t="shared" si="483"/>
        <v>0</v>
      </c>
      <c r="J530" s="7">
        <f t="shared" ref="J530:K530" si="484">SUM(J527:J529)</f>
        <v>0</v>
      </c>
      <c r="K530" s="7">
        <f t="shared" si="484"/>
        <v>0</v>
      </c>
      <c r="L530" s="7">
        <f t="shared" ref="L530:M530" si="485">SUM(L527:L529)</f>
        <v>0</v>
      </c>
      <c r="M530" s="7">
        <f t="shared" si="485"/>
        <v>0</v>
      </c>
      <c r="N530" s="7">
        <f t="shared" ref="N530:O530" si="486">SUM(N527:N529)</f>
        <v>0</v>
      </c>
      <c r="O530" s="7">
        <f t="shared" si="486"/>
        <v>0</v>
      </c>
      <c r="P530" s="7">
        <f t="shared" ref="P530" si="487">SUM(P527:P529)</f>
        <v>0</v>
      </c>
    </row>
    <row r="531" spans="1:16" x14ac:dyDescent="0.25">
      <c r="B531" s="6"/>
      <c r="D531" s="7"/>
      <c r="E531" s="7"/>
      <c r="F531" s="7"/>
      <c r="G531" s="7"/>
      <c r="H531" s="7"/>
      <c r="I531" s="7"/>
      <c r="J531" s="7"/>
      <c r="K531" s="7"/>
      <c r="L531" s="7"/>
      <c r="M531" s="7"/>
      <c r="N531" s="7"/>
      <c r="O531" s="7"/>
      <c r="P531" s="7"/>
    </row>
    <row r="532" spans="1:16" ht="18.75" x14ac:dyDescent="0.3">
      <c r="A532" s="9" t="s">
        <v>43</v>
      </c>
      <c r="D532" s="2">
        <f>D515</f>
        <v>2013</v>
      </c>
      <c r="E532" s="2">
        <f t="shared" ref="E532:J532" si="488">D532+1</f>
        <v>2014</v>
      </c>
      <c r="F532" s="2">
        <f t="shared" si="488"/>
        <v>2015</v>
      </c>
      <c r="G532" s="2">
        <f t="shared" si="488"/>
        <v>2016</v>
      </c>
      <c r="H532" s="2">
        <f t="shared" si="488"/>
        <v>2017</v>
      </c>
      <c r="I532" s="2">
        <f t="shared" si="488"/>
        <v>2018</v>
      </c>
      <c r="J532" s="2">
        <f t="shared" si="488"/>
        <v>2019</v>
      </c>
      <c r="K532" s="2">
        <f t="shared" ref="K532:P532" si="489">J532+1</f>
        <v>2020</v>
      </c>
      <c r="L532" s="2">
        <f t="shared" si="489"/>
        <v>2021</v>
      </c>
      <c r="M532" s="2">
        <f t="shared" si="489"/>
        <v>2022</v>
      </c>
      <c r="N532" s="2">
        <f t="shared" si="489"/>
        <v>2023</v>
      </c>
      <c r="O532" s="2">
        <f t="shared" si="489"/>
        <v>2024</v>
      </c>
      <c r="P532" s="2">
        <f t="shared" si="489"/>
        <v>2025</v>
      </c>
    </row>
    <row r="533" spans="1:16" x14ac:dyDescent="0.25">
      <c r="B533" s="86" t="str">
        <f xml:space="preserve"> 'Facility Detail'!$B$805 &amp; " Surplus Applied to " &amp; ( 'Facility Detail'!$B$805 + 1 )</f>
        <v>2013 Surplus Applied to 2014</v>
      </c>
      <c r="C533" s="76"/>
      <c r="D533" s="3"/>
      <c r="E533" s="66">
        <f>D533</f>
        <v>0</v>
      </c>
      <c r="F533" s="136"/>
      <c r="G533" s="68"/>
      <c r="H533" s="68"/>
      <c r="I533" s="68"/>
      <c r="J533" s="68"/>
      <c r="K533" s="68"/>
      <c r="L533" s="68"/>
      <c r="M533" s="68"/>
      <c r="N533" s="68"/>
      <c r="O533" s="68"/>
      <c r="P533" s="68"/>
    </row>
    <row r="534" spans="1:16" x14ac:dyDescent="0.25">
      <c r="B534" s="86" t="str">
        <f xml:space="preserve"> ( 'Facility Detail'!$B$805 + 1 ) &amp; " Surplus Applied to " &amp; ( 'Facility Detail'!$B$805 )</f>
        <v>2014 Surplus Applied to 2013</v>
      </c>
      <c r="C534" s="76"/>
      <c r="D534" s="137">
        <f>E534</f>
        <v>0</v>
      </c>
      <c r="E534" s="10"/>
      <c r="F534" s="80"/>
      <c r="G534" s="79"/>
      <c r="H534" s="79"/>
      <c r="I534" s="79"/>
      <c r="J534" s="79"/>
      <c r="K534" s="79"/>
      <c r="L534" s="79"/>
      <c r="M534" s="79"/>
      <c r="N534" s="79"/>
      <c r="O534" s="79"/>
      <c r="P534" s="79"/>
    </row>
    <row r="535" spans="1:16" x14ac:dyDescent="0.25">
      <c r="B535" s="86" t="str">
        <f xml:space="preserve"> ( 'Facility Detail'!$B$805 + 1 ) &amp; " Surplus Applied to " &amp; ( 'Facility Detail'!$B$805 + 2 )</f>
        <v>2014 Surplus Applied to 2015</v>
      </c>
      <c r="C535" s="76"/>
      <c r="D535" s="69"/>
      <c r="E535" s="10"/>
      <c r="F535" s="75">
        <f>E535</f>
        <v>0</v>
      </c>
      <c r="G535" s="79"/>
      <c r="H535" s="79"/>
      <c r="I535" s="79"/>
      <c r="J535" s="79"/>
      <c r="K535" s="79"/>
      <c r="L535" s="79"/>
      <c r="M535" s="79"/>
      <c r="N535" s="79"/>
      <c r="O535" s="79"/>
      <c r="P535" s="79"/>
    </row>
    <row r="536" spans="1:16" x14ac:dyDescent="0.25">
      <c r="B536" s="86" t="str">
        <f xml:space="preserve"> ( 'Facility Detail'!$B$805 + 2 ) &amp; " Surplus Applied to " &amp; ( 'Facility Detail'!$B$805 + 1 )</f>
        <v>2015 Surplus Applied to 2014</v>
      </c>
      <c r="C536" s="76"/>
      <c r="D536" s="69"/>
      <c r="E536" s="75">
        <f>F536</f>
        <v>0</v>
      </c>
      <c r="F536" s="10"/>
      <c r="G536" s="79"/>
      <c r="H536" s="79"/>
      <c r="I536" s="79"/>
      <c r="J536" s="79"/>
      <c r="K536" s="79"/>
      <c r="L536" s="79"/>
      <c r="M536" s="79"/>
      <c r="N536" s="79"/>
      <c r="O536" s="79"/>
      <c r="P536" s="79"/>
    </row>
    <row r="537" spans="1:16" x14ac:dyDescent="0.25">
      <c r="B537" s="86" t="str">
        <f xml:space="preserve"> ( 'Facility Detail'!$B$805 + 2 ) &amp; " Surplus Applied to " &amp; ( 'Facility Detail'!$B$805 + 3 )</f>
        <v>2015 Surplus Applied to 2016</v>
      </c>
      <c r="C537" s="32"/>
      <c r="D537" s="69"/>
      <c r="E537" s="80"/>
      <c r="F537" s="10"/>
      <c r="G537" s="138">
        <f>F537</f>
        <v>0</v>
      </c>
      <c r="H537" s="138">
        <f>G537</f>
        <v>0</v>
      </c>
      <c r="I537" s="138">
        <f>H537</f>
        <v>0</v>
      </c>
      <c r="J537" s="138">
        <f>I537</f>
        <v>0</v>
      </c>
      <c r="K537" s="138"/>
      <c r="L537" s="138"/>
      <c r="M537" s="138"/>
      <c r="N537" s="138"/>
      <c r="O537" s="138"/>
      <c r="P537" s="138"/>
    </row>
    <row r="538" spans="1:16" x14ac:dyDescent="0.25">
      <c r="B538" s="86" t="str">
        <f xml:space="preserve"> ( 'Facility Detail'!$B$805 +3 ) &amp; " Surplus Applied to " &amp; ( 'Facility Detail'!$B$805 + 2 )</f>
        <v>2016 Surplus Applied to 2015</v>
      </c>
      <c r="C538" s="32"/>
      <c r="D538" s="70"/>
      <c r="E538" s="81"/>
      <c r="F538" s="67">
        <f>G538</f>
        <v>0</v>
      </c>
      <c r="G538" s="139"/>
      <c r="H538" s="139"/>
      <c r="I538" s="139"/>
      <c r="J538" s="139"/>
      <c r="K538" s="139"/>
      <c r="L538" s="139"/>
      <c r="M538" s="139"/>
      <c r="N538" s="139"/>
      <c r="O538" s="139"/>
      <c r="P538" s="139"/>
    </row>
    <row r="539" spans="1:16" x14ac:dyDescent="0.25">
      <c r="B539" s="86" t="str">
        <f xml:space="preserve"> ( 'Facility Detail'!$B$805 +3 ) &amp; " Surplus Applied to " &amp; ( 'Facility Detail'!$B$805 + 4 )</f>
        <v>2016 Surplus Applied to 2017</v>
      </c>
      <c r="C539" s="32"/>
      <c r="D539" s="142"/>
      <c r="E539" s="142"/>
      <c r="F539" s="20"/>
      <c r="G539" s="143"/>
      <c r="H539" s="143"/>
      <c r="I539" s="143"/>
      <c r="J539" s="143"/>
      <c r="K539" s="143"/>
      <c r="L539" s="143"/>
      <c r="M539" s="143"/>
      <c r="N539" s="143"/>
      <c r="O539" s="143"/>
      <c r="P539" s="143"/>
    </row>
    <row r="540" spans="1:16" x14ac:dyDescent="0.25">
      <c r="B540" s="35" t="s">
        <v>25</v>
      </c>
      <c r="D540" s="7">
        <f xml:space="preserve"> D534 - D533</f>
        <v>0</v>
      </c>
      <c r="E540" s="7">
        <f xml:space="preserve"> E533 + E536 - E535 - E534</f>
        <v>0</v>
      </c>
      <c r="F540" s="7">
        <f>F535+F538-F536-F537</f>
        <v>0</v>
      </c>
      <c r="G540" s="7">
        <f t="shared" ref="G540:L540" si="490">G537-G538</f>
        <v>0</v>
      </c>
      <c r="H540" s="7">
        <f t="shared" si="490"/>
        <v>0</v>
      </c>
      <c r="I540" s="7">
        <f t="shared" si="490"/>
        <v>0</v>
      </c>
      <c r="J540" s="7">
        <f t="shared" si="490"/>
        <v>0</v>
      </c>
      <c r="K540" s="7">
        <f t="shared" si="490"/>
        <v>0</v>
      </c>
      <c r="L540" s="7">
        <f t="shared" si="490"/>
        <v>0</v>
      </c>
      <c r="M540" s="7">
        <f t="shared" ref="M540:N540" si="491">M537-M538</f>
        <v>0</v>
      </c>
      <c r="N540" s="7">
        <f t="shared" si="491"/>
        <v>0</v>
      </c>
      <c r="O540" s="7">
        <f t="shared" ref="O540:P540" si="492">O537-O538</f>
        <v>0</v>
      </c>
      <c r="P540" s="7">
        <f t="shared" si="492"/>
        <v>0</v>
      </c>
    </row>
    <row r="541" spans="1:16" x14ac:dyDescent="0.25">
      <c r="B541" s="6"/>
      <c r="D541" s="7"/>
      <c r="E541" s="7"/>
      <c r="F541" s="7"/>
      <c r="G541" s="7"/>
      <c r="H541" s="7"/>
      <c r="I541" s="7"/>
      <c r="J541" s="7"/>
      <c r="K541" s="7"/>
      <c r="L541" s="7"/>
      <c r="M541" s="7"/>
      <c r="N541" s="7"/>
      <c r="O541" s="7"/>
      <c r="P541" s="7"/>
    </row>
    <row r="542" spans="1:16" x14ac:dyDescent="0.25">
      <c r="B542" s="93" t="s">
        <v>21</v>
      </c>
      <c r="C542" s="76"/>
      <c r="D542" s="107"/>
      <c r="E542" s="108"/>
      <c r="F542" s="109"/>
      <c r="G542" s="109"/>
      <c r="H542" s="109"/>
      <c r="I542" s="109"/>
      <c r="J542" s="109"/>
      <c r="K542" s="109"/>
      <c r="L542" s="109"/>
      <c r="M542" s="109"/>
      <c r="N542" s="109"/>
      <c r="O542" s="109"/>
      <c r="P542" s="109"/>
    </row>
    <row r="543" spans="1:16" x14ac:dyDescent="0.25">
      <c r="B543" s="6"/>
      <c r="D543" s="7"/>
      <c r="E543" s="7"/>
      <c r="F543" s="7"/>
      <c r="G543" s="7"/>
      <c r="H543" s="7"/>
      <c r="I543" s="7"/>
      <c r="J543" s="7"/>
      <c r="K543" s="7"/>
      <c r="L543" s="7"/>
      <c r="M543" s="7"/>
      <c r="N543" s="7"/>
      <c r="O543" s="7"/>
      <c r="P543" s="7"/>
    </row>
    <row r="544" spans="1:16" ht="15.75" x14ac:dyDescent="0.25">
      <c r="A544" s="89" t="s">
        <v>33</v>
      </c>
      <c r="C544" s="76"/>
      <c r="D544" s="48">
        <f t="shared" ref="D544:I544" si="493" xml:space="preserve"> D519 + D524 + D530 + D540 + D542</f>
        <v>0</v>
      </c>
      <c r="E544" s="49">
        <f t="shared" si="493"/>
        <v>0</v>
      </c>
      <c r="F544" s="50">
        <f t="shared" si="493"/>
        <v>0</v>
      </c>
      <c r="G544" s="50">
        <f t="shared" si="493"/>
        <v>0</v>
      </c>
      <c r="H544" s="50">
        <f t="shared" si="493"/>
        <v>13146</v>
      </c>
      <c r="I544" s="50">
        <f t="shared" si="493"/>
        <v>13146</v>
      </c>
      <c r="J544" s="50">
        <f t="shared" ref="J544:K544" si="494" xml:space="preserve"> J519 + J524 + J530 + J540 + J542</f>
        <v>1830</v>
      </c>
      <c r="K544" s="50">
        <f t="shared" si="494"/>
        <v>5343</v>
      </c>
      <c r="L544" s="50">
        <f t="shared" ref="L544:M544" si="495" xml:space="preserve"> L519 + L524 + L530 + L540 + L542</f>
        <v>5343</v>
      </c>
      <c r="M544" s="50">
        <f t="shared" si="495"/>
        <v>19241</v>
      </c>
      <c r="N544" s="50">
        <f t="shared" ref="N544:O544" si="496" xml:space="preserve"> N519 + N524 + N530 + N540 + N542</f>
        <v>15192</v>
      </c>
      <c r="O544" s="50">
        <f t="shared" si="496"/>
        <v>15900</v>
      </c>
      <c r="P544" s="50">
        <f t="shared" ref="P544" si="497" xml:space="preserve"> P519 + P524 + P530 + P540 + P542</f>
        <v>15900</v>
      </c>
    </row>
    <row r="545" spans="1:16" x14ac:dyDescent="0.25">
      <c r="B545" s="6"/>
      <c r="D545" s="7"/>
      <c r="E545" s="7"/>
      <c r="F545" s="7"/>
      <c r="G545" s="31"/>
      <c r="H545" s="31"/>
      <c r="I545" s="31"/>
      <c r="J545" s="31"/>
      <c r="K545" s="31"/>
      <c r="L545" s="31"/>
      <c r="M545" s="31"/>
      <c r="N545" s="31"/>
      <c r="O545" s="31"/>
      <c r="P545" s="31"/>
    </row>
    <row r="546" spans="1:16" ht="57" customHeight="1" x14ac:dyDescent="0.25">
      <c r="A546" s="197" t="s">
        <v>103</v>
      </c>
      <c r="B546" s="197"/>
      <c r="C546" s="197"/>
      <c r="D546" s="197"/>
      <c r="E546" s="197"/>
      <c r="F546" s="197"/>
      <c r="G546" s="197"/>
      <c r="H546" s="197"/>
      <c r="I546" s="197"/>
      <c r="J546" s="31"/>
      <c r="K546" s="31"/>
      <c r="L546" s="31"/>
      <c r="M546" s="31"/>
      <c r="N546" s="31"/>
      <c r="O546" s="31"/>
      <c r="P546" s="31"/>
    </row>
    <row r="547" spans="1:16" ht="15.75" customHeight="1" thickBot="1" x14ac:dyDescent="0.3">
      <c r="G547" s="145"/>
      <c r="H547" s="145"/>
      <c r="I547" s="145"/>
      <c r="J547" s="152"/>
      <c r="K547" s="170"/>
      <c r="L547" s="171"/>
      <c r="M547" s="145"/>
      <c r="N547" s="180"/>
      <c r="O547" s="182"/>
      <c r="P547" s="187"/>
    </row>
    <row r="548" spans="1:16" x14ac:dyDescent="0.25">
      <c r="A548" s="8"/>
      <c r="B548" s="8"/>
      <c r="C548" s="8"/>
      <c r="D548" s="8"/>
      <c r="E548" s="8"/>
      <c r="F548" s="8"/>
      <c r="G548" s="8"/>
      <c r="H548" s="8"/>
      <c r="I548" s="8"/>
      <c r="J548" s="8"/>
      <c r="K548" s="8"/>
      <c r="L548" s="8"/>
    </row>
    <row r="549" spans="1:16" ht="21" x14ac:dyDescent="0.35">
      <c r="A549" s="16" t="s">
        <v>4</v>
      </c>
      <c r="B549" s="16"/>
      <c r="C549" s="45" t="str">
        <f>B16</f>
        <v>Kettle Falls</v>
      </c>
      <c r="D549" s="46"/>
      <c r="E549" s="19"/>
      <c r="F549" s="19"/>
    </row>
    <row r="551" spans="1:16" ht="18.75" x14ac:dyDescent="0.3">
      <c r="A551" s="9" t="s">
        <v>85</v>
      </c>
      <c r="B551" s="9"/>
      <c r="D551" s="2">
        <v>2013</v>
      </c>
      <c r="E551" s="2">
        <f t="shared" ref="E551:J551" si="498">D551+1</f>
        <v>2014</v>
      </c>
      <c r="F551" s="2">
        <f t="shared" si="498"/>
        <v>2015</v>
      </c>
      <c r="G551" s="2">
        <f t="shared" si="498"/>
        <v>2016</v>
      </c>
      <c r="H551" s="2">
        <f t="shared" si="498"/>
        <v>2017</v>
      </c>
      <c r="I551" s="2">
        <f t="shared" si="498"/>
        <v>2018</v>
      </c>
      <c r="J551" s="2">
        <f t="shared" si="498"/>
        <v>2019</v>
      </c>
      <c r="K551" s="2">
        <f t="shared" ref="K551:P551" si="499">J551+1</f>
        <v>2020</v>
      </c>
      <c r="L551" s="2">
        <f t="shared" si="499"/>
        <v>2021</v>
      </c>
      <c r="M551" s="2">
        <f t="shared" si="499"/>
        <v>2022</v>
      </c>
      <c r="N551" s="2">
        <f t="shared" si="499"/>
        <v>2023</v>
      </c>
      <c r="O551" s="2">
        <f t="shared" si="499"/>
        <v>2024</v>
      </c>
      <c r="P551" s="2">
        <f t="shared" si="499"/>
        <v>2025</v>
      </c>
    </row>
    <row r="552" spans="1:16" x14ac:dyDescent="0.25">
      <c r="B552" s="86" t="str">
        <f>"Total MWh Produced / Purchased from " &amp; C549</f>
        <v>Total MWh Produced / Purchased from Kettle Falls</v>
      </c>
      <c r="C552" s="76"/>
      <c r="D552" s="3">
        <v>0</v>
      </c>
      <c r="E552" s="4">
        <v>0</v>
      </c>
      <c r="F552" s="5">
        <v>0</v>
      </c>
      <c r="G552" s="5">
        <v>323869</v>
      </c>
      <c r="H552" s="5">
        <v>274839</v>
      </c>
      <c r="I552" s="5">
        <v>313230</v>
      </c>
      <c r="J552" s="5">
        <v>315991</v>
      </c>
      <c r="K552" s="5">
        <v>265219</v>
      </c>
      <c r="L552" s="5">
        <f>322364*0.955</f>
        <v>307857.62</v>
      </c>
      <c r="M552" s="5">
        <f>304481*0.949</f>
        <v>288952.46899999998</v>
      </c>
      <c r="N552" s="5">
        <f>308572*0.954</f>
        <v>294377.68799999997</v>
      </c>
      <c r="O552" s="5">
        <f>351807*0.9554</f>
        <v>336116.40779999999</v>
      </c>
      <c r="P552" s="5">
        <v>336116</v>
      </c>
    </row>
    <row r="553" spans="1:16" x14ac:dyDescent="0.25">
      <c r="B553" s="86" t="s">
        <v>32</v>
      </c>
      <c r="C553" s="76"/>
      <c r="D553" s="60">
        <v>1</v>
      </c>
      <c r="E553" s="61">
        <v>1</v>
      </c>
      <c r="F553" s="62">
        <v>1</v>
      </c>
      <c r="G553" s="62">
        <v>1</v>
      </c>
      <c r="H553" s="62">
        <v>1</v>
      </c>
      <c r="I553" s="62">
        <v>1</v>
      </c>
      <c r="J553" s="62">
        <v>1</v>
      </c>
      <c r="K553" s="62">
        <v>1</v>
      </c>
      <c r="L553" s="62">
        <v>1</v>
      </c>
      <c r="M553" s="62">
        <v>1</v>
      </c>
      <c r="N553" s="62">
        <v>1</v>
      </c>
      <c r="O553" s="62">
        <v>1</v>
      </c>
      <c r="P553" s="62">
        <v>1</v>
      </c>
    </row>
    <row r="554" spans="1:16" x14ac:dyDescent="0.25">
      <c r="B554" s="86" t="s">
        <v>26</v>
      </c>
      <c r="C554" s="76"/>
      <c r="D554" s="53">
        <v>1</v>
      </c>
      <c r="E554" s="54">
        <v>1</v>
      </c>
      <c r="F554" s="55">
        <v>1</v>
      </c>
      <c r="G554" s="55">
        <v>1</v>
      </c>
      <c r="H554" s="55">
        <v>1</v>
      </c>
      <c r="I554" s="55">
        <v>1</v>
      </c>
      <c r="J554" s="55">
        <v>1</v>
      </c>
      <c r="K554" s="55">
        <v>1</v>
      </c>
      <c r="L554" s="55">
        <v>1</v>
      </c>
      <c r="M554" s="55">
        <v>1</v>
      </c>
      <c r="N554" s="55">
        <v>1</v>
      </c>
      <c r="O554" s="55">
        <v>1</v>
      </c>
      <c r="P554" s="55">
        <v>1</v>
      </c>
    </row>
    <row r="555" spans="1:16" x14ac:dyDescent="0.25">
      <c r="B555" s="83" t="s">
        <v>28</v>
      </c>
      <c r="C555" s="84"/>
      <c r="D555" s="40">
        <f t="shared" ref="D555:I555" si="500" xml:space="preserve"> D552 * D553 * D554</f>
        <v>0</v>
      </c>
      <c r="E555" s="40">
        <f t="shared" si="500"/>
        <v>0</v>
      </c>
      <c r="F555" s="40">
        <f t="shared" si="500"/>
        <v>0</v>
      </c>
      <c r="G555" s="40">
        <f t="shared" si="500"/>
        <v>323869</v>
      </c>
      <c r="H555" s="40">
        <f t="shared" si="500"/>
        <v>274839</v>
      </c>
      <c r="I555" s="40">
        <f t="shared" si="500"/>
        <v>313230</v>
      </c>
      <c r="J555" s="40">
        <f t="shared" ref="J555:K555" si="501" xml:space="preserve"> J552 * J553 * J554</f>
        <v>315991</v>
      </c>
      <c r="K555" s="40">
        <f t="shared" si="501"/>
        <v>265219</v>
      </c>
      <c r="L555" s="40">
        <f t="shared" ref="L555:M555" si="502" xml:space="preserve"> L552 * L553 * L554</f>
        <v>307857.62</v>
      </c>
      <c r="M555" s="40">
        <f t="shared" si="502"/>
        <v>288952.46899999998</v>
      </c>
      <c r="N555" s="40">
        <f t="shared" ref="N555:O555" si="503" xml:space="preserve"> N552 * N553 * N554</f>
        <v>294377.68799999997</v>
      </c>
      <c r="O555" s="40">
        <f t="shared" si="503"/>
        <v>336116.40779999999</v>
      </c>
      <c r="P555" s="40">
        <f t="shared" ref="P555" si="504" xml:space="preserve"> P552 * P553 * P554</f>
        <v>336116</v>
      </c>
    </row>
    <row r="556" spans="1:16" x14ac:dyDescent="0.25">
      <c r="B556" s="19"/>
      <c r="C556" s="32"/>
      <c r="D556" s="39"/>
      <c r="E556" s="39"/>
      <c r="F556" s="39"/>
      <c r="G556" s="39"/>
      <c r="H556" s="39"/>
      <c r="I556" s="39"/>
      <c r="J556" s="39"/>
      <c r="K556" s="39"/>
      <c r="L556" s="39"/>
      <c r="M556" s="39"/>
      <c r="N556" s="39"/>
      <c r="O556" s="39"/>
      <c r="P556" s="39"/>
    </row>
    <row r="557" spans="1:16" ht="18.75" x14ac:dyDescent="0.3">
      <c r="A557" s="47" t="s">
        <v>30</v>
      </c>
      <c r="C557" s="32"/>
      <c r="D557" s="2">
        <f>D551</f>
        <v>2013</v>
      </c>
      <c r="E557" s="2">
        <f t="shared" ref="E557:J557" si="505">D557+1</f>
        <v>2014</v>
      </c>
      <c r="F557" s="2">
        <f t="shared" si="505"/>
        <v>2015</v>
      </c>
      <c r="G557" s="2">
        <f t="shared" si="505"/>
        <v>2016</v>
      </c>
      <c r="H557" s="2">
        <f t="shared" si="505"/>
        <v>2017</v>
      </c>
      <c r="I557" s="2">
        <f t="shared" si="505"/>
        <v>2018</v>
      </c>
      <c r="J557" s="2">
        <f t="shared" si="505"/>
        <v>2019</v>
      </c>
      <c r="K557" s="2">
        <f t="shared" ref="K557:P557" si="506">J557+1</f>
        <v>2020</v>
      </c>
      <c r="L557" s="2">
        <f t="shared" si="506"/>
        <v>2021</v>
      </c>
      <c r="M557" s="2">
        <f t="shared" si="506"/>
        <v>2022</v>
      </c>
      <c r="N557" s="2">
        <f t="shared" si="506"/>
        <v>2023</v>
      </c>
      <c r="O557" s="2">
        <f t="shared" si="506"/>
        <v>2024</v>
      </c>
      <c r="P557" s="2">
        <f t="shared" si="506"/>
        <v>2025</v>
      </c>
    </row>
    <row r="558" spans="1:16" x14ac:dyDescent="0.25">
      <c r="B558" s="86" t="s">
        <v>19</v>
      </c>
      <c r="C558" s="76"/>
      <c r="D558" s="56">
        <f>IF( $E154 = "Eligible", D555 * 'Facility Detail'!$B$802, 0 )</f>
        <v>0</v>
      </c>
      <c r="E558" s="56">
        <f>IF( $E154 = "Eligible", E555 * 'Facility Detail'!$B$802, 0 )</f>
        <v>0</v>
      </c>
      <c r="F558" s="56">
        <f>IF( $E154 = "Eligible", F555 * 'Facility Detail'!$B$802, 0 )</f>
        <v>0</v>
      </c>
      <c r="G558" s="56">
        <f>IF( $E154 = "Eligible", G555 * 'Facility Detail'!$B$802, 0 )</f>
        <v>0</v>
      </c>
      <c r="H558" s="56">
        <f>IF( $E154 = "Eligible", H555 * 'Facility Detail'!$B$802, 0 )</f>
        <v>0</v>
      </c>
      <c r="I558" s="56">
        <f>IF( $E154 = "Eligible", I555 * 'Facility Detail'!$B$802, 0 )</f>
        <v>0</v>
      </c>
      <c r="J558" s="56">
        <f>IF( $E154 = "Eligible", J555 * 'Facility Detail'!$B$802, 0 )</f>
        <v>0</v>
      </c>
      <c r="K558" s="56">
        <f>IF( $E154 = "Eligible", K555 * 'Facility Detail'!$B$802, 0 )</f>
        <v>0</v>
      </c>
      <c r="L558" s="56">
        <f>IF( $E154 = "Eligible", L555 * 'Facility Detail'!$B$802, 0 )</f>
        <v>0</v>
      </c>
      <c r="M558" s="56">
        <f>IF( $E154 = "Eligible", M555 * 'Facility Detail'!$B$802, 0 )</f>
        <v>0</v>
      </c>
      <c r="N558" s="56">
        <f>IF( $E154 = "Eligible", N555 * 'Facility Detail'!$B$802, 0 )</f>
        <v>0</v>
      </c>
      <c r="O558" s="56">
        <f>IF( $E154 = "Eligible", O555 * 'Facility Detail'!$B$802, 0 )</f>
        <v>0</v>
      </c>
      <c r="P558" s="56">
        <f>IF( $E154 = "Eligible", P555 * 'Facility Detail'!$B$802, 0 )</f>
        <v>0</v>
      </c>
    </row>
    <row r="559" spans="1:16" x14ac:dyDescent="0.25">
      <c r="B559" s="86" t="s">
        <v>6</v>
      </c>
      <c r="C559" s="76"/>
      <c r="D559" s="57">
        <f t="shared" ref="D559:L559" si="507">IF( $F16 = "Eligible", D555, 0 )</f>
        <v>0</v>
      </c>
      <c r="E559" s="58">
        <f t="shared" si="507"/>
        <v>0</v>
      </c>
      <c r="F559" s="59">
        <f t="shared" si="507"/>
        <v>0</v>
      </c>
      <c r="G559" s="59">
        <f t="shared" si="507"/>
        <v>0</v>
      </c>
      <c r="H559" s="59">
        <f t="shared" si="507"/>
        <v>0</v>
      </c>
      <c r="I559" s="59">
        <f t="shared" si="507"/>
        <v>0</v>
      </c>
      <c r="J559" s="59">
        <f t="shared" si="507"/>
        <v>0</v>
      </c>
      <c r="K559" s="59">
        <f t="shared" si="507"/>
        <v>0</v>
      </c>
      <c r="L559" s="59">
        <f t="shared" si="507"/>
        <v>0</v>
      </c>
      <c r="M559" s="59">
        <f t="shared" ref="M559:N559" si="508">IF( $F16 = "Eligible", M555, 0 )</f>
        <v>0</v>
      </c>
      <c r="N559" s="59">
        <f t="shared" si="508"/>
        <v>0</v>
      </c>
      <c r="O559" s="59">
        <f t="shared" ref="O559:P559" si="509">IF( $F16 = "Eligible", O555, 0 )</f>
        <v>0</v>
      </c>
      <c r="P559" s="59">
        <f t="shared" si="509"/>
        <v>0</v>
      </c>
    </row>
    <row r="560" spans="1:16" x14ac:dyDescent="0.25">
      <c r="B560" s="85" t="s">
        <v>37</v>
      </c>
      <c r="C560" s="84"/>
      <c r="D560" s="42">
        <f t="shared" ref="D560:I560" si="510">SUM(D558:D559)</f>
        <v>0</v>
      </c>
      <c r="E560" s="43">
        <f t="shared" si="510"/>
        <v>0</v>
      </c>
      <c r="F560" s="43">
        <f t="shared" si="510"/>
        <v>0</v>
      </c>
      <c r="G560" s="43">
        <f t="shared" si="510"/>
        <v>0</v>
      </c>
      <c r="H560" s="43">
        <f t="shared" si="510"/>
        <v>0</v>
      </c>
      <c r="I560" s="43">
        <f t="shared" si="510"/>
        <v>0</v>
      </c>
      <c r="J560" s="43">
        <f t="shared" ref="J560:K560" si="511">SUM(J558:J559)</f>
        <v>0</v>
      </c>
      <c r="K560" s="43">
        <f t="shared" si="511"/>
        <v>0</v>
      </c>
      <c r="L560" s="43">
        <f t="shared" ref="L560:M560" si="512">SUM(L558:L559)</f>
        <v>0</v>
      </c>
      <c r="M560" s="43">
        <f t="shared" si="512"/>
        <v>0</v>
      </c>
      <c r="N560" s="43">
        <f t="shared" ref="N560:O560" si="513">SUM(N558:N559)</f>
        <v>0</v>
      </c>
      <c r="O560" s="43">
        <f t="shared" si="513"/>
        <v>0</v>
      </c>
      <c r="P560" s="43">
        <f t="shared" ref="P560" si="514">SUM(P558:P559)</f>
        <v>0</v>
      </c>
    </row>
    <row r="561" spans="1:16" x14ac:dyDescent="0.25">
      <c r="B561" s="32"/>
      <c r="C561" s="32"/>
      <c r="D561" s="41"/>
      <c r="E561" s="33"/>
      <c r="F561" s="33"/>
      <c r="G561" s="33"/>
      <c r="H561" s="33"/>
      <c r="I561" s="33"/>
      <c r="J561" s="33"/>
      <c r="K561" s="33"/>
      <c r="L561" s="33"/>
      <c r="M561" s="33"/>
      <c r="N561" s="33"/>
      <c r="O561" s="33"/>
      <c r="P561" s="33"/>
    </row>
    <row r="562" spans="1:16" ht="18.75" x14ac:dyDescent="0.3">
      <c r="A562" s="44" t="s">
        <v>35</v>
      </c>
      <c r="C562" s="32"/>
      <c r="D562" s="2">
        <f>D551</f>
        <v>2013</v>
      </c>
      <c r="E562" s="2">
        <f t="shared" ref="E562:J562" si="515">D562+1</f>
        <v>2014</v>
      </c>
      <c r="F562" s="2">
        <f t="shared" si="515"/>
        <v>2015</v>
      </c>
      <c r="G562" s="2">
        <f t="shared" si="515"/>
        <v>2016</v>
      </c>
      <c r="H562" s="2">
        <f t="shared" si="515"/>
        <v>2017</v>
      </c>
      <c r="I562" s="2">
        <f t="shared" si="515"/>
        <v>2018</v>
      </c>
      <c r="J562" s="2">
        <f t="shared" si="515"/>
        <v>2019</v>
      </c>
      <c r="K562" s="2">
        <f t="shared" ref="K562:P562" si="516">J562+1</f>
        <v>2020</v>
      </c>
      <c r="L562" s="2">
        <f t="shared" si="516"/>
        <v>2021</v>
      </c>
      <c r="M562" s="2">
        <f t="shared" si="516"/>
        <v>2022</v>
      </c>
      <c r="N562" s="2">
        <f t="shared" si="516"/>
        <v>2023</v>
      </c>
      <c r="O562" s="2">
        <f t="shared" si="516"/>
        <v>2024</v>
      </c>
      <c r="P562" s="2">
        <f t="shared" si="516"/>
        <v>2025</v>
      </c>
    </row>
    <row r="563" spans="1:16" x14ac:dyDescent="0.25">
      <c r="B563" s="86" t="s">
        <v>100</v>
      </c>
      <c r="C563" s="76"/>
      <c r="D563" s="94">
        <v>0</v>
      </c>
      <c r="E563" s="95">
        <v>0</v>
      </c>
      <c r="F563" s="96">
        <v>0</v>
      </c>
      <c r="G563" s="96">
        <v>-280023</v>
      </c>
      <c r="H563" s="96">
        <v>-169047</v>
      </c>
      <c r="I563" s="96">
        <v>-218596</v>
      </c>
      <c r="J563" s="96">
        <f>-25671-29064-12290</f>
        <v>-67025</v>
      </c>
      <c r="K563" s="96">
        <f>-95854-3041</f>
        <v>-98895</v>
      </c>
      <c r="L563" s="96">
        <f>-114243-0-320</f>
        <v>-114563</v>
      </c>
      <c r="M563" s="96">
        <f>0-152264-4015</f>
        <v>-156279</v>
      </c>
      <c r="N563" s="96">
        <f>0-5827-15</f>
        <v>-5842</v>
      </c>
      <c r="O563" s="96">
        <f>0-14836</f>
        <v>-14836</v>
      </c>
      <c r="P563" s="96">
        <v>0</v>
      </c>
    </row>
    <row r="564" spans="1:16" x14ac:dyDescent="0.25">
      <c r="B564" s="87" t="s">
        <v>29</v>
      </c>
      <c r="C564" s="88"/>
      <c r="D564" s="97">
        <v>0</v>
      </c>
      <c r="E564" s="98">
        <v>0</v>
      </c>
      <c r="F564" s="99">
        <v>0</v>
      </c>
      <c r="G564" s="99">
        <v>0</v>
      </c>
      <c r="H564" s="99">
        <v>0</v>
      </c>
      <c r="I564" s="99">
        <v>0</v>
      </c>
      <c r="J564" s="99">
        <v>0</v>
      </c>
      <c r="K564" s="99">
        <v>0</v>
      </c>
      <c r="L564" s="99">
        <v>0</v>
      </c>
      <c r="M564" s="99">
        <v>0</v>
      </c>
      <c r="N564" s="99">
        <v>0</v>
      </c>
      <c r="O564" s="99">
        <v>0</v>
      </c>
      <c r="P564" s="99">
        <v>0</v>
      </c>
    </row>
    <row r="565" spans="1:16" x14ac:dyDescent="0.25">
      <c r="B565" s="100" t="s">
        <v>41</v>
      </c>
      <c r="C565" s="92"/>
      <c r="D565" s="63"/>
      <c r="E565" s="64"/>
      <c r="F565" s="65"/>
      <c r="G565" s="65"/>
      <c r="H565" s="65"/>
      <c r="I565" s="65"/>
      <c r="J565" s="65"/>
      <c r="K565" s="65"/>
      <c r="L565" s="65"/>
      <c r="M565" s="65"/>
      <c r="N565" s="65"/>
      <c r="O565" s="65"/>
      <c r="P565" s="65"/>
    </row>
    <row r="566" spans="1:16" x14ac:dyDescent="0.25">
      <c r="B566" s="35" t="s">
        <v>42</v>
      </c>
      <c r="D566" s="7">
        <f t="shared" ref="D566:I566" si="517">SUM(D563:D565)</f>
        <v>0</v>
      </c>
      <c r="E566" s="7">
        <f t="shared" si="517"/>
        <v>0</v>
      </c>
      <c r="F566" s="7">
        <f t="shared" si="517"/>
        <v>0</v>
      </c>
      <c r="G566" s="7">
        <f t="shared" si="517"/>
        <v>-280023</v>
      </c>
      <c r="H566" s="7">
        <f t="shared" si="517"/>
        <v>-169047</v>
      </c>
      <c r="I566" s="7">
        <f t="shared" si="517"/>
        <v>-218596</v>
      </c>
      <c r="J566" s="7">
        <f t="shared" ref="J566:K566" si="518">SUM(J563:J565)</f>
        <v>-67025</v>
      </c>
      <c r="K566" s="7">
        <f t="shared" si="518"/>
        <v>-98895</v>
      </c>
      <c r="L566" s="7">
        <f t="shared" ref="L566:M566" si="519">SUM(L563:L565)</f>
        <v>-114563</v>
      </c>
      <c r="M566" s="7">
        <f t="shared" si="519"/>
        <v>-156279</v>
      </c>
      <c r="N566" s="7">
        <f t="shared" ref="N566:O566" si="520">SUM(N563:N565)</f>
        <v>-5842</v>
      </c>
      <c r="O566" s="7">
        <f t="shared" si="520"/>
        <v>-14836</v>
      </c>
      <c r="P566" s="7">
        <f t="shared" ref="P566" si="521">SUM(P563:P565)</f>
        <v>0</v>
      </c>
    </row>
    <row r="567" spans="1:16" x14ac:dyDescent="0.25">
      <c r="B567" s="6"/>
      <c r="D567" s="7"/>
      <c r="E567" s="7"/>
      <c r="F567" s="7"/>
      <c r="G567" s="7"/>
      <c r="H567" s="7"/>
      <c r="I567" s="7"/>
      <c r="J567" s="7"/>
      <c r="K567" s="7"/>
      <c r="L567" s="7"/>
      <c r="M567" s="7"/>
      <c r="N567" s="7"/>
      <c r="O567" s="7"/>
      <c r="P567" s="7"/>
    </row>
    <row r="568" spans="1:16" ht="18.75" x14ac:dyDescent="0.3">
      <c r="A568" s="9" t="s">
        <v>43</v>
      </c>
      <c r="D568" s="2">
        <f>D551</f>
        <v>2013</v>
      </c>
      <c r="E568" s="2">
        <f t="shared" ref="E568:J568" si="522">D568+1</f>
        <v>2014</v>
      </c>
      <c r="F568" s="2">
        <f t="shared" si="522"/>
        <v>2015</v>
      </c>
      <c r="G568" s="2">
        <f t="shared" si="522"/>
        <v>2016</v>
      </c>
      <c r="H568" s="2">
        <f t="shared" si="522"/>
        <v>2017</v>
      </c>
      <c r="I568" s="2">
        <f t="shared" si="522"/>
        <v>2018</v>
      </c>
      <c r="J568" s="2">
        <f t="shared" si="522"/>
        <v>2019</v>
      </c>
      <c r="K568" s="2">
        <f t="shared" ref="K568:P568" si="523">J568+1</f>
        <v>2020</v>
      </c>
      <c r="L568" s="2">
        <f t="shared" si="523"/>
        <v>2021</v>
      </c>
      <c r="M568" s="2">
        <f t="shared" si="523"/>
        <v>2022</v>
      </c>
      <c r="N568" s="2">
        <f t="shared" si="523"/>
        <v>2023</v>
      </c>
      <c r="O568" s="2">
        <f t="shared" si="523"/>
        <v>2024</v>
      </c>
      <c r="P568" s="2">
        <f t="shared" si="523"/>
        <v>2025</v>
      </c>
    </row>
    <row r="569" spans="1:16" x14ac:dyDescent="0.25">
      <c r="B569" s="86" t="str">
        <f xml:space="preserve"> 'Facility Detail'!$B$805 &amp; " Surplus Applied to " &amp; ( 'Facility Detail'!$B$805 + 1 )</f>
        <v>2013 Surplus Applied to 2014</v>
      </c>
      <c r="C569" s="76"/>
      <c r="D569" s="3"/>
      <c r="E569" s="66">
        <f>D569</f>
        <v>0</v>
      </c>
      <c r="F569" s="136"/>
      <c r="G569" s="68"/>
      <c r="H569" s="68"/>
      <c r="I569" s="68"/>
      <c r="J569" s="68"/>
      <c r="K569" s="68"/>
      <c r="L569" s="68"/>
      <c r="M569" s="68"/>
      <c r="N569" s="68"/>
      <c r="O569" s="68"/>
      <c r="P569" s="68"/>
    </row>
    <row r="570" spans="1:16" x14ac:dyDescent="0.25">
      <c r="B570" s="86" t="str">
        <f xml:space="preserve"> ( 'Facility Detail'!$B$805 + 1 ) &amp; " Surplus Applied to " &amp; ( 'Facility Detail'!$B$805 )</f>
        <v>2014 Surplus Applied to 2013</v>
      </c>
      <c r="C570" s="76"/>
      <c r="D570" s="137">
        <f>E570</f>
        <v>0</v>
      </c>
      <c r="E570" s="10"/>
      <c r="F570" s="80"/>
      <c r="G570" s="79"/>
      <c r="H570" s="79"/>
      <c r="I570" s="79"/>
      <c r="J570" s="79"/>
      <c r="K570" s="79"/>
      <c r="L570" s="79"/>
      <c r="M570" s="79"/>
      <c r="N570" s="79"/>
      <c r="O570" s="79"/>
      <c r="P570" s="79"/>
    </row>
    <row r="571" spans="1:16" x14ac:dyDescent="0.25">
      <c r="B571" s="86" t="str">
        <f xml:space="preserve"> ( 'Facility Detail'!$B$805 + 1 ) &amp; " Surplus Applied to " &amp; ( 'Facility Detail'!$B$805 + 2 )</f>
        <v>2014 Surplus Applied to 2015</v>
      </c>
      <c r="C571" s="76"/>
      <c r="D571" s="69"/>
      <c r="E571" s="10"/>
      <c r="F571" s="75">
        <f>E571</f>
        <v>0</v>
      </c>
      <c r="G571" s="79"/>
      <c r="H571" s="79"/>
      <c r="I571" s="79"/>
      <c r="J571" s="79"/>
      <c r="K571" s="79"/>
      <c r="L571" s="79"/>
      <c r="M571" s="79"/>
      <c r="N571" s="79"/>
      <c r="O571" s="79"/>
      <c r="P571" s="79"/>
    </row>
    <row r="572" spans="1:16" x14ac:dyDescent="0.25">
      <c r="B572" s="86" t="str">
        <f xml:space="preserve"> ( 'Facility Detail'!$B$805 + 2 ) &amp; " Surplus Applied to " &amp; ( 'Facility Detail'!$B$805 + 1 )</f>
        <v>2015 Surplus Applied to 2014</v>
      </c>
      <c r="C572" s="76"/>
      <c r="D572" s="69"/>
      <c r="E572" s="75">
        <f>F572</f>
        <v>0</v>
      </c>
      <c r="F572" s="10"/>
      <c r="G572" s="79"/>
      <c r="H572" s="79"/>
      <c r="I572" s="79"/>
      <c r="J572" s="79"/>
      <c r="K572" s="79"/>
      <c r="L572" s="79"/>
      <c r="M572" s="79"/>
      <c r="N572" s="79"/>
      <c r="O572" s="79"/>
      <c r="P572" s="79"/>
    </row>
    <row r="573" spans="1:16" x14ac:dyDescent="0.25">
      <c r="B573" s="86" t="str">
        <f xml:space="preserve"> ( 'Facility Detail'!$B$805 + 2 ) &amp; " Surplus Applied to " &amp; ( 'Facility Detail'!$B$805 + 3 )</f>
        <v>2015 Surplus Applied to 2016</v>
      </c>
      <c r="C573" s="32"/>
      <c r="D573" s="69"/>
      <c r="E573" s="80"/>
      <c r="F573" s="10"/>
      <c r="G573" s="138">
        <f>F573</f>
        <v>0</v>
      </c>
      <c r="H573" s="79"/>
      <c r="I573" s="79">
        <f>H573</f>
        <v>0</v>
      </c>
      <c r="J573" s="79">
        <f>I573</f>
        <v>0</v>
      </c>
      <c r="K573" s="79"/>
      <c r="L573" s="79"/>
      <c r="M573" s="79"/>
      <c r="N573" s="79"/>
      <c r="O573" s="79"/>
      <c r="P573" s="79"/>
    </row>
    <row r="574" spans="1:16" x14ac:dyDescent="0.25">
      <c r="B574" s="86" t="str">
        <f xml:space="preserve"> ( 'Facility Detail'!$B$805 +3 ) &amp; " Surplus Applied to " &amp; ( 'Facility Detail'!$B$805 + 2 )</f>
        <v>2016 Surplus Applied to 2015</v>
      </c>
      <c r="C574" s="32"/>
      <c r="D574" s="70"/>
      <c r="E574" s="81"/>
      <c r="F574" s="67">
        <f>G574</f>
        <v>0</v>
      </c>
      <c r="G574" s="10"/>
      <c r="H574" s="79"/>
      <c r="I574" s="79"/>
      <c r="J574" s="79"/>
      <c r="K574" s="79"/>
      <c r="L574" s="79"/>
      <c r="M574" s="79"/>
      <c r="N574" s="79"/>
      <c r="O574" s="79"/>
      <c r="P574" s="79"/>
    </row>
    <row r="575" spans="1:16" x14ac:dyDescent="0.25">
      <c r="B575" s="86" t="str">
        <f xml:space="preserve"> ( 'Facility Detail'!$B$805 +3 ) &amp; " Surplus Applied to " &amp; ( 'Facility Detail'!$B$805 + 4 )</f>
        <v>2016 Surplus Applied to 2017</v>
      </c>
      <c r="C575" s="32"/>
      <c r="D575" s="142"/>
      <c r="E575" s="142"/>
      <c r="F575" s="79"/>
      <c r="G575" s="10"/>
      <c r="H575" s="147">
        <f>G575</f>
        <v>0</v>
      </c>
      <c r="I575" s="79"/>
      <c r="J575" s="79"/>
      <c r="K575" s="79"/>
      <c r="L575" s="79"/>
      <c r="M575" s="79"/>
      <c r="N575" s="79"/>
      <c r="O575" s="79"/>
      <c r="P575" s="79"/>
    </row>
    <row r="576" spans="1:16" x14ac:dyDescent="0.25">
      <c r="B576" s="86" t="str">
        <f xml:space="preserve"> ( 'Facility Detail'!$B$805 + 4 ) &amp; " Surplus Applied to " &amp; ( 'Facility Detail'!$B$805 + 3 )</f>
        <v>2017 Surplus Applied to 2016</v>
      </c>
      <c r="C576" s="32"/>
      <c r="D576" s="142"/>
      <c r="E576" s="142"/>
      <c r="F576" s="79"/>
      <c r="G576" s="147">
        <f>H576</f>
        <v>0</v>
      </c>
      <c r="H576" s="10"/>
      <c r="I576" s="79"/>
      <c r="J576" s="79"/>
      <c r="K576" s="79"/>
      <c r="L576" s="79"/>
      <c r="M576" s="79"/>
      <c r="N576" s="79"/>
      <c r="O576" s="79"/>
      <c r="P576" s="79"/>
    </row>
    <row r="577" spans="1:16" x14ac:dyDescent="0.25">
      <c r="B577" s="86" t="str">
        <f xml:space="preserve"> ( 'Facility Detail'!$B$805 + 4 ) &amp; " Surplus Applied to " &amp; ( 'Facility Detail'!$B$805 + 5 )</f>
        <v>2017 Surplus Applied to 2018</v>
      </c>
      <c r="C577" s="32"/>
      <c r="D577" s="142"/>
      <c r="E577" s="142"/>
      <c r="F577" s="79"/>
      <c r="G577" s="79"/>
      <c r="H577" s="10"/>
      <c r="I577" s="147">
        <f>H577</f>
        <v>0</v>
      </c>
      <c r="J577" s="147">
        <f>I577</f>
        <v>0</v>
      </c>
      <c r="K577" s="147"/>
      <c r="L577" s="147"/>
      <c r="M577" s="147"/>
      <c r="N577" s="147"/>
      <c r="O577" s="147"/>
      <c r="P577" s="147"/>
    </row>
    <row r="578" spans="1:16" x14ac:dyDescent="0.25">
      <c r="B578" s="86" t="str">
        <f xml:space="preserve"> ( 'Facility Detail'!$B$805 + 5 ) &amp; " Surplus Applied to " &amp; ( 'Facility Detail'!$B$805 + 4 )</f>
        <v>2018 Surplus Applied to 2017</v>
      </c>
      <c r="C578" s="32"/>
      <c r="D578" s="142"/>
      <c r="E578" s="142"/>
      <c r="F578" s="79"/>
      <c r="G578" s="79"/>
      <c r="H578" s="147">
        <f>I578</f>
        <v>0</v>
      </c>
      <c r="I578" s="10"/>
      <c r="J578" s="10"/>
      <c r="K578" s="10"/>
      <c r="L578" s="10"/>
      <c r="M578" s="10"/>
      <c r="N578" s="10"/>
      <c r="O578" s="10"/>
      <c r="P578" s="10"/>
    </row>
    <row r="579" spans="1:16" x14ac:dyDescent="0.25">
      <c r="B579" s="86" t="str">
        <f xml:space="preserve"> ( 'Facility Detail'!$B$805 + 5 ) &amp; " Surplus Applied to " &amp; ( 'Facility Detail'!$B$805 + 6 )</f>
        <v>2018 Surplus Applied to 2019</v>
      </c>
      <c r="C579" s="32"/>
      <c r="D579" s="142"/>
      <c r="E579" s="142"/>
      <c r="F579" s="79"/>
      <c r="G579" s="79"/>
      <c r="H579" s="79"/>
      <c r="I579" s="10">
        <v>154221</v>
      </c>
      <c r="J579" s="10">
        <f>I579</f>
        <v>154221</v>
      </c>
      <c r="K579" s="10"/>
      <c r="L579" s="10"/>
      <c r="M579" s="10"/>
      <c r="N579" s="10"/>
      <c r="O579" s="10"/>
      <c r="P579" s="10"/>
    </row>
    <row r="580" spans="1:16" x14ac:dyDescent="0.25">
      <c r="B580" s="86" t="str">
        <f xml:space="preserve"> ( 'Facility Detail'!$B$805 + 6 ) &amp; " Surplus Applied to " &amp; ( 'Facility Detail'!$B$805 + 5 )</f>
        <v>2019 Surplus Applied to 2018</v>
      </c>
      <c r="C580" s="32"/>
      <c r="D580" s="142"/>
      <c r="E580" s="142"/>
      <c r="F580" s="142"/>
      <c r="G580" s="142"/>
      <c r="H580" s="142"/>
      <c r="I580" s="173"/>
      <c r="J580" s="173"/>
      <c r="K580" s="173"/>
      <c r="L580" s="173"/>
      <c r="M580" s="173"/>
      <c r="N580" s="173"/>
      <c r="O580" s="173"/>
      <c r="P580" s="173"/>
    </row>
    <row r="581" spans="1:16" x14ac:dyDescent="0.25">
      <c r="B581" s="86" t="str">
        <f xml:space="preserve"> ( 'Facility Detail'!$B$805 + 6 ) &amp; " Surplus Applied to " &amp; ( 'Facility Detail'!$B$805 + 7 )</f>
        <v>2019 Surplus Applied to 2020</v>
      </c>
      <c r="C581" s="32"/>
      <c r="D581" s="142"/>
      <c r="E581" s="142"/>
      <c r="F581" s="142"/>
      <c r="G581" s="142"/>
      <c r="H581" s="142"/>
      <c r="I581" s="173"/>
      <c r="J581" s="173">
        <v>249238</v>
      </c>
      <c r="K581" s="173">
        <v>249238</v>
      </c>
      <c r="L581" s="173"/>
      <c r="M581" s="173"/>
      <c r="N581" s="173"/>
      <c r="O581" s="173"/>
      <c r="P581" s="173"/>
    </row>
    <row r="582" spans="1:16" x14ac:dyDescent="0.25">
      <c r="B582" s="86" t="str">
        <f xml:space="preserve"> ( 'Facility Detail'!$B$805 + 7 ) &amp; " Surplus Applied to " &amp; ( 'Facility Detail'!$B$805 + 6 )</f>
        <v>2020 Surplus Applied to 2019</v>
      </c>
      <c r="C582" s="32"/>
      <c r="D582" s="142"/>
      <c r="E582" s="142"/>
      <c r="F582" s="142"/>
      <c r="G582" s="142"/>
      <c r="H582" s="142"/>
      <c r="I582" s="173"/>
      <c r="J582" s="173"/>
      <c r="K582" s="173"/>
      <c r="L582" s="173"/>
      <c r="M582" s="173"/>
      <c r="N582" s="173"/>
      <c r="O582" s="173"/>
      <c r="P582" s="173"/>
    </row>
    <row r="583" spans="1:16" x14ac:dyDescent="0.25">
      <c r="B583" s="86" t="str">
        <f xml:space="preserve"> ( 'Facility Detail'!$B$805 + 7 ) &amp; " Surplus Applied to " &amp; ( 'Facility Detail'!$B$805 + 8 )</f>
        <v>2020 Surplus Applied to 2021</v>
      </c>
      <c r="C583" s="32"/>
      <c r="D583" s="142"/>
      <c r="E583" s="142"/>
      <c r="F583" s="142"/>
      <c r="G583" s="142"/>
      <c r="H583" s="142"/>
      <c r="I583" s="173"/>
      <c r="J583" s="173"/>
      <c r="K583" s="173">
        <v>7485</v>
      </c>
      <c r="L583" s="173">
        <v>7485</v>
      </c>
      <c r="M583" s="173"/>
      <c r="N583" s="173"/>
      <c r="O583" s="173"/>
      <c r="P583" s="173"/>
    </row>
    <row r="584" spans="1:16" x14ac:dyDescent="0.25">
      <c r="B584" s="86" t="str">
        <f xml:space="preserve"> ( 'Facility Detail'!$B$805 + 8 ) &amp; " Surplus Applied to " &amp; ( 'Facility Detail'!$B$805 + 7 )</f>
        <v>2021 Surplus Applied to 2020</v>
      </c>
      <c r="C584" s="32"/>
      <c r="D584" s="142"/>
      <c r="E584" s="142"/>
      <c r="F584" s="142"/>
      <c r="G584" s="142"/>
      <c r="H584" s="142"/>
      <c r="I584" s="173"/>
      <c r="J584" s="173"/>
      <c r="K584" s="173"/>
      <c r="L584" s="173"/>
      <c r="M584" s="173"/>
      <c r="N584" s="173"/>
      <c r="O584" s="173"/>
      <c r="P584" s="173"/>
    </row>
    <row r="585" spans="1:16" x14ac:dyDescent="0.25">
      <c r="B585" s="86" t="str">
        <f xml:space="preserve"> ( 'Facility Detail'!$B$805 + 8 ) &amp; " Surplus Applied to " &amp; ( 'Facility Detail'!$B$805 + 9 )</f>
        <v>2021 Surplus Applied to 2022</v>
      </c>
      <c r="C585" s="32"/>
      <c r="D585" s="142"/>
      <c r="E585" s="142"/>
      <c r="F585" s="142"/>
      <c r="G585" s="142"/>
      <c r="H585" s="142"/>
      <c r="I585" s="173"/>
      <c r="J585" s="173"/>
      <c r="K585" s="173"/>
      <c r="L585" s="173"/>
      <c r="M585" s="173"/>
      <c r="N585" s="173"/>
      <c r="O585" s="173"/>
      <c r="P585" s="173"/>
    </row>
    <row r="586" spans="1:16" x14ac:dyDescent="0.25">
      <c r="B586" s="35" t="s">
        <v>25</v>
      </c>
      <c r="D586" s="7">
        <f xml:space="preserve"> D570 - D569</f>
        <v>0</v>
      </c>
      <c r="E586" s="7">
        <f xml:space="preserve"> E569 + E572 - E571 - E570</f>
        <v>0</v>
      </c>
      <c r="F586" s="7">
        <f>F571+F574-F572-F573</f>
        <v>0</v>
      </c>
      <c r="G586" s="7">
        <f>G573-G574</f>
        <v>0</v>
      </c>
      <c r="H586" s="7">
        <f>H573-H574</f>
        <v>0</v>
      </c>
      <c r="I586" s="7">
        <f>I577-I578-I579</f>
        <v>-154221</v>
      </c>
      <c r="J586" s="7">
        <f>J579-J580-J581</f>
        <v>-95017</v>
      </c>
      <c r="K586" s="7">
        <f>K581-K582-K583</f>
        <v>241753</v>
      </c>
      <c r="L586" s="7">
        <f>L583-L584-L585</f>
        <v>7485</v>
      </c>
      <c r="M586" s="7">
        <f>M573-M574</f>
        <v>0</v>
      </c>
      <c r="N586" s="7">
        <f>N573-N574</f>
        <v>0</v>
      </c>
      <c r="O586" s="7">
        <f>O573-O574</f>
        <v>0</v>
      </c>
      <c r="P586" s="7">
        <f>P573-P574</f>
        <v>0</v>
      </c>
    </row>
    <row r="587" spans="1:16" x14ac:dyDescent="0.25">
      <c r="B587" s="6"/>
      <c r="D587" s="7"/>
      <c r="E587" s="7"/>
      <c r="F587" s="7"/>
      <c r="G587" s="7"/>
      <c r="H587" s="7"/>
      <c r="I587" s="7"/>
      <c r="J587" s="7"/>
      <c r="K587" s="7"/>
      <c r="L587" s="7"/>
      <c r="M587" s="7"/>
      <c r="N587" s="7"/>
      <c r="O587" s="7"/>
      <c r="P587" s="7"/>
    </row>
    <row r="588" spans="1:16" x14ac:dyDescent="0.25">
      <c r="B588" s="93" t="s">
        <v>21</v>
      </c>
      <c r="C588" s="76"/>
      <c r="D588" s="107"/>
      <c r="E588" s="108"/>
      <c r="F588" s="109"/>
      <c r="G588" s="109"/>
      <c r="H588" s="109"/>
      <c r="I588" s="109"/>
      <c r="J588" s="109"/>
      <c r="K588" s="109"/>
      <c r="L588" s="109"/>
      <c r="M588" s="109"/>
      <c r="N588" s="109"/>
      <c r="O588" s="109"/>
      <c r="P588" s="109"/>
    </row>
    <row r="589" spans="1:16" x14ac:dyDescent="0.25">
      <c r="B589" s="6"/>
      <c r="D589" s="7"/>
      <c r="E589" s="7"/>
      <c r="F589" s="7"/>
      <c r="G589" s="7"/>
      <c r="H589" s="7"/>
      <c r="I589" s="7"/>
      <c r="J589" s="7"/>
      <c r="K589" s="7"/>
      <c r="L589" s="7"/>
      <c r="M589" s="7"/>
      <c r="N589" s="7"/>
      <c r="O589" s="7"/>
      <c r="P589" s="7"/>
    </row>
    <row r="590" spans="1:16" ht="15.75" x14ac:dyDescent="0.25">
      <c r="A590" s="89" t="s">
        <v>33</v>
      </c>
      <c r="C590" s="76"/>
      <c r="D590" s="48">
        <f t="shared" ref="D590:M590" si="524" xml:space="preserve"> D555 + D560 + D566 + D586 + D588</f>
        <v>0</v>
      </c>
      <c r="E590" s="49">
        <f t="shared" si="524"/>
        <v>0</v>
      </c>
      <c r="F590" s="50">
        <f t="shared" si="524"/>
        <v>0</v>
      </c>
      <c r="G590" s="50">
        <f t="shared" si="524"/>
        <v>43846</v>
      </c>
      <c r="H590" s="50">
        <f t="shared" si="524"/>
        <v>105792</v>
      </c>
      <c r="I590" s="50">
        <f t="shared" si="524"/>
        <v>-59587</v>
      </c>
      <c r="J590" s="50">
        <f t="shared" si="524"/>
        <v>153949</v>
      </c>
      <c r="K590" s="50">
        <f t="shared" si="524"/>
        <v>408077</v>
      </c>
      <c r="L590" s="50">
        <f t="shared" si="524"/>
        <v>200779.62</v>
      </c>
      <c r="M590" s="50">
        <f t="shared" si="524"/>
        <v>132673.46899999998</v>
      </c>
      <c r="N590" s="50">
        <f t="shared" ref="N590:O590" si="525" xml:space="preserve"> N555 + N560 + N566 + N586 + N588</f>
        <v>288535.68799999997</v>
      </c>
      <c r="O590" s="50">
        <f t="shared" si="525"/>
        <v>321280.40779999999</v>
      </c>
      <c r="P590" s="50">
        <f t="shared" ref="P590" si="526" xml:space="preserve"> P555 + P560 + P566 + P586 + P588</f>
        <v>336116</v>
      </c>
    </row>
    <row r="591" spans="1:16" x14ac:dyDescent="0.25">
      <c r="B591" s="6"/>
      <c r="D591" s="7"/>
      <c r="E591" s="7"/>
      <c r="F591" s="7"/>
      <c r="G591" s="31"/>
      <c r="H591" s="31"/>
      <c r="I591" s="31"/>
      <c r="J591" s="31"/>
      <c r="K591" s="31"/>
      <c r="L591" s="31"/>
      <c r="M591" s="31"/>
      <c r="N591" s="31"/>
      <c r="O591" s="31"/>
      <c r="P591" s="31"/>
    </row>
    <row r="592" spans="1:16" x14ac:dyDescent="0.25">
      <c r="A592" s="1" t="s">
        <v>98</v>
      </c>
      <c r="B592" s="6"/>
      <c r="D592" s="7"/>
      <c r="E592" s="7"/>
      <c r="F592" s="7"/>
      <c r="G592" s="31"/>
      <c r="H592" s="31"/>
      <c r="I592" s="31"/>
      <c r="J592" s="31"/>
      <c r="K592" s="31"/>
      <c r="L592" s="31"/>
      <c r="M592" s="31"/>
      <c r="N592" s="31"/>
      <c r="O592" s="31"/>
      <c r="P592" s="31"/>
    </row>
    <row r="593" spans="1:16" ht="39.75" customHeight="1" thickBot="1" x14ac:dyDescent="0.3">
      <c r="A593" s="195" t="s">
        <v>124</v>
      </c>
      <c r="B593" s="195"/>
      <c r="C593" s="195"/>
      <c r="D593" s="195"/>
      <c r="E593" s="195"/>
      <c r="F593" s="195"/>
      <c r="G593" s="145"/>
      <c r="H593" s="145"/>
      <c r="I593" s="145"/>
      <c r="J593" s="152"/>
      <c r="K593" s="170"/>
      <c r="L593" s="171"/>
      <c r="M593" s="145"/>
      <c r="N593" s="180"/>
      <c r="O593" s="182"/>
      <c r="P593" s="187"/>
    </row>
    <row r="594" spans="1:16" x14ac:dyDescent="0.25">
      <c r="A594" s="8"/>
      <c r="B594" s="8"/>
      <c r="C594" s="8"/>
      <c r="D594" s="8"/>
      <c r="E594" s="8"/>
      <c r="F594" s="8"/>
      <c r="G594" s="8"/>
      <c r="H594" s="8"/>
      <c r="I594" s="8"/>
      <c r="J594" s="8"/>
      <c r="K594" s="8"/>
      <c r="L594" s="8"/>
    </row>
    <row r="595" spans="1:16" ht="21" x14ac:dyDescent="0.35">
      <c r="A595" s="16" t="s">
        <v>4</v>
      </c>
      <c r="B595" s="16"/>
      <c r="C595" s="45" t="str">
        <f>B17</f>
        <v>Boulder Community Solar</v>
      </c>
      <c r="D595" s="46"/>
      <c r="E595" s="19"/>
      <c r="F595" s="19"/>
    </row>
    <row r="597" spans="1:16" ht="18.75" x14ac:dyDescent="0.3">
      <c r="A597" s="9" t="s">
        <v>85</v>
      </c>
      <c r="B597" s="9"/>
      <c r="D597" s="2">
        <v>2013</v>
      </c>
      <c r="E597" s="2">
        <f t="shared" ref="E597:J597" si="527">D597+1</f>
        <v>2014</v>
      </c>
      <c r="F597" s="2">
        <f t="shared" si="527"/>
        <v>2015</v>
      </c>
      <c r="G597" s="2">
        <f t="shared" si="527"/>
        <v>2016</v>
      </c>
      <c r="H597" s="2">
        <f t="shared" si="527"/>
        <v>2017</v>
      </c>
      <c r="I597" s="2">
        <f t="shared" si="527"/>
        <v>2018</v>
      </c>
      <c r="J597" s="2">
        <f t="shared" si="527"/>
        <v>2019</v>
      </c>
      <c r="K597" s="2">
        <f t="shared" ref="K597:P597" si="528">J597+1</f>
        <v>2020</v>
      </c>
      <c r="L597" s="2">
        <f t="shared" si="528"/>
        <v>2021</v>
      </c>
      <c r="M597" s="2">
        <f t="shared" si="528"/>
        <v>2022</v>
      </c>
      <c r="N597" s="2">
        <f t="shared" si="528"/>
        <v>2023</v>
      </c>
      <c r="O597" s="2">
        <f t="shared" si="528"/>
        <v>2024</v>
      </c>
      <c r="P597" s="2">
        <f t="shared" si="528"/>
        <v>2025</v>
      </c>
    </row>
    <row r="598" spans="1:16" x14ac:dyDescent="0.25">
      <c r="B598" s="86" t="str">
        <f>"Total MWh Produced / Purchased from " &amp; C595</f>
        <v>Total MWh Produced / Purchased from Boulder Community Solar</v>
      </c>
      <c r="C598" s="76"/>
      <c r="D598" s="3">
        <v>0</v>
      </c>
      <c r="E598" s="4">
        <v>0</v>
      </c>
      <c r="F598" s="5">
        <v>128</v>
      </c>
      <c r="G598" s="5">
        <v>554</v>
      </c>
      <c r="H598" s="5">
        <v>523</v>
      </c>
      <c r="I598" s="5">
        <v>504</v>
      </c>
      <c r="J598" s="5">
        <v>556</v>
      </c>
      <c r="K598" s="5">
        <v>534</v>
      </c>
      <c r="L598" s="5">
        <v>537</v>
      </c>
      <c r="M598" s="5">
        <v>325</v>
      </c>
      <c r="N598" s="5">
        <v>505</v>
      </c>
      <c r="O598" s="5">
        <v>505</v>
      </c>
      <c r="P598" s="5">
        <v>505</v>
      </c>
    </row>
    <row r="599" spans="1:16" x14ac:dyDescent="0.25">
      <c r="B599" s="86" t="s">
        <v>32</v>
      </c>
      <c r="C599" s="76"/>
      <c r="D599" s="60">
        <v>1</v>
      </c>
      <c r="E599" s="61">
        <v>1</v>
      </c>
      <c r="F599" s="62">
        <v>1</v>
      </c>
      <c r="G599" s="62">
        <v>1</v>
      </c>
      <c r="H599" s="62">
        <v>1</v>
      </c>
      <c r="I599" s="62">
        <v>1</v>
      </c>
      <c r="J599" s="62">
        <v>1</v>
      </c>
      <c r="K599" s="62">
        <v>1</v>
      </c>
      <c r="L599" s="62">
        <v>1</v>
      </c>
      <c r="M599" s="62">
        <v>1</v>
      </c>
      <c r="N599" s="62">
        <v>1</v>
      </c>
      <c r="O599" s="62">
        <v>1</v>
      </c>
      <c r="P599" s="62">
        <v>1</v>
      </c>
    </row>
    <row r="600" spans="1:16" x14ac:dyDescent="0.25">
      <c r="B600" s="86" t="s">
        <v>26</v>
      </c>
      <c r="C600" s="76"/>
      <c r="D600" s="53">
        <v>1</v>
      </c>
      <c r="E600" s="54">
        <v>1</v>
      </c>
      <c r="F600" s="55">
        <v>1</v>
      </c>
      <c r="G600" s="55">
        <v>1</v>
      </c>
      <c r="H600" s="55">
        <v>1</v>
      </c>
      <c r="I600" s="55">
        <v>1</v>
      </c>
      <c r="J600" s="55">
        <v>1</v>
      </c>
      <c r="K600" s="55">
        <v>1</v>
      </c>
      <c r="L600" s="55">
        <v>1</v>
      </c>
      <c r="M600" s="55">
        <v>1</v>
      </c>
      <c r="N600" s="55">
        <v>1</v>
      </c>
      <c r="O600" s="55">
        <v>1</v>
      </c>
      <c r="P600" s="55">
        <v>1</v>
      </c>
    </row>
    <row r="601" spans="1:16" x14ac:dyDescent="0.25">
      <c r="B601" s="83" t="s">
        <v>28</v>
      </c>
      <c r="C601" s="84"/>
      <c r="D601" s="40">
        <f t="shared" ref="D601:K601" si="529" xml:space="preserve"> D598 * D599 * D600</f>
        <v>0</v>
      </c>
      <c r="E601" s="40">
        <f t="shared" si="529"/>
        <v>0</v>
      </c>
      <c r="F601" s="40">
        <f t="shared" si="529"/>
        <v>128</v>
      </c>
      <c r="G601" s="40">
        <f t="shared" si="529"/>
        <v>554</v>
      </c>
      <c r="H601" s="40">
        <f t="shared" si="529"/>
        <v>523</v>
      </c>
      <c r="I601" s="40">
        <f t="shared" si="529"/>
        <v>504</v>
      </c>
      <c r="J601" s="40">
        <f t="shared" si="529"/>
        <v>556</v>
      </c>
      <c r="K601" s="40">
        <f t="shared" si="529"/>
        <v>534</v>
      </c>
      <c r="L601" s="40">
        <f t="shared" ref="L601:M601" si="530" xml:space="preserve"> L598 * L599 * L600</f>
        <v>537</v>
      </c>
      <c r="M601" s="40">
        <f t="shared" si="530"/>
        <v>325</v>
      </c>
      <c r="N601" s="40">
        <f t="shared" ref="N601:O601" si="531" xml:space="preserve"> N598 * N599 * N600</f>
        <v>505</v>
      </c>
      <c r="O601" s="40">
        <f t="shared" si="531"/>
        <v>505</v>
      </c>
      <c r="P601" s="40">
        <f t="shared" ref="P601" si="532" xml:space="preserve"> P598 * P599 * P600</f>
        <v>505</v>
      </c>
    </row>
    <row r="602" spans="1:16" x14ac:dyDescent="0.25">
      <c r="B602" s="19"/>
      <c r="C602" s="32"/>
      <c r="D602" s="39"/>
      <c r="E602" s="39"/>
      <c r="F602" s="39"/>
      <c r="G602" s="39"/>
      <c r="H602" s="39"/>
      <c r="I602" s="39"/>
      <c r="J602" s="39"/>
      <c r="K602" s="39"/>
      <c r="L602" s="39"/>
      <c r="M602" s="39"/>
      <c r="N602" s="39"/>
      <c r="O602" s="39"/>
      <c r="P602" s="39"/>
    </row>
    <row r="603" spans="1:16" ht="18.75" x14ac:dyDescent="0.3">
      <c r="A603" s="47" t="s">
        <v>30</v>
      </c>
      <c r="C603" s="32"/>
      <c r="D603" s="2">
        <f>D597</f>
        <v>2013</v>
      </c>
      <c r="E603" s="2">
        <f t="shared" ref="E603:J603" si="533">D603+1</f>
        <v>2014</v>
      </c>
      <c r="F603" s="2">
        <f t="shared" si="533"/>
        <v>2015</v>
      </c>
      <c r="G603" s="2">
        <f t="shared" si="533"/>
        <v>2016</v>
      </c>
      <c r="H603" s="2">
        <f t="shared" si="533"/>
        <v>2017</v>
      </c>
      <c r="I603" s="2">
        <f t="shared" si="533"/>
        <v>2018</v>
      </c>
      <c r="J603" s="2">
        <f t="shared" si="533"/>
        <v>2019</v>
      </c>
      <c r="K603" s="2">
        <f t="shared" ref="K603:P603" si="534">J603+1</f>
        <v>2020</v>
      </c>
      <c r="L603" s="2">
        <f t="shared" si="534"/>
        <v>2021</v>
      </c>
      <c r="M603" s="2">
        <f t="shared" si="534"/>
        <v>2022</v>
      </c>
      <c r="N603" s="2">
        <f t="shared" si="534"/>
        <v>2023</v>
      </c>
      <c r="O603" s="2">
        <f t="shared" si="534"/>
        <v>2024</v>
      </c>
      <c r="P603" s="2">
        <f t="shared" si="534"/>
        <v>2025</v>
      </c>
    </row>
    <row r="604" spans="1:16" x14ac:dyDescent="0.25">
      <c r="B604" s="86" t="s">
        <v>19</v>
      </c>
      <c r="C604" s="76"/>
      <c r="D604" s="56">
        <f>IF( $E194 = "Eligible", D601 * 'Facility Detail'!$B$802, 0 )</f>
        <v>0</v>
      </c>
      <c r="E604" s="56">
        <f>IF( $E194 = "Eligible", E601 * 'Facility Detail'!$B$802, 0 )</f>
        <v>0</v>
      </c>
      <c r="F604" s="56">
        <f>IF( $E194 = "Eligible", F601 * 'Facility Detail'!$B$802, 0 )</f>
        <v>0</v>
      </c>
      <c r="G604" s="56">
        <f>IF( $E194 = "Eligible", G601 * 'Facility Detail'!$B$802, 0 )</f>
        <v>0</v>
      </c>
      <c r="H604" s="56">
        <f>IF( $E194 = "Eligible", H601 * 'Facility Detail'!$B$802, 0 )</f>
        <v>0</v>
      </c>
      <c r="I604" s="56">
        <f>IF( $E194 = "Eligible", I601 * 'Facility Detail'!$B$802, 0 )</f>
        <v>0</v>
      </c>
      <c r="J604" s="56">
        <f>IF( $E194 = "Eligible", J601 * 'Facility Detail'!$B$802, 0 )</f>
        <v>0</v>
      </c>
      <c r="K604" s="56">
        <f>IF( $E194 = "Eligible", K601 * 'Facility Detail'!$B$802, 0 )</f>
        <v>0</v>
      </c>
      <c r="L604" s="56">
        <f>IF( $E194 = "Eligible", L601 * 'Facility Detail'!$B$802, 0 )</f>
        <v>0</v>
      </c>
      <c r="M604" s="56">
        <f>IF( $E194 = "Eligible", M601 * 'Facility Detail'!$B$802, 0 )</f>
        <v>0</v>
      </c>
      <c r="N604" s="56">
        <f>IF( $E194 = "Eligible", N601 * 'Facility Detail'!$B$802, 0 )</f>
        <v>0</v>
      </c>
      <c r="O604" s="56">
        <f>IF( $E194 = "Eligible", O601 * 'Facility Detail'!$B$802, 0 )</f>
        <v>0</v>
      </c>
      <c r="P604" s="56">
        <f>IF( $E194 = "Eligible", P601 * 'Facility Detail'!$B$802, 0 )</f>
        <v>0</v>
      </c>
    </row>
    <row r="605" spans="1:16" x14ac:dyDescent="0.25">
      <c r="B605" s="86" t="s">
        <v>6</v>
      </c>
      <c r="C605" s="76"/>
      <c r="D605" s="57">
        <f t="shared" ref="D605:M605" si="535">IF( $F17 = "Eligible", D601, 0 )</f>
        <v>0</v>
      </c>
      <c r="E605" s="58">
        <f t="shared" si="535"/>
        <v>0</v>
      </c>
      <c r="F605" s="59">
        <f t="shared" si="535"/>
        <v>128</v>
      </c>
      <c r="G605" s="59">
        <f t="shared" si="535"/>
        <v>554</v>
      </c>
      <c r="H605" s="59">
        <f t="shared" si="535"/>
        <v>523</v>
      </c>
      <c r="I605" s="59">
        <f t="shared" si="535"/>
        <v>504</v>
      </c>
      <c r="J605" s="59">
        <f t="shared" si="535"/>
        <v>556</v>
      </c>
      <c r="K605" s="59">
        <f t="shared" si="535"/>
        <v>534</v>
      </c>
      <c r="L605" s="59">
        <v>0</v>
      </c>
      <c r="M605" s="59">
        <f t="shared" si="535"/>
        <v>325</v>
      </c>
      <c r="N605" s="59">
        <f t="shared" ref="N605:O605" si="536">IF( $F17 = "Eligible", N601, 0 )</f>
        <v>505</v>
      </c>
      <c r="O605" s="59">
        <f t="shared" si="536"/>
        <v>505</v>
      </c>
      <c r="P605" s="59">
        <f t="shared" ref="P605" si="537">IF( $F17 = "Eligible", P601, 0 )</f>
        <v>505</v>
      </c>
    </row>
    <row r="606" spans="1:16" x14ac:dyDescent="0.25">
      <c r="B606" s="85" t="s">
        <v>37</v>
      </c>
      <c r="C606" s="84"/>
      <c r="D606" s="42">
        <f t="shared" ref="D606:I606" si="538">SUM(D604:D605)</f>
        <v>0</v>
      </c>
      <c r="E606" s="43">
        <f t="shared" si="538"/>
        <v>0</v>
      </c>
      <c r="F606" s="43">
        <f t="shared" si="538"/>
        <v>128</v>
      </c>
      <c r="G606" s="43">
        <f t="shared" si="538"/>
        <v>554</v>
      </c>
      <c r="H606" s="43">
        <f t="shared" si="538"/>
        <v>523</v>
      </c>
      <c r="I606" s="43">
        <f t="shared" si="538"/>
        <v>504</v>
      </c>
      <c r="J606" s="43">
        <f t="shared" ref="J606:K606" si="539">SUM(J604:J605)</f>
        <v>556</v>
      </c>
      <c r="K606" s="43">
        <f t="shared" si="539"/>
        <v>534</v>
      </c>
      <c r="L606" s="43">
        <f t="shared" ref="L606:M606" si="540">SUM(L604:L605)</f>
        <v>0</v>
      </c>
      <c r="M606" s="43">
        <f t="shared" si="540"/>
        <v>325</v>
      </c>
      <c r="N606" s="43">
        <f t="shared" ref="N606:O606" si="541">SUM(N604:N605)</f>
        <v>505</v>
      </c>
      <c r="O606" s="43">
        <f t="shared" si="541"/>
        <v>505</v>
      </c>
      <c r="P606" s="43">
        <f t="shared" ref="P606" si="542">SUM(P604:P605)</f>
        <v>505</v>
      </c>
    </row>
    <row r="607" spans="1:16" x14ac:dyDescent="0.25">
      <c r="B607" s="32"/>
      <c r="C607" s="32"/>
      <c r="D607" s="41"/>
      <c r="E607" s="33"/>
      <c r="F607" s="33"/>
      <c r="G607" s="33"/>
      <c r="H607" s="33"/>
      <c r="I607" s="33"/>
      <c r="J607" s="33"/>
      <c r="K607" s="33"/>
      <c r="L607" s="33"/>
      <c r="M607" s="33"/>
      <c r="N607" s="33"/>
      <c r="O607" s="33"/>
      <c r="P607" s="33"/>
    </row>
    <row r="608" spans="1:16" ht="18.75" x14ac:dyDescent="0.3">
      <c r="A608" s="44" t="s">
        <v>35</v>
      </c>
      <c r="C608" s="32"/>
      <c r="D608" s="2">
        <f>D597</f>
        <v>2013</v>
      </c>
      <c r="E608" s="2">
        <f t="shared" ref="E608:J608" si="543">D608+1</f>
        <v>2014</v>
      </c>
      <c r="F608" s="2">
        <f t="shared" si="543"/>
        <v>2015</v>
      </c>
      <c r="G608" s="2">
        <f t="shared" si="543"/>
        <v>2016</v>
      </c>
      <c r="H608" s="2">
        <f t="shared" si="543"/>
        <v>2017</v>
      </c>
      <c r="I608" s="2">
        <f t="shared" si="543"/>
        <v>2018</v>
      </c>
      <c r="J608" s="2">
        <f t="shared" si="543"/>
        <v>2019</v>
      </c>
      <c r="K608" s="2">
        <f t="shared" ref="K608:P608" si="544">J608+1</f>
        <v>2020</v>
      </c>
      <c r="L608" s="2">
        <f t="shared" si="544"/>
        <v>2021</v>
      </c>
      <c r="M608" s="2">
        <f t="shared" si="544"/>
        <v>2022</v>
      </c>
      <c r="N608" s="2">
        <f t="shared" si="544"/>
        <v>2023</v>
      </c>
      <c r="O608" s="2">
        <f t="shared" si="544"/>
        <v>2024</v>
      </c>
      <c r="P608" s="2">
        <f t="shared" si="544"/>
        <v>2025</v>
      </c>
    </row>
    <row r="609" spans="1:16" x14ac:dyDescent="0.25">
      <c r="B609" s="86" t="s">
        <v>100</v>
      </c>
      <c r="C609" s="76"/>
      <c r="D609" s="94">
        <v>0</v>
      </c>
      <c r="E609" s="95">
        <v>0</v>
      </c>
      <c r="F609" s="96">
        <v>-128</v>
      </c>
      <c r="G609" s="96">
        <v>-554</v>
      </c>
      <c r="H609" s="96">
        <v>-523</v>
      </c>
      <c r="I609" s="96">
        <v>-504</v>
      </c>
      <c r="J609" s="96">
        <v>-556</v>
      </c>
      <c r="K609" s="96">
        <v>-534</v>
      </c>
      <c r="L609" s="96">
        <v>0</v>
      </c>
      <c r="M609" s="96">
        <v>0</v>
      </c>
      <c r="N609" s="96">
        <v>0</v>
      </c>
      <c r="O609" s="96">
        <v>0</v>
      </c>
      <c r="P609" s="96">
        <v>0</v>
      </c>
    </row>
    <row r="610" spans="1:16" x14ac:dyDescent="0.25">
      <c r="B610" s="87" t="s">
        <v>29</v>
      </c>
      <c r="C610" s="88"/>
      <c r="D610" s="97">
        <v>0</v>
      </c>
      <c r="E610" s="98">
        <v>0</v>
      </c>
      <c r="F610" s="99">
        <v>0</v>
      </c>
      <c r="G610" s="99">
        <v>0</v>
      </c>
      <c r="H610" s="99">
        <v>0</v>
      </c>
      <c r="I610" s="99">
        <v>0</v>
      </c>
      <c r="J610" s="99">
        <v>0</v>
      </c>
      <c r="K610" s="99">
        <v>0</v>
      </c>
      <c r="L610" s="99">
        <v>0</v>
      </c>
      <c r="M610" s="99">
        <v>0</v>
      </c>
      <c r="N610" s="99">
        <v>0</v>
      </c>
      <c r="O610" s="99">
        <v>0</v>
      </c>
      <c r="P610" s="99">
        <v>0</v>
      </c>
    </row>
    <row r="611" spans="1:16" x14ac:dyDescent="0.25">
      <c r="B611" s="100" t="s">
        <v>41</v>
      </c>
      <c r="C611" s="92"/>
      <c r="D611" s="63"/>
      <c r="E611" s="64"/>
      <c r="F611" s="65">
        <v>-128</v>
      </c>
      <c r="G611" s="65">
        <v>-554</v>
      </c>
      <c r="H611" s="65">
        <v>-523</v>
      </c>
      <c r="I611" s="65">
        <v>-504</v>
      </c>
      <c r="J611" s="65">
        <v>-556</v>
      </c>
      <c r="K611" s="65">
        <v>-534</v>
      </c>
      <c r="L611" s="65">
        <v>0</v>
      </c>
      <c r="M611" s="65">
        <v>0</v>
      </c>
      <c r="N611" s="65">
        <v>0</v>
      </c>
      <c r="O611" s="65">
        <v>0</v>
      </c>
      <c r="P611" s="65">
        <v>0</v>
      </c>
    </row>
    <row r="612" spans="1:16" x14ac:dyDescent="0.25">
      <c r="B612" s="35" t="s">
        <v>42</v>
      </c>
      <c r="D612" s="7">
        <f t="shared" ref="D612:J612" si="545">SUM(D609:D611)</f>
        <v>0</v>
      </c>
      <c r="E612" s="7">
        <f t="shared" si="545"/>
        <v>0</v>
      </c>
      <c r="F612" s="7">
        <f t="shared" si="545"/>
        <v>-256</v>
      </c>
      <c r="G612" s="7">
        <f t="shared" si="545"/>
        <v>-1108</v>
      </c>
      <c r="H612" s="7">
        <f t="shared" si="545"/>
        <v>-1046</v>
      </c>
      <c r="I612" s="7">
        <f t="shared" si="545"/>
        <v>-1008</v>
      </c>
      <c r="J612" s="7">
        <f t="shared" si="545"/>
        <v>-1112</v>
      </c>
      <c r="K612" s="7">
        <f t="shared" ref="K612" si="546">SUM(K609:K611)</f>
        <v>-1068</v>
      </c>
      <c r="L612" s="7">
        <f t="shared" ref="L612:M612" si="547">SUM(L609:L611)</f>
        <v>0</v>
      </c>
      <c r="M612" s="7">
        <f t="shared" si="547"/>
        <v>0</v>
      </c>
      <c r="N612" s="7">
        <f t="shared" ref="N612:O612" si="548">SUM(N609:N611)</f>
        <v>0</v>
      </c>
      <c r="O612" s="7">
        <f t="shared" si="548"/>
        <v>0</v>
      </c>
      <c r="P612" s="7">
        <f t="shared" ref="P612" si="549">SUM(P609:P611)</f>
        <v>0</v>
      </c>
    </row>
    <row r="613" spans="1:16" x14ac:dyDescent="0.25">
      <c r="B613" s="6"/>
      <c r="D613" s="7"/>
      <c r="E613" s="7"/>
      <c r="F613" s="7"/>
      <c r="G613" s="7"/>
      <c r="H613" s="7"/>
      <c r="I613" s="7"/>
      <c r="J613" s="7"/>
      <c r="K613" s="7"/>
      <c r="L613" s="7"/>
      <c r="M613" s="7"/>
      <c r="N613" s="7"/>
      <c r="O613" s="7"/>
      <c r="P613" s="7"/>
    </row>
    <row r="614" spans="1:16" ht="18.75" x14ac:dyDescent="0.3">
      <c r="A614" s="9" t="s">
        <v>43</v>
      </c>
      <c r="D614" s="2">
        <f>D597</f>
        <v>2013</v>
      </c>
      <c r="E614" s="2">
        <f t="shared" ref="E614:J614" si="550">D614+1</f>
        <v>2014</v>
      </c>
      <c r="F614" s="2">
        <f t="shared" si="550"/>
        <v>2015</v>
      </c>
      <c r="G614" s="2">
        <f t="shared" si="550"/>
        <v>2016</v>
      </c>
      <c r="H614" s="2">
        <f t="shared" si="550"/>
        <v>2017</v>
      </c>
      <c r="I614" s="2">
        <f t="shared" si="550"/>
        <v>2018</v>
      </c>
      <c r="J614" s="2">
        <f t="shared" si="550"/>
        <v>2019</v>
      </c>
      <c r="K614" s="2"/>
      <c r="L614" s="2"/>
      <c r="M614" s="2"/>
      <c r="N614" s="2"/>
      <c r="O614" s="2"/>
      <c r="P614" s="2"/>
    </row>
    <row r="615" spans="1:16" x14ac:dyDescent="0.25">
      <c r="B615" s="86" t="str">
        <f xml:space="preserve"> 'Facility Detail'!$B$805 &amp; " Surplus Applied to " &amp; ( 'Facility Detail'!$B$805 + 1 )</f>
        <v>2013 Surplus Applied to 2014</v>
      </c>
      <c r="C615" s="76"/>
      <c r="D615" s="3"/>
      <c r="E615" s="66">
        <f>D615</f>
        <v>0</v>
      </c>
      <c r="F615" s="136"/>
      <c r="G615" s="68"/>
      <c r="H615" s="68"/>
      <c r="I615" s="68"/>
      <c r="J615" s="68"/>
      <c r="K615" s="68"/>
      <c r="L615" s="68"/>
      <c r="M615" s="68"/>
      <c r="N615" s="68"/>
      <c r="O615" s="68"/>
      <c r="P615" s="68"/>
    </row>
    <row r="616" spans="1:16" x14ac:dyDescent="0.25">
      <c r="B616" s="86" t="str">
        <f xml:space="preserve"> ( 'Facility Detail'!$B$805 + 1 ) &amp; " Surplus Applied to " &amp; ( 'Facility Detail'!$B$805 )</f>
        <v>2014 Surplus Applied to 2013</v>
      </c>
      <c r="C616" s="76"/>
      <c r="D616" s="137">
        <f>E616</f>
        <v>0</v>
      </c>
      <c r="E616" s="10"/>
      <c r="F616" s="80"/>
      <c r="G616" s="79"/>
      <c r="H616" s="79"/>
      <c r="I616" s="79"/>
      <c r="J616" s="79"/>
      <c r="K616" s="79"/>
      <c r="L616" s="79"/>
      <c r="M616" s="79"/>
      <c r="N616" s="79"/>
      <c r="O616" s="79"/>
      <c r="P616" s="79"/>
    </row>
    <row r="617" spans="1:16" x14ac:dyDescent="0.25">
      <c r="B617" s="86" t="str">
        <f xml:space="preserve"> ( 'Facility Detail'!$B$805 + 1 ) &amp; " Surplus Applied to " &amp; ( 'Facility Detail'!$B$805 + 2 )</f>
        <v>2014 Surplus Applied to 2015</v>
      </c>
      <c r="C617" s="76"/>
      <c r="D617" s="69"/>
      <c r="E617" s="10"/>
      <c r="F617" s="75">
        <f>E617</f>
        <v>0</v>
      </c>
      <c r="G617" s="79"/>
      <c r="H617" s="79"/>
      <c r="I617" s="79"/>
      <c r="J617" s="79"/>
      <c r="K617" s="79"/>
      <c r="L617" s="79"/>
      <c r="M617" s="79"/>
      <c r="N617" s="79"/>
      <c r="O617" s="79"/>
      <c r="P617" s="79"/>
    </row>
    <row r="618" spans="1:16" x14ac:dyDescent="0.25">
      <c r="B618" s="86" t="str">
        <f xml:space="preserve"> ( 'Facility Detail'!$B$805 + 2 ) &amp; " Surplus Applied to " &amp; ( 'Facility Detail'!$B$805 + 1 )</f>
        <v>2015 Surplus Applied to 2014</v>
      </c>
      <c r="C618" s="76"/>
      <c r="D618" s="69"/>
      <c r="E618" s="75">
        <f>F618</f>
        <v>0</v>
      </c>
      <c r="F618" s="10"/>
      <c r="G618" s="79"/>
      <c r="H618" s="79"/>
      <c r="I618" s="79"/>
      <c r="J618" s="79"/>
      <c r="K618" s="79"/>
      <c r="L618" s="79"/>
      <c r="M618" s="79"/>
      <c r="N618" s="79"/>
      <c r="O618" s="79"/>
      <c r="P618" s="79"/>
    </row>
    <row r="619" spans="1:16" x14ac:dyDescent="0.25">
      <c r="B619" s="86" t="str">
        <f xml:space="preserve"> ( 'Facility Detail'!$B$805 + 2 ) &amp; " Surplus Applied to " &amp; ( 'Facility Detail'!$B$805 + 3 )</f>
        <v>2015 Surplus Applied to 2016</v>
      </c>
      <c r="C619" s="32"/>
      <c r="D619" s="69"/>
      <c r="E619" s="80"/>
      <c r="F619" s="10"/>
      <c r="G619" s="138">
        <f>F619</f>
        <v>0</v>
      </c>
      <c r="H619" s="79"/>
      <c r="I619" s="79">
        <f>H619</f>
        <v>0</v>
      </c>
      <c r="J619" s="79">
        <f>I619</f>
        <v>0</v>
      </c>
      <c r="K619" s="79"/>
      <c r="L619" s="79"/>
      <c r="M619" s="79"/>
      <c r="N619" s="79"/>
      <c r="O619" s="79"/>
      <c r="P619" s="79"/>
    </row>
    <row r="620" spans="1:16" x14ac:dyDescent="0.25">
      <c r="B620" s="86" t="str">
        <f xml:space="preserve"> ( 'Facility Detail'!$B$805 +3 ) &amp; " Surplus Applied to " &amp; ( 'Facility Detail'!$B$805 + 2 )</f>
        <v>2016 Surplus Applied to 2015</v>
      </c>
      <c r="C620" s="32"/>
      <c r="D620" s="70"/>
      <c r="E620" s="81"/>
      <c r="F620" s="67">
        <f>G620</f>
        <v>0</v>
      </c>
      <c r="G620" s="10"/>
      <c r="H620" s="79"/>
      <c r="I620" s="79"/>
      <c r="J620" s="79"/>
      <c r="K620" s="79"/>
      <c r="L620" s="79"/>
      <c r="M620" s="79"/>
      <c r="N620" s="79"/>
      <c r="O620" s="79"/>
      <c r="P620" s="79"/>
    </row>
    <row r="621" spans="1:16" x14ac:dyDescent="0.25">
      <c r="B621" s="86" t="str">
        <f xml:space="preserve"> ( 'Facility Detail'!$B$805 +3 ) &amp; " Surplus Applied to " &amp; ( 'Facility Detail'!$B$805 + 4 )</f>
        <v>2016 Surplus Applied to 2017</v>
      </c>
      <c r="C621" s="32"/>
      <c r="D621" s="142"/>
      <c r="E621" s="142"/>
      <c r="F621" s="79"/>
      <c r="G621" s="10"/>
      <c r="H621" s="147">
        <f>G621</f>
        <v>0</v>
      </c>
      <c r="I621" s="79"/>
      <c r="J621" s="79"/>
      <c r="K621" s="79"/>
      <c r="L621" s="79"/>
      <c r="M621" s="79"/>
      <c r="N621" s="79"/>
      <c r="O621" s="79"/>
      <c r="P621" s="79"/>
    </row>
    <row r="622" spans="1:16" x14ac:dyDescent="0.25">
      <c r="B622" s="86" t="str">
        <f xml:space="preserve"> ( 'Facility Detail'!$B$805 + 4 ) &amp; " Surplus Applied to " &amp; ( 'Facility Detail'!$B$805 + 3 )</f>
        <v>2017 Surplus Applied to 2016</v>
      </c>
      <c r="C622" s="32"/>
      <c r="D622" s="142"/>
      <c r="E622" s="142"/>
      <c r="F622" s="79"/>
      <c r="G622" s="147">
        <f>H622</f>
        <v>0</v>
      </c>
      <c r="H622" s="10"/>
      <c r="I622" s="79"/>
      <c r="J622" s="79"/>
      <c r="K622" s="79"/>
      <c r="L622" s="79"/>
      <c r="M622" s="79"/>
      <c r="N622" s="79"/>
      <c r="O622" s="79"/>
      <c r="P622" s="79"/>
    </row>
    <row r="623" spans="1:16" x14ac:dyDescent="0.25">
      <c r="B623" s="86" t="str">
        <f xml:space="preserve"> ( 'Facility Detail'!$B$805 + 4 ) &amp; " Surplus Applied to " &amp; ( 'Facility Detail'!$B$805 + 5 )</f>
        <v>2017 Surplus Applied to 2018</v>
      </c>
      <c r="C623" s="32"/>
      <c r="D623" s="142"/>
      <c r="E623" s="142"/>
      <c r="F623" s="79"/>
      <c r="G623" s="79"/>
      <c r="H623" s="10"/>
      <c r="I623" s="147">
        <f>H623</f>
        <v>0</v>
      </c>
      <c r="J623" s="147">
        <f>I623</f>
        <v>0</v>
      </c>
      <c r="K623" s="147"/>
      <c r="L623" s="147"/>
      <c r="M623" s="147"/>
      <c r="N623" s="147"/>
      <c r="O623" s="147"/>
      <c r="P623" s="147"/>
    </row>
    <row r="624" spans="1:16" x14ac:dyDescent="0.25">
      <c r="B624" s="86" t="str">
        <f xml:space="preserve"> ( 'Facility Detail'!$B$805 + 5 ) &amp; " Surplus Applied to " &amp; ( 'Facility Detail'!$B$805 + 4 )</f>
        <v>2018 Surplus Applied to 2017</v>
      </c>
      <c r="C624" s="32"/>
      <c r="D624" s="142"/>
      <c r="E624" s="142"/>
      <c r="F624" s="79"/>
      <c r="G624" s="79"/>
      <c r="H624" s="147">
        <f>I624</f>
        <v>0</v>
      </c>
      <c r="I624" s="10"/>
      <c r="J624" s="10"/>
      <c r="K624" s="10"/>
      <c r="L624" s="10"/>
      <c r="M624" s="10"/>
      <c r="N624" s="10"/>
      <c r="O624" s="10"/>
      <c r="P624" s="10"/>
    </row>
    <row r="625" spans="1:16" x14ac:dyDescent="0.25">
      <c r="B625" s="86" t="str">
        <f xml:space="preserve"> ( 'Facility Detail'!$B$805 + 5 ) &amp; " Surplus Applied to " &amp; ( 'Facility Detail'!$B$805 + 6 )</f>
        <v>2018 Surplus Applied to 2019</v>
      </c>
      <c r="C625" s="32"/>
      <c r="D625" s="142"/>
      <c r="E625" s="142"/>
      <c r="F625" s="79"/>
      <c r="G625" s="79"/>
      <c r="H625" s="79"/>
      <c r="I625" s="10"/>
      <c r="J625" s="10"/>
      <c r="K625" s="10"/>
      <c r="L625" s="10"/>
      <c r="M625" s="10"/>
      <c r="N625" s="10"/>
      <c r="O625" s="10"/>
      <c r="P625" s="10"/>
    </row>
    <row r="626" spans="1:16" x14ac:dyDescent="0.25">
      <c r="B626" s="35" t="s">
        <v>25</v>
      </c>
      <c r="D626" s="7">
        <f xml:space="preserve"> D616 - D615</f>
        <v>0</v>
      </c>
      <c r="E626" s="7">
        <f xml:space="preserve"> E615 + E618 - E617 - E616</f>
        <v>0</v>
      </c>
      <c r="F626" s="7">
        <f>F617+F620-F618-F619</f>
        <v>0</v>
      </c>
      <c r="G626" s="7">
        <f t="shared" ref="G626:L626" si="551">G619-G620</f>
        <v>0</v>
      </c>
      <c r="H626" s="7">
        <f t="shared" si="551"/>
        <v>0</v>
      </c>
      <c r="I626" s="7">
        <f t="shared" si="551"/>
        <v>0</v>
      </c>
      <c r="J626" s="7">
        <f t="shared" si="551"/>
        <v>0</v>
      </c>
      <c r="K626" s="7">
        <f t="shared" si="551"/>
        <v>0</v>
      </c>
      <c r="L626" s="7">
        <f t="shared" si="551"/>
        <v>0</v>
      </c>
      <c r="M626" s="7">
        <f t="shared" ref="M626:N626" si="552">M619-M620</f>
        <v>0</v>
      </c>
      <c r="N626" s="7">
        <f t="shared" si="552"/>
        <v>0</v>
      </c>
      <c r="O626" s="7">
        <f t="shared" ref="O626:P626" si="553">O619-O620</f>
        <v>0</v>
      </c>
      <c r="P626" s="7">
        <f t="shared" si="553"/>
        <v>0</v>
      </c>
    </row>
    <row r="627" spans="1:16" x14ac:dyDescent="0.25">
      <c r="B627" s="6"/>
      <c r="D627" s="7"/>
      <c r="E627" s="7"/>
      <c r="F627" s="7"/>
      <c r="G627" s="7"/>
      <c r="H627" s="7"/>
      <c r="I627" s="7"/>
      <c r="J627" s="7"/>
      <c r="K627" s="7"/>
      <c r="L627" s="7"/>
      <c r="M627" s="7"/>
      <c r="N627" s="7"/>
      <c r="O627" s="7"/>
      <c r="P627" s="7"/>
    </row>
    <row r="628" spans="1:16" x14ac:dyDescent="0.25">
      <c r="B628" s="93" t="s">
        <v>21</v>
      </c>
      <c r="C628" s="76"/>
      <c r="D628" s="107"/>
      <c r="E628" s="108"/>
      <c r="F628" s="109"/>
      <c r="G628" s="109"/>
      <c r="H628" s="109"/>
      <c r="I628" s="109"/>
      <c r="J628" s="109"/>
      <c r="K628" s="109"/>
      <c r="L628" s="109"/>
      <c r="M628" s="109"/>
      <c r="N628" s="109"/>
      <c r="O628" s="109"/>
      <c r="P628" s="109"/>
    </row>
    <row r="629" spans="1:16" x14ac:dyDescent="0.25">
      <c r="B629" s="6"/>
      <c r="D629" s="7"/>
      <c r="E629" s="7"/>
      <c r="F629" s="7"/>
      <c r="G629" s="7"/>
      <c r="H629" s="7"/>
      <c r="I629" s="7"/>
      <c r="J629" s="7"/>
      <c r="K629" s="7"/>
      <c r="L629" s="7"/>
      <c r="M629" s="7"/>
      <c r="N629" s="7"/>
      <c r="O629" s="7"/>
      <c r="P629" s="7"/>
    </row>
    <row r="630" spans="1:16" ht="15.75" x14ac:dyDescent="0.25">
      <c r="A630" s="89" t="s">
        <v>33</v>
      </c>
      <c r="C630" s="76"/>
      <c r="D630" s="48">
        <f t="shared" ref="D630:K630" si="554" xml:space="preserve"> D601 + D606 + D612 + D626 + D628</f>
        <v>0</v>
      </c>
      <c r="E630" s="49">
        <f t="shared" si="554"/>
        <v>0</v>
      </c>
      <c r="F630" s="50">
        <f t="shared" si="554"/>
        <v>0</v>
      </c>
      <c r="G630" s="50">
        <f t="shared" si="554"/>
        <v>0</v>
      </c>
      <c r="H630" s="50">
        <f t="shared" si="554"/>
        <v>0</v>
      </c>
      <c r="I630" s="50">
        <f t="shared" si="554"/>
        <v>0</v>
      </c>
      <c r="J630" s="50">
        <f t="shared" si="554"/>
        <v>0</v>
      </c>
      <c r="K630" s="50">
        <f t="shared" si="554"/>
        <v>0</v>
      </c>
      <c r="L630" s="50">
        <f xml:space="preserve"> L601 + L606 + L612 + L626 + L628</f>
        <v>537</v>
      </c>
      <c r="M630" s="50">
        <f t="shared" ref="M630:N630" si="555" xml:space="preserve"> M601 + M606 + M612 + M626 + M628</f>
        <v>650</v>
      </c>
      <c r="N630" s="50">
        <f t="shared" si="555"/>
        <v>1010</v>
      </c>
      <c r="O630" s="50">
        <f t="shared" ref="O630:P630" si="556" xml:space="preserve"> O601 + O606 + O612 + O626 + O628</f>
        <v>1010</v>
      </c>
      <c r="P630" s="50">
        <f t="shared" si="556"/>
        <v>1010</v>
      </c>
    </row>
    <row r="631" spans="1:16" x14ac:dyDescent="0.25">
      <c r="B631" s="6"/>
      <c r="D631" s="7"/>
      <c r="E631" s="7"/>
      <c r="F631" s="7"/>
      <c r="G631" s="31"/>
      <c r="H631" s="31"/>
      <c r="I631" s="31"/>
      <c r="J631" s="31"/>
      <c r="K631" s="31"/>
      <c r="L631" s="31"/>
      <c r="M631" s="31"/>
      <c r="N631" s="31"/>
      <c r="O631" s="31"/>
      <c r="P631" s="31"/>
    </row>
    <row r="632" spans="1:16" ht="39.75" customHeight="1" x14ac:dyDescent="0.25">
      <c r="A632" s="191" t="s">
        <v>119</v>
      </c>
      <c r="B632" s="191"/>
      <c r="C632" s="191"/>
      <c r="D632" s="191"/>
      <c r="E632" s="191"/>
      <c r="F632" s="191"/>
      <c r="G632" s="31"/>
      <c r="H632" s="31"/>
      <c r="I632" s="31"/>
      <c r="J632" s="31"/>
      <c r="K632" s="31"/>
      <c r="L632" s="31"/>
      <c r="M632" s="31"/>
      <c r="N632" s="31"/>
      <c r="O632" s="31"/>
      <c r="P632" s="31"/>
    </row>
    <row r="633" spans="1:16" ht="15.75" customHeight="1" thickBot="1" x14ac:dyDescent="0.3">
      <c r="A633" s="195" t="s">
        <v>121</v>
      </c>
      <c r="B633" s="195"/>
      <c r="C633" s="195"/>
      <c r="D633" s="195"/>
      <c r="E633" s="195"/>
      <c r="F633" s="195"/>
      <c r="G633" s="153"/>
      <c r="H633" s="153"/>
      <c r="I633" s="153"/>
      <c r="J633" s="153"/>
      <c r="K633" s="170"/>
      <c r="L633" s="171"/>
      <c r="M633" s="153"/>
      <c r="N633" s="180"/>
      <c r="O633" s="182"/>
      <c r="P633" s="187"/>
    </row>
    <row r="634" spans="1:16" x14ac:dyDescent="0.25">
      <c r="A634" s="8"/>
      <c r="B634" s="8"/>
      <c r="C634" s="8"/>
      <c r="D634" s="8"/>
      <c r="E634" s="8"/>
      <c r="F634" s="8"/>
      <c r="G634" s="8"/>
      <c r="H634" s="8"/>
      <c r="I634" s="8"/>
      <c r="J634" s="8"/>
      <c r="K634" s="8"/>
      <c r="L634" s="8"/>
    </row>
    <row r="635" spans="1:16" ht="21" x14ac:dyDescent="0.35">
      <c r="A635" s="16" t="s">
        <v>4</v>
      </c>
      <c r="B635" s="16"/>
      <c r="C635" s="45" t="str">
        <f>B18</f>
        <v>Rathdrum Solar</v>
      </c>
      <c r="D635" s="46"/>
      <c r="E635" s="19"/>
      <c r="F635" s="19"/>
    </row>
    <row r="637" spans="1:16" ht="18.75" x14ac:dyDescent="0.3">
      <c r="A637" s="9" t="s">
        <v>85</v>
      </c>
      <c r="B637" s="9"/>
      <c r="D637" s="2">
        <v>2013</v>
      </c>
      <c r="E637" s="2">
        <f t="shared" ref="E637" si="557">D637+1</f>
        <v>2014</v>
      </c>
      <c r="F637" s="2">
        <f t="shared" ref="F637" si="558">E637+1</f>
        <v>2015</v>
      </c>
      <c r="G637" s="2">
        <f t="shared" ref="G637" si="559">F637+1</f>
        <v>2016</v>
      </c>
      <c r="H637" s="2">
        <f t="shared" ref="H637" si="560">G637+1</f>
        <v>2017</v>
      </c>
      <c r="I637" s="2">
        <f t="shared" ref="I637" si="561">H637+1</f>
        <v>2018</v>
      </c>
      <c r="J637" s="2">
        <f t="shared" ref="J637" si="562">I637+1</f>
        <v>2019</v>
      </c>
      <c r="K637" s="2">
        <f t="shared" ref="K637:P637" si="563">J637+1</f>
        <v>2020</v>
      </c>
      <c r="L637" s="2">
        <f t="shared" si="563"/>
        <v>2021</v>
      </c>
      <c r="M637" s="2">
        <f t="shared" si="563"/>
        <v>2022</v>
      </c>
      <c r="N637" s="2">
        <f t="shared" si="563"/>
        <v>2023</v>
      </c>
      <c r="O637" s="2">
        <f t="shared" si="563"/>
        <v>2024</v>
      </c>
      <c r="P637" s="2">
        <f t="shared" si="563"/>
        <v>2025</v>
      </c>
    </row>
    <row r="638" spans="1:16" x14ac:dyDescent="0.25">
      <c r="B638" s="86" t="str">
        <f>"Total MWh Produced / Purchased from " &amp; C635</f>
        <v>Total MWh Produced / Purchased from Rathdrum Solar</v>
      </c>
      <c r="C638" s="76"/>
      <c r="D638" s="3">
        <v>0</v>
      </c>
      <c r="E638" s="4">
        <v>0</v>
      </c>
      <c r="F638" s="5">
        <v>25</v>
      </c>
      <c r="G638" s="5">
        <v>21</v>
      </c>
      <c r="H638" s="5">
        <v>18</v>
      </c>
      <c r="I638" s="5">
        <v>19</v>
      </c>
      <c r="J638" s="5">
        <v>20</v>
      </c>
      <c r="K638" s="5">
        <v>19</v>
      </c>
      <c r="L638" s="5">
        <v>19</v>
      </c>
      <c r="M638" s="5">
        <v>19</v>
      </c>
      <c r="N638" s="5">
        <v>19</v>
      </c>
      <c r="O638" s="5">
        <v>19</v>
      </c>
      <c r="P638" s="5">
        <v>20</v>
      </c>
    </row>
    <row r="639" spans="1:16" x14ac:dyDescent="0.25">
      <c r="B639" s="86" t="s">
        <v>32</v>
      </c>
      <c r="C639" s="76"/>
      <c r="D639" s="60">
        <v>1</v>
      </c>
      <c r="E639" s="61">
        <v>1</v>
      </c>
      <c r="F639" s="62">
        <v>1</v>
      </c>
      <c r="G639" s="62">
        <v>1</v>
      </c>
      <c r="H639" s="62">
        <v>1</v>
      </c>
      <c r="I639" s="62">
        <v>1</v>
      </c>
      <c r="J639" s="62">
        <v>1</v>
      </c>
      <c r="K639" s="62">
        <v>1</v>
      </c>
      <c r="L639" s="62">
        <v>1</v>
      </c>
      <c r="M639" s="62">
        <v>1</v>
      </c>
      <c r="N639" s="62">
        <v>1</v>
      </c>
      <c r="O639" s="62">
        <v>1</v>
      </c>
      <c r="P639" s="62">
        <v>1</v>
      </c>
    </row>
    <row r="640" spans="1:16" x14ac:dyDescent="0.25">
      <c r="B640" s="86" t="s">
        <v>26</v>
      </c>
      <c r="C640" s="76"/>
      <c r="D640" s="53">
        <v>1</v>
      </c>
      <c r="E640" s="54">
        <v>1</v>
      </c>
      <c r="F640" s="55">
        <v>1</v>
      </c>
      <c r="G640" s="55">
        <v>1</v>
      </c>
      <c r="H640" s="55">
        <v>1</v>
      </c>
      <c r="I640" s="55">
        <v>1</v>
      </c>
      <c r="J640" s="55">
        <v>1</v>
      </c>
      <c r="K640" s="55">
        <v>1</v>
      </c>
      <c r="L640" s="55">
        <v>1</v>
      </c>
      <c r="M640" s="55">
        <v>1</v>
      </c>
      <c r="N640" s="55">
        <v>1</v>
      </c>
      <c r="O640" s="55">
        <v>1</v>
      </c>
      <c r="P640" s="55">
        <v>1</v>
      </c>
    </row>
    <row r="641" spans="1:16" x14ac:dyDescent="0.25">
      <c r="B641" s="83" t="s">
        <v>28</v>
      </c>
      <c r="C641" s="84"/>
      <c r="D641" s="40">
        <f t="shared" ref="D641:J641" si="564" xml:space="preserve"> D638 * D639 * D640</f>
        <v>0</v>
      </c>
      <c r="E641" s="40">
        <f t="shared" si="564"/>
        <v>0</v>
      </c>
      <c r="F641" s="40">
        <f t="shared" si="564"/>
        <v>25</v>
      </c>
      <c r="G641" s="40">
        <f t="shared" si="564"/>
        <v>21</v>
      </c>
      <c r="H641" s="40">
        <f t="shared" si="564"/>
        <v>18</v>
      </c>
      <c r="I641" s="40">
        <f t="shared" si="564"/>
        <v>19</v>
      </c>
      <c r="J641" s="40">
        <f t="shared" si="564"/>
        <v>20</v>
      </c>
      <c r="K641" s="40">
        <f t="shared" ref="K641" si="565" xml:space="preserve"> K638 * K639 * K640</f>
        <v>19</v>
      </c>
      <c r="L641" s="40">
        <f t="shared" ref="L641:M641" si="566" xml:space="preserve"> L638 * L639 * L640</f>
        <v>19</v>
      </c>
      <c r="M641" s="40">
        <f t="shared" si="566"/>
        <v>19</v>
      </c>
      <c r="N641" s="40">
        <f t="shared" ref="N641:O641" si="567" xml:space="preserve"> N638 * N639 * N640</f>
        <v>19</v>
      </c>
      <c r="O641" s="40">
        <f t="shared" si="567"/>
        <v>19</v>
      </c>
      <c r="P641" s="40">
        <f t="shared" ref="P641" si="568" xml:space="preserve"> P638 * P639 * P640</f>
        <v>20</v>
      </c>
    </row>
    <row r="642" spans="1:16" x14ac:dyDescent="0.25">
      <c r="B642" s="19"/>
      <c r="C642" s="32"/>
      <c r="D642" s="39"/>
      <c r="E642" s="39"/>
      <c r="F642" s="39"/>
      <c r="G642" s="39"/>
      <c r="H642" s="39"/>
      <c r="I642" s="39"/>
      <c r="J642" s="39"/>
      <c r="K642" s="39"/>
      <c r="L642" s="39"/>
      <c r="M642" s="39"/>
      <c r="N642" s="39"/>
      <c r="O642" s="39"/>
      <c r="P642" s="39"/>
    </row>
    <row r="643" spans="1:16" ht="18.75" x14ac:dyDescent="0.3">
      <c r="A643" s="47" t="s">
        <v>30</v>
      </c>
      <c r="C643" s="32"/>
      <c r="D643" s="2">
        <f>D637</f>
        <v>2013</v>
      </c>
      <c r="E643" s="2">
        <f t="shared" ref="E643" si="569">D643+1</f>
        <v>2014</v>
      </c>
      <c r="F643" s="2">
        <f t="shared" ref="F643" si="570">E643+1</f>
        <v>2015</v>
      </c>
      <c r="G643" s="2">
        <f t="shared" ref="G643" si="571">F643+1</f>
        <v>2016</v>
      </c>
      <c r="H643" s="2">
        <f t="shared" ref="H643" si="572">G643+1</f>
        <v>2017</v>
      </c>
      <c r="I643" s="2">
        <f t="shared" ref="I643" si="573">H643+1</f>
        <v>2018</v>
      </c>
      <c r="J643" s="2">
        <f t="shared" ref="J643" si="574">I643+1</f>
        <v>2019</v>
      </c>
      <c r="K643" s="2">
        <f t="shared" ref="K643:P643" si="575">J643+1</f>
        <v>2020</v>
      </c>
      <c r="L643" s="2">
        <f t="shared" si="575"/>
        <v>2021</v>
      </c>
      <c r="M643" s="2">
        <f t="shared" si="575"/>
        <v>2022</v>
      </c>
      <c r="N643" s="2">
        <f t="shared" si="575"/>
        <v>2023</v>
      </c>
      <c r="O643" s="2">
        <f t="shared" si="575"/>
        <v>2024</v>
      </c>
      <c r="P643" s="2">
        <f t="shared" si="575"/>
        <v>2025</v>
      </c>
    </row>
    <row r="644" spans="1:16" x14ac:dyDescent="0.25">
      <c r="B644" s="86" t="s">
        <v>19</v>
      </c>
      <c r="C644" s="76"/>
      <c r="D644" s="56">
        <f>IF( $E234 = "Eligible", D641 * 'Facility Detail'!$B$802, 0 )</f>
        <v>0</v>
      </c>
      <c r="E644" s="56">
        <f>IF( $E234 = "Eligible", E641 * 'Facility Detail'!$B$802, 0 )</f>
        <v>0</v>
      </c>
      <c r="F644" s="56">
        <f>IF( $E234 = "Eligible", F641 * 'Facility Detail'!$B$802, 0 )</f>
        <v>0</v>
      </c>
      <c r="G644" s="56">
        <f>IF( $E234 = "Eligible", G641 * 'Facility Detail'!$B$802, 0 )</f>
        <v>0</v>
      </c>
      <c r="H644" s="56">
        <f>IF( $E234 = "Eligible", H641 * 'Facility Detail'!$B$802, 0 )</f>
        <v>0</v>
      </c>
      <c r="I644" s="56">
        <f>IF( $E234 = "Eligible", I641 * 'Facility Detail'!$B$802, 0 )</f>
        <v>0</v>
      </c>
      <c r="J644" s="56">
        <f>IF( $E234 = "Eligible", J641 * 'Facility Detail'!$B$802, 0 )</f>
        <v>0</v>
      </c>
      <c r="K644" s="56">
        <f>IF( $E234 = "Eligible", K641 * 'Facility Detail'!$B$802, 0 )</f>
        <v>0</v>
      </c>
      <c r="L644" s="56">
        <f>IF( $E234 = "Eligible", L641 * 'Facility Detail'!$B$802, 0 )</f>
        <v>0</v>
      </c>
      <c r="M644" s="56">
        <f>IF( $E234 = "Eligible", M641 * 'Facility Detail'!$B$802, 0 )</f>
        <v>0</v>
      </c>
      <c r="N644" s="56">
        <f>IF( $E234 = "Eligible", N641 * 'Facility Detail'!$B$802, 0 )</f>
        <v>0</v>
      </c>
      <c r="O644" s="56">
        <f>IF( $E234 = "Eligible", O641 * 'Facility Detail'!$B$802, 0 )</f>
        <v>0</v>
      </c>
      <c r="P644" s="56">
        <f>IF( $E234 = "Eligible", P641 * 'Facility Detail'!$B$802, 0 )</f>
        <v>0</v>
      </c>
    </row>
    <row r="645" spans="1:16" x14ac:dyDescent="0.25">
      <c r="B645" s="86" t="s">
        <v>6</v>
      </c>
      <c r="C645" s="76"/>
      <c r="D645" s="57">
        <f t="shared" ref="D645:M645" si="576">IF( $F18 = "Eligible", D641, 0 )</f>
        <v>0</v>
      </c>
      <c r="E645" s="58">
        <f t="shared" si="576"/>
        <v>0</v>
      </c>
      <c r="F645" s="59">
        <f t="shared" si="576"/>
        <v>25</v>
      </c>
      <c r="G645" s="59">
        <f t="shared" si="576"/>
        <v>21</v>
      </c>
      <c r="H645" s="59">
        <f t="shared" si="576"/>
        <v>18</v>
      </c>
      <c r="I645" s="59">
        <f t="shared" si="576"/>
        <v>19</v>
      </c>
      <c r="J645" s="59">
        <f t="shared" si="576"/>
        <v>20</v>
      </c>
      <c r="K645" s="59">
        <f t="shared" si="576"/>
        <v>19</v>
      </c>
      <c r="L645" s="59">
        <f t="shared" si="576"/>
        <v>19</v>
      </c>
      <c r="M645" s="59">
        <f t="shared" si="576"/>
        <v>19</v>
      </c>
      <c r="N645" s="59">
        <f t="shared" ref="N645:O645" si="577">IF( $F18 = "Eligible", N641, 0 )</f>
        <v>19</v>
      </c>
      <c r="O645" s="59">
        <f t="shared" si="577"/>
        <v>19</v>
      </c>
      <c r="P645" s="59">
        <f t="shared" ref="P645" si="578">IF( $F18 = "Eligible", P641, 0 )</f>
        <v>20</v>
      </c>
    </row>
    <row r="646" spans="1:16" x14ac:dyDescent="0.25">
      <c r="B646" s="85" t="s">
        <v>37</v>
      </c>
      <c r="C646" s="84"/>
      <c r="D646" s="42">
        <f t="shared" ref="D646:I646" si="579">SUM(D644:D645)</f>
        <v>0</v>
      </c>
      <c r="E646" s="43">
        <f t="shared" si="579"/>
        <v>0</v>
      </c>
      <c r="F646" s="43">
        <f t="shared" si="579"/>
        <v>25</v>
      </c>
      <c r="G646" s="43">
        <f t="shared" si="579"/>
        <v>21</v>
      </c>
      <c r="H646" s="43">
        <f t="shared" si="579"/>
        <v>18</v>
      </c>
      <c r="I646" s="43">
        <f t="shared" si="579"/>
        <v>19</v>
      </c>
      <c r="J646" s="43">
        <f t="shared" ref="J646:K646" si="580">SUM(J644:J645)</f>
        <v>20</v>
      </c>
      <c r="K646" s="43">
        <f t="shared" si="580"/>
        <v>19</v>
      </c>
      <c r="L646" s="43">
        <f t="shared" ref="L646:M646" si="581">SUM(L644:L645)</f>
        <v>19</v>
      </c>
      <c r="M646" s="43">
        <f t="shared" si="581"/>
        <v>19</v>
      </c>
      <c r="N646" s="43">
        <f t="shared" ref="N646:O646" si="582">SUM(N644:N645)</f>
        <v>19</v>
      </c>
      <c r="O646" s="43">
        <f t="shared" si="582"/>
        <v>19</v>
      </c>
      <c r="P646" s="43">
        <f t="shared" ref="P646" si="583">SUM(P644:P645)</f>
        <v>20</v>
      </c>
    </row>
    <row r="647" spans="1:16" x14ac:dyDescent="0.25">
      <c r="B647" s="32"/>
      <c r="C647" s="32"/>
      <c r="D647" s="41"/>
      <c r="E647" s="33"/>
      <c r="F647" s="33"/>
      <c r="G647" s="33"/>
      <c r="H647" s="33"/>
      <c r="I647" s="33"/>
      <c r="J647" s="33"/>
      <c r="K647" s="33"/>
      <c r="L647" s="33"/>
      <c r="M647" s="33"/>
      <c r="N647" s="33"/>
      <c r="O647" s="33"/>
      <c r="P647" s="33"/>
    </row>
    <row r="648" spans="1:16" ht="18.75" x14ac:dyDescent="0.3">
      <c r="A648" s="44" t="s">
        <v>35</v>
      </c>
      <c r="C648" s="32"/>
      <c r="D648" s="2">
        <f>D637</f>
        <v>2013</v>
      </c>
      <c r="E648" s="2">
        <f t="shared" ref="E648" si="584">D648+1</f>
        <v>2014</v>
      </c>
      <c r="F648" s="2">
        <f t="shared" ref="F648" si="585">E648+1</f>
        <v>2015</v>
      </c>
      <c r="G648" s="2">
        <f t="shared" ref="G648" si="586">F648+1</f>
        <v>2016</v>
      </c>
      <c r="H648" s="2">
        <f t="shared" ref="H648" si="587">G648+1</f>
        <v>2017</v>
      </c>
      <c r="I648" s="2">
        <f t="shared" ref="I648" si="588">H648+1</f>
        <v>2018</v>
      </c>
      <c r="J648" s="2">
        <f t="shared" ref="J648" si="589">I648+1</f>
        <v>2019</v>
      </c>
      <c r="K648" s="2">
        <f t="shared" ref="K648:P648" si="590">J648+1</f>
        <v>2020</v>
      </c>
      <c r="L648" s="2">
        <f t="shared" si="590"/>
        <v>2021</v>
      </c>
      <c r="M648" s="2">
        <f t="shared" si="590"/>
        <v>2022</v>
      </c>
      <c r="N648" s="2">
        <f t="shared" si="590"/>
        <v>2023</v>
      </c>
      <c r="O648" s="2">
        <f t="shared" si="590"/>
        <v>2024</v>
      </c>
      <c r="P648" s="2">
        <f t="shared" si="590"/>
        <v>2025</v>
      </c>
    </row>
    <row r="649" spans="1:16" x14ac:dyDescent="0.25">
      <c r="B649" s="86" t="s">
        <v>100</v>
      </c>
      <c r="C649" s="76"/>
      <c r="D649" s="94">
        <v>0</v>
      </c>
      <c r="E649" s="95">
        <v>0</v>
      </c>
      <c r="F649" s="96">
        <v>-25</v>
      </c>
      <c r="G649" s="96">
        <v>-21</v>
      </c>
      <c r="H649" s="96">
        <v>-18</v>
      </c>
      <c r="I649" s="96">
        <v>-19</v>
      </c>
      <c r="J649" s="96">
        <v>-20</v>
      </c>
      <c r="K649" s="96">
        <v>-19</v>
      </c>
      <c r="L649" s="96">
        <v>-19</v>
      </c>
      <c r="M649" s="96">
        <v>-19</v>
      </c>
      <c r="N649" s="96">
        <v>-19</v>
      </c>
      <c r="O649" s="96">
        <v>-19</v>
      </c>
      <c r="P649" s="96">
        <v>-19</v>
      </c>
    </row>
    <row r="650" spans="1:16" x14ac:dyDescent="0.25">
      <c r="B650" s="87" t="s">
        <v>29</v>
      </c>
      <c r="C650" s="88"/>
      <c r="D650" s="97">
        <v>0</v>
      </c>
      <c r="E650" s="98">
        <v>0</v>
      </c>
      <c r="F650" s="99">
        <v>0</v>
      </c>
      <c r="G650" s="99">
        <v>0</v>
      </c>
      <c r="H650" s="99">
        <v>0</v>
      </c>
      <c r="I650" s="99">
        <v>0</v>
      </c>
      <c r="J650" s="99">
        <v>0</v>
      </c>
      <c r="K650" s="99">
        <v>0</v>
      </c>
      <c r="L650" s="99">
        <v>0</v>
      </c>
      <c r="M650" s="99">
        <v>0</v>
      </c>
      <c r="N650" s="99">
        <v>0</v>
      </c>
      <c r="O650" s="99">
        <v>0</v>
      </c>
      <c r="P650" s="99">
        <v>0</v>
      </c>
    </row>
    <row r="651" spans="1:16" x14ac:dyDescent="0.25">
      <c r="B651" s="100" t="s">
        <v>41</v>
      </c>
      <c r="C651" s="92"/>
      <c r="D651" s="63"/>
      <c r="E651" s="64"/>
      <c r="F651" s="65">
        <v>-25</v>
      </c>
      <c r="G651" s="65">
        <v>-21</v>
      </c>
      <c r="H651" s="65">
        <v>-18</v>
      </c>
      <c r="I651" s="65">
        <v>-19</v>
      </c>
      <c r="J651" s="65">
        <v>-20</v>
      </c>
      <c r="K651" s="65">
        <v>-19</v>
      </c>
      <c r="L651" s="65">
        <v>-19</v>
      </c>
      <c r="M651" s="65">
        <v>-19</v>
      </c>
      <c r="N651" s="65">
        <v>-19</v>
      </c>
      <c r="O651" s="65">
        <v>-19</v>
      </c>
      <c r="P651" s="65">
        <v>-19</v>
      </c>
    </row>
    <row r="652" spans="1:16" x14ac:dyDescent="0.25">
      <c r="B652" s="35" t="s">
        <v>42</v>
      </c>
      <c r="D652" s="7">
        <f t="shared" ref="D652:J652" si="591">SUM(D649:D651)</f>
        <v>0</v>
      </c>
      <c r="E652" s="7">
        <f t="shared" si="591"/>
        <v>0</v>
      </c>
      <c r="F652" s="7">
        <f t="shared" si="591"/>
        <v>-50</v>
      </c>
      <c r="G652" s="7">
        <f t="shared" si="591"/>
        <v>-42</v>
      </c>
      <c r="H652" s="7">
        <f t="shared" si="591"/>
        <v>-36</v>
      </c>
      <c r="I652" s="7">
        <f t="shared" si="591"/>
        <v>-38</v>
      </c>
      <c r="J652" s="7">
        <f t="shared" si="591"/>
        <v>-40</v>
      </c>
      <c r="K652" s="7">
        <f t="shared" ref="K652" si="592">SUM(K649:K651)</f>
        <v>-38</v>
      </c>
      <c r="L652" s="7">
        <f t="shared" ref="L652:M652" si="593">SUM(L649:L651)</f>
        <v>-38</v>
      </c>
      <c r="M652" s="7">
        <f t="shared" si="593"/>
        <v>-38</v>
      </c>
      <c r="N652" s="7">
        <f t="shared" ref="N652:O652" si="594">SUM(N649:N651)</f>
        <v>-38</v>
      </c>
      <c r="O652" s="7">
        <f t="shared" si="594"/>
        <v>-38</v>
      </c>
      <c r="P652" s="7">
        <f t="shared" ref="P652" si="595">SUM(P649:P651)</f>
        <v>-38</v>
      </c>
    </row>
    <row r="653" spans="1:16" x14ac:dyDescent="0.25">
      <c r="B653" s="6"/>
      <c r="D653" s="7"/>
      <c r="E653" s="7"/>
      <c r="F653" s="7"/>
      <c r="G653" s="7"/>
      <c r="H653" s="7"/>
      <c r="I653" s="7"/>
      <c r="J653" s="7"/>
      <c r="K653" s="7"/>
      <c r="L653" s="7"/>
      <c r="M653" s="7"/>
      <c r="N653" s="7"/>
      <c r="O653" s="7"/>
      <c r="P653" s="7"/>
    </row>
    <row r="654" spans="1:16" ht="18.75" x14ac:dyDescent="0.3">
      <c r="A654" s="9" t="s">
        <v>43</v>
      </c>
      <c r="D654" s="2">
        <f>D637</f>
        <v>2013</v>
      </c>
      <c r="E654" s="2">
        <f t="shared" ref="E654" si="596">D654+1</f>
        <v>2014</v>
      </c>
      <c r="F654" s="2">
        <f t="shared" ref="F654" si="597">E654+1</f>
        <v>2015</v>
      </c>
      <c r="G654" s="2">
        <f t="shared" ref="G654" si="598">F654+1</f>
        <v>2016</v>
      </c>
      <c r="H654" s="2">
        <f t="shared" ref="H654" si="599">G654+1</f>
        <v>2017</v>
      </c>
      <c r="I654" s="2">
        <f t="shared" ref="I654" si="600">H654+1</f>
        <v>2018</v>
      </c>
      <c r="J654" s="2">
        <f t="shared" ref="J654" si="601">I654+1</f>
        <v>2019</v>
      </c>
      <c r="K654" s="2">
        <f t="shared" ref="K654:P654" si="602">J654+1</f>
        <v>2020</v>
      </c>
      <c r="L654" s="2">
        <f t="shared" si="602"/>
        <v>2021</v>
      </c>
      <c r="M654" s="2">
        <f t="shared" si="602"/>
        <v>2022</v>
      </c>
      <c r="N654" s="2">
        <f t="shared" si="602"/>
        <v>2023</v>
      </c>
      <c r="O654" s="2">
        <f t="shared" si="602"/>
        <v>2024</v>
      </c>
      <c r="P654" s="2">
        <f t="shared" si="602"/>
        <v>2025</v>
      </c>
    </row>
    <row r="655" spans="1:16" x14ac:dyDescent="0.25">
      <c r="B655" s="86" t="str">
        <f xml:space="preserve"> 'Facility Detail'!$B$805 &amp; " Surplus Applied to " &amp; ( 'Facility Detail'!$B$805 + 1 )</f>
        <v>2013 Surplus Applied to 2014</v>
      </c>
      <c r="C655" s="76"/>
      <c r="D655" s="3"/>
      <c r="E655" s="66">
        <f>D655</f>
        <v>0</v>
      </c>
      <c r="F655" s="136"/>
      <c r="G655" s="68"/>
      <c r="H655" s="68"/>
      <c r="I655" s="68"/>
      <c r="J655" s="68"/>
      <c r="K655" s="68"/>
      <c r="L655" s="68"/>
      <c r="M655" s="68"/>
      <c r="N655" s="68"/>
      <c r="O655" s="68"/>
      <c r="P655" s="68"/>
    </row>
    <row r="656" spans="1:16" x14ac:dyDescent="0.25">
      <c r="B656" s="86" t="str">
        <f xml:space="preserve"> ( 'Facility Detail'!$B$805 + 1 ) &amp; " Surplus Applied to " &amp; ( 'Facility Detail'!$B$805 )</f>
        <v>2014 Surplus Applied to 2013</v>
      </c>
      <c r="C656" s="76"/>
      <c r="D656" s="137">
        <f>E656</f>
        <v>0</v>
      </c>
      <c r="E656" s="10"/>
      <c r="F656" s="80"/>
      <c r="G656" s="79"/>
      <c r="H656" s="79"/>
      <c r="I656" s="79"/>
      <c r="J656" s="79"/>
      <c r="K656" s="79"/>
      <c r="L656" s="79"/>
      <c r="M656" s="79"/>
      <c r="N656" s="79"/>
      <c r="O656" s="79"/>
      <c r="P656" s="79"/>
    </row>
    <row r="657" spans="1:16" x14ac:dyDescent="0.25">
      <c r="B657" s="86" t="str">
        <f xml:space="preserve"> ( 'Facility Detail'!$B$805 + 1 ) &amp; " Surplus Applied to " &amp; ( 'Facility Detail'!$B$805 + 2 )</f>
        <v>2014 Surplus Applied to 2015</v>
      </c>
      <c r="C657" s="76"/>
      <c r="D657" s="69"/>
      <c r="E657" s="10"/>
      <c r="F657" s="75">
        <f>E657</f>
        <v>0</v>
      </c>
      <c r="G657" s="79"/>
      <c r="H657" s="79"/>
      <c r="I657" s="79"/>
      <c r="J657" s="79"/>
      <c r="K657" s="79"/>
      <c r="L657" s="79"/>
      <c r="M657" s="79"/>
      <c r="N657" s="79"/>
      <c r="O657" s="79"/>
      <c r="P657" s="79"/>
    </row>
    <row r="658" spans="1:16" x14ac:dyDescent="0.25">
      <c r="B658" s="86" t="str">
        <f xml:space="preserve"> ( 'Facility Detail'!$B$805 + 2 ) &amp; " Surplus Applied to " &amp; ( 'Facility Detail'!$B$805 + 1 )</f>
        <v>2015 Surplus Applied to 2014</v>
      </c>
      <c r="C658" s="76"/>
      <c r="D658" s="69"/>
      <c r="E658" s="75">
        <f>F658</f>
        <v>0</v>
      </c>
      <c r="F658" s="10"/>
      <c r="G658" s="79"/>
      <c r="H658" s="79"/>
      <c r="I658" s="79"/>
      <c r="J658" s="79"/>
      <c r="K658" s="79"/>
      <c r="L658" s="79"/>
      <c r="M658" s="79"/>
      <c r="N658" s="79"/>
      <c r="O658" s="79"/>
      <c r="P658" s="79"/>
    </row>
    <row r="659" spans="1:16" x14ac:dyDescent="0.25">
      <c r="B659" s="86" t="str">
        <f xml:space="preserve"> ( 'Facility Detail'!$B$805 + 2 ) &amp; " Surplus Applied to " &amp; ( 'Facility Detail'!$B$805 + 3 )</f>
        <v>2015 Surplus Applied to 2016</v>
      </c>
      <c r="C659" s="32"/>
      <c r="D659" s="69"/>
      <c r="E659" s="80"/>
      <c r="F659" s="10"/>
      <c r="G659" s="138">
        <f>F659</f>
        <v>0</v>
      </c>
      <c r="H659" s="79"/>
      <c r="I659" s="79">
        <f>H659</f>
        <v>0</v>
      </c>
      <c r="J659" s="79">
        <f>I659</f>
        <v>0</v>
      </c>
      <c r="K659" s="79"/>
      <c r="L659" s="79"/>
      <c r="M659" s="79"/>
      <c r="N659" s="79"/>
      <c r="O659" s="79"/>
      <c r="P659" s="79"/>
    </row>
    <row r="660" spans="1:16" x14ac:dyDescent="0.25">
      <c r="B660" s="86" t="str">
        <f xml:space="preserve"> ( 'Facility Detail'!$B$805 +3 ) &amp; " Surplus Applied to " &amp; ( 'Facility Detail'!$B$805 + 2 )</f>
        <v>2016 Surplus Applied to 2015</v>
      </c>
      <c r="C660" s="32"/>
      <c r="D660" s="70"/>
      <c r="E660" s="81"/>
      <c r="F660" s="67">
        <f>G660</f>
        <v>0</v>
      </c>
      <c r="G660" s="10"/>
      <c r="H660" s="79"/>
      <c r="I660" s="79"/>
      <c r="J660" s="79"/>
      <c r="K660" s="79"/>
      <c r="L660" s="79"/>
      <c r="M660" s="79"/>
      <c r="N660" s="79"/>
      <c r="O660" s="79"/>
      <c r="P660" s="79"/>
    </row>
    <row r="661" spans="1:16" x14ac:dyDescent="0.25">
      <c r="B661" s="86" t="str">
        <f xml:space="preserve"> ( 'Facility Detail'!$B$805 +3 ) &amp; " Surplus Applied to " &amp; ( 'Facility Detail'!$B$805 + 4 )</f>
        <v>2016 Surplus Applied to 2017</v>
      </c>
      <c r="C661" s="32"/>
      <c r="D661" s="142"/>
      <c r="E661" s="142"/>
      <c r="F661" s="79"/>
      <c r="G661" s="10"/>
      <c r="H661" s="147">
        <f>G661</f>
        <v>0</v>
      </c>
      <c r="I661" s="79"/>
      <c r="J661" s="79"/>
      <c r="K661" s="79"/>
      <c r="L661" s="79"/>
      <c r="M661" s="79"/>
      <c r="N661" s="79"/>
      <c r="O661" s="79"/>
      <c r="P661" s="79"/>
    </row>
    <row r="662" spans="1:16" x14ac:dyDescent="0.25">
      <c r="B662" s="86" t="str">
        <f xml:space="preserve"> ( 'Facility Detail'!$B$805 + 4 ) &amp; " Surplus Applied to " &amp; ( 'Facility Detail'!$B$805 + 3 )</f>
        <v>2017 Surplus Applied to 2016</v>
      </c>
      <c r="C662" s="32"/>
      <c r="D662" s="142"/>
      <c r="E662" s="142"/>
      <c r="F662" s="79"/>
      <c r="G662" s="147">
        <f>H662</f>
        <v>0</v>
      </c>
      <c r="H662" s="10"/>
      <c r="I662" s="79"/>
      <c r="J662" s="79"/>
      <c r="K662" s="79"/>
      <c r="L662" s="79"/>
      <c r="M662" s="79"/>
      <c r="N662" s="79"/>
      <c r="O662" s="79"/>
      <c r="P662" s="79"/>
    </row>
    <row r="663" spans="1:16" x14ac:dyDescent="0.25">
      <c r="B663" s="86" t="str">
        <f xml:space="preserve"> ( 'Facility Detail'!$B$805 + 4 ) &amp; " Surplus Applied to " &amp; ( 'Facility Detail'!$B$805 + 5 )</f>
        <v>2017 Surplus Applied to 2018</v>
      </c>
      <c r="C663" s="32"/>
      <c r="D663" s="142"/>
      <c r="E663" s="142"/>
      <c r="F663" s="79"/>
      <c r="G663" s="79"/>
      <c r="H663" s="10"/>
      <c r="I663" s="147">
        <f>H663</f>
        <v>0</v>
      </c>
      <c r="J663" s="147">
        <f>I663</f>
        <v>0</v>
      </c>
      <c r="K663" s="147"/>
      <c r="L663" s="147"/>
      <c r="M663" s="147"/>
      <c r="N663" s="147"/>
      <c r="O663" s="147"/>
      <c r="P663" s="147"/>
    </row>
    <row r="664" spans="1:16" x14ac:dyDescent="0.25">
      <c r="B664" s="86" t="str">
        <f xml:space="preserve"> ( 'Facility Detail'!$B$805 + 5 ) &amp; " Surplus Applied to " &amp; ( 'Facility Detail'!$B$805 + 4 )</f>
        <v>2018 Surplus Applied to 2017</v>
      </c>
      <c r="C664" s="32"/>
      <c r="D664" s="142"/>
      <c r="E664" s="142"/>
      <c r="F664" s="79"/>
      <c r="G664" s="79"/>
      <c r="H664" s="147">
        <f>I664</f>
        <v>0</v>
      </c>
      <c r="I664" s="10"/>
      <c r="J664" s="10"/>
      <c r="K664" s="10"/>
      <c r="L664" s="10"/>
      <c r="M664" s="10"/>
      <c r="N664" s="10"/>
      <c r="O664" s="10"/>
      <c r="P664" s="10"/>
    </row>
    <row r="665" spans="1:16" x14ac:dyDescent="0.25">
      <c r="B665" s="86" t="str">
        <f xml:space="preserve"> ( 'Facility Detail'!$B$805 + 5 ) &amp; " Surplus Applied to " &amp; ( 'Facility Detail'!$B$805 + 6 )</f>
        <v>2018 Surplus Applied to 2019</v>
      </c>
      <c r="C665" s="32"/>
      <c r="D665" s="142"/>
      <c r="E665" s="142"/>
      <c r="F665" s="79"/>
      <c r="G665" s="79"/>
      <c r="H665" s="79"/>
      <c r="I665" s="10"/>
      <c r="J665" s="10"/>
      <c r="K665" s="10"/>
      <c r="L665" s="10"/>
      <c r="M665" s="10"/>
      <c r="N665" s="10"/>
      <c r="O665" s="10"/>
      <c r="P665" s="10"/>
    </row>
    <row r="666" spans="1:16" x14ac:dyDescent="0.25">
      <c r="B666" s="35" t="s">
        <v>25</v>
      </c>
      <c r="D666" s="7">
        <f xml:space="preserve"> D656 - D655</f>
        <v>0</v>
      </c>
      <c r="E666" s="7">
        <f xml:space="preserve"> E655 + E658 - E657 - E656</f>
        <v>0</v>
      </c>
      <c r="F666" s="7">
        <f>F657+F660-F658-F659</f>
        <v>0</v>
      </c>
      <c r="G666" s="7">
        <f>G659-G660</f>
        <v>0</v>
      </c>
      <c r="H666" s="7">
        <f>H659-H660</f>
        <v>0</v>
      </c>
      <c r="I666" s="7">
        <f>I659-I660</f>
        <v>0</v>
      </c>
      <c r="J666" s="7">
        <f>J659-J660</f>
        <v>0</v>
      </c>
      <c r="K666" s="7"/>
      <c r="L666" s="7"/>
      <c r="M666" s="7"/>
      <c r="N666" s="7"/>
      <c r="O666" s="7"/>
      <c r="P666" s="7"/>
    </row>
    <row r="667" spans="1:16" x14ac:dyDescent="0.25">
      <c r="B667" s="6"/>
      <c r="D667" s="7"/>
      <c r="E667" s="7"/>
      <c r="F667" s="7"/>
      <c r="G667" s="7"/>
      <c r="H667" s="7"/>
      <c r="I667" s="7"/>
      <c r="J667" s="7"/>
      <c r="K667" s="7"/>
      <c r="L667" s="7"/>
      <c r="M667" s="7"/>
      <c r="N667" s="7"/>
      <c r="O667" s="7"/>
      <c r="P667" s="7"/>
    </row>
    <row r="668" spans="1:16" x14ac:dyDescent="0.25">
      <c r="B668" s="93" t="s">
        <v>21</v>
      </c>
      <c r="C668" s="76"/>
      <c r="D668" s="107"/>
      <c r="E668" s="108"/>
      <c r="F668" s="109"/>
      <c r="G668" s="109"/>
      <c r="H668" s="109"/>
      <c r="I668" s="109"/>
      <c r="J668" s="109"/>
      <c r="K668" s="109"/>
      <c r="L668" s="109"/>
      <c r="M668" s="109"/>
      <c r="N668" s="109"/>
      <c r="O668" s="109"/>
      <c r="P668" s="109"/>
    </row>
    <row r="669" spans="1:16" x14ac:dyDescent="0.25">
      <c r="B669" s="6"/>
      <c r="D669" s="7"/>
      <c r="E669" s="7"/>
      <c r="F669" s="7"/>
      <c r="G669" s="7"/>
      <c r="H669" s="7"/>
      <c r="I669" s="7"/>
      <c r="J669" s="7"/>
      <c r="K669" s="7"/>
      <c r="L669" s="7"/>
      <c r="M669" s="7"/>
      <c r="N669" s="7"/>
      <c r="O669" s="7"/>
      <c r="P669" s="7"/>
    </row>
    <row r="670" spans="1:16" ht="15.75" x14ac:dyDescent="0.25">
      <c r="A670" s="89" t="s">
        <v>33</v>
      </c>
      <c r="C670" s="76"/>
      <c r="D670" s="48">
        <f t="shared" ref="D670:K670" si="603" xml:space="preserve"> D641 + D646 + D652 + D666 + D668</f>
        <v>0</v>
      </c>
      <c r="E670" s="49">
        <f t="shared" si="603"/>
        <v>0</v>
      </c>
      <c r="F670" s="50">
        <f t="shared" si="603"/>
        <v>0</v>
      </c>
      <c r="G670" s="50">
        <f t="shared" si="603"/>
        <v>0</v>
      </c>
      <c r="H670" s="50">
        <f t="shared" si="603"/>
        <v>0</v>
      </c>
      <c r="I670" s="50">
        <f t="shared" si="603"/>
        <v>0</v>
      </c>
      <c r="J670" s="50">
        <f t="shared" si="603"/>
        <v>0</v>
      </c>
      <c r="K670" s="50">
        <f t="shared" si="603"/>
        <v>0</v>
      </c>
      <c r="L670" s="50">
        <f t="shared" ref="L670:M670" si="604" xml:space="preserve"> L641 + L646 + L652 + L666 + L668</f>
        <v>0</v>
      </c>
      <c r="M670" s="50">
        <f t="shared" si="604"/>
        <v>0</v>
      </c>
      <c r="N670" s="50">
        <f t="shared" ref="N670:O670" si="605" xml:space="preserve"> N641 + N646 + N652 + N666 + N668</f>
        <v>0</v>
      </c>
      <c r="O670" s="50">
        <f t="shared" si="605"/>
        <v>0</v>
      </c>
      <c r="P670" s="50">
        <f t="shared" ref="P670" si="606" xml:space="preserve"> P641 + P646 + P652 + P666 + P668</f>
        <v>2</v>
      </c>
    </row>
    <row r="671" spans="1:16" x14ac:dyDescent="0.25">
      <c r="B671" s="6"/>
      <c r="D671" s="7"/>
      <c r="E671" s="7"/>
      <c r="F671" s="7"/>
      <c r="G671" s="31"/>
      <c r="H671" s="31"/>
      <c r="I671" s="31"/>
      <c r="J671" s="31"/>
      <c r="K671" s="31"/>
      <c r="L671" s="31"/>
      <c r="M671" s="31"/>
      <c r="N671" s="31"/>
      <c r="O671" s="31"/>
      <c r="P671" s="31"/>
    </row>
    <row r="672" spans="1:16" x14ac:dyDescent="0.25">
      <c r="A672" s="1" t="s">
        <v>111</v>
      </c>
      <c r="B672" s="6"/>
      <c r="D672" s="7"/>
      <c r="E672" s="7"/>
      <c r="F672" s="7"/>
      <c r="G672" s="31"/>
      <c r="H672" s="31"/>
      <c r="I672" s="31"/>
      <c r="J672" s="31"/>
      <c r="K672" s="31"/>
      <c r="L672" s="31"/>
    </row>
    <row r="673" spans="1:16" ht="15.75" customHeight="1" thickBot="1" x14ac:dyDescent="0.3">
      <c r="A673" s="195" t="s">
        <v>112</v>
      </c>
      <c r="B673" s="195"/>
      <c r="C673" s="195"/>
      <c r="D673" s="195"/>
      <c r="E673" s="195"/>
      <c r="F673" s="195"/>
      <c r="G673" s="164"/>
      <c r="H673" s="164"/>
      <c r="I673" s="164"/>
      <c r="J673" s="164"/>
      <c r="K673" s="170"/>
      <c r="L673" s="171"/>
    </row>
    <row r="674" spans="1:16" x14ac:dyDescent="0.25">
      <c r="A674" s="8"/>
      <c r="B674" s="8"/>
      <c r="C674" s="8"/>
      <c r="D674" s="8"/>
      <c r="E674" s="8"/>
      <c r="F674" s="8"/>
      <c r="G674" s="8"/>
      <c r="H674" s="8"/>
      <c r="I674" s="8"/>
      <c r="J674" s="8"/>
      <c r="K674" s="8"/>
      <c r="L674" s="8"/>
    </row>
    <row r="675" spans="1:16" ht="21" x14ac:dyDescent="0.35">
      <c r="A675" s="16" t="s">
        <v>4</v>
      </c>
      <c r="B675" s="16"/>
      <c r="C675" s="45" t="str">
        <f>B19</f>
        <v>Adams-Neilson Solar Farm</v>
      </c>
      <c r="D675" s="46"/>
      <c r="E675" s="19"/>
      <c r="F675" s="19"/>
    </row>
    <row r="677" spans="1:16" ht="18.75" x14ac:dyDescent="0.3">
      <c r="A677" s="9" t="s">
        <v>85</v>
      </c>
      <c r="B677" s="9"/>
      <c r="D677" s="2">
        <v>2013</v>
      </c>
      <c r="E677" s="2">
        <f t="shared" ref="E677" si="607">D677+1</f>
        <v>2014</v>
      </c>
      <c r="F677" s="2">
        <f t="shared" ref="F677" si="608">E677+1</f>
        <v>2015</v>
      </c>
      <c r="G677" s="2">
        <f t="shared" ref="G677" si="609">F677+1</f>
        <v>2016</v>
      </c>
      <c r="H677" s="2">
        <f t="shared" ref="H677" si="610">G677+1</f>
        <v>2017</v>
      </c>
      <c r="I677" s="2">
        <f t="shared" ref="I677" si="611">H677+1</f>
        <v>2018</v>
      </c>
      <c r="J677" s="2">
        <f t="shared" ref="J677" si="612">I677+1</f>
        <v>2019</v>
      </c>
      <c r="K677" s="2">
        <f t="shared" ref="K677:P677" si="613">J677+1</f>
        <v>2020</v>
      </c>
      <c r="L677" s="2">
        <f t="shared" si="613"/>
        <v>2021</v>
      </c>
      <c r="M677" s="2">
        <f t="shared" si="613"/>
        <v>2022</v>
      </c>
      <c r="N677" s="2">
        <f t="shared" si="613"/>
        <v>2023</v>
      </c>
      <c r="O677" s="2">
        <f t="shared" si="613"/>
        <v>2024</v>
      </c>
      <c r="P677" s="2">
        <f t="shared" si="613"/>
        <v>2025</v>
      </c>
    </row>
    <row r="678" spans="1:16" x14ac:dyDescent="0.25">
      <c r="B678" s="86" t="str">
        <f>"Total MWh Produced / Purchased from " &amp; C675</f>
        <v>Total MWh Produced / Purchased from Adams-Neilson Solar Farm</v>
      </c>
      <c r="C678" s="76"/>
      <c r="D678" s="3">
        <v>0</v>
      </c>
      <c r="E678" s="4">
        <v>0</v>
      </c>
      <c r="F678" s="5">
        <v>0</v>
      </c>
      <c r="G678" s="5">
        <v>0</v>
      </c>
      <c r="H678" s="5">
        <v>0</v>
      </c>
      <c r="I678" s="5">
        <v>667</v>
      </c>
      <c r="J678" s="5">
        <v>42346</v>
      </c>
      <c r="K678" s="5">
        <v>45281</v>
      </c>
      <c r="L678" s="5">
        <v>43328</v>
      </c>
      <c r="M678" s="5">
        <v>34809</v>
      </c>
      <c r="N678" s="5">
        <v>41441</v>
      </c>
      <c r="O678" s="5">
        <v>41441</v>
      </c>
      <c r="P678" s="5">
        <v>41441</v>
      </c>
    </row>
    <row r="679" spans="1:16" x14ac:dyDescent="0.25">
      <c r="B679" s="86" t="s">
        <v>32</v>
      </c>
      <c r="C679" s="76"/>
      <c r="D679" s="60">
        <v>1</v>
      </c>
      <c r="E679" s="61">
        <v>1</v>
      </c>
      <c r="F679" s="62">
        <v>1</v>
      </c>
      <c r="G679" s="62">
        <v>1</v>
      </c>
      <c r="H679" s="62">
        <v>1</v>
      </c>
      <c r="I679" s="62">
        <v>1</v>
      </c>
      <c r="J679" s="62">
        <v>1</v>
      </c>
      <c r="K679" s="62">
        <v>1</v>
      </c>
      <c r="L679" s="62">
        <v>1</v>
      </c>
      <c r="M679" s="62">
        <v>1</v>
      </c>
      <c r="N679" s="62">
        <v>1</v>
      </c>
      <c r="O679" s="62">
        <v>1</v>
      </c>
      <c r="P679" s="62">
        <v>1</v>
      </c>
    </row>
    <row r="680" spans="1:16" x14ac:dyDescent="0.25">
      <c r="B680" s="86" t="s">
        <v>26</v>
      </c>
      <c r="C680" s="76"/>
      <c r="D680" s="53">
        <v>1</v>
      </c>
      <c r="E680" s="54">
        <v>1</v>
      </c>
      <c r="F680" s="55">
        <v>1</v>
      </c>
      <c r="G680" s="55">
        <v>1</v>
      </c>
      <c r="H680" s="55">
        <v>1</v>
      </c>
      <c r="I680" s="55">
        <v>1</v>
      </c>
      <c r="J680" s="55">
        <v>1</v>
      </c>
      <c r="K680" s="55">
        <v>1</v>
      </c>
      <c r="L680" s="55">
        <v>1</v>
      </c>
      <c r="M680" s="55">
        <v>1</v>
      </c>
      <c r="N680" s="55">
        <v>1</v>
      </c>
      <c r="O680" s="55">
        <v>1</v>
      </c>
      <c r="P680" s="55">
        <v>1</v>
      </c>
    </row>
    <row r="681" spans="1:16" x14ac:dyDescent="0.25">
      <c r="B681" s="83" t="s">
        <v>28</v>
      </c>
      <c r="C681" s="84"/>
      <c r="D681" s="40">
        <f t="shared" ref="D681:J681" si="614" xml:space="preserve"> D678 * D679 * D680</f>
        <v>0</v>
      </c>
      <c r="E681" s="40">
        <f t="shared" si="614"/>
        <v>0</v>
      </c>
      <c r="F681" s="40">
        <f t="shared" si="614"/>
        <v>0</v>
      </c>
      <c r="G681" s="40">
        <f t="shared" si="614"/>
        <v>0</v>
      </c>
      <c r="H681" s="40">
        <f t="shared" si="614"/>
        <v>0</v>
      </c>
      <c r="I681" s="40">
        <f t="shared" si="614"/>
        <v>667</v>
      </c>
      <c r="J681" s="40">
        <f t="shared" si="614"/>
        <v>42346</v>
      </c>
      <c r="K681" s="40">
        <f t="shared" ref="K681" si="615" xml:space="preserve"> K678 * K679 * K680</f>
        <v>45281</v>
      </c>
      <c r="L681" s="40">
        <f t="shared" ref="L681:M681" si="616" xml:space="preserve"> L678 * L679 * L680</f>
        <v>43328</v>
      </c>
      <c r="M681" s="40">
        <f t="shared" si="616"/>
        <v>34809</v>
      </c>
      <c r="N681" s="40">
        <f t="shared" ref="N681:O681" si="617" xml:space="preserve"> N678 * N679 * N680</f>
        <v>41441</v>
      </c>
      <c r="O681" s="40">
        <f t="shared" si="617"/>
        <v>41441</v>
      </c>
      <c r="P681" s="40">
        <f t="shared" ref="P681" si="618" xml:space="preserve"> P678 * P679 * P680</f>
        <v>41441</v>
      </c>
    </row>
    <row r="682" spans="1:16" x14ac:dyDescent="0.25">
      <c r="B682" s="19"/>
      <c r="C682" s="32"/>
      <c r="D682" s="39"/>
      <c r="E682" s="39"/>
      <c r="F682" s="39"/>
      <c r="G682" s="39"/>
      <c r="H682" s="39"/>
      <c r="I682" s="39"/>
      <c r="J682" s="39"/>
      <c r="K682" s="39"/>
      <c r="L682" s="39"/>
      <c r="M682" s="39"/>
      <c r="N682" s="39"/>
      <c r="O682" s="39"/>
      <c r="P682" s="39"/>
    </row>
    <row r="683" spans="1:16" ht="18.75" x14ac:dyDescent="0.3">
      <c r="A683" s="47" t="s">
        <v>30</v>
      </c>
      <c r="C683" s="32"/>
      <c r="D683" s="2">
        <f>D677</f>
        <v>2013</v>
      </c>
      <c r="E683" s="2">
        <f t="shared" ref="E683" si="619">D683+1</f>
        <v>2014</v>
      </c>
      <c r="F683" s="2">
        <f t="shared" ref="F683" si="620">E683+1</f>
        <v>2015</v>
      </c>
      <c r="G683" s="2">
        <f t="shared" ref="G683" si="621">F683+1</f>
        <v>2016</v>
      </c>
      <c r="H683" s="2">
        <f t="shared" ref="H683" si="622">G683+1</f>
        <v>2017</v>
      </c>
      <c r="I683" s="2">
        <f t="shared" ref="I683" si="623">H683+1</f>
        <v>2018</v>
      </c>
      <c r="J683" s="2">
        <f t="shared" ref="J683" si="624">I683+1</f>
        <v>2019</v>
      </c>
      <c r="K683" s="2">
        <f t="shared" ref="K683:P683" si="625">J683+1</f>
        <v>2020</v>
      </c>
      <c r="L683" s="2">
        <f t="shared" si="625"/>
        <v>2021</v>
      </c>
      <c r="M683" s="2">
        <f t="shared" si="625"/>
        <v>2022</v>
      </c>
      <c r="N683" s="2">
        <f t="shared" si="625"/>
        <v>2023</v>
      </c>
      <c r="O683" s="2">
        <f t="shared" si="625"/>
        <v>2024</v>
      </c>
      <c r="P683" s="2">
        <f t="shared" si="625"/>
        <v>2025</v>
      </c>
    </row>
    <row r="684" spans="1:16" x14ac:dyDescent="0.25">
      <c r="B684" s="86" t="s">
        <v>113</v>
      </c>
      <c r="C684" s="76"/>
      <c r="D684" s="56">
        <f>IF( $E274 = "Eligible", D681 * 'Facility Detail'!$B$802, 0 )</f>
        <v>0</v>
      </c>
      <c r="E684" s="56">
        <f>IF( $E274 = "Eligible", E681 * 'Facility Detail'!$B$802, 0 )</f>
        <v>0</v>
      </c>
      <c r="F684" s="56">
        <f>IF( $E274 = "Eligible", F681 * 'Facility Detail'!$B$802, 0 )</f>
        <v>0</v>
      </c>
      <c r="G684" s="56">
        <f>IF( $E274 = "Eligible", G681 * 'Facility Detail'!$B$802, 0 )</f>
        <v>0</v>
      </c>
      <c r="H684" s="56">
        <f>IF( $E274 = "Eligible", H681 * 'Facility Detail'!$B$802, 0 )</f>
        <v>0</v>
      </c>
      <c r="I684" s="56">
        <f>IF( $E274 = "Eligible", I681 * 'Facility Detail'!$B$802, 0 )</f>
        <v>0</v>
      </c>
      <c r="J684" s="56">
        <f>IF( $E274 = "Eligible", J681 * 'Facility Detail'!$B$802, 0 )</f>
        <v>0</v>
      </c>
      <c r="K684" s="56">
        <f>IF( $E274 = "Eligible", K681 * 'Facility Detail'!$B$802, 0 )</f>
        <v>0</v>
      </c>
      <c r="L684" s="56">
        <f>IF( $E274 = "Eligible", L681 * 'Facility Detail'!$B$802, 0 )</f>
        <v>0</v>
      </c>
      <c r="M684" s="56">
        <f>IF( $E274 = "Eligible", M681 * 'Facility Detail'!$B$802, 0 )</f>
        <v>0</v>
      </c>
      <c r="N684" s="56">
        <f>IF( $E274 = "Eligible", N681 * 'Facility Detail'!$B$802, 0 )</f>
        <v>0</v>
      </c>
      <c r="O684" s="56">
        <f>IF( $E274 = "Eligible", O681 * 'Facility Detail'!$B$802, 0 )</f>
        <v>0</v>
      </c>
      <c r="P684" s="56">
        <f>IF( $E274 = "Eligible", P681 * 'Facility Detail'!$B$802, 0 )</f>
        <v>0</v>
      </c>
    </row>
    <row r="685" spans="1:16" x14ac:dyDescent="0.25">
      <c r="B685" s="86" t="s">
        <v>6</v>
      </c>
      <c r="C685" s="76"/>
      <c r="D685" s="57">
        <f t="shared" ref="D685:M685" si="626">IF( $F19 = "Eligible", D681, 0 )</f>
        <v>0</v>
      </c>
      <c r="E685" s="58">
        <f t="shared" si="626"/>
        <v>0</v>
      </c>
      <c r="F685" s="59">
        <f t="shared" si="626"/>
        <v>0</v>
      </c>
      <c r="G685" s="59">
        <f t="shared" si="626"/>
        <v>0</v>
      </c>
      <c r="H685" s="59">
        <f t="shared" si="626"/>
        <v>0</v>
      </c>
      <c r="I685" s="59">
        <f t="shared" si="626"/>
        <v>0</v>
      </c>
      <c r="J685" s="59">
        <f t="shared" si="626"/>
        <v>0</v>
      </c>
      <c r="K685" s="59">
        <f t="shared" si="626"/>
        <v>0</v>
      </c>
      <c r="L685" s="59">
        <f t="shared" si="626"/>
        <v>0</v>
      </c>
      <c r="M685" s="59">
        <f t="shared" si="626"/>
        <v>0</v>
      </c>
      <c r="N685" s="59">
        <f t="shared" ref="N685:O685" si="627">IF( $F19 = "Eligible", N681, 0 )</f>
        <v>0</v>
      </c>
      <c r="O685" s="59">
        <f t="shared" si="627"/>
        <v>0</v>
      </c>
      <c r="P685" s="59">
        <f t="shared" ref="P685" si="628">IF( $F19 = "Eligible", P681, 0 )</f>
        <v>0</v>
      </c>
    </row>
    <row r="686" spans="1:16" x14ac:dyDescent="0.25">
      <c r="B686" s="85" t="s">
        <v>37</v>
      </c>
      <c r="C686" s="84"/>
      <c r="D686" s="42">
        <f t="shared" ref="D686:I686" si="629">SUM(D684:D685)</f>
        <v>0</v>
      </c>
      <c r="E686" s="43">
        <f t="shared" si="629"/>
        <v>0</v>
      </c>
      <c r="F686" s="43">
        <f t="shared" si="629"/>
        <v>0</v>
      </c>
      <c r="G686" s="43">
        <f t="shared" si="629"/>
        <v>0</v>
      </c>
      <c r="H686" s="43">
        <f t="shared" si="629"/>
        <v>0</v>
      </c>
      <c r="I686" s="43">
        <f t="shared" si="629"/>
        <v>0</v>
      </c>
      <c r="J686" s="43">
        <f t="shared" ref="J686:K686" si="630">SUM(J684:J685)</f>
        <v>0</v>
      </c>
      <c r="K686" s="43">
        <f t="shared" si="630"/>
        <v>0</v>
      </c>
      <c r="L686" s="43">
        <f t="shared" ref="L686:M686" si="631">SUM(L684:L685)</f>
        <v>0</v>
      </c>
      <c r="M686" s="43">
        <f t="shared" si="631"/>
        <v>0</v>
      </c>
      <c r="N686" s="43">
        <f t="shared" ref="N686:O686" si="632">SUM(N684:N685)</f>
        <v>0</v>
      </c>
      <c r="O686" s="43">
        <f t="shared" si="632"/>
        <v>0</v>
      </c>
      <c r="P686" s="43">
        <f t="shared" ref="P686" si="633">SUM(P684:P685)</f>
        <v>0</v>
      </c>
    </row>
    <row r="687" spans="1:16" x14ac:dyDescent="0.25">
      <c r="B687" s="32"/>
      <c r="C687" s="32"/>
      <c r="D687" s="41"/>
      <c r="E687" s="33"/>
      <c r="F687" s="33"/>
      <c r="G687" s="33"/>
      <c r="H687" s="33"/>
      <c r="I687" s="33"/>
      <c r="J687" s="33"/>
      <c r="K687" s="33"/>
      <c r="L687" s="33"/>
      <c r="M687" s="33"/>
      <c r="N687" s="33"/>
      <c r="O687" s="33"/>
      <c r="P687" s="33"/>
    </row>
    <row r="688" spans="1:16" ht="18.75" x14ac:dyDescent="0.3">
      <c r="A688" s="44" t="s">
        <v>35</v>
      </c>
      <c r="C688" s="32"/>
      <c r="D688" s="2">
        <f>D677</f>
        <v>2013</v>
      </c>
      <c r="E688" s="2">
        <f t="shared" ref="E688" si="634">D688+1</f>
        <v>2014</v>
      </c>
      <c r="F688" s="2">
        <f t="shared" ref="F688" si="635">E688+1</f>
        <v>2015</v>
      </c>
      <c r="G688" s="2">
        <f t="shared" ref="G688" si="636">F688+1</f>
        <v>2016</v>
      </c>
      <c r="H688" s="2">
        <f t="shared" ref="H688" si="637">G688+1</f>
        <v>2017</v>
      </c>
      <c r="I688" s="2">
        <f t="shared" ref="I688" si="638">H688+1</f>
        <v>2018</v>
      </c>
      <c r="J688" s="2">
        <f t="shared" ref="J688" si="639">I688+1</f>
        <v>2019</v>
      </c>
      <c r="K688" s="2">
        <f t="shared" ref="K688:P688" si="640">J688+1</f>
        <v>2020</v>
      </c>
      <c r="L688" s="2">
        <f t="shared" si="640"/>
        <v>2021</v>
      </c>
      <c r="M688" s="2">
        <f t="shared" si="640"/>
        <v>2022</v>
      </c>
      <c r="N688" s="2">
        <f t="shared" si="640"/>
        <v>2023</v>
      </c>
      <c r="O688" s="2">
        <f t="shared" si="640"/>
        <v>2024</v>
      </c>
      <c r="P688" s="2">
        <f t="shared" si="640"/>
        <v>2025</v>
      </c>
    </row>
    <row r="689" spans="1:16" x14ac:dyDescent="0.25">
      <c r="B689" s="86" t="s">
        <v>114</v>
      </c>
      <c r="C689" s="76"/>
      <c r="D689" s="94">
        <v>0</v>
      </c>
      <c r="E689" s="95">
        <v>0</v>
      </c>
      <c r="F689" s="96">
        <v>0</v>
      </c>
      <c r="G689" s="96">
        <v>0</v>
      </c>
      <c r="H689" s="96">
        <v>0</v>
      </c>
      <c r="I689" s="96">
        <v>-667</v>
      </c>
      <c r="J689" s="96">
        <v>-42346</v>
      </c>
      <c r="K689" s="96">
        <v>-45281</v>
      </c>
      <c r="L689" s="96">
        <v>-43328</v>
      </c>
      <c r="M689" s="96">
        <v>-34809</v>
      </c>
      <c r="N689" s="96">
        <v>-41441</v>
      </c>
      <c r="O689" s="96">
        <v>-41441</v>
      </c>
      <c r="P689" s="96">
        <v>-41441</v>
      </c>
    </row>
    <row r="690" spans="1:16" x14ac:dyDescent="0.25">
      <c r="B690" s="87" t="s">
        <v>29</v>
      </c>
      <c r="C690" s="88"/>
      <c r="D690" s="97">
        <v>0</v>
      </c>
      <c r="E690" s="98">
        <v>0</v>
      </c>
      <c r="F690" s="99">
        <v>0</v>
      </c>
      <c r="G690" s="99">
        <v>0</v>
      </c>
      <c r="H690" s="99">
        <v>0</v>
      </c>
      <c r="I690" s="99">
        <v>0</v>
      </c>
      <c r="J690" s="99">
        <v>0</v>
      </c>
      <c r="K690" s="99">
        <v>0</v>
      </c>
      <c r="L690" s="99">
        <v>0</v>
      </c>
      <c r="M690" s="99">
        <v>0</v>
      </c>
      <c r="N690" s="99">
        <v>0</v>
      </c>
      <c r="O690" s="99">
        <v>0</v>
      </c>
      <c r="P690" s="99">
        <v>0</v>
      </c>
    </row>
    <row r="691" spans="1:16" x14ac:dyDescent="0.25">
      <c r="B691" s="100" t="s">
        <v>41</v>
      </c>
      <c r="C691" s="92"/>
      <c r="D691" s="63"/>
      <c r="E691" s="64"/>
      <c r="F691" s="65"/>
      <c r="G691" s="65"/>
      <c r="H691" s="65"/>
      <c r="I691" s="65"/>
      <c r="J691" s="65"/>
      <c r="K691" s="65"/>
      <c r="L691" s="65"/>
      <c r="M691" s="65"/>
      <c r="N691" s="65"/>
      <c r="O691" s="65"/>
      <c r="P691" s="65"/>
    </row>
    <row r="692" spans="1:16" x14ac:dyDescent="0.25">
      <c r="B692" s="35" t="s">
        <v>42</v>
      </c>
      <c r="D692" s="7">
        <f t="shared" ref="D692:K692" si="641">SUM(D689:D691)</f>
        <v>0</v>
      </c>
      <c r="E692" s="7">
        <f t="shared" si="641"/>
        <v>0</v>
      </c>
      <c r="F692" s="7">
        <f t="shared" si="641"/>
        <v>0</v>
      </c>
      <c r="G692" s="7">
        <f t="shared" si="641"/>
        <v>0</v>
      </c>
      <c r="H692" s="7">
        <f t="shared" si="641"/>
        <v>0</v>
      </c>
      <c r="I692" s="7">
        <f t="shared" si="641"/>
        <v>-667</v>
      </c>
      <c r="J692" s="7">
        <f t="shared" si="641"/>
        <v>-42346</v>
      </c>
      <c r="K692" s="7">
        <f t="shared" si="641"/>
        <v>-45281</v>
      </c>
      <c r="L692" s="7">
        <f t="shared" ref="L692:M692" si="642">SUM(L689:L691)</f>
        <v>-43328</v>
      </c>
      <c r="M692" s="7">
        <f t="shared" si="642"/>
        <v>-34809</v>
      </c>
      <c r="N692" s="7">
        <f t="shared" ref="N692:O692" si="643">SUM(N689:N691)</f>
        <v>-41441</v>
      </c>
      <c r="O692" s="7">
        <f t="shared" si="643"/>
        <v>-41441</v>
      </c>
      <c r="P692" s="7">
        <f t="shared" ref="P692" si="644">SUM(P689:P691)</f>
        <v>-41441</v>
      </c>
    </row>
    <row r="693" spans="1:16" x14ac:dyDescent="0.25">
      <c r="B693" s="6"/>
      <c r="D693" s="7"/>
      <c r="E693" s="7"/>
      <c r="F693" s="7"/>
      <c r="G693" s="7"/>
      <c r="H693" s="7"/>
      <c r="I693" s="7"/>
      <c r="J693" s="7"/>
      <c r="K693" s="7"/>
      <c r="L693" s="7"/>
      <c r="M693" s="7"/>
      <c r="N693" s="7"/>
      <c r="O693" s="7"/>
      <c r="P693" s="7"/>
    </row>
    <row r="694" spans="1:16" ht="18.75" x14ac:dyDescent="0.3">
      <c r="A694" s="9" t="s">
        <v>43</v>
      </c>
      <c r="D694" s="2">
        <f>D677</f>
        <v>2013</v>
      </c>
      <c r="E694" s="2">
        <f t="shared" ref="E694" si="645">D694+1</f>
        <v>2014</v>
      </c>
      <c r="F694" s="2">
        <f t="shared" ref="F694" si="646">E694+1</f>
        <v>2015</v>
      </c>
      <c r="G694" s="2">
        <f t="shared" ref="G694" si="647">F694+1</f>
        <v>2016</v>
      </c>
      <c r="H694" s="2">
        <f t="shared" ref="H694" si="648">G694+1</f>
        <v>2017</v>
      </c>
      <c r="I694" s="2">
        <f t="shared" ref="I694" si="649">H694+1</f>
        <v>2018</v>
      </c>
      <c r="J694" s="2">
        <f t="shared" ref="J694" si="650">I694+1</f>
        <v>2019</v>
      </c>
      <c r="K694" s="2">
        <f t="shared" ref="K694:P694" si="651">J694+1</f>
        <v>2020</v>
      </c>
      <c r="L694" s="2">
        <f t="shared" si="651"/>
        <v>2021</v>
      </c>
      <c r="M694" s="2">
        <f t="shared" si="651"/>
        <v>2022</v>
      </c>
      <c r="N694" s="2">
        <f t="shared" si="651"/>
        <v>2023</v>
      </c>
      <c r="O694" s="2">
        <f t="shared" si="651"/>
        <v>2024</v>
      </c>
      <c r="P694" s="2">
        <f t="shared" si="651"/>
        <v>2025</v>
      </c>
    </row>
    <row r="695" spans="1:16" x14ac:dyDescent="0.25">
      <c r="B695" s="86" t="str">
        <f xml:space="preserve"> 'Facility Detail'!$B$805 &amp; " Surplus Applied to " &amp; ( 'Facility Detail'!$B$805 + 1 )</f>
        <v>2013 Surplus Applied to 2014</v>
      </c>
      <c r="C695" s="76"/>
      <c r="D695" s="3"/>
      <c r="E695" s="66">
        <f>D695</f>
        <v>0</v>
      </c>
      <c r="F695" s="136"/>
      <c r="G695" s="68"/>
      <c r="H695" s="68"/>
      <c r="I695" s="68"/>
      <c r="J695" s="68"/>
      <c r="K695" s="68"/>
      <c r="L695" s="68"/>
      <c r="M695" s="68"/>
      <c r="N695" s="68"/>
      <c r="O695" s="68"/>
      <c r="P695" s="68"/>
    </row>
    <row r="696" spans="1:16" x14ac:dyDescent="0.25">
      <c r="B696" s="86" t="str">
        <f xml:space="preserve"> ( 'Facility Detail'!$B$805 + 1 ) &amp; " Surplus Applied to " &amp; ( 'Facility Detail'!$B$805 )</f>
        <v>2014 Surplus Applied to 2013</v>
      </c>
      <c r="C696" s="76"/>
      <c r="D696" s="137">
        <f>E696</f>
        <v>0</v>
      </c>
      <c r="E696" s="10"/>
      <c r="F696" s="80"/>
      <c r="G696" s="79"/>
      <c r="H696" s="79"/>
      <c r="I696" s="79"/>
      <c r="J696" s="79"/>
      <c r="K696" s="79"/>
      <c r="L696" s="79"/>
      <c r="M696" s="79"/>
      <c r="N696" s="79"/>
      <c r="O696" s="79"/>
      <c r="P696" s="79"/>
    </row>
    <row r="697" spans="1:16" x14ac:dyDescent="0.25">
      <c r="B697" s="86" t="str">
        <f xml:space="preserve"> ( 'Facility Detail'!$B$805 + 1 ) &amp; " Surplus Applied to " &amp; ( 'Facility Detail'!$B$805 + 2 )</f>
        <v>2014 Surplus Applied to 2015</v>
      </c>
      <c r="C697" s="76"/>
      <c r="D697" s="69"/>
      <c r="E697" s="10"/>
      <c r="F697" s="75">
        <f>E697</f>
        <v>0</v>
      </c>
      <c r="G697" s="79"/>
      <c r="H697" s="79"/>
      <c r="I697" s="79"/>
      <c r="J697" s="79"/>
      <c r="K697" s="79"/>
      <c r="L697" s="79"/>
      <c r="M697" s="79"/>
      <c r="N697" s="79"/>
      <c r="O697" s="79"/>
      <c r="P697" s="79"/>
    </row>
    <row r="698" spans="1:16" x14ac:dyDescent="0.25">
      <c r="B698" s="86" t="str">
        <f xml:space="preserve"> ( 'Facility Detail'!$B$805 + 2 ) &amp; " Surplus Applied to " &amp; ( 'Facility Detail'!$B$805 + 1 )</f>
        <v>2015 Surplus Applied to 2014</v>
      </c>
      <c r="C698" s="76"/>
      <c r="D698" s="69"/>
      <c r="E698" s="75">
        <f>F698</f>
        <v>0</v>
      </c>
      <c r="F698" s="10"/>
      <c r="G698" s="79"/>
      <c r="H698" s="79"/>
      <c r="I698" s="79"/>
      <c r="J698" s="79"/>
      <c r="K698" s="79"/>
      <c r="L698" s="79"/>
      <c r="M698" s="79"/>
      <c r="N698" s="79"/>
      <c r="O698" s="79"/>
      <c r="P698" s="79"/>
    </row>
    <row r="699" spans="1:16" x14ac:dyDescent="0.25">
      <c r="B699" s="86" t="str">
        <f xml:space="preserve"> ( 'Facility Detail'!$B$805 + 2 ) &amp; " Surplus Applied to " &amp; ( 'Facility Detail'!$B$805 + 3 )</f>
        <v>2015 Surplus Applied to 2016</v>
      </c>
      <c r="C699" s="32"/>
      <c r="D699" s="69"/>
      <c r="E699" s="80"/>
      <c r="F699" s="10"/>
      <c r="G699" s="138">
        <f>F699</f>
        <v>0</v>
      </c>
      <c r="H699" s="79"/>
      <c r="I699" s="79">
        <f>H699</f>
        <v>0</v>
      </c>
      <c r="J699" s="79">
        <f>I699</f>
        <v>0</v>
      </c>
      <c r="K699" s="79"/>
      <c r="L699" s="79"/>
      <c r="M699" s="79"/>
      <c r="N699" s="79"/>
      <c r="O699" s="79"/>
      <c r="P699" s="79"/>
    </row>
    <row r="700" spans="1:16" x14ac:dyDescent="0.25">
      <c r="B700" s="86" t="str">
        <f xml:space="preserve"> ( 'Facility Detail'!$B$805 +3 ) &amp; " Surplus Applied to " &amp; ( 'Facility Detail'!$B$805 + 2 )</f>
        <v>2016 Surplus Applied to 2015</v>
      </c>
      <c r="C700" s="32"/>
      <c r="D700" s="70"/>
      <c r="E700" s="81"/>
      <c r="F700" s="67">
        <f>G700</f>
        <v>0</v>
      </c>
      <c r="G700" s="10"/>
      <c r="H700" s="79"/>
      <c r="I700" s="79"/>
      <c r="J700" s="79"/>
      <c r="K700" s="79"/>
      <c r="L700" s="79"/>
      <c r="M700" s="79"/>
      <c r="N700" s="79"/>
      <c r="O700" s="79"/>
      <c r="P700" s="79"/>
    </row>
    <row r="701" spans="1:16" x14ac:dyDescent="0.25">
      <c r="B701" s="86" t="str">
        <f xml:space="preserve"> ( 'Facility Detail'!$B$805 +3 ) &amp; " Surplus Applied to " &amp; ( 'Facility Detail'!$B$805 + 4 )</f>
        <v>2016 Surplus Applied to 2017</v>
      </c>
      <c r="C701" s="32"/>
      <c r="D701" s="142"/>
      <c r="E701" s="142"/>
      <c r="F701" s="79"/>
      <c r="G701" s="10"/>
      <c r="H701" s="147">
        <f>G701</f>
        <v>0</v>
      </c>
      <c r="I701" s="79"/>
      <c r="J701" s="79"/>
      <c r="K701" s="79"/>
      <c r="L701" s="79"/>
      <c r="M701" s="79"/>
      <c r="N701" s="79"/>
      <c r="O701" s="79"/>
      <c r="P701" s="79"/>
    </row>
    <row r="702" spans="1:16" x14ac:dyDescent="0.25">
      <c r="B702" s="86" t="str">
        <f xml:space="preserve"> ( 'Facility Detail'!$B$805 + 4 ) &amp; " Surplus Applied to " &amp; ( 'Facility Detail'!$B$805 + 3 )</f>
        <v>2017 Surplus Applied to 2016</v>
      </c>
      <c r="C702" s="32"/>
      <c r="D702" s="142"/>
      <c r="E702" s="142"/>
      <c r="F702" s="79"/>
      <c r="G702" s="147">
        <f>H702</f>
        <v>0</v>
      </c>
      <c r="H702" s="10"/>
      <c r="I702" s="79"/>
      <c r="J702" s="79"/>
      <c r="K702" s="79"/>
      <c r="L702" s="79"/>
      <c r="M702" s="79"/>
      <c r="N702" s="79"/>
      <c r="O702" s="79"/>
      <c r="P702" s="79"/>
    </row>
    <row r="703" spans="1:16" x14ac:dyDescent="0.25">
      <c r="B703" s="86" t="str">
        <f xml:space="preserve"> ( 'Facility Detail'!$B$805 + 4 ) &amp; " Surplus Applied to " &amp; ( 'Facility Detail'!$B$805 + 5 )</f>
        <v>2017 Surplus Applied to 2018</v>
      </c>
      <c r="C703" s="32"/>
      <c r="D703" s="142"/>
      <c r="E703" s="142"/>
      <c r="F703" s="79"/>
      <c r="G703" s="79"/>
      <c r="H703" s="10"/>
      <c r="I703" s="147">
        <f>H703</f>
        <v>0</v>
      </c>
      <c r="J703" s="147">
        <f>I703</f>
        <v>0</v>
      </c>
      <c r="K703" s="147"/>
      <c r="L703" s="147"/>
      <c r="M703" s="147"/>
      <c r="N703" s="147"/>
      <c r="O703" s="147"/>
      <c r="P703" s="147"/>
    </row>
    <row r="704" spans="1:16" x14ac:dyDescent="0.25">
      <c r="B704" s="86" t="str">
        <f xml:space="preserve"> ( 'Facility Detail'!$B$805 + 5 ) &amp; " Surplus Applied to " &amp; ( 'Facility Detail'!$B$805 + 4 )</f>
        <v>2018 Surplus Applied to 2017</v>
      </c>
      <c r="C704" s="32"/>
      <c r="D704" s="142"/>
      <c r="E704" s="142"/>
      <c r="F704" s="79"/>
      <c r="G704" s="79"/>
      <c r="H704" s="147">
        <f>I704</f>
        <v>0</v>
      </c>
      <c r="I704" s="10"/>
      <c r="J704" s="10"/>
      <c r="K704" s="10"/>
      <c r="L704" s="10"/>
      <c r="M704" s="10"/>
      <c r="N704" s="10"/>
      <c r="O704" s="10"/>
      <c r="P704" s="10"/>
    </row>
    <row r="705" spans="1:16" x14ac:dyDescent="0.25">
      <c r="B705" s="86" t="str">
        <f xml:space="preserve"> ( 'Facility Detail'!$B$805 + 5 ) &amp; " Surplus Applied to " &amp; ( 'Facility Detail'!$B$805 + 6 )</f>
        <v>2018 Surplus Applied to 2019</v>
      </c>
      <c r="C705" s="32"/>
      <c r="D705" s="142"/>
      <c r="E705" s="142"/>
      <c r="F705" s="79"/>
      <c r="G705" s="79"/>
      <c r="H705" s="79"/>
      <c r="I705" s="10"/>
      <c r="J705" s="10"/>
      <c r="K705" s="10"/>
      <c r="L705" s="10"/>
      <c r="M705" s="10"/>
      <c r="N705" s="10"/>
      <c r="O705" s="10"/>
      <c r="P705" s="10"/>
    </row>
    <row r="706" spans="1:16" x14ac:dyDescent="0.25">
      <c r="B706" s="35" t="s">
        <v>25</v>
      </c>
      <c r="D706" s="7">
        <f xml:space="preserve"> D696 - D695</f>
        <v>0</v>
      </c>
      <c r="E706" s="7">
        <f xml:space="preserve"> E695 + E698 - E697 - E696</f>
        <v>0</v>
      </c>
      <c r="F706" s="7">
        <f>F697+F700-F698-F699</f>
        <v>0</v>
      </c>
      <c r="G706" s="7">
        <f t="shared" ref="G706:L706" si="652">G699-G700</f>
        <v>0</v>
      </c>
      <c r="H706" s="7">
        <f t="shared" si="652"/>
        <v>0</v>
      </c>
      <c r="I706" s="7">
        <f t="shared" si="652"/>
        <v>0</v>
      </c>
      <c r="J706" s="7">
        <f t="shared" si="652"/>
        <v>0</v>
      </c>
      <c r="K706" s="7">
        <f t="shared" si="652"/>
        <v>0</v>
      </c>
      <c r="L706" s="7">
        <f t="shared" si="652"/>
        <v>0</v>
      </c>
      <c r="M706" s="7">
        <f t="shared" ref="M706:N706" si="653">M699-M700</f>
        <v>0</v>
      </c>
      <c r="N706" s="7">
        <f t="shared" si="653"/>
        <v>0</v>
      </c>
      <c r="O706" s="7">
        <f t="shared" ref="O706:P706" si="654">O699-O700</f>
        <v>0</v>
      </c>
      <c r="P706" s="7">
        <f t="shared" si="654"/>
        <v>0</v>
      </c>
    </row>
    <row r="707" spans="1:16" x14ac:dyDescent="0.25">
      <c r="B707" s="6"/>
      <c r="D707" s="7"/>
      <c r="E707" s="7"/>
      <c r="F707" s="7"/>
      <c r="G707" s="7"/>
      <c r="H707" s="7"/>
      <c r="I707" s="7"/>
      <c r="J707" s="7"/>
      <c r="K707" s="7"/>
      <c r="L707" s="7"/>
      <c r="M707" s="7"/>
      <c r="N707" s="7"/>
      <c r="O707" s="7"/>
      <c r="P707" s="7"/>
    </row>
    <row r="708" spans="1:16" x14ac:dyDescent="0.25">
      <c r="B708" s="93" t="s">
        <v>21</v>
      </c>
      <c r="C708" s="76"/>
      <c r="D708" s="107"/>
      <c r="E708" s="108"/>
      <c r="F708" s="109"/>
      <c r="G708" s="109"/>
      <c r="H708" s="109"/>
      <c r="I708" s="109"/>
      <c r="J708" s="109"/>
      <c r="K708" s="109"/>
      <c r="L708" s="109"/>
      <c r="M708" s="109"/>
      <c r="N708" s="109"/>
      <c r="O708" s="109"/>
      <c r="P708" s="109"/>
    </row>
    <row r="709" spans="1:16" x14ac:dyDescent="0.25">
      <c r="B709" s="6"/>
      <c r="D709" s="7"/>
      <c r="E709" s="7"/>
      <c r="F709" s="7"/>
      <c r="G709" s="7"/>
      <c r="H709" s="7"/>
      <c r="I709" s="7"/>
      <c r="J709" s="7"/>
      <c r="K709" s="7"/>
      <c r="L709" s="7"/>
      <c r="M709" s="7"/>
      <c r="N709" s="7"/>
      <c r="O709" s="7"/>
      <c r="P709" s="7"/>
    </row>
    <row r="710" spans="1:16" ht="15.75" x14ac:dyDescent="0.25">
      <c r="A710" s="89" t="s">
        <v>33</v>
      </c>
      <c r="C710" s="76"/>
      <c r="D710" s="48">
        <f t="shared" ref="D710:K710" si="655" xml:space="preserve"> D681 + D686 + D692 + D706 + D708</f>
        <v>0</v>
      </c>
      <c r="E710" s="49">
        <f t="shared" si="655"/>
        <v>0</v>
      </c>
      <c r="F710" s="50">
        <f t="shared" si="655"/>
        <v>0</v>
      </c>
      <c r="G710" s="50">
        <f t="shared" si="655"/>
        <v>0</v>
      </c>
      <c r="H710" s="50">
        <f t="shared" si="655"/>
        <v>0</v>
      </c>
      <c r="I710" s="50">
        <f t="shared" si="655"/>
        <v>0</v>
      </c>
      <c r="J710" s="50">
        <f t="shared" si="655"/>
        <v>0</v>
      </c>
      <c r="K710" s="50">
        <f t="shared" si="655"/>
        <v>0</v>
      </c>
      <c r="L710" s="50">
        <f t="shared" ref="L710:M710" si="656" xml:space="preserve"> L681 + L686 + L692 + L706 + L708</f>
        <v>0</v>
      </c>
      <c r="M710" s="50">
        <f t="shared" si="656"/>
        <v>0</v>
      </c>
      <c r="N710" s="50">
        <f t="shared" ref="N710:O710" si="657" xml:space="preserve"> N681 + N686 + N692 + N706 + N708</f>
        <v>0</v>
      </c>
      <c r="O710" s="50">
        <f t="shared" si="657"/>
        <v>0</v>
      </c>
      <c r="P710" s="50">
        <f t="shared" ref="P710" si="658" xml:space="preserve"> P681 + P686 + P692 + P706 + P708</f>
        <v>0</v>
      </c>
    </row>
    <row r="711" spans="1:16" ht="50.25" customHeight="1" x14ac:dyDescent="0.25">
      <c r="A711" s="191" t="s">
        <v>117</v>
      </c>
      <c r="B711" s="191"/>
      <c r="C711" s="191"/>
      <c r="D711" s="191"/>
      <c r="E711" s="191"/>
      <c r="F711" s="191"/>
      <c r="G711" s="31"/>
      <c r="H711" s="31"/>
      <c r="I711" s="31"/>
      <c r="J711" s="31"/>
      <c r="K711" s="31"/>
      <c r="L711" s="31"/>
      <c r="M711" s="31"/>
      <c r="N711" s="31"/>
      <c r="O711" s="31"/>
      <c r="P711" s="31"/>
    </row>
    <row r="712" spans="1:16" ht="42.75" customHeight="1" thickBot="1" x14ac:dyDescent="0.3">
      <c r="A712" s="195" t="s">
        <v>118</v>
      </c>
      <c r="B712" s="195"/>
      <c r="C712" s="195"/>
      <c r="D712" s="195"/>
      <c r="E712" s="195"/>
      <c r="F712" s="195"/>
      <c r="G712" s="31"/>
      <c r="H712" s="31"/>
      <c r="I712" s="31"/>
      <c r="J712" s="31"/>
      <c r="K712" s="31"/>
      <c r="L712" s="31"/>
      <c r="M712" s="31"/>
      <c r="N712" s="31"/>
      <c r="O712" s="31"/>
      <c r="P712" s="31"/>
    </row>
    <row r="713" spans="1:16" ht="15.75" thickBot="1" x14ac:dyDescent="0.3">
      <c r="A713" s="195" t="s">
        <v>115</v>
      </c>
      <c r="B713" s="195"/>
      <c r="C713" s="195"/>
      <c r="D713" s="195"/>
      <c r="E713" s="195"/>
      <c r="F713" s="195"/>
      <c r="G713" s="164"/>
      <c r="H713" s="164"/>
      <c r="I713" s="164"/>
      <c r="J713" s="164"/>
      <c r="K713" s="170"/>
      <c r="L713" s="171"/>
      <c r="M713" s="179"/>
      <c r="N713" s="180"/>
      <c r="O713" s="182"/>
      <c r="P713" s="187"/>
    </row>
    <row r="714" spans="1:16" x14ac:dyDescent="0.25">
      <c r="A714" s="8"/>
      <c r="B714" s="8"/>
      <c r="C714" s="8"/>
      <c r="D714" s="8"/>
      <c r="E714" s="8"/>
      <c r="F714" s="8"/>
      <c r="G714" s="8"/>
      <c r="H714" s="8"/>
      <c r="I714" s="8"/>
      <c r="J714" s="8"/>
      <c r="K714" s="8"/>
      <c r="L714" s="8"/>
      <c r="M714" s="8"/>
      <c r="N714" s="8"/>
      <c r="O714" s="8"/>
      <c r="P714" s="8"/>
    </row>
    <row r="715" spans="1:16" ht="21" x14ac:dyDescent="0.35">
      <c r="A715" s="16" t="s">
        <v>4</v>
      </c>
      <c r="B715" s="16"/>
      <c r="C715" s="45" t="str">
        <f>B20</f>
        <v>Rattlesnake Flat Wind</v>
      </c>
      <c r="D715" s="46"/>
      <c r="E715" s="19"/>
      <c r="F715" s="19"/>
    </row>
    <row r="717" spans="1:16" ht="18.75" x14ac:dyDescent="0.3">
      <c r="A717" s="9" t="s">
        <v>85</v>
      </c>
      <c r="B717" s="9"/>
      <c r="D717" s="2">
        <v>2013</v>
      </c>
      <c r="E717" s="2">
        <f t="shared" ref="E717" si="659">D717+1</f>
        <v>2014</v>
      </c>
      <c r="F717" s="2">
        <f t="shared" ref="F717" si="660">E717+1</f>
        <v>2015</v>
      </c>
      <c r="G717" s="2">
        <f t="shared" ref="G717" si="661">F717+1</f>
        <v>2016</v>
      </c>
      <c r="H717" s="2">
        <f t="shared" ref="H717" si="662">G717+1</f>
        <v>2017</v>
      </c>
      <c r="I717" s="2">
        <f t="shared" ref="I717" si="663">H717+1</f>
        <v>2018</v>
      </c>
      <c r="J717" s="2">
        <f t="shared" ref="J717" si="664">I717+1</f>
        <v>2019</v>
      </c>
      <c r="K717" s="2">
        <f t="shared" ref="K717:P717" si="665">J717+1</f>
        <v>2020</v>
      </c>
      <c r="L717" s="2">
        <f t="shared" si="665"/>
        <v>2021</v>
      </c>
      <c r="M717" s="2">
        <f t="shared" si="665"/>
        <v>2022</v>
      </c>
      <c r="N717" s="2">
        <f t="shared" si="665"/>
        <v>2023</v>
      </c>
      <c r="O717" s="2">
        <f t="shared" si="665"/>
        <v>2024</v>
      </c>
      <c r="P717" s="2">
        <f t="shared" si="665"/>
        <v>2025</v>
      </c>
    </row>
    <row r="718" spans="1:16" x14ac:dyDescent="0.25">
      <c r="B718" s="86" t="str">
        <f>"Total MWh Produced / Purchased from " &amp; C715</f>
        <v>Total MWh Produced / Purchased from Rattlesnake Flat Wind</v>
      </c>
      <c r="C718" s="76"/>
      <c r="D718" s="3">
        <v>0</v>
      </c>
      <c r="E718" s="4">
        <v>0</v>
      </c>
      <c r="F718" s="5">
        <v>0</v>
      </c>
      <c r="G718" s="5">
        <v>0</v>
      </c>
      <c r="H718" s="5">
        <v>0</v>
      </c>
      <c r="I718" s="5">
        <v>0</v>
      </c>
      <c r="J718" s="5">
        <v>0</v>
      </c>
      <c r="K718" s="5">
        <v>37157</v>
      </c>
      <c r="L718" s="5">
        <v>423510</v>
      </c>
      <c r="M718" s="5">
        <v>363553</v>
      </c>
      <c r="N718" s="5">
        <v>343410</v>
      </c>
      <c r="O718" s="5">
        <v>375861</v>
      </c>
      <c r="P718" s="5">
        <v>375861</v>
      </c>
    </row>
    <row r="719" spans="1:16" x14ac:dyDescent="0.25">
      <c r="B719" s="86" t="s">
        <v>32</v>
      </c>
      <c r="C719" s="76"/>
      <c r="D719" s="60">
        <v>1</v>
      </c>
      <c r="E719" s="61">
        <v>1</v>
      </c>
      <c r="F719" s="62">
        <v>1</v>
      </c>
      <c r="G719" s="62">
        <v>1</v>
      </c>
      <c r="H719" s="62">
        <v>1</v>
      </c>
      <c r="I719" s="62">
        <v>1</v>
      </c>
      <c r="J719" s="62">
        <v>1</v>
      </c>
      <c r="K719" s="62">
        <v>1</v>
      </c>
      <c r="L719" s="62">
        <v>1</v>
      </c>
      <c r="M719" s="62">
        <v>1</v>
      </c>
      <c r="N719" s="62">
        <v>1</v>
      </c>
      <c r="O719" s="62">
        <v>1</v>
      </c>
      <c r="P719" s="62">
        <v>1</v>
      </c>
    </row>
    <row r="720" spans="1:16" x14ac:dyDescent="0.25">
      <c r="B720" s="86" t="s">
        <v>26</v>
      </c>
      <c r="C720" s="76"/>
      <c r="D720" s="53">
        <v>1</v>
      </c>
      <c r="E720" s="54">
        <v>1</v>
      </c>
      <c r="F720" s="55">
        <v>1</v>
      </c>
      <c r="G720" s="55">
        <v>1</v>
      </c>
      <c r="H720" s="55">
        <v>1</v>
      </c>
      <c r="I720" s="55">
        <v>1</v>
      </c>
      <c r="J720" s="55">
        <v>1</v>
      </c>
      <c r="K720" s="55">
        <v>1</v>
      </c>
      <c r="L720" s="55">
        <v>1</v>
      </c>
      <c r="M720" s="55">
        <v>1</v>
      </c>
      <c r="N720" s="55">
        <v>1</v>
      </c>
      <c r="O720" s="55">
        <v>1</v>
      </c>
      <c r="P720" s="55">
        <v>1</v>
      </c>
    </row>
    <row r="721" spans="1:16" x14ac:dyDescent="0.25">
      <c r="B721" s="83" t="s">
        <v>28</v>
      </c>
      <c r="C721" s="84"/>
      <c r="D721" s="40">
        <f t="shared" ref="D721:L721" si="666" xml:space="preserve"> D718 * D719 * D720</f>
        <v>0</v>
      </c>
      <c r="E721" s="40">
        <f t="shared" si="666"/>
        <v>0</v>
      </c>
      <c r="F721" s="40">
        <f t="shared" si="666"/>
        <v>0</v>
      </c>
      <c r="G721" s="40">
        <f t="shared" si="666"/>
        <v>0</v>
      </c>
      <c r="H721" s="40">
        <f t="shared" si="666"/>
        <v>0</v>
      </c>
      <c r="I721" s="40">
        <f t="shared" si="666"/>
        <v>0</v>
      </c>
      <c r="J721" s="40">
        <f t="shared" si="666"/>
        <v>0</v>
      </c>
      <c r="K721" s="40">
        <f t="shared" si="666"/>
        <v>37157</v>
      </c>
      <c r="L721" s="40">
        <f t="shared" si="666"/>
        <v>423510</v>
      </c>
      <c r="M721" s="40">
        <f t="shared" ref="M721:N721" si="667" xml:space="preserve"> M718 * M719 * M720</f>
        <v>363553</v>
      </c>
      <c r="N721" s="40">
        <f t="shared" si="667"/>
        <v>343410</v>
      </c>
      <c r="O721" s="40">
        <f t="shared" ref="O721:P721" si="668" xml:space="preserve"> O718 * O719 * O720</f>
        <v>375861</v>
      </c>
      <c r="P721" s="40">
        <f t="shared" si="668"/>
        <v>375861</v>
      </c>
    </row>
    <row r="722" spans="1:16" x14ac:dyDescent="0.25">
      <c r="B722" s="19"/>
      <c r="C722" s="32"/>
      <c r="D722" s="39"/>
      <c r="E722" s="39"/>
      <c r="F722" s="39"/>
      <c r="G722" s="39"/>
      <c r="H722" s="39"/>
      <c r="I722" s="39"/>
      <c r="J722" s="39"/>
      <c r="K722" s="39"/>
      <c r="L722" s="39"/>
      <c r="M722" s="39"/>
      <c r="N722" s="39"/>
      <c r="O722" s="39"/>
      <c r="P722" s="39"/>
    </row>
    <row r="723" spans="1:16" ht="18.75" x14ac:dyDescent="0.3">
      <c r="A723" s="47" t="s">
        <v>30</v>
      </c>
      <c r="C723" s="32"/>
      <c r="D723" s="2">
        <f>D717</f>
        <v>2013</v>
      </c>
      <c r="E723" s="2">
        <f t="shared" ref="E723" si="669">D723+1</f>
        <v>2014</v>
      </c>
      <c r="F723" s="2">
        <f t="shared" ref="F723" si="670">E723+1</f>
        <v>2015</v>
      </c>
      <c r="G723" s="2">
        <f t="shared" ref="G723" si="671">F723+1</f>
        <v>2016</v>
      </c>
      <c r="H723" s="2">
        <f t="shared" ref="H723" si="672">G723+1</f>
        <v>2017</v>
      </c>
      <c r="I723" s="2">
        <f t="shared" ref="I723" si="673">H723+1</f>
        <v>2018</v>
      </c>
      <c r="J723" s="2">
        <f t="shared" ref="J723" si="674">I723+1</f>
        <v>2019</v>
      </c>
      <c r="K723" s="2">
        <f t="shared" ref="K723:P723" si="675">J723+1</f>
        <v>2020</v>
      </c>
      <c r="L723" s="2">
        <f t="shared" si="675"/>
        <v>2021</v>
      </c>
      <c r="M723" s="2">
        <f t="shared" si="675"/>
        <v>2022</v>
      </c>
      <c r="N723" s="2">
        <f t="shared" si="675"/>
        <v>2023</v>
      </c>
      <c r="O723" s="2">
        <f t="shared" si="675"/>
        <v>2024</v>
      </c>
      <c r="P723" s="2">
        <f t="shared" si="675"/>
        <v>2025</v>
      </c>
    </row>
    <row r="724" spans="1:16" x14ac:dyDescent="0.25">
      <c r="B724" s="86" t="s">
        <v>113</v>
      </c>
      <c r="C724" s="76"/>
      <c r="D724" s="56">
        <f>IF( $E314 = "Eligible", D721 * 'Facility Detail'!$B$802, 0 )</f>
        <v>0</v>
      </c>
      <c r="E724" s="56">
        <f>IF( $E314 = "Eligible", E721 * 'Facility Detail'!$B$802, 0 )</f>
        <v>0</v>
      </c>
      <c r="F724" s="56">
        <f>IF( $E314 = "Eligible", F721 * 'Facility Detail'!$B$802, 0 )</f>
        <v>0</v>
      </c>
      <c r="G724" s="56">
        <f>IF( $E314 = "Eligible", G721 * 'Facility Detail'!$B$802, 0 )</f>
        <v>0</v>
      </c>
      <c r="H724" s="56">
        <f>IF( $E314 = "Eligible", H721 * 'Facility Detail'!$B$802, 0 )</f>
        <v>0</v>
      </c>
      <c r="I724" s="56">
        <f>IF( $E314 = "Eligible", I721 * 'Facility Detail'!$B$802, 0 )</f>
        <v>0</v>
      </c>
      <c r="J724" s="56">
        <f>IF( $E314 = "Eligible", J721 * 'Facility Detail'!$B$802, 0 )</f>
        <v>0</v>
      </c>
      <c r="K724" s="56">
        <f>IF( $E20 = "Eligible", K721 * 'Facility Detail'!$B$802, 0 )</f>
        <v>7431.4000000000005</v>
      </c>
      <c r="L724" s="56">
        <f>IF( $E20 = "Eligible", L721 * 'Facility Detail'!$B$802, 0 )</f>
        <v>84702</v>
      </c>
      <c r="M724" s="56">
        <f>IF( $E20 = "Eligible", M721 * 'Facility Detail'!$B$802, 0 )</f>
        <v>72710.600000000006</v>
      </c>
      <c r="N724" s="56">
        <f>IF( $E20 = "Eligible", N721 * 'Facility Detail'!$B$802, 0 )</f>
        <v>68682</v>
      </c>
      <c r="O724" s="56">
        <f>IF( $E20 = "Eligible", O721 * 'Facility Detail'!$B$802, 0 )</f>
        <v>75172.2</v>
      </c>
      <c r="P724" s="56">
        <f>IF( $E20 = "Eligible", P721 * 'Facility Detail'!$B$802, 0 )</f>
        <v>75172.2</v>
      </c>
    </row>
    <row r="725" spans="1:16" x14ac:dyDescent="0.25">
      <c r="B725" s="86" t="s">
        <v>6</v>
      </c>
      <c r="C725" s="76"/>
      <c r="D725" s="57">
        <f t="shared" ref="D725:M725" si="676">IF( $F59 = "Eligible", D721, 0 )</f>
        <v>0</v>
      </c>
      <c r="E725" s="58">
        <f t="shared" si="676"/>
        <v>0</v>
      </c>
      <c r="F725" s="59">
        <f t="shared" si="676"/>
        <v>0</v>
      </c>
      <c r="G725" s="59">
        <f t="shared" si="676"/>
        <v>0</v>
      </c>
      <c r="H725" s="59">
        <f t="shared" si="676"/>
        <v>0</v>
      </c>
      <c r="I725" s="59">
        <f t="shared" si="676"/>
        <v>0</v>
      </c>
      <c r="J725" s="59">
        <f t="shared" si="676"/>
        <v>0</v>
      </c>
      <c r="K725" s="59">
        <f t="shared" si="676"/>
        <v>0</v>
      </c>
      <c r="L725" s="59">
        <f t="shared" si="676"/>
        <v>0</v>
      </c>
      <c r="M725" s="59">
        <f t="shared" si="676"/>
        <v>0</v>
      </c>
      <c r="N725" s="59">
        <f t="shared" ref="N725:O725" si="677">IF( $F59 = "Eligible", N721, 0 )</f>
        <v>0</v>
      </c>
      <c r="O725" s="59">
        <f t="shared" si="677"/>
        <v>0</v>
      </c>
      <c r="P725" s="59">
        <f t="shared" ref="P725" si="678">IF( $F59 = "Eligible", P721, 0 )</f>
        <v>0</v>
      </c>
    </row>
    <row r="726" spans="1:16" x14ac:dyDescent="0.25">
      <c r="B726" s="85" t="s">
        <v>37</v>
      </c>
      <c r="C726" s="84"/>
      <c r="D726" s="42">
        <f t="shared" ref="D726:I726" si="679">SUM(D724:D725)</f>
        <v>0</v>
      </c>
      <c r="E726" s="43">
        <f t="shared" si="679"/>
        <v>0</v>
      </c>
      <c r="F726" s="43">
        <f t="shared" si="679"/>
        <v>0</v>
      </c>
      <c r="G726" s="43">
        <f t="shared" si="679"/>
        <v>0</v>
      </c>
      <c r="H726" s="43">
        <f t="shared" si="679"/>
        <v>0</v>
      </c>
      <c r="I726" s="43">
        <f t="shared" si="679"/>
        <v>0</v>
      </c>
      <c r="J726" s="43">
        <f t="shared" ref="J726:L726" si="680">SUM(J724:J725)</f>
        <v>0</v>
      </c>
      <c r="K726" s="43">
        <f t="shared" si="680"/>
        <v>7431.4000000000005</v>
      </c>
      <c r="L726" s="43">
        <f t="shared" si="680"/>
        <v>84702</v>
      </c>
      <c r="M726" s="43">
        <f t="shared" ref="M726:N726" si="681">SUM(M724:M725)</f>
        <v>72710.600000000006</v>
      </c>
      <c r="N726" s="43">
        <f t="shared" si="681"/>
        <v>68682</v>
      </c>
      <c r="O726" s="43">
        <f t="shared" ref="O726:P726" si="682">SUM(O724:O725)</f>
        <v>75172.2</v>
      </c>
      <c r="P726" s="43">
        <f t="shared" si="682"/>
        <v>75172.2</v>
      </c>
    </row>
    <row r="727" spans="1:16" x14ac:dyDescent="0.25">
      <c r="B727" s="32"/>
      <c r="C727" s="32"/>
      <c r="D727" s="41"/>
      <c r="E727" s="33"/>
      <c r="F727" s="33"/>
      <c r="G727" s="33"/>
      <c r="H727" s="33"/>
      <c r="I727" s="33"/>
      <c r="J727" s="33"/>
      <c r="K727" s="33"/>
      <c r="L727" s="33"/>
      <c r="M727" s="33"/>
      <c r="N727" s="33"/>
      <c r="O727" s="33"/>
      <c r="P727" s="33"/>
    </row>
    <row r="728" spans="1:16" ht="18.75" x14ac:dyDescent="0.3">
      <c r="A728" s="44" t="s">
        <v>35</v>
      </c>
      <c r="C728" s="32"/>
      <c r="D728" s="2">
        <f>D717</f>
        <v>2013</v>
      </c>
      <c r="E728" s="2">
        <f t="shared" ref="E728" si="683">D728+1</f>
        <v>2014</v>
      </c>
      <c r="F728" s="2">
        <f t="shared" ref="F728" si="684">E728+1</f>
        <v>2015</v>
      </c>
      <c r="G728" s="2">
        <f t="shared" ref="G728" si="685">F728+1</f>
        <v>2016</v>
      </c>
      <c r="H728" s="2">
        <f t="shared" ref="H728" si="686">G728+1</f>
        <v>2017</v>
      </c>
      <c r="I728" s="2">
        <f t="shared" ref="I728" si="687">H728+1</f>
        <v>2018</v>
      </c>
      <c r="J728" s="2">
        <f t="shared" ref="J728" si="688">I728+1</f>
        <v>2019</v>
      </c>
      <c r="K728" s="2">
        <f t="shared" ref="K728:P728" si="689">J728+1</f>
        <v>2020</v>
      </c>
      <c r="L728" s="2">
        <f t="shared" si="689"/>
        <v>2021</v>
      </c>
      <c r="M728" s="2">
        <f t="shared" si="689"/>
        <v>2022</v>
      </c>
      <c r="N728" s="2">
        <f t="shared" si="689"/>
        <v>2023</v>
      </c>
      <c r="O728" s="2">
        <f t="shared" si="689"/>
        <v>2024</v>
      </c>
      <c r="P728" s="2">
        <f t="shared" si="689"/>
        <v>2025</v>
      </c>
    </row>
    <row r="729" spans="1:16" x14ac:dyDescent="0.25">
      <c r="B729" s="86" t="s">
        <v>114</v>
      </c>
      <c r="C729" s="76"/>
      <c r="D729" s="94">
        <v>0</v>
      </c>
      <c r="E729" s="95">
        <v>0</v>
      </c>
      <c r="F729" s="96">
        <v>0</v>
      </c>
      <c r="G729" s="96">
        <v>0</v>
      </c>
      <c r="H729" s="96">
        <v>0</v>
      </c>
      <c r="I729" s="96">
        <v>0</v>
      </c>
      <c r="J729" s="96">
        <v>0</v>
      </c>
      <c r="K729" s="96">
        <v>0</v>
      </c>
      <c r="L729" s="96">
        <f>-150000-0-481</f>
        <v>-150481</v>
      </c>
      <c r="M729" s="96">
        <f>0-82612-8110</f>
        <v>-90722</v>
      </c>
      <c r="N729" s="96">
        <f>0-17388-0</f>
        <v>-17388</v>
      </c>
      <c r="O729" s="96">
        <v>0</v>
      </c>
      <c r="P729" s="96">
        <v>0</v>
      </c>
    </row>
    <row r="730" spans="1:16" x14ac:dyDescent="0.25">
      <c r="B730" s="87" t="s">
        <v>29</v>
      </c>
      <c r="C730" s="88"/>
      <c r="D730" s="97">
        <v>0</v>
      </c>
      <c r="E730" s="98">
        <v>0</v>
      </c>
      <c r="F730" s="99">
        <v>0</v>
      </c>
      <c r="G730" s="99">
        <v>0</v>
      </c>
      <c r="H730" s="99">
        <v>0</v>
      </c>
      <c r="I730" s="99">
        <v>0</v>
      </c>
      <c r="J730" s="99">
        <v>0</v>
      </c>
      <c r="K730" s="99">
        <v>0</v>
      </c>
      <c r="L730" s="99">
        <v>0</v>
      </c>
      <c r="M730" s="99">
        <v>0</v>
      </c>
      <c r="N730" s="99">
        <v>0</v>
      </c>
      <c r="O730" s="99">
        <v>0</v>
      </c>
      <c r="P730" s="99">
        <v>0</v>
      </c>
    </row>
    <row r="731" spans="1:16" x14ac:dyDescent="0.25">
      <c r="B731" s="100" t="s">
        <v>41</v>
      </c>
      <c r="C731" s="92"/>
      <c r="D731" s="63"/>
      <c r="E731" s="64"/>
      <c r="F731" s="65"/>
      <c r="G731" s="65"/>
      <c r="H731" s="65"/>
      <c r="I731" s="65"/>
      <c r="J731" s="65"/>
      <c r="K731" s="65">
        <f>ROUND(0.2*K729,0)</f>
        <v>0</v>
      </c>
      <c r="L731" s="65">
        <f>ROUND(0.2*L729,0)</f>
        <v>-30096</v>
      </c>
      <c r="M731" s="65">
        <f t="shared" ref="M731:N731" si="690">ROUND(0.2*M729,0)</f>
        <v>-18144</v>
      </c>
      <c r="N731" s="65">
        <f t="shared" si="690"/>
        <v>-3478</v>
      </c>
      <c r="O731" s="65">
        <f t="shared" ref="O731:P731" si="691">ROUND(0.2*O729,0)</f>
        <v>0</v>
      </c>
      <c r="P731" s="65">
        <f t="shared" si="691"/>
        <v>0</v>
      </c>
    </row>
    <row r="732" spans="1:16" x14ac:dyDescent="0.25">
      <c r="B732" s="35" t="s">
        <v>42</v>
      </c>
      <c r="D732" s="7">
        <f t="shared" ref="D732:L732" si="692">SUM(D729:D731)</f>
        <v>0</v>
      </c>
      <c r="E732" s="7">
        <f t="shared" si="692"/>
        <v>0</v>
      </c>
      <c r="F732" s="7">
        <f t="shared" si="692"/>
        <v>0</v>
      </c>
      <c r="G732" s="7">
        <f t="shared" si="692"/>
        <v>0</v>
      </c>
      <c r="H732" s="7">
        <f t="shared" si="692"/>
        <v>0</v>
      </c>
      <c r="I732" s="7">
        <f t="shared" si="692"/>
        <v>0</v>
      </c>
      <c r="J732" s="7">
        <f t="shared" si="692"/>
        <v>0</v>
      </c>
      <c r="K732" s="7">
        <f t="shared" si="692"/>
        <v>0</v>
      </c>
      <c r="L732" s="7">
        <f t="shared" si="692"/>
        <v>-180577</v>
      </c>
      <c r="M732" s="7">
        <f t="shared" ref="M732:N732" si="693">SUM(M729:M731)</f>
        <v>-108866</v>
      </c>
      <c r="N732" s="7">
        <f t="shared" si="693"/>
        <v>-20866</v>
      </c>
      <c r="O732" s="7">
        <f t="shared" ref="O732:P732" si="694">SUM(O729:O731)</f>
        <v>0</v>
      </c>
      <c r="P732" s="7">
        <f t="shared" si="694"/>
        <v>0</v>
      </c>
    </row>
    <row r="733" spans="1:16" x14ac:dyDescent="0.25">
      <c r="B733" s="6"/>
      <c r="D733" s="7"/>
      <c r="E733" s="7"/>
      <c r="F733" s="7"/>
      <c r="G733" s="7"/>
      <c r="H733" s="7"/>
      <c r="I733" s="7"/>
      <c r="J733" s="7"/>
      <c r="K733" s="7"/>
      <c r="L733" s="7"/>
      <c r="M733" s="7"/>
      <c r="N733" s="7"/>
      <c r="O733" s="7"/>
      <c r="P733" s="7"/>
    </row>
    <row r="734" spans="1:16" ht="18.75" x14ac:dyDescent="0.3">
      <c r="A734" s="9" t="s">
        <v>43</v>
      </c>
      <c r="D734" s="2">
        <f>D717</f>
        <v>2013</v>
      </c>
      <c r="E734" s="2">
        <f t="shared" ref="E734" si="695">D734+1</f>
        <v>2014</v>
      </c>
      <c r="F734" s="2">
        <f t="shared" ref="F734" si="696">E734+1</f>
        <v>2015</v>
      </c>
      <c r="G734" s="2">
        <f t="shared" ref="G734" si="697">F734+1</f>
        <v>2016</v>
      </c>
      <c r="H734" s="2">
        <f t="shared" ref="H734" si="698">G734+1</f>
        <v>2017</v>
      </c>
      <c r="I734" s="2">
        <f t="shared" ref="I734" si="699">H734+1</f>
        <v>2018</v>
      </c>
      <c r="J734" s="2">
        <f t="shared" ref="J734" si="700">I734+1</f>
        <v>2019</v>
      </c>
      <c r="K734" s="2">
        <f t="shared" ref="K734:P734" si="701">J734+1</f>
        <v>2020</v>
      </c>
      <c r="L734" s="2">
        <f t="shared" si="701"/>
        <v>2021</v>
      </c>
      <c r="M734" s="2">
        <f t="shared" si="701"/>
        <v>2022</v>
      </c>
      <c r="N734" s="2">
        <f t="shared" si="701"/>
        <v>2023</v>
      </c>
      <c r="O734" s="2">
        <f t="shared" si="701"/>
        <v>2024</v>
      </c>
      <c r="P734" s="2">
        <f t="shared" si="701"/>
        <v>2025</v>
      </c>
    </row>
    <row r="735" spans="1:16" x14ac:dyDescent="0.25">
      <c r="B735" s="86" t="str">
        <f xml:space="preserve"> 'Facility Detail'!$B$805 &amp; " Surplus Applied to " &amp; ( 'Facility Detail'!$B$805 + 1 )</f>
        <v>2013 Surplus Applied to 2014</v>
      </c>
      <c r="C735" s="76"/>
      <c r="D735" s="3"/>
      <c r="E735" s="66">
        <f>D735</f>
        <v>0</v>
      </c>
      <c r="F735" s="136"/>
      <c r="G735" s="68"/>
      <c r="H735" s="68"/>
      <c r="I735" s="68"/>
      <c r="J735" s="68"/>
      <c r="K735" s="68"/>
      <c r="L735" s="68"/>
      <c r="M735" s="68"/>
      <c r="N735" s="68"/>
      <c r="O735" s="68"/>
      <c r="P735" s="68"/>
    </row>
    <row r="736" spans="1:16" x14ac:dyDescent="0.25">
      <c r="B736" s="86" t="str">
        <f xml:space="preserve"> ( 'Facility Detail'!$B$805 + 1 ) &amp; " Surplus Applied to " &amp; ( 'Facility Detail'!$B$805 )</f>
        <v>2014 Surplus Applied to 2013</v>
      </c>
      <c r="C736" s="76"/>
      <c r="D736" s="137">
        <f>E736</f>
        <v>0</v>
      </c>
      <c r="E736" s="10"/>
      <c r="F736" s="80"/>
      <c r="G736" s="79"/>
      <c r="H736" s="79"/>
      <c r="I736" s="79"/>
      <c r="J736" s="79"/>
      <c r="K736" s="79"/>
      <c r="L736" s="79"/>
      <c r="M736" s="79"/>
      <c r="N736" s="79"/>
      <c r="O736" s="79"/>
      <c r="P736" s="79"/>
    </row>
    <row r="737" spans="1:16" x14ac:dyDescent="0.25">
      <c r="B737" s="86" t="str">
        <f xml:space="preserve"> ( 'Facility Detail'!$B$805 + 1 ) &amp; " Surplus Applied to " &amp; ( 'Facility Detail'!$B$805 + 2 )</f>
        <v>2014 Surplus Applied to 2015</v>
      </c>
      <c r="C737" s="76"/>
      <c r="D737" s="69"/>
      <c r="E737" s="10"/>
      <c r="F737" s="75">
        <f>E737</f>
        <v>0</v>
      </c>
      <c r="G737" s="79"/>
      <c r="H737" s="79"/>
      <c r="I737" s="79"/>
      <c r="J737" s="79"/>
      <c r="K737" s="79"/>
      <c r="L737" s="79"/>
      <c r="M737" s="79"/>
      <c r="N737" s="79"/>
      <c r="O737" s="79"/>
      <c r="P737" s="79"/>
    </row>
    <row r="738" spans="1:16" x14ac:dyDescent="0.25">
      <c r="B738" s="86" t="str">
        <f xml:space="preserve"> ( 'Facility Detail'!$B$805 + 2 ) &amp; " Surplus Applied to " &amp; ( 'Facility Detail'!$B$805 + 1 )</f>
        <v>2015 Surplus Applied to 2014</v>
      </c>
      <c r="C738" s="76"/>
      <c r="D738" s="69"/>
      <c r="E738" s="75">
        <f>F738</f>
        <v>0</v>
      </c>
      <c r="F738" s="10"/>
      <c r="G738" s="79"/>
      <c r="H738" s="79"/>
      <c r="I738" s="79"/>
      <c r="J738" s="79"/>
      <c r="K738" s="79"/>
      <c r="L738" s="79"/>
      <c r="M738" s="79"/>
      <c r="N738" s="79"/>
      <c r="O738" s="79"/>
      <c r="P738" s="79"/>
    </row>
    <row r="739" spans="1:16" x14ac:dyDescent="0.25">
      <c r="B739" s="86" t="str">
        <f xml:space="preserve"> ( 'Facility Detail'!$B$805 + 2 ) &amp; " Surplus Applied to " &amp; ( 'Facility Detail'!$B$805 + 3 )</f>
        <v>2015 Surplus Applied to 2016</v>
      </c>
      <c r="C739" s="32"/>
      <c r="D739" s="69"/>
      <c r="E739" s="80"/>
      <c r="F739" s="10"/>
      <c r="G739" s="138">
        <f>F739</f>
        <v>0</v>
      </c>
      <c r="H739" s="79"/>
      <c r="I739" s="79">
        <f>H739</f>
        <v>0</v>
      </c>
      <c r="J739" s="79">
        <f>I739</f>
        <v>0</v>
      </c>
      <c r="K739" s="79"/>
      <c r="L739" s="79"/>
      <c r="M739" s="79"/>
      <c r="N739" s="79"/>
      <c r="O739" s="79"/>
      <c r="P739" s="79"/>
    </row>
    <row r="740" spans="1:16" x14ac:dyDescent="0.25">
      <c r="B740" s="86" t="str">
        <f xml:space="preserve"> ( 'Facility Detail'!$B$805 +3 ) &amp; " Surplus Applied to " &amp; ( 'Facility Detail'!$B$805 + 2 )</f>
        <v>2016 Surplus Applied to 2015</v>
      </c>
      <c r="C740" s="32"/>
      <c r="D740" s="70"/>
      <c r="E740" s="81"/>
      <c r="F740" s="67">
        <f>G740</f>
        <v>0</v>
      </c>
      <c r="G740" s="10"/>
      <c r="H740" s="79"/>
      <c r="I740" s="79"/>
      <c r="J740" s="79"/>
      <c r="K740" s="79"/>
      <c r="L740" s="79"/>
      <c r="M740" s="79"/>
      <c r="N740" s="79"/>
      <c r="O740" s="79"/>
      <c r="P740" s="79"/>
    </row>
    <row r="741" spans="1:16" x14ac:dyDescent="0.25">
      <c r="B741" s="86" t="str">
        <f xml:space="preserve"> ( 'Facility Detail'!$B$805 +3 ) &amp; " Surplus Applied to " &amp; ( 'Facility Detail'!$B$805 + 4 )</f>
        <v>2016 Surplus Applied to 2017</v>
      </c>
      <c r="C741" s="32"/>
      <c r="D741" s="142"/>
      <c r="E741" s="142"/>
      <c r="F741" s="79"/>
      <c r="G741" s="10"/>
      <c r="H741" s="147">
        <f>G741</f>
        <v>0</v>
      </c>
      <c r="I741" s="79"/>
      <c r="J741" s="79"/>
      <c r="K741" s="79"/>
      <c r="L741" s="79"/>
      <c r="M741" s="79"/>
      <c r="N741" s="79"/>
      <c r="O741" s="79"/>
      <c r="P741" s="79"/>
    </row>
    <row r="742" spans="1:16" x14ac:dyDescent="0.25">
      <c r="B742" s="86" t="str">
        <f xml:space="preserve"> ( 'Facility Detail'!$B$805 + 4 ) &amp; " Surplus Applied to " &amp; ( 'Facility Detail'!$B$805 + 3 )</f>
        <v>2017 Surplus Applied to 2016</v>
      </c>
      <c r="C742" s="32"/>
      <c r="D742" s="142"/>
      <c r="E742" s="142"/>
      <c r="F742" s="79"/>
      <c r="G742" s="147">
        <f>H742</f>
        <v>0</v>
      </c>
      <c r="H742" s="10"/>
      <c r="I742" s="79"/>
      <c r="J742" s="79"/>
      <c r="K742" s="79"/>
      <c r="L742" s="79"/>
      <c r="M742" s="79"/>
      <c r="N742" s="79"/>
      <c r="O742" s="79"/>
      <c r="P742" s="79"/>
    </row>
    <row r="743" spans="1:16" x14ac:dyDescent="0.25">
      <c r="B743" s="86" t="str">
        <f xml:space="preserve"> ( 'Facility Detail'!$B$805 + 4 ) &amp; " Surplus Applied to " &amp; ( 'Facility Detail'!$B$805 + 5 )</f>
        <v>2017 Surplus Applied to 2018</v>
      </c>
      <c r="C743" s="32"/>
      <c r="D743" s="142"/>
      <c r="E743" s="142"/>
      <c r="F743" s="79"/>
      <c r="G743" s="79"/>
      <c r="H743" s="10"/>
      <c r="I743" s="147">
        <f>H743</f>
        <v>0</v>
      </c>
      <c r="J743" s="147">
        <f>I743</f>
        <v>0</v>
      </c>
      <c r="K743" s="147"/>
      <c r="L743" s="147"/>
      <c r="M743" s="147"/>
      <c r="N743" s="147"/>
      <c r="O743" s="147"/>
      <c r="P743" s="147"/>
    </row>
    <row r="744" spans="1:16" x14ac:dyDescent="0.25">
      <c r="B744" s="86" t="str">
        <f xml:space="preserve"> ( 'Facility Detail'!$B$805 + 5 ) &amp; " Surplus Applied to " &amp; ( 'Facility Detail'!$B$805 + 4 )</f>
        <v>2018 Surplus Applied to 2017</v>
      </c>
      <c r="C744" s="32"/>
      <c r="D744" s="142"/>
      <c r="E744" s="142"/>
      <c r="F744" s="79"/>
      <c r="G744" s="79"/>
      <c r="H744" s="147">
        <f>I744</f>
        <v>0</v>
      </c>
      <c r="I744" s="10"/>
      <c r="J744" s="10"/>
      <c r="K744" s="10"/>
      <c r="L744" s="10"/>
      <c r="M744" s="10"/>
      <c r="N744" s="10"/>
      <c r="O744" s="10"/>
      <c r="P744" s="10"/>
    </row>
    <row r="745" spans="1:16" x14ac:dyDescent="0.25">
      <c r="B745" s="86" t="str">
        <f xml:space="preserve"> ( 'Facility Detail'!$B$805 + 5 ) &amp; " Surplus Applied to " &amp; ( 'Facility Detail'!$B$805 + 6 )</f>
        <v>2018 Surplus Applied to 2019</v>
      </c>
      <c r="C745" s="32"/>
      <c r="D745" s="142"/>
      <c r="E745" s="142"/>
      <c r="F745" s="79"/>
      <c r="G745" s="79"/>
      <c r="H745" s="79"/>
      <c r="I745" s="10"/>
      <c r="J745" s="10"/>
      <c r="K745" s="10"/>
      <c r="L745" s="10"/>
      <c r="M745" s="10"/>
      <c r="N745" s="10"/>
      <c r="O745" s="10"/>
      <c r="P745" s="10"/>
    </row>
    <row r="746" spans="1:16" x14ac:dyDescent="0.25">
      <c r="B746" s="86" t="str">
        <f xml:space="preserve"> ( 'Facility Detail'!$B$805 + 6 ) &amp; " Surplus Applied to " &amp; ( 'Facility Detail'!$B$805 + 7 )</f>
        <v>2019 Surplus Applied to 2020</v>
      </c>
      <c r="C746" s="32"/>
      <c r="D746" s="142"/>
      <c r="E746" s="142"/>
      <c r="F746" s="142"/>
      <c r="G746" s="142"/>
      <c r="H746" s="142"/>
      <c r="I746" s="173"/>
      <c r="J746" s="173"/>
      <c r="K746" s="173"/>
      <c r="L746" s="173"/>
      <c r="M746" s="173"/>
      <c r="N746" s="173"/>
      <c r="O746" s="173"/>
      <c r="P746" s="173"/>
    </row>
    <row r="747" spans="1:16" x14ac:dyDescent="0.25">
      <c r="B747" s="86" t="str">
        <f xml:space="preserve"> ( 'Facility Detail'!$B$805 + 7 ) &amp; " Surplus Applied to " &amp; ( 'Facility Detail'!$B$805 + 8 )</f>
        <v>2020 Surplus Applied to 2021</v>
      </c>
      <c r="C747" s="32"/>
      <c r="D747" s="142"/>
      <c r="E747" s="142"/>
      <c r="F747" s="142"/>
      <c r="G747" s="142"/>
      <c r="H747" s="142"/>
      <c r="I747" s="173"/>
      <c r="J747" s="173"/>
      <c r="K747" s="173">
        <v>44588</v>
      </c>
      <c r="L747" s="173"/>
      <c r="M747" s="173"/>
      <c r="N747" s="173"/>
      <c r="O747" s="173"/>
      <c r="P747" s="173"/>
    </row>
    <row r="748" spans="1:16" x14ac:dyDescent="0.25">
      <c r="B748" s="35" t="s">
        <v>25</v>
      </c>
      <c r="D748" s="7">
        <f xml:space="preserve"> D736 - D735</f>
        <v>0</v>
      </c>
      <c r="E748" s="7">
        <f xml:space="preserve"> E735 + E738 - E737 - E736</f>
        <v>0</v>
      </c>
      <c r="F748" s="7">
        <f>F737+F740-F738-F739</f>
        <v>0</v>
      </c>
      <c r="G748" s="7">
        <f t="shared" ref="G748:L748" si="702">G739-G740</f>
        <v>0</v>
      </c>
      <c r="H748" s="7">
        <f t="shared" si="702"/>
        <v>0</v>
      </c>
      <c r="I748" s="7">
        <f t="shared" si="702"/>
        <v>0</v>
      </c>
      <c r="J748" s="7">
        <f>J739-J740</f>
        <v>0</v>
      </c>
      <c r="K748" s="7">
        <f>K746-K747</f>
        <v>-44588</v>
      </c>
      <c r="L748" s="7">
        <f t="shared" si="702"/>
        <v>0</v>
      </c>
      <c r="M748" s="7">
        <f t="shared" ref="M748:N748" si="703">M739-M740</f>
        <v>0</v>
      </c>
      <c r="N748" s="7">
        <f t="shared" si="703"/>
        <v>0</v>
      </c>
      <c r="O748" s="7">
        <f t="shared" ref="O748:P748" si="704">O739-O740</f>
        <v>0</v>
      </c>
      <c r="P748" s="7">
        <f t="shared" si="704"/>
        <v>0</v>
      </c>
    </row>
    <row r="749" spans="1:16" x14ac:dyDescent="0.25">
      <c r="B749" s="6"/>
      <c r="D749" s="7"/>
      <c r="E749" s="7"/>
      <c r="F749" s="7"/>
      <c r="G749" s="7"/>
      <c r="H749" s="7"/>
      <c r="I749" s="7"/>
      <c r="J749" s="7"/>
      <c r="K749" s="7"/>
      <c r="L749" s="7"/>
      <c r="M749" s="7"/>
      <c r="N749" s="7"/>
      <c r="O749" s="7"/>
      <c r="P749" s="7"/>
    </row>
    <row r="750" spans="1:16" x14ac:dyDescent="0.25">
      <c r="B750" s="93" t="s">
        <v>21</v>
      </c>
      <c r="C750" s="76"/>
      <c r="D750" s="107"/>
      <c r="E750" s="108"/>
      <c r="F750" s="109"/>
      <c r="G750" s="109"/>
      <c r="H750" s="109"/>
      <c r="I750" s="109"/>
      <c r="J750" s="109"/>
      <c r="K750" s="109"/>
      <c r="L750" s="109"/>
      <c r="M750" s="109"/>
      <c r="N750" s="109"/>
      <c r="O750" s="109"/>
      <c r="P750" s="109"/>
    </row>
    <row r="751" spans="1:16" x14ac:dyDescent="0.25">
      <c r="B751" s="6"/>
      <c r="D751" s="7"/>
      <c r="E751" s="7"/>
      <c r="F751" s="7"/>
      <c r="G751" s="7"/>
      <c r="H751" s="7"/>
      <c r="I751" s="7"/>
      <c r="J751" s="7"/>
      <c r="K751" s="7"/>
      <c r="L751" s="7"/>
      <c r="M751" s="7"/>
      <c r="N751" s="7"/>
      <c r="O751" s="7"/>
      <c r="P751" s="7"/>
    </row>
    <row r="752" spans="1:16" ht="15.75" x14ac:dyDescent="0.25">
      <c r="A752" s="89" t="s">
        <v>33</v>
      </c>
      <c r="C752" s="76"/>
      <c r="D752" s="48">
        <f t="shared" ref="D752:L752" si="705" xml:space="preserve"> D721 + D726 + D732 + D748 + D750</f>
        <v>0</v>
      </c>
      <c r="E752" s="49">
        <f t="shared" si="705"/>
        <v>0</v>
      </c>
      <c r="F752" s="50">
        <f t="shared" si="705"/>
        <v>0</v>
      </c>
      <c r="G752" s="50">
        <f t="shared" si="705"/>
        <v>0</v>
      </c>
      <c r="H752" s="50">
        <f t="shared" si="705"/>
        <v>0</v>
      </c>
      <c r="I752" s="50">
        <f t="shared" si="705"/>
        <v>0</v>
      </c>
      <c r="J752" s="50">
        <f t="shared" si="705"/>
        <v>0</v>
      </c>
      <c r="K752" s="50">
        <f t="shared" si="705"/>
        <v>0.40000000000145519</v>
      </c>
      <c r="L752" s="50">
        <f t="shared" si="705"/>
        <v>327635</v>
      </c>
      <c r="M752" s="50">
        <f t="shared" ref="M752:N752" si="706" xml:space="preserve"> M721 + M726 + M732 + M748 + M750</f>
        <v>327397.59999999998</v>
      </c>
      <c r="N752" s="50">
        <f t="shared" si="706"/>
        <v>391226</v>
      </c>
      <c r="O752" s="50">
        <f t="shared" ref="O752:P752" si="707" xml:space="preserve"> O721 + O726 + O732 + O748 + O750</f>
        <v>451033.2</v>
      </c>
      <c r="P752" s="50">
        <f t="shared" si="707"/>
        <v>451033.2</v>
      </c>
    </row>
    <row r="753" spans="1:16" ht="50.25" customHeight="1" x14ac:dyDescent="0.25">
      <c r="A753" s="199"/>
      <c r="B753" s="199"/>
      <c r="C753" s="199"/>
      <c r="D753" s="199"/>
      <c r="E753" s="199"/>
      <c r="F753" s="199"/>
      <c r="G753" s="31"/>
      <c r="H753" s="31"/>
      <c r="I753" s="31"/>
      <c r="J753" s="31"/>
      <c r="K753" s="31"/>
      <c r="L753" s="31"/>
      <c r="M753" s="31"/>
      <c r="N753" s="31"/>
    </row>
    <row r="754" spans="1:16" ht="42.75" customHeight="1" thickBot="1" x14ac:dyDescent="0.3">
      <c r="A754" s="198"/>
      <c r="B754" s="198"/>
      <c r="C754" s="198"/>
      <c r="D754" s="198"/>
      <c r="E754" s="198"/>
      <c r="F754" s="198"/>
      <c r="G754" s="31"/>
      <c r="H754" s="31"/>
      <c r="I754" s="31"/>
      <c r="J754" s="31"/>
      <c r="K754" s="31"/>
      <c r="L754" s="31"/>
    </row>
    <row r="755" spans="1:16" x14ac:dyDescent="0.25">
      <c r="A755" s="8"/>
      <c r="B755" s="8"/>
      <c r="C755" s="8"/>
      <c r="D755" s="8"/>
      <c r="E755" s="8"/>
      <c r="F755" s="8"/>
      <c r="G755" s="8"/>
      <c r="H755" s="8"/>
      <c r="I755" s="8"/>
      <c r="J755" s="8"/>
      <c r="K755" s="8"/>
      <c r="L755" s="8"/>
      <c r="M755" s="8"/>
      <c r="N755" s="8"/>
      <c r="O755" s="8"/>
      <c r="P755" s="8"/>
    </row>
    <row r="756" spans="1:16" ht="21" x14ac:dyDescent="0.35">
      <c r="A756" s="16" t="s">
        <v>4</v>
      </c>
      <c r="B756" s="16"/>
      <c r="C756" s="45" t="str">
        <f>B21</f>
        <v>Clearwater Wind</v>
      </c>
      <c r="D756" s="46"/>
      <c r="E756" s="19"/>
      <c r="F756" s="19"/>
    </row>
    <row r="758" spans="1:16" ht="18.75" x14ac:dyDescent="0.3">
      <c r="A758" s="9" t="s">
        <v>85</v>
      </c>
      <c r="B758" s="9"/>
      <c r="D758" s="2">
        <v>2013</v>
      </c>
      <c r="E758" s="2">
        <f t="shared" ref="E758" si="708">D758+1</f>
        <v>2014</v>
      </c>
      <c r="F758" s="2">
        <f t="shared" ref="F758" si="709">E758+1</f>
        <v>2015</v>
      </c>
      <c r="G758" s="2">
        <f t="shared" ref="G758" si="710">F758+1</f>
        <v>2016</v>
      </c>
      <c r="H758" s="2">
        <f t="shared" ref="H758" si="711">G758+1</f>
        <v>2017</v>
      </c>
      <c r="I758" s="2">
        <f t="shared" ref="I758" si="712">H758+1</f>
        <v>2018</v>
      </c>
      <c r="J758" s="2">
        <f t="shared" ref="J758" si="713">I758+1</f>
        <v>2019</v>
      </c>
      <c r="K758" s="2">
        <f t="shared" ref="K758:P758" si="714">J758+1</f>
        <v>2020</v>
      </c>
      <c r="L758" s="2">
        <f t="shared" si="714"/>
        <v>2021</v>
      </c>
      <c r="M758" s="2">
        <f t="shared" si="714"/>
        <v>2022</v>
      </c>
      <c r="N758" s="2">
        <f t="shared" si="714"/>
        <v>2023</v>
      </c>
      <c r="O758" s="2">
        <f t="shared" si="714"/>
        <v>2024</v>
      </c>
      <c r="P758" s="2">
        <f t="shared" si="714"/>
        <v>2025</v>
      </c>
    </row>
    <row r="759" spans="1:16" x14ac:dyDescent="0.25">
      <c r="B759" s="86" t="str">
        <f>"Total MWh Produced / Purchased from " &amp; C756</f>
        <v>Total MWh Produced / Purchased from Clearwater Wind</v>
      </c>
      <c r="C759" s="76"/>
      <c r="D759" s="3">
        <v>0</v>
      </c>
      <c r="E759" s="4">
        <v>0</v>
      </c>
      <c r="F759" s="5">
        <v>0</v>
      </c>
      <c r="G759" s="5">
        <v>0</v>
      </c>
      <c r="H759" s="5">
        <v>0</v>
      </c>
      <c r="I759" s="5">
        <v>0</v>
      </c>
      <c r="J759" s="5">
        <v>0</v>
      </c>
      <c r="K759" s="5">
        <v>0</v>
      </c>
      <c r="L759" s="5">
        <v>0</v>
      </c>
      <c r="M759" s="5">
        <v>0</v>
      </c>
      <c r="N759" s="5">
        <v>0</v>
      </c>
      <c r="O759" s="5">
        <v>147212</v>
      </c>
      <c r="P759" s="5">
        <v>367252</v>
      </c>
    </row>
    <row r="760" spans="1:16" x14ac:dyDescent="0.25">
      <c r="B760" s="86" t="s">
        <v>32</v>
      </c>
      <c r="C760" s="76"/>
      <c r="D760" s="60">
        <v>1</v>
      </c>
      <c r="E760" s="61">
        <v>1</v>
      </c>
      <c r="F760" s="62">
        <v>1</v>
      </c>
      <c r="G760" s="62">
        <v>1</v>
      </c>
      <c r="H760" s="62">
        <v>1</v>
      </c>
      <c r="I760" s="62">
        <v>1</v>
      </c>
      <c r="J760" s="62">
        <v>1</v>
      </c>
      <c r="K760" s="62">
        <v>1</v>
      </c>
      <c r="L760" s="62">
        <v>1</v>
      </c>
      <c r="M760" s="62">
        <v>1</v>
      </c>
      <c r="N760" s="62">
        <v>1</v>
      </c>
      <c r="O760" s="62">
        <v>1</v>
      </c>
      <c r="P760" s="62">
        <v>1</v>
      </c>
    </row>
    <row r="761" spans="1:16" x14ac:dyDescent="0.25">
      <c r="B761" s="86" t="s">
        <v>26</v>
      </c>
      <c r="C761" s="76"/>
      <c r="D761" s="53">
        <v>1</v>
      </c>
      <c r="E761" s="54">
        <v>1</v>
      </c>
      <c r="F761" s="55">
        <v>1</v>
      </c>
      <c r="G761" s="55">
        <v>1</v>
      </c>
      <c r="H761" s="55">
        <v>1</v>
      </c>
      <c r="I761" s="55">
        <v>1</v>
      </c>
      <c r="J761" s="55">
        <v>1</v>
      </c>
      <c r="K761" s="55">
        <v>1</v>
      </c>
      <c r="L761" s="55">
        <v>1</v>
      </c>
      <c r="M761" s="55">
        <v>1</v>
      </c>
      <c r="N761" s="55">
        <v>1</v>
      </c>
      <c r="O761" s="55">
        <v>1</v>
      </c>
      <c r="P761" s="55">
        <v>1</v>
      </c>
    </row>
    <row r="762" spans="1:16" x14ac:dyDescent="0.25">
      <c r="B762" s="83" t="s">
        <v>28</v>
      </c>
      <c r="C762" s="84"/>
      <c r="D762" s="40">
        <f t="shared" ref="D762:O762" si="715" xml:space="preserve"> D759 * D760 * D761</f>
        <v>0</v>
      </c>
      <c r="E762" s="40">
        <f t="shared" si="715"/>
        <v>0</v>
      </c>
      <c r="F762" s="40">
        <f t="shared" si="715"/>
        <v>0</v>
      </c>
      <c r="G762" s="40">
        <f t="shared" si="715"/>
        <v>0</v>
      </c>
      <c r="H762" s="40">
        <f t="shared" si="715"/>
        <v>0</v>
      </c>
      <c r="I762" s="40">
        <f t="shared" si="715"/>
        <v>0</v>
      </c>
      <c r="J762" s="40">
        <f t="shared" si="715"/>
        <v>0</v>
      </c>
      <c r="K762" s="40">
        <f t="shared" si="715"/>
        <v>0</v>
      </c>
      <c r="L762" s="40">
        <f t="shared" si="715"/>
        <v>0</v>
      </c>
      <c r="M762" s="40">
        <f t="shared" si="715"/>
        <v>0</v>
      </c>
      <c r="N762" s="40">
        <f t="shared" si="715"/>
        <v>0</v>
      </c>
      <c r="O762" s="40">
        <f t="shared" si="715"/>
        <v>147212</v>
      </c>
      <c r="P762" s="40">
        <f t="shared" ref="P762" si="716" xml:space="preserve"> P759 * P760 * P761</f>
        <v>367252</v>
      </c>
    </row>
    <row r="763" spans="1:16" x14ac:dyDescent="0.25">
      <c r="B763" s="19"/>
      <c r="C763" s="32"/>
      <c r="D763" s="39"/>
      <c r="E763" s="39"/>
      <c r="F763" s="39"/>
      <c r="G763" s="39"/>
      <c r="H763" s="39"/>
      <c r="I763" s="39"/>
      <c r="J763" s="39"/>
      <c r="K763" s="39"/>
      <c r="L763" s="39"/>
      <c r="M763" s="39"/>
      <c r="N763" s="39"/>
      <c r="O763" s="39"/>
      <c r="P763" s="39"/>
    </row>
    <row r="764" spans="1:16" ht="18.75" x14ac:dyDescent="0.3">
      <c r="A764" s="47" t="s">
        <v>30</v>
      </c>
      <c r="C764" s="32"/>
      <c r="D764" s="2">
        <f>D758</f>
        <v>2013</v>
      </c>
      <c r="E764" s="2">
        <f t="shared" ref="E764" si="717">D764+1</f>
        <v>2014</v>
      </c>
      <c r="F764" s="2">
        <f t="shared" ref="F764" si="718">E764+1</f>
        <v>2015</v>
      </c>
      <c r="G764" s="2">
        <f t="shared" ref="G764" si="719">F764+1</f>
        <v>2016</v>
      </c>
      <c r="H764" s="2">
        <f t="shared" ref="H764" si="720">G764+1</f>
        <v>2017</v>
      </c>
      <c r="I764" s="2">
        <f t="shared" ref="I764" si="721">H764+1</f>
        <v>2018</v>
      </c>
      <c r="J764" s="2">
        <f t="shared" ref="J764" si="722">I764+1</f>
        <v>2019</v>
      </c>
      <c r="K764" s="2">
        <f t="shared" ref="K764:P764" si="723">J764+1</f>
        <v>2020</v>
      </c>
      <c r="L764" s="2">
        <f t="shared" si="723"/>
        <v>2021</v>
      </c>
      <c r="M764" s="2">
        <f t="shared" si="723"/>
        <v>2022</v>
      </c>
      <c r="N764" s="2">
        <f t="shared" si="723"/>
        <v>2023</v>
      </c>
      <c r="O764" s="2">
        <f t="shared" si="723"/>
        <v>2024</v>
      </c>
      <c r="P764" s="2">
        <f t="shared" si="723"/>
        <v>2025</v>
      </c>
    </row>
    <row r="765" spans="1:16" x14ac:dyDescent="0.25">
      <c r="B765" s="86" t="s">
        <v>113</v>
      </c>
      <c r="C765" s="76"/>
      <c r="D765" s="56">
        <f>IF( $E355 = "Eligible", D762 * 'Facility Detail'!$B$802, 0 )</f>
        <v>0</v>
      </c>
      <c r="E765" s="56">
        <f>IF( $E355 = "Eligible", E762 * 'Facility Detail'!$B$802, 0 )</f>
        <v>0</v>
      </c>
      <c r="F765" s="56">
        <f>IF( $E355 = "Eligible", F762 * 'Facility Detail'!$B$802, 0 )</f>
        <v>0</v>
      </c>
      <c r="G765" s="56">
        <f>IF( $E355 = "Eligible", G762 * 'Facility Detail'!$B$802, 0 )</f>
        <v>0</v>
      </c>
      <c r="H765" s="56">
        <f>IF( $E355 = "Eligible", H762 * 'Facility Detail'!$B$802, 0 )</f>
        <v>0</v>
      </c>
      <c r="I765" s="56">
        <f>IF( $E355 = "Eligible", I762 * 'Facility Detail'!$B$802, 0 )</f>
        <v>0</v>
      </c>
      <c r="J765" s="56">
        <f>IF( $E355 = "Eligible", J762 * 'Facility Detail'!$B$802, 0 )</f>
        <v>0</v>
      </c>
      <c r="K765" s="56">
        <f>IF( $E61 = "Eligible", K762 * 'Facility Detail'!$B$802, 0 )</f>
        <v>0</v>
      </c>
      <c r="L765" s="56">
        <f>IF( $E61 = "Eligible", L762 * 'Facility Detail'!$B$802, 0 )</f>
        <v>0</v>
      </c>
      <c r="M765" s="56">
        <f>IF( $E61 = "Eligible", M762 * 'Facility Detail'!$B$802, 0 )</f>
        <v>0</v>
      </c>
      <c r="N765" s="56">
        <f>IF( $E61 = "Eligible", N762 * 'Facility Detail'!$B$802, 0 )</f>
        <v>0</v>
      </c>
      <c r="O765" s="56">
        <f>IF( $E61 = "Eligible", O762 * 'Facility Detail'!$B$802, 0 )</f>
        <v>0</v>
      </c>
      <c r="P765" s="56">
        <f>IF( $E61 = "Eligible", P762 * 'Facility Detail'!$B$802, 0 )</f>
        <v>0</v>
      </c>
    </row>
    <row r="766" spans="1:16" x14ac:dyDescent="0.25">
      <c r="B766" s="86" t="s">
        <v>6</v>
      </c>
      <c r="C766" s="76"/>
      <c r="D766" s="57">
        <f t="shared" ref="D766:O766" si="724">IF( $F100 = "Eligible", D762, 0 )</f>
        <v>0</v>
      </c>
      <c r="E766" s="58">
        <f t="shared" si="724"/>
        <v>0</v>
      </c>
      <c r="F766" s="59">
        <f t="shared" si="724"/>
        <v>0</v>
      </c>
      <c r="G766" s="59">
        <f t="shared" si="724"/>
        <v>0</v>
      </c>
      <c r="H766" s="59">
        <f t="shared" si="724"/>
        <v>0</v>
      </c>
      <c r="I766" s="59">
        <f t="shared" si="724"/>
        <v>0</v>
      </c>
      <c r="J766" s="59">
        <f t="shared" si="724"/>
        <v>0</v>
      </c>
      <c r="K766" s="59">
        <f t="shared" si="724"/>
        <v>0</v>
      </c>
      <c r="L766" s="59">
        <f t="shared" si="724"/>
        <v>0</v>
      </c>
      <c r="M766" s="59">
        <f t="shared" si="724"/>
        <v>0</v>
      </c>
      <c r="N766" s="59">
        <f t="shared" si="724"/>
        <v>0</v>
      </c>
      <c r="O766" s="59">
        <f t="shared" si="724"/>
        <v>0</v>
      </c>
      <c r="P766" s="59">
        <f t="shared" ref="P766" si="725">IF( $F100 = "Eligible", P762, 0 )</f>
        <v>0</v>
      </c>
    </row>
    <row r="767" spans="1:16" x14ac:dyDescent="0.25">
      <c r="B767" s="85" t="s">
        <v>37</v>
      </c>
      <c r="C767" s="84"/>
      <c r="D767" s="42">
        <f t="shared" ref="D767:I767" si="726">SUM(D765:D766)</f>
        <v>0</v>
      </c>
      <c r="E767" s="43">
        <f t="shared" si="726"/>
        <v>0</v>
      </c>
      <c r="F767" s="43">
        <f t="shared" si="726"/>
        <v>0</v>
      </c>
      <c r="G767" s="43">
        <f t="shared" si="726"/>
        <v>0</v>
      </c>
      <c r="H767" s="43">
        <f t="shared" si="726"/>
        <v>0</v>
      </c>
      <c r="I767" s="43">
        <f t="shared" si="726"/>
        <v>0</v>
      </c>
      <c r="J767" s="43">
        <f t="shared" ref="J767:O767" si="727">SUM(J765:J766)</f>
        <v>0</v>
      </c>
      <c r="K767" s="43">
        <f t="shared" si="727"/>
        <v>0</v>
      </c>
      <c r="L767" s="43">
        <f t="shared" si="727"/>
        <v>0</v>
      </c>
      <c r="M767" s="43">
        <f t="shared" si="727"/>
        <v>0</v>
      </c>
      <c r="N767" s="43">
        <f t="shared" si="727"/>
        <v>0</v>
      </c>
      <c r="O767" s="43">
        <f t="shared" si="727"/>
        <v>0</v>
      </c>
      <c r="P767" s="43">
        <f t="shared" ref="P767" si="728">SUM(P765:P766)</f>
        <v>0</v>
      </c>
    </row>
    <row r="768" spans="1:16" x14ac:dyDescent="0.25">
      <c r="B768" s="32"/>
      <c r="C768" s="32"/>
      <c r="D768" s="41"/>
      <c r="E768" s="33"/>
      <c r="F768" s="33"/>
      <c r="G768" s="33"/>
      <c r="H768" s="33"/>
      <c r="I768" s="33"/>
      <c r="J768" s="33"/>
      <c r="K768" s="33"/>
      <c r="L768" s="33"/>
      <c r="M768" s="33"/>
      <c r="N768" s="33"/>
      <c r="O768" s="33"/>
      <c r="P768" s="33"/>
    </row>
    <row r="769" spans="1:16" ht="18.75" x14ac:dyDescent="0.3">
      <c r="A769" s="44" t="s">
        <v>35</v>
      </c>
      <c r="C769" s="32"/>
      <c r="D769" s="2">
        <f>D758</f>
        <v>2013</v>
      </c>
      <c r="E769" s="2">
        <f t="shared" ref="E769" si="729">D769+1</f>
        <v>2014</v>
      </c>
      <c r="F769" s="2">
        <f t="shared" ref="F769" si="730">E769+1</f>
        <v>2015</v>
      </c>
      <c r="G769" s="2">
        <f t="shared" ref="G769" si="731">F769+1</f>
        <v>2016</v>
      </c>
      <c r="H769" s="2">
        <f t="shared" ref="H769" si="732">G769+1</f>
        <v>2017</v>
      </c>
      <c r="I769" s="2">
        <f t="shared" ref="I769" si="733">H769+1</f>
        <v>2018</v>
      </c>
      <c r="J769" s="2">
        <f t="shared" ref="J769" si="734">I769+1</f>
        <v>2019</v>
      </c>
      <c r="K769" s="2">
        <f t="shared" ref="K769:P769" si="735">J769+1</f>
        <v>2020</v>
      </c>
      <c r="L769" s="2">
        <f t="shared" si="735"/>
        <v>2021</v>
      </c>
      <c r="M769" s="2">
        <f t="shared" si="735"/>
        <v>2022</v>
      </c>
      <c r="N769" s="2">
        <f t="shared" si="735"/>
        <v>2023</v>
      </c>
      <c r="O769" s="2">
        <f t="shared" si="735"/>
        <v>2024</v>
      </c>
      <c r="P769" s="2">
        <f t="shared" si="735"/>
        <v>2025</v>
      </c>
    </row>
    <row r="770" spans="1:16" x14ac:dyDescent="0.25">
      <c r="B770" s="86" t="s">
        <v>114</v>
      </c>
      <c r="C770" s="76"/>
      <c r="D770" s="94">
        <v>0</v>
      </c>
      <c r="E770" s="95">
        <v>0</v>
      </c>
      <c r="F770" s="96">
        <v>0</v>
      </c>
      <c r="G770" s="96">
        <v>0</v>
      </c>
      <c r="H770" s="96">
        <v>0</v>
      </c>
      <c r="I770" s="96">
        <v>0</v>
      </c>
      <c r="J770" s="96">
        <v>0</v>
      </c>
      <c r="K770" s="96">
        <v>0</v>
      </c>
      <c r="L770" s="96">
        <v>0</v>
      </c>
      <c r="M770" s="96">
        <v>0</v>
      </c>
      <c r="N770" s="96">
        <v>0</v>
      </c>
      <c r="O770" s="96">
        <v>0</v>
      </c>
      <c r="P770" s="96">
        <v>0</v>
      </c>
    </row>
    <row r="771" spans="1:16" x14ac:dyDescent="0.25">
      <c r="B771" s="87" t="s">
        <v>29</v>
      </c>
      <c r="C771" s="88"/>
      <c r="D771" s="97">
        <v>0</v>
      </c>
      <c r="E771" s="98">
        <v>0</v>
      </c>
      <c r="F771" s="99">
        <v>0</v>
      </c>
      <c r="G771" s="99">
        <v>0</v>
      </c>
      <c r="H771" s="99">
        <v>0</v>
      </c>
      <c r="I771" s="99">
        <v>0</v>
      </c>
      <c r="J771" s="99">
        <v>0</v>
      </c>
      <c r="K771" s="99">
        <v>0</v>
      </c>
      <c r="L771" s="99">
        <v>0</v>
      </c>
      <c r="M771" s="99">
        <v>0</v>
      </c>
      <c r="N771" s="99">
        <v>0</v>
      </c>
      <c r="O771" s="99">
        <v>0</v>
      </c>
      <c r="P771" s="99">
        <v>0</v>
      </c>
    </row>
    <row r="772" spans="1:16" x14ac:dyDescent="0.25">
      <c r="B772" s="100" t="s">
        <v>41</v>
      </c>
      <c r="C772" s="92"/>
      <c r="D772" s="63"/>
      <c r="E772" s="64"/>
      <c r="F772" s="65"/>
      <c r="G772" s="65"/>
      <c r="H772" s="65"/>
      <c r="I772" s="65"/>
      <c r="J772" s="65"/>
      <c r="K772" s="65">
        <f>ROUND(0.2*K770,0)</f>
        <v>0</v>
      </c>
      <c r="L772" s="65">
        <f>ROUND(0.2*L770,0)</f>
        <v>0</v>
      </c>
      <c r="M772" s="65">
        <f t="shared" ref="M772:O772" si="736">ROUND(0.2*M770,0)</f>
        <v>0</v>
      </c>
      <c r="N772" s="65">
        <f t="shared" si="736"/>
        <v>0</v>
      </c>
      <c r="O772" s="65">
        <f t="shared" si="736"/>
        <v>0</v>
      </c>
      <c r="P772" s="65">
        <f t="shared" ref="P772" si="737">ROUND(0.2*P770,0)</f>
        <v>0</v>
      </c>
    </row>
    <row r="773" spans="1:16" x14ac:dyDescent="0.25">
      <c r="B773" s="35" t="s">
        <v>42</v>
      </c>
      <c r="D773" s="7">
        <f t="shared" ref="D773:L773" si="738">SUM(D770:D772)</f>
        <v>0</v>
      </c>
      <c r="E773" s="7">
        <f t="shared" si="738"/>
        <v>0</v>
      </c>
      <c r="F773" s="7">
        <f t="shared" si="738"/>
        <v>0</v>
      </c>
      <c r="G773" s="7">
        <f t="shared" si="738"/>
        <v>0</v>
      </c>
      <c r="H773" s="7">
        <f t="shared" si="738"/>
        <v>0</v>
      </c>
      <c r="I773" s="7">
        <f t="shared" si="738"/>
        <v>0</v>
      </c>
      <c r="J773" s="7">
        <f t="shared" si="738"/>
        <v>0</v>
      </c>
      <c r="K773" s="7">
        <f t="shared" si="738"/>
        <v>0</v>
      </c>
      <c r="L773" s="7">
        <f t="shared" si="738"/>
        <v>0</v>
      </c>
      <c r="M773" s="7">
        <f t="shared" ref="M773:O773" si="739">SUM(M770:M772)</f>
        <v>0</v>
      </c>
      <c r="N773" s="7">
        <f t="shared" si="739"/>
        <v>0</v>
      </c>
      <c r="O773" s="7">
        <f t="shared" si="739"/>
        <v>0</v>
      </c>
      <c r="P773" s="7">
        <f t="shared" ref="P773" si="740">SUM(P770:P772)</f>
        <v>0</v>
      </c>
    </row>
    <row r="774" spans="1:16" x14ac:dyDescent="0.25">
      <c r="B774" s="6"/>
      <c r="D774" s="7"/>
      <c r="E774" s="7"/>
      <c r="F774" s="7"/>
      <c r="G774" s="7"/>
      <c r="H774" s="7"/>
      <c r="I774" s="7"/>
      <c r="J774" s="7"/>
      <c r="K774" s="7"/>
      <c r="L774" s="7"/>
      <c r="M774" s="7"/>
      <c r="N774" s="7"/>
      <c r="O774" s="7"/>
      <c r="P774" s="7"/>
    </row>
    <row r="775" spans="1:16" ht="18.75" x14ac:dyDescent="0.3">
      <c r="A775" s="9" t="s">
        <v>43</v>
      </c>
      <c r="D775" s="2">
        <f>D758</f>
        <v>2013</v>
      </c>
      <c r="E775" s="2">
        <f t="shared" ref="E775" si="741">D775+1</f>
        <v>2014</v>
      </c>
      <c r="F775" s="2">
        <f t="shared" ref="F775" si="742">E775+1</f>
        <v>2015</v>
      </c>
      <c r="G775" s="2">
        <f t="shared" ref="G775" si="743">F775+1</f>
        <v>2016</v>
      </c>
      <c r="H775" s="2">
        <f t="shared" ref="H775" si="744">G775+1</f>
        <v>2017</v>
      </c>
      <c r="I775" s="2">
        <f t="shared" ref="I775" si="745">H775+1</f>
        <v>2018</v>
      </c>
      <c r="J775" s="2">
        <f t="shared" ref="J775" si="746">I775+1</f>
        <v>2019</v>
      </c>
      <c r="K775" s="2">
        <f t="shared" ref="K775:P775" si="747">J775+1</f>
        <v>2020</v>
      </c>
      <c r="L775" s="2">
        <f t="shared" si="747"/>
        <v>2021</v>
      </c>
      <c r="M775" s="2">
        <f t="shared" si="747"/>
        <v>2022</v>
      </c>
      <c r="N775" s="2">
        <f t="shared" si="747"/>
        <v>2023</v>
      </c>
      <c r="O775" s="2">
        <f t="shared" si="747"/>
        <v>2024</v>
      </c>
      <c r="P775" s="2">
        <f t="shared" si="747"/>
        <v>2025</v>
      </c>
    </row>
    <row r="776" spans="1:16" x14ac:dyDescent="0.25">
      <c r="B776" s="86" t="str">
        <f xml:space="preserve"> 'Facility Detail'!$B$805 &amp; " Surplus Applied to " &amp; ( 'Facility Detail'!$B$805 + 1 )</f>
        <v>2013 Surplus Applied to 2014</v>
      </c>
      <c r="C776" s="76"/>
      <c r="D776" s="3"/>
      <c r="E776" s="66">
        <f>D776</f>
        <v>0</v>
      </c>
      <c r="F776" s="136"/>
      <c r="G776" s="68"/>
      <c r="H776" s="68"/>
      <c r="I776" s="68"/>
      <c r="J776" s="68"/>
      <c r="K776" s="68"/>
      <c r="L776" s="68"/>
      <c r="M776" s="68"/>
      <c r="N776" s="68"/>
      <c r="O776" s="68"/>
      <c r="P776" s="68"/>
    </row>
    <row r="777" spans="1:16" x14ac:dyDescent="0.25">
      <c r="B777" s="86" t="str">
        <f xml:space="preserve"> ( 'Facility Detail'!$B$805 + 1 ) &amp; " Surplus Applied to " &amp; ( 'Facility Detail'!$B$805 )</f>
        <v>2014 Surplus Applied to 2013</v>
      </c>
      <c r="C777" s="76"/>
      <c r="D777" s="137">
        <f>E777</f>
        <v>0</v>
      </c>
      <c r="E777" s="10"/>
      <c r="F777" s="80"/>
      <c r="G777" s="79"/>
      <c r="H777" s="79"/>
      <c r="I777" s="79"/>
      <c r="J777" s="79"/>
      <c r="K777" s="79"/>
      <c r="L777" s="79"/>
      <c r="M777" s="79"/>
      <c r="N777" s="79"/>
      <c r="O777" s="79"/>
      <c r="P777" s="79"/>
    </row>
    <row r="778" spans="1:16" x14ac:dyDescent="0.25">
      <c r="B778" s="86" t="str">
        <f xml:space="preserve"> ( 'Facility Detail'!$B$805 + 1 ) &amp; " Surplus Applied to " &amp; ( 'Facility Detail'!$B$805 + 2 )</f>
        <v>2014 Surplus Applied to 2015</v>
      </c>
      <c r="C778" s="76"/>
      <c r="D778" s="69"/>
      <c r="E778" s="10"/>
      <c r="F778" s="75">
        <f>E778</f>
        <v>0</v>
      </c>
      <c r="G778" s="79"/>
      <c r="H778" s="79"/>
      <c r="I778" s="79"/>
      <c r="J778" s="79"/>
      <c r="K778" s="79"/>
      <c r="L778" s="79"/>
      <c r="M778" s="79"/>
      <c r="N778" s="79"/>
      <c r="O778" s="79"/>
      <c r="P778" s="79"/>
    </row>
    <row r="779" spans="1:16" x14ac:dyDescent="0.25">
      <c r="B779" s="86" t="str">
        <f xml:space="preserve"> ( 'Facility Detail'!$B$805 + 2 ) &amp; " Surplus Applied to " &amp; ( 'Facility Detail'!$B$805 + 1 )</f>
        <v>2015 Surplus Applied to 2014</v>
      </c>
      <c r="C779" s="76"/>
      <c r="D779" s="69"/>
      <c r="E779" s="75">
        <f>F779</f>
        <v>0</v>
      </c>
      <c r="F779" s="10"/>
      <c r="G779" s="79"/>
      <c r="H779" s="79"/>
      <c r="I779" s="79"/>
      <c r="J779" s="79"/>
      <c r="K779" s="79"/>
      <c r="L779" s="79"/>
      <c r="M779" s="79"/>
      <c r="N779" s="79"/>
      <c r="O779" s="79"/>
      <c r="P779" s="79"/>
    </row>
    <row r="780" spans="1:16" x14ac:dyDescent="0.25">
      <c r="B780" s="86" t="str">
        <f xml:space="preserve"> ( 'Facility Detail'!$B$805 + 2 ) &amp; " Surplus Applied to " &amp; ( 'Facility Detail'!$B$805 + 3 )</f>
        <v>2015 Surplus Applied to 2016</v>
      </c>
      <c r="C780" s="32"/>
      <c r="D780" s="69"/>
      <c r="E780" s="80"/>
      <c r="F780" s="10"/>
      <c r="G780" s="138">
        <f>F780</f>
        <v>0</v>
      </c>
      <c r="H780" s="79"/>
      <c r="I780" s="79">
        <f>H780</f>
        <v>0</v>
      </c>
      <c r="J780" s="79">
        <f>I780</f>
        <v>0</v>
      </c>
      <c r="K780" s="79"/>
      <c r="L780" s="79"/>
      <c r="M780" s="79"/>
      <c r="N780" s="79"/>
      <c r="O780" s="79"/>
      <c r="P780" s="79"/>
    </row>
    <row r="781" spans="1:16" x14ac:dyDescent="0.25">
      <c r="B781" s="86" t="str">
        <f xml:space="preserve"> ( 'Facility Detail'!$B$805 +3 ) &amp; " Surplus Applied to " &amp; ( 'Facility Detail'!$B$805 + 2 )</f>
        <v>2016 Surplus Applied to 2015</v>
      </c>
      <c r="C781" s="32"/>
      <c r="D781" s="70"/>
      <c r="E781" s="81"/>
      <c r="F781" s="67">
        <f>G781</f>
        <v>0</v>
      </c>
      <c r="G781" s="10"/>
      <c r="H781" s="79"/>
      <c r="I781" s="79"/>
      <c r="J781" s="79"/>
      <c r="K781" s="79"/>
      <c r="L781" s="79"/>
      <c r="M781" s="79"/>
      <c r="N781" s="79"/>
      <c r="O781" s="79"/>
      <c r="P781" s="79"/>
    </row>
    <row r="782" spans="1:16" x14ac:dyDescent="0.25">
      <c r="B782" s="86" t="str">
        <f xml:space="preserve"> ( 'Facility Detail'!$B$805 +3 ) &amp; " Surplus Applied to " &amp; ( 'Facility Detail'!$B$805 + 4 )</f>
        <v>2016 Surplus Applied to 2017</v>
      </c>
      <c r="C782" s="32"/>
      <c r="D782" s="142"/>
      <c r="E782" s="142"/>
      <c r="F782" s="79"/>
      <c r="G782" s="10"/>
      <c r="H782" s="147">
        <f>G782</f>
        <v>0</v>
      </c>
      <c r="I782" s="79"/>
      <c r="J782" s="79"/>
      <c r="K782" s="79"/>
      <c r="L782" s="79"/>
      <c r="M782" s="79"/>
      <c r="N782" s="79"/>
      <c r="O782" s="79"/>
      <c r="P782" s="79"/>
    </row>
    <row r="783" spans="1:16" x14ac:dyDescent="0.25">
      <c r="B783" s="86" t="str">
        <f xml:space="preserve"> ( 'Facility Detail'!$B$805 + 4 ) &amp; " Surplus Applied to " &amp; ( 'Facility Detail'!$B$805 + 3 )</f>
        <v>2017 Surplus Applied to 2016</v>
      </c>
      <c r="C783" s="32"/>
      <c r="D783" s="142"/>
      <c r="E783" s="142"/>
      <c r="F783" s="79"/>
      <c r="G783" s="147">
        <f>H783</f>
        <v>0</v>
      </c>
      <c r="H783" s="10"/>
      <c r="I783" s="79"/>
      <c r="J783" s="79"/>
      <c r="K783" s="79"/>
      <c r="L783" s="79"/>
      <c r="M783" s="79"/>
      <c r="N783" s="79"/>
      <c r="O783" s="79"/>
      <c r="P783" s="79"/>
    </row>
    <row r="784" spans="1:16" x14ac:dyDescent="0.25">
      <c r="B784" s="86" t="str">
        <f xml:space="preserve"> ( 'Facility Detail'!$B$805 + 4 ) &amp; " Surplus Applied to " &amp; ( 'Facility Detail'!$B$805 + 5 )</f>
        <v>2017 Surplus Applied to 2018</v>
      </c>
      <c r="C784" s="32"/>
      <c r="D784" s="142"/>
      <c r="E784" s="142"/>
      <c r="F784" s="79"/>
      <c r="G784" s="79"/>
      <c r="H784" s="10"/>
      <c r="I784" s="147">
        <f>H784</f>
        <v>0</v>
      </c>
      <c r="J784" s="147">
        <f>I784</f>
        <v>0</v>
      </c>
      <c r="K784" s="147"/>
      <c r="L784" s="147"/>
      <c r="M784" s="147"/>
      <c r="N784" s="147"/>
      <c r="O784" s="147"/>
      <c r="P784" s="147"/>
    </row>
    <row r="785" spans="1:18" x14ac:dyDescent="0.25">
      <c r="B785" s="86" t="str">
        <f xml:space="preserve"> ( 'Facility Detail'!$B$805 + 5 ) &amp; " Surplus Applied to " &amp; ( 'Facility Detail'!$B$805 + 4 )</f>
        <v>2018 Surplus Applied to 2017</v>
      </c>
      <c r="C785" s="32"/>
      <c r="D785" s="142"/>
      <c r="E785" s="142"/>
      <c r="F785" s="79"/>
      <c r="G785" s="79"/>
      <c r="H785" s="147">
        <f>I785</f>
        <v>0</v>
      </c>
      <c r="I785" s="10"/>
      <c r="J785" s="10"/>
      <c r="K785" s="10"/>
      <c r="L785" s="10"/>
      <c r="M785" s="10"/>
      <c r="N785" s="10"/>
      <c r="O785" s="10"/>
      <c r="P785" s="10"/>
    </row>
    <row r="786" spans="1:18" x14ac:dyDescent="0.25">
      <c r="B786" s="86" t="str">
        <f xml:space="preserve"> ( 'Facility Detail'!$B$805 + 5 ) &amp; " Surplus Applied to " &amp; ( 'Facility Detail'!$B$805 + 6 )</f>
        <v>2018 Surplus Applied to 2019</v>
      </c>
      <c r="C786" s="32"/>
      <c r="D786" s="142"/>
      <c r="E786" s="142"/>
      <c r="F786" s="79"/>
      <c r="G786" s="79"/>
      <c r="H786" s="79"/>
      <c r="I786" s="10"/>
      <c r="J786" s="10"/>
      <c r="K786" s="10"/>
      <c r="L786" s="10"/>
      <c r="M786" s="10"/>
      <c r="N786" s="10"/>
      <c r="O786" s="10"/>
      <c r="P786" s="10"/>
    </row>
    <row r="787" spans="1:18" x14ac:dyDescent="0.25">
      <c r="B787" s="86" t="str">
        <f xml:space="preserve"> ( 'Facility Detail'!$B$805 + 6 ) &amp; " Surplus Applied to " &amp; ( 'Facility Detail'!$B$805 + 7 )</f>
        <v>2019 Surplus Applied to 2020</v>
      </c>
      <c r="C787" s="32"/>
      <c r="D787" s="142"/>
      <c r="E787" s="142"/>
      <c r="F787" s="142"/>
      <c r="G787" s="142"/>
      <c r="H787" s="142"/>
      <c r="I787" s="173"/>
      <c r="J787" s="173"/>
      <c r="K787" s="173"/>
      <c r="L787" s="173"/>
      <c r="M787" s="173"/>
      <c r="N787" s="173"/>
      <c r="O787" s="173"/>
      <c r="P787" s="173"/>
    </row>
    <row r="788" spans="1:18" x14ac:dyDescent="0.25">
      <c r="B788" s="86" t="str">
        <f xml:space="preserve"> ( 'Facility Detail'!$B$805 + 7 ) &amp; " Surplus Applied to " &amp; ( 'Facility Detail'!$B$805 + 8 )</f>
        <v>2020 Surplus Applied to 2021</v>
      </c>
      <c r="C788" s="32"/>
      <c r="D788" s="142"/>
      <c r="E788" s="142"/>
      <c r="F788" s="142"/>
      <c r="G788" s="142"/>
      <c r="H788" s="142"/>
      <c r="I788" s="173"/>
      <c r="J788" s="173"/>
      <c r="K788" s="173"/>
      <c r="L788" s="173"/>
      <c r="M788" s="173"/>
      <c r="N788" s="173"/>
      <c r="O788" s="173"/>
      <c r="P788" s="173"/>
    </row>
    <row r="789" spans="1:18" x14ac:dyDescent="0.25">
      <c r="B789" s="35" t="s">
        <v>25</v>
      </c>
      <c r="D789" s="7">
        <f xml:space="preserve"> D777 - D776</f>
        <v>0</v>
      </c>
      <c r="E789" s="7">
        <f xml:space="preserve"> E776 + E779 - E778 - E777</f>
        <v>0</v>
      </c>
      <c r="F789" s="7">
        <f>F778+F781-F779-F780</f>
        <v>0</v>
      </c>
      <c r="G789" s="7">
        <f t="shared" ref="G789:I789" si="748">G780-G781</f>
        <v>0</v>
      </c>
      <c r="H789" s="7">
        <f t="shared" si="748"/>
        <v>0</v>
      </c>
      <c r="I789" s="7">
        <f t="shared" si="748"/>
        <v>0</v>
      </c>
      <c r="J789" s="7">
        <f>J780-J781</f>
        <v>0</v>
      </c>
      <c r="K789" s="7">
        <f>K787-K788</f>
        <v>0</v>
      </c>
      <c r="L789" s="7">
        <f t="shared" ref="L789:O789" si="749">L780-L781</f>
        <v>0</v>
      </c>
      <c r="M789" s="7">
        <f t="shared" si="749"/>
        <v>0</v>
      </c>
      <c r="N789" s="7">
        <f t="shared" si="749"/>
        <v>0</v>
      </c>
      <c r="O789" s="7">
        <f t="shared" si="749"/>
        <v>0</v>
      </c>
      <c r="P789" s="7">
        <f t="shared" ref="P789" si="750">P780-P781</f>
        <v>0</v>
      </c>
    </row>
    <row r="790" spans="1:18" x14ac:dyDescent="0.25">
      <c r="B790" s="6"/>
      <c r="D790" s="7"/>
      <c r="E790" s="7"/>
      <c r="F790" s="7"/>
      <c r="G790" s="7"/>
      <c r="H790" s="7"/>
      <c r="I790" s="7"/>
      <c r="J790" s="7"/>
      <c r="K790" s="7"/>
      <c r="L790" s="7"/>
      <c r="M790" s="7"/>
      <c r="N790" s="7"/>
      <c r="O790" s="7"/>
      <c r="P790" s="7"/>
    </row>
    <row r="791" spans="1:18" x14ac:dyDescent="0.25">
      <c r="B791" s="93" t="s">
        <v>21</v>
      </c>
      <c r="C791" s="76"/>
      <c r="D791" s="107"/>
      <c r="E791" s="108"/>
      <c r="F791" s="109"/>
      <c r="G791" s="109"/>
      <c r="H791" s="109"/>
      <c r="I791" s="109"/>
      <c r="J791" s="109"/>
      <c r="K791" s="109"/>
      <c r="L791" s="109"/>
      <c r="M791" s="109"/>
      <c r="N791" s="109"/>
      <c r="O791" s="109"/>
      <c r="P791" s="109"/>
    </row>
    <row r="792" spans="1:18" x14ac:dyDescent="0.25">
      <c r="B792" s="6"/>
      <c r="D792" s="7"/>
      <c r="E792" s="7"/>
      <c r="F792" s="7"/>
      <c r="G792" s="7"/>
      <c r="H792" s="7"/>
      <c r="I792" s="7"/>
      <c r="J792" s="7"/>
      <c r="K792" s="7"/>
      <c r="L792" s="7"/>
      <c r="M792" s="7"/>
      <c r="N792" s="7"/>
      <c r="O792" s="7"/>
      <c r="P792" s="7"/>
    </row>
    <row r="793" spans="1:18" ht="15.75" x14ac:dyDescent="0.25">
      <c r="A793" s="89" t="s">
        <v>33</v>
      </c>
      <c r="C793" s="76"/>
      <c r="D793" s="48">
        <f t="shared" ref="D793:O793" si="751" xml:space="preserve"> D762 + D767 + D773 + D789 + D791</f>
        <v>0</v>
      </c>
      <c r="E793" s="49">
        <f t="shared" si="751"/>
        <v>0</v>
      </c>
      <c r="F793" s="50">
        <f t="shared" si="751"/>
        <v>0</v>
      </c>
      <c r="G793" s="50">
        <f t="shared" si="751"/>
        <v>0</v>
      </c>
      <c r="H793" s="50">
        <f t="shared" si="751"/>
        <v>0</v>
      </c>
      <c r="I793" s="50">
        <f t="shared" si="751"/>
        <v>0</v>
      </c>
      <c r="J793" s="50">
        <f t="shared" si="751"/>
        <v>0</v>
      </c>
      <c r="K793" s="50">
        <f t="shared" si="751"/>
        <v>0</v>
      </c>
      <c r="L793" s="50">
        <f t="shared" si="751"/>
        <v>0</v>
      </c>
      <c r="M793" s="50">
        <f t="shared" si="751"/>
        <v>0</v>
      </c>
      <c r="N793" s="50">
        <f t="shared" si="751"/>
        <v>0</v>
      </c>
      <c r="O793" s="50">
        <f t="shared" si="751"/>
        <v>147212</v>
      </c>
      <c r="P793" s="50">
        <f t="shared" ref="P793" si="752" xml:space="preserve"> P762 + P767 + P773 + P789 + P791</f>
        <v>367252</v>
      </c>
    </row>
    <row r="794" spans="1:18" x14ac:dyDescent="0.25">
      <c r="A794" s="199"/>
      <c r="B794" s="199"/>
      <c r="C794" s="199"/>
      <c r="D794" s="199"/>
      <c r="E794" s="199"/>
      <c r="F794" s="199"/>
      <c r="G794" s="31"/>
      <c r="H794" s="31"/>
      <c r="I794" s="31"/>
      <c r="J794" s="31"/>
      <c r="K794" s="31"/>
      <c r="L794" s="31"/>
      <c r="M794" s="31"/>
      <c r="N794" s="31"/>
    </row>
    <row r="795" spans="1:18" ht="15.75" thickBot="1" x14ac:dyDescent="0.3">
      <c r="A795" s="198"/>
      <c r="B795" s="198"/>
      <c r="C795" s="198"/>
      <c r="D795" s="198"/>
      <c r="E795" s="198"/>
      <c r="F795" s="198"/>
      <c r="G795" s="198"/>
      <c r="H795" s="198"/>
      <c r="I795" s="198"/>
      <c r="J795" s="198"/>
      <c r="K795" s="198"/>
      <c r="L795" s="198"/>
      <c r="M795" s="198"/>
      <c r="N795" s="198"/>
      <c r="O795" s="198"/>
      <c r="P795" s="198"/>
      <c r="Q795" s="198"/>
      <c r="R795" s="198"/>
    </row>
    <row r="796" spans="1:18" ht="15.75" thickBot="1" x14ac:dyDescent="0.3">
      <c r="A796" s="183"/>
      <c r="B796" s="183"/>
      <c r="C796" s="183"/>
      <c r="D796" s="183"/>
      <c r="E796" s="183"/>
      <c r="F796" s="183"/>
      <c r="G796" s="186"/>
      <c r="H796" s="186"/>
      <c r="I796" s="186"/>
      <c r="J796" s="186"/>
      <c r="K796" s="186"/>
      <c r="L796" s="186"/>
      <c r="M796" s="186"/>
      <c r="N796" s="186"/>
      <c r="O796" s="186"/>
      <c r="P796" s="186"/>
    </row>
    <row r="797" spans="1:18" x14ac:dyDescent="0.25">
      <c r="A797" s="172"/>
      <c r="B797" s="172"/>
      <c r="C797" s="172"/>
      <c r="D797" s="172"/>
      <c r="E797" s="172"/>
      <c r="F797" s="172"/>
      <c r="G797" s="172"/>
      <c r="H797" s="172"/>
      <c r="I797" s="172"/>
      <c r="J797" s="172"/>
      <c r="K797" s="172"/>
      <c r="L797" s="172"/>
    </row>
    <row r="798" spans="1:18" x14ac:dyDescent="0.25">
      <c r="B798" s="166" t="s">
        <v>1</v>
      </c>
    </row>
    <row r="799" spans="1:18" x14ac:dyDescent="0.25">
      <c r="B799" s="167" t="s">
        <v>2</v>
      </c>
    </row>
    <row r="801" spans="2:2" x14ac:dyDescent="0.25">
      <c r="B801" s="6" t="s">
        <v>108</v>
      </c>
    </row>
    <row r="802" spans="2:2" x14ac:dyDescent="0.25">
      <c r="B802" s="168">
        <v>0.2</v>
      </c>
    </row>
    <row r="804" spans="2:2" x14ac:dyDescent="0.25">
      <c r="B804" s="6" t="s">
        <v>109</v>
      </c>
    </row>
    <row r="805" spans="2:2" x14ac:dyDescent="0.25">
      <c r="B805" s="168">
        <v>2013</v>
      </c>
    </row>
    <row r="807" spans="2:2" x14ac:dyDescent="0.25">
      <c r="B807" s="6" t="s">
        <v>110</v>
      </c>
    </row>
    <row r="808" spans="2:2" x14ac:dyDescent="0.25">
      <c r="B808" s="165"/>
    </row>
    <row r="809" spans="2:2" x14ac:dyDescent="0.25">
      <c r="B809" s="166" t="s">
        <v>67</v>
      </c>
    </row>
    <row r="810" spans="2:2" x14ac:dyDescent="0.25">
      <c r="B810" s="166" t="s">
        <v>72</v>
      </c>
    </row>
    <row r="811" spans="2:2" x14ac:dyDescent="0.25">
      <c r="B811" s="166" t="s">
        <v>70</v>
      </c>
    </row>
    <row r="812" spans="2:2" x14ac:dyDescent="0.25">
      <c r="B812" s="166" t="s">
        <v>73</v>
      </c>
    </row>
    <row r="813" spans="2:2" x14ac:dyDescent="0.25">
      <c r="B813" s="166" t="s">
        <v>74</v>
      </c>
    </row>
    <row r="814" spans="2:2" x14ac:dyDescent="0.25">
      <c r="B814" s="166" t="s">
        <v>75</v>
      </c>
    </row>
    <row r="815" spans="2:2" x14ac:dyDescent="0.25">
      <c r="B815" s="166" t="s">
        <v>76</v>
      </c>
    </row>
    <row r="816" spans="2:2" x14ac:dyDescent="0.25">
      <c r="B816" s="166" t="s">
        <v>77</v>
      </c>
    </row>
    <row r="817" spans="2:2" x14ac:dyDescent="0.25">
      <c r="B817" s="169" t="s">
        <v>78</v>
      </c>
    </row>
  </sheetData>
  <mergeCells count="19">
    <mergeCell ref="G795:L795"/>
    <mergeCell ref="M795:R795"/>
    <mergeCell ref="A795:F795"/>
    <mergeCell ref="A794:F794"/>
    <mergeCell ref="A753:F753"/>
    <mergeCell ref="A754:F754"/>
    <mergeCell ref="A673:F673"/>
    <mergeCell ref="A713:F713"/>
    <mergeCell ref="A712:F712"/>
    <mergeCell ref="A633:F633"/>
    <mergeCell ref="B33:F33"/>
    <mergeCell ref="A475:F475"/>
    <mergeCell ref="A394:F394"/>
    <mergeCell ref="A439:F439"/>
    <mergeCell ref="A593:F593"/>
    <mergeCell ref="A511:I511"/>
    <mergeCell ref="A546:I546"/>
    <mergeCell ref="A632:F632"/>
    <mergeCell ref="A711:F711"/>
  </mergeCells>
  <phoneticPr fontId="5" type="noConversion"/>
  <dataValidations count="2">
    <dataValidation type="list" allowBlank="1" showInputMessage="1" showErrorMessage="1" sqref="E2:F31" xr:uid="{00000000-0002-0000-0100-000000000000}">
      <formula1>LaborBonus</formula1>
    </dataValidation>
    <dataValidation type="list" allowBlank="1" showInputMessage="1" showErrorMessage="1" sqref="D2:D12 D14:D16 D20:D21" xr:uid="{00000000-0002-0000-0100-000001000000}">
      <formula1>Facility</formula1>
    </dataValidation>
  </dataValidations>
  <pageMargins left="0.75" right="0.75" top="1" bottom="1" header="0.5" footer="0.5"/>
  <pageSetup scale="53" fitToHeight="2" orientation="portrait" r:id="rId1"/>
  <headerFooter alignWithMargins="0"/>
  <rowBreaks count="6" manualBreakCount="6">
    <brk id="71" max="15" man="1"/>
    <brk id="143" max="15" man="1"/>
    <brk id="215" max="15" man="1"/>
    <brk id="287" max="15" man="1"/>
    <brk id="359" max="15" man="1"/>
    <brk id="512"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O46"/>
  <sheetViews>
    <sheetView showGridLines="0" view="pageBreakPreview" zoomScale="75" zoomScaleNormal="100" zoomScaleSheetLayoutView="75" workbookViewId="0">
      <selection activeCell="M39" sqref="M39"/>
    </sheetView>
  </sheetViews>
  <sheetFormatPr defaultRowHeight="12.75" outlineLevelRow="1" x14ac:dyDescent="0.2"/>
  <cols>
    <col min="1" max="1" width="28.7109375" style="113" customWidth="1"/>
    <col min="2" max="2" width="25.140625" style="113" bestFit="1" customWidth="1"/>
    <col min="3" max="5" width="16.42578125" style="113" customWidth="1"/>
    <col min="6" max="8" width="14.28515625" style="113" customWidth="1"/>
    <col min="9" max="10" width="16.85546875" style="113" bestFit="1" customWidth="1"/>
    <col min="11" max="12" width="17" style="113" customWidth="1"/>
    <col min="13" max="13" width="17.28515625" style="113" customWidth="1"/>
    <col min="14" max="14" width="15.85546875" style="113" customWidth="1"/>
    <col min="15" max="15" width="16.140625" style="113" customWidth="1"/>
    <col min="16" max="256" width="9.140625" style="113"/>
    <col min="257" max="257" width="27" style="113" customWidth="1"/>
    <col min="258" max="261" width="16.42578125" style="113" customWidth="1"/>
    <col min="262" max="263" width="14.28515625" style="113" customWidth="1"/>
    <col min="264" max="512" width="9.140625" style="113"/>
    <col min="513" max="513" width="27" style="113" customWidth="1"/>
    <col min="514" max="517" width="16.42578125" style="113" customWidth="1"/>
    <col min="518" max="519" width="14.28515625" style="113" customWidth="1"/>
    <col min="520" max="768" width="9.140625" style="113"/>
    <col min="769" max="769" width="27" style="113" customWidth="1"/>
    <col min="770" max="773" width="16.42578125" style="113" customWidth="1"/>
    <col min="774" max="775" width="14.28515625" style="113" customWidth="1"/>
    <col min="776" max="1024" width="9.140625" style="113"/>
    <col min="1025" max="1025" width="27" style="113" customWidth="1"/>
    <col min="1026" max="1029" width="16.42578125" style="113" customWidth="1"/>
    <col min="1030" max="1031" width="14.28515625" style="113" customWidth="1"/>
    <col min="1032" max="1280" width="9.140625" style="113"/>
    <col min="1281" max="1281" width="27" style="113" customWidth="1"/>
    <col min="1282" max="1285" width="16.42578125" style="113" customWidth="1"/>
    <col min="1286" max="1287" width="14.28515625" style="113" customWidth="1"/>
    <col min="1288" max="1536" width="9.140625" style="113"/>
    <col min="1537" max="1537" width="27" style="113" customWidth="1"/>
    <col min="1538" max="1541" width="16.42578125" style="113" customWidth="1"/>
    <col min="1542" max="1543" width="14.28515625" style="113" customWidth="1"/>
    <col min="1544" max="1792" width="9.140625" style="113"/>
    <col min="1793" max="1793" width="27" style="113" customWidth="1"/>
    <col min="1794" max="1797" width="16.42578125" style="113" customWidth="1"/>
    <col min="1798" max="1799" width="14.28515625" style="113" customWidth="1"/>
    <col min="1800" max="2048" width="9.140625" style="113"/>
    <col min="2049" max="2049" width="27" style="113" customWidth="1"/>
    <col min="2050" max="2053" width="16.42578125" style="113" customWidth="1"/>
    <col min="2054" max="2055" width="14.28515625" style="113" customWidth="1"/>
    <col min="2056" max="2304" width="9.140625" style="113"/>
    <col min="2305" max="2305" width="27" style="113" customWidth="1"/>
    <col min="2306" max="2309" width="16.42578125" style="113" customWidth="1"/>
    <col min="2310" max="2311" width="14.28515625" style="113" customWidth="1"/>
    <col min="2312" max="2560" width="9.140625" style="113"/>
    <col min="2561" max="2561" width="27" style="113" customWidth="1"/>
    <col min="2562" max="2565" width="16.42578125" style="113" customWidth="1"/>
    <col min="2566" max="2567" width="14.28515625" style="113" customWidth="1"/>
    <col min="2568" max="2816" width="9.140625" style="113"/>
    <col min="2817" max="2817" width="27" style="113" customWidth="1"/>
    <col min="2818" max="2821" width="16.42578125" style="113" customWidth="1"/>
    <col min="2822" max="2823" width="14.28515625" style="113" customWidth="1"/>
    <col min="2824" max="3072" width="9.140625" style="113"/>
    <col min="3073" max="3073" width="27" style="113" customWidth="1"/>
    <col min="3074" max="3077" width="16.42578125" style="113" customWidth="1"/>
    <col min="3078" max="3079" width="14.28515625" style="113" customWidth="1"/>
    <col min="3080" max="3328" width="9.140625" style="113"/>
    <col min="3329" max="3329" width="27" style="113" customWidth="1"/>
    <col min="3330" max="3333" width="16.42578125" style="113" customWidth="1"/>
    <col min="3334" max="3335" width="14.28515625" style="113" customWidth="1"/>
    <col min="3336" max="3584" width="9.140625" style="113"/>
    <col min="3585" max="3585" width="27" style="113" customWidth="1"/>
    <col min="3586" max="3589" width="16.42578125" style="113" customWidth="1"/>
    <col min="3590" max="3591" width="14.28515625" style="113" customWidth="1"/>
    <col min="3592" max="3840" width="9.140625" style="113"/>
    <col min="3841" max="3841" width="27" style="113" customWidth="1"/>
    <col min="3842" max="3845" width="16.42578125" style="113" customWidth="1"/>
    <col min="3846" max="3847" width="14.28515625" style="113" customWidth="1"/>
    <col min="3848" max="4096" width="9.140625" style="113"/>
    <col min="4097" max="4097" width="27" style="113" customWidth="1"/>
    <col min="4098" max="4101" width="16.42578125" style="113" customWidth="1"/>
    <col min="4102" max="4103" width="14.28515625" style="113" customWidth="1"/>
    <col min="4104" max="4352" width="9.140625" style="113"/>
    <col min="4353" max="4353" width="27" style="113" customWidth="1"/>
    <col min="4354" max="4357" width="16.42578125" style="113" customWidth="1"/>
    <col min="4358" max="4359" width="14.28515625" style="113" customWidth="1"/>
    <col min="4360" max="4608" width="9.140625" style="113"/>
    <col min="4609" max="4609" width="27" style="113" customWidth="1"/>
    <col min="4610" max="4613" width="16.42578125" style="113" customWidth="1"/>
    <col min="4614" max="4615" width="14.28515625" style="113" customWidth="1"/>
    <col min="4616" max="4864" width="9.140625" style="113"/>
    <col min="4865" max="4865" width="27" style="113" customWidth="1"/>
    <col min="4866" max="4869" width="16.42578125" style="113" customWidth="1"/>
    <col min="4870" max="4871" width="14.28515625" style="113" customWidth="1"/>
    <col min="4872" max="5120" width="9.140625" style="113"/>
    <col min="5121" max="5121" width="27" style="113" customWidth="1"/>
    <col min="5122" max="5125" width="16.42578125" style="113" customWidth="1"/>
    <col min="5126" max="5127" width="14.28515625" style="113" customWidth="1"/>
    <col min="5128" max="5376" width="9.140625" style="113"/>
    <col min="5377" max="5377" width="27" style="113" customWidth="1"/>
    <col min="5378" max="5381" width="16.42578125" style="113" customWidth="1"/>
    <col min="5382" max="5383" width="14.28515625" style="113" customWidth="1"/>
    <col min="5384" max="5632" width="9.140625" style="113"/>
    <col min="5633" max="5633" width="27" style="113" customWidth="1"/>
    <col min="5634" max="5637" width="16.42578125" style="113" customWidth="1"/>
    <col min="5638" max="5639" width="14.28515625" style="113" customWidth="1"/>
    <col min="5640" max="5888" width="9.140625" style="113"/>
    <col min="5889" max="5889" width="27" style="113" customWidth="1"/>
    <col min="5890" max="5893" width="16.42578125" style="113" customWidth="1"/>
    <col min="5894" max="5895" width="14.28515625" style="113" customWidth="1"/>
    <col min="5896" max="6144" width="9.140625" style="113"/>
    <col min="6145" max="6145" width="27" style="113" customWidth="1"/>
    <col min="6146" max="6149" width="16.42578125" style="113" customWidth="1"/>
    <col min="6150" max="6151" width="14.28515625" style="113" customWidth="1"/>
    <col min="6152" max="6400" width="9.140625" style="113"/>
    <col min="6401" max="6401" width="27" style="113" customWidth="1"/>
    <col min="6402" max="6405" width="16.42578125" style="113" customWidth="1"/>
    <col min="6406" max="6407" width="14.28515625" style="113" customWidth="1"/>
    <col min="6408" max="6656" width="9.140625" style="113"/>
    <col min="6657" max="6657" width="27" style="113" customWidth="1"/>
    <col min="6658" max="6661" width="16.42578125" style="113" customWidth="1"/>
    <col min="6662" max="6663" width="14.28515625" style="113" customWidth="1"/>
    <col min="6664" max="6912" width="9.140625" style="113"/>
    <col min="6913" max="6913" width="27" style="113" customWidth="1"/>
    <col min="6914" max="6917" width="16.42578125" style="113" customWidth="1"/>
    <col min="6918" max="6919" width="14.28515625" style="113" customWidth="1"/>
    <col min="6920" max="7168" width="9.140625" style="113"/>
    <col min="7169" max="7169" width="27" style="113" customWidth="1"/>
    <col min="7170" max="7173" width="16.42578125" style="113" customWidth="1"/>
    <col min="7174" max="7175" width="14.28515625" style="113" customWidth="1"/>
    <col min="7176" max="7424" width="9.140625" style="113"/>
    <col min="7425" max="7425" width="27" style="113" customWidth="1"/>
    <col min="7426" max="7429" width="16.42578125" style="113" customWidth="1"/>
    <col min="7430" max="7431" width="14.28515625" style="113" customWidth="1"/>
    <col min="7432" max="7680" width="9.140625" style="113"/>
    <col min="7681" max="7681" width="27" style="113" customWidth="1"/>
    <col min="7682" max="7685" width="16.42578125" style="113" customWidth="1"/>
    <col min="7686" max="7687" width="14.28515625" style="113" customWidth="1"/>
    <col min="7688" max="7936" width="9.140625" style="113"/>
    <col min="7937" max="7937" width="27" style="113" customWidth="1"/>
    <col min="7938" max="7941" width="16.42578125" style="113" customWidth="1"/>
    <col min="7942" max="7943" width="14.28515625" style="113" customWidth="1"/>
    <col min="7944" max="8192" width="9.140625" style="113"/>
    <col min="8193" max="8193" width="27" style="113" customWidth="1"/>
    <col min="8194" max="8197" width="16.42578125" style="113" customWidth="1"/>
    <col min="8198" max="8199" width="14.28515625" style="113" customWidth="1"/>
    <col min="8200" max="8448" width="9.140625" style="113"/>
    <col min="8449" max="8449" width="27" style="113" customWidth="1"/>
    <col min="8450" max="8453" width="16.42578125" style="113" customWidth="1"/>
    <col min="8454" max="8455" width="14.28515625" style="113" customWidth="1"/>
    <col min="8456" max="8704" width="9.140625" style="113"/>
    <col min="8705" max="8705" width="27" style="113" customWidth="1"/>
    <col min="8706" max="8709" width="16.42578125" style="113" customWidth="1"/>
    <col min="8710" max="8711" width="14.28515625" style="113" customWidth="1"/>
    <col min="8712" max="8960" width="9.140625" style="113"/>
    <col min="8961" max="8961" width="27" style="113" customWidth="1"/>
    <col min="8962" max="8965" width="16.42578125" style="113" customWidth="1"/>
    <col min="8966" max="8967" width="14.28515625" style="113" customWidth="1"/>
    <col min="8968" max="9216" width="9.140625" style="113"/>
    <col min="9217" max="9217" width="27" style="113" customWidth="1"/>
    <col min="9218" max="9221" width="16.42578125" style="113" customWidth="1"/>
    <col min="9222" max="9223" width="14.28515625" style="113" customWidth="1"/>
    <col min="9224" max="9472" width="9.140625" style="113"/>
    <col min="9473" max="9473" width="27" style="113" customWidth="1"/>
    <col min="9474" max="9477" width="16.42578125" style="113" customWidth="1"/>
    <col min="9478" max="9479" width="14.28515625" style="113" customWidth="1"/>
    <col min="9480" max="9728" width="9.140625" style="113"/>
    <col min="9729" max="9729" width="27" style="113" customWidth="1"/>
    <col min="9730" max="9733" width="16.42578125" style="113" customWidth="1"/>
    <col min="9734" max="9735" width="14.28515625" style="113" customWidth="1"/>
    <col min="9736" max="9984" width="9.140625" style="113"/>
    <col min="9985" max="9985" width="27" style="113" customWidth="1"/>
    <col min="9986" max="9989" width="16.42578125" style="113" customWidth="1"/>
    <col min="9990" max="9991" width="14.28515625" style="113" customWidth="1"/>
    <col min="9992" max="10240" width="9.140625" style="113"/>
    <col min="10241" max="10241" width="27" style="113" customWidth="1"/>
    <col min="10242" max="10245" width="16.42578125" style="113" customWidth="1"/>
    <col min="10246" max="10247" width="14.28515625" style="113" customWidth="1"/>
    <col min="10248" max="10496" width="9.140625" style="113"/>
    <col min="10497" max="10497" width="27" style="113" customWidth="1"/>
    <col min="10498" max="10501" width="16.42578125" style="113" customWidth="1"/>
    <col min="10502" max="10503" width="14.28515625" style="113" customWidth="1"/>
    <col min="10504" max="10752" width="9.140625" style="113"/>
    <col min="10753" max="10753" width="27" style="113" customWidth="1"/>
    <col min="10754" max="10757" width="16.42578125" style="113" customWidth="1"/>
    <col min="10758" max="10759" width="14.28515625" style="113" customWidth="1"/>
    <col min="10760" max="11008" width="9.140625" style="113"/>
    <col min="11009" max="11009" width="27" style="113" customWidth="1"/>
    <col min="11010" max="11013" width="16.42578125" style="113" customWidth="1"/>
    <col min="11014" max="11015" width="14.28515625" style="113" customWidth="1"/>
    <col min="11016" max="11264" width="9.140625" style="113"/>
    <col min="11265" max="11265" width="27" style="113" customWidth="1"/>
    <col min="11266" max="11269" width="16.42578125" style="113" customWidth="1"/>
    <col min="11270" max="11271" width="14.28515625" style="113" customWidth="1"/>
    <col min="11272" max="11520" width="9.140625" style="113"/>
    <col min="11521" max="11521" width="27" style="113" customWidth="1"/>
    <col min="11522" max="11525" width="16.42578125" style="113" customWidth="1"/>
    <col min="11526" max="11527" width="14.28515625" style="113" customWidth="1"/>
    <col min="11528" max="11776" width="9.140625" style="113"/>
    <col min="11777" max="11777" width="27" style="113" customWidth="1"/>
    <col min="11778" max="11781" width="16.42578125" style="113" customWidth="1"/>
    <col min="11782" max="11783" width="14.28515625" style="113" customWidth="1"/>
    <col min="11784" max="12032" width="9.140625" style="113"/>
    <col min="12033" max="12033" width="27" style="113" customWidth="1"/>
    <col min="12034" max="12037" width="16.42578125" style="113" customWidth="1"/>
    <col min="12038" max="12039" width="14.28515625" style="113" customWidth="1"/>
    <col min="12040" max="12288" width="9.140625" style="113"/>
    <col min="12289" max="12289" width="27" style="113" customWidth="1"/>
    <col min="12290" max="12293" width="16.42578125" style="113" customWidth="1"/>
    <col min="12294" max="12295" width="14.28515625" style="113" customWidth="1"/>
    <col min="12296" max="12544" width="9.140625" style="113"/>
    <col min="12545" max="12545" width="27" style="113" customWidth="1"/>
    <col min="12546" max="12549" width="16.42578125" style="113" customWidth="1"/>
    <col min="12550" max="12551" width="14.28515625" style="113" customWidth="1"/>
    <col min="12552" max="12800" width="9.140625" style="113"/>
    <col min="12801" max="12801" width="27" style="113" customWidth="1"/>
    <col min="12802" max="12805" width="16.42578125" style="113" customWidth="1"/>
    <col min="12806" max="12807" width="14.28515625" style="113" customWidth="1"/>
    <col min="12808" max="13056" width="9.140625" style="113"/>
    <col min="13057" max="13057" width="27" style="113" customWidth="1"/>
    <col min="13058" max="13061" width="16.42578125" style="113" customWidth="1"/>
    <col min="13062" max="13063" width="14.28515625" style="113" customWidth="1"/>
    <col min="13064" max="13312" width="9.140625" style="113"/>
    <col min="13313" max="13313" width="27" style="113" customWidth="1"/>
    <col min="13314" max="13317" width="16.42578125" style="113" customWidth="1"/>
    <col min="13318" max="13319" width="14.28515625" style="113" customWidth="1"/>
    <col min="13320" max="13568" width="9.140625" style="113"/>
    <col min="13569" max="13569" width="27" style="113" customWidth="1"/>
    <col min="13570" max="13573" width="16.42578125" style="113" customWidth="1"/>
    <col min="13574" max="13575" width="14.28515625" style="113" customWidth="1"/>
    <col min="13576" max="13824" width="9.140625" style="113"/>
    <col min="13825" max="13825" width="27" style="113" customWidth="1"/>
    <col min="13826" max="13829" width="16.42578125" style="113" customWidth="1"/>
    <col min="13830" max="13831" width="14.28515625" style="113" customWidth="1"/>
    <col min="13832" max="14080" width="9.140625" style="113"/>
    <col min="14081" max="14081" width="27" style="113" customWidth="1"/>
    <col min="14082" max="14085" width="16.42578125" style="113" customWidth="1"/>
    <col min="14086" max="14087" width="14.28515625" style="113" customWidth="1"/>
    <col min="14088" max="14336" width="9.140625" style="113"/>
    <col min="14337" max="14337" width="27" style="113" customWidth="1"/>
    <col min="14338" max="14341" width="16.42578125" style="113" customWidth="1"/>
    <col min="14342" max="14343" width="14.28515625" style="113" customWidth="1"/>
    <col min="14344" max="14592" width="9.140625" style="113"/>
    <col min="14593" max="14593" width="27" style="113" customWidth="1"/>
    <col min="14594" max="14597" width="16.42578125" style="113" customWidth="1"/>
    <col min="14598" max="14599" width="14.28515625" style="113" customWidth="1"/>
    <col min="14600" max="14848" width="9.140625" style="113"/>
    <col min="14849" max="14849" width="27" style="113" customWidth="1"/>
    <col min="14850" max="14853" width="16.42578125" style="113" customWidth="1"/>
    <col min="14854" max="14855" width="14.28515625" style="113" customWidth="1"/>
    <col min="14856" max="15104" width="9.140625" style="113"/>
    <col min="15105" max="15105" width="27" style="113" customWidth="1"/>
    <col min="15106" max="15109" width="16.42578125" style="113" customWidth="1"/>
    <col min="15110" max="15111" width="14.28515625" style="113" customWidth="1"/>
    <col min="15112" max="15360" width="9.140625" style="113"/>
    <col min="15361" max="15361" width="27" style="113" customWidth="1"/>
    <col min="15362" max="15365" width="16.42578125" style="113" customWidth="1"/>
    <col min="15366" max="15367" width="14.28515625" style="113" customWidth="1"/>
    <col min="15368" max="15616" width="9.140625" style="113"/>
    <col min="15617" max="15617" width="27" style="113" customWidth="1"/>
    <col min="15618" max="15621" width="16.42578125" style="113" customWidth="1"/>
    <col min="15622" max="15623" width="14.28515625" style="113" customWidth="1"/>
    <col min="15624" max="15872" width="9.140625" style="113"/>
    <col min="15873" max="15873" width="27" style="113" customWidth="1"/>
    <col min="15874" max="15877" width="16.42578125" style="113" customWidth="1"/>
    <col min="15878" max="15879" width="14.28515625" style="113" customWidth="1"/>
    <col min="15880" max="16128" width="9.140625" style="113"/>
    <col min="16129" max="16129" width="27" style="113" customWidth="1"/>
    <col min="16130" max="16133" width="16.42578125" style="113" customWidth="1"/>
    <col min="16134" max="16135" width="14.28515625" style="113" customWidth="1"/>
    <col min="16136" max="16384" width="9.140625" style="113"/>
  </cols>
  <sheetData>
    <row r="2" spans="1:14" ht="21" x14ac:dyDescent="0.35">
      <c r="A2" s="112" t="s">
        <v>71</v>
      </c>
    </row>
    <row r="4" spans="1:14" ht="15" x14ac:dyDescent="0.25">
      <c r="B4" s="114">
        <v>2013</v>
      </c>
      <c r="C4" s="114">
        <v>2014</v>
      </c>
      <c r="D4" s="114">
        <v>2015</v>
      </c>
      <c r="E4" s="114">
        <v>2016</v>
      </c>
      <c r="F4" s="114">
        <v>2017</v>
      </c>
      <c r="G4" s="114">
        <v>2018</v>
      </c>
      <c r="H4" s="114">
        <v>2019</v>
      </c>
      <c r="I4" s="114">
        <v>2020</v>
      </c>
      <c r="J4" s="114">
        <v>2021</v>
      </c>
      <c r="K4" s="114">
        <v>2022</v>
      </c>
      <c r="L4" s="114">
        <v>2023</v>
      </c>
      <c r="M4" s="114">
        <v>2024</v>
      </c>
      <c r="N4" s="114">
        <v>2025</v>
      </c>
    </row>
    <row r="5" spans="1:14" ht="15" x14ac:dyDescent="0.25">
      <c r="A5" s="115" t="s">
        <v>67</v>
      </c>
      <c r="B5" s="116">
        <f t="shared" ref="B5:N5" si="0" xml:space="preserve"> SUMIF( $B$21:$B$39, $A5, C$21:C$39 )</f>
        <v>282692</v>
      </c>
      <c r="C5" s="117">
        <f t="shared" si="0"/>
        <v>45917</v>
      </c>
      <c r="D5" s="118">
        <f t="shared" si="0"/>
        <v>383.40000000002328</v>
      </c>
      <c r="E5" s="118">
        <f t="shared" si="0"/>
        <v>299659</v>
      </c>
      <c r="F5" s="118">
        <f t="shared" si="0"/>
        <v>192375</v>
      </c>
      <c r="G5" s="118">
        <f t="shared" si="0"/>
        <v>308830</v>
      </c>
      <c r="H5" s="118">
        <f t="shared" si="0"/>
        <v>256663</v>
      </c>
      <c r="I5" s="118">
        <f xml:space="preserve"> SUMIF( $B$21:$B$39, $A5, J$21:J$39 )</f>
        <v>302728.40000000002</v>
      </c>
      <c r="J5" s="118">
        <f t="shared" si="0"/>
        <v>726251</v>
      </c>
      <c r="K5" s="118">
        <f t="shared" si="0"/>
        <v>699348.6</v>
      </c>
      <c r="L5" s="118">
        <f t="shared" si="0"/>
        <v>745090</v>
      </c>
      <c r="M5" s="118">
        <f xml:space="preserve"> SUMIF( $B$21:$B$40, $A5, N$21:N$40 )</f>
        <v>968565.2</v>
      </c>
      <c r="N5" s="118">
        <f t="shared" si="0"/>
        <v>835752.2</v>
      </c>
    </row>
    <row r="6" spans="1:14" ht="15" x14ac:dyDescent="0.25">
      <c r="A6" s="115" t="s">
        <v>72</v>
      </c>
      <c r="B6" s="119">
        <f t="shared" ref="B6:N6" si="1" xml:space="preserve"> SUMIF( $B$21:$B$39, $A6, C$21:C$39 )</f>
        <v>0</v>
      </c>
      <c r="C6" s="120">
        <f t="shared" si="1"/>
        <v>0</v>
      </c>
      <c r="D6" s="121">
        <f t="shared" si="1"/>
        <v>0</v>
      </c>
      <c r="E6" s="121">
        <f t="shared" si="1"/>
        <v>0</v>
      </c>
      <c r="F6" s="121">
        <f t="shared" si="1"/>
        <v>0</v>
      </c>
      <c r="G6" s="121">
        <f t="shared" si="1"/>
        <v>0</v>
      </c>
      <c r="H6" s="121">
        <f t="shared" si="1"/>
        <v>0</v>
      </c>
      <c r="I6" s="121">
        <f t="shared" si="1"/>
        <v>0</v>
      </c>
      <c r="J6" s="121">
        <f t="shared" si="1"/>
        <v>537</v>
      </c>
      <c r="K6" s="121">
        <f t="shared" si="1"/>
        <v>650</v>
      </c>
      <c r="L6" s="121">
        <f t="shared" si="1"/>
        <v>1010</v>
      </c>
      <c r="M6" s="121">
        <f ca="1" xml:space="preserve"> SUMIF( $B$21:$B$40, $A6, N$21:N$39 )</f>
        <v>1010</v>
      </c>
      <c r="N6" s="121">
        <f t="shared" si="1"/>
        <v>1012</v>
      </c>
    </row>
    <row r="7" spans="1:14" ht="15" x14ac:dyDescent="0.25">
      <c r="A7" s="115" t="s">
        <v>70</v>
      </c>
      <c r="B7" s="119">
        <f t="shared" ref="B7:N7" si="2" xml:space="preserve"> SUMIF( $B$21:$B$39, $A7, C$21:C$39 )</f>
        <v>191205</v>
      </c>
      <c r="C7" s="120">
        <f t="shared" si="2"/>
        <v>170089</v>
      </c>
      <c r="D7" s="121">
        <f t="shared" si="2"/>
        <v>170089</v>
      </c>
      <c r="E7" s="121">
        <f t="shared" si="2"/>
        <v>170304</v>
      </c>
      <c r="F7" s="121">
        <f t="shared" si="2"/>
        <v>192039</v>
      </c>
      <c r="G7" s="121">
        <f t="shared" si="2"/>
        <v>192039</v>
      </c>
      <c r="H7" s="121">
        <f t="shared" si="2"/>
        <v>103261</v>
      </c>
      <c r="I7" s="121">
        <f t="shared" si="2"/>
        <v>135266</v>
      </c>
      <c r="J7" s="121">
        <f t="shared" si="2"/>
        <v>164053</v>
      </c>
      <c r="K7" s="121">
        <f t="shared" si="2"/>
        <v>188388</v>
      </c>
      <c r="L7" s="121">
        <f t="shared" si="2"/>
        <v>136420</v>
      </c>
      <c r="M7" s="121">
        <f xml:space="preserve"> SUMIF( $B$21:$B$39, $A7, N$21:N$40 )</f>
        <v>147867</v>
      </c>
      <c r="N7" s="121">
        <f t="shared" si="2"/>
        <v>147867</v>
      </c>
    </row>
    <row r="8" spans="1:14" ht="15" x14ac:dyDescent="0.25">
      <c r="A8" s="115" t="s">
        <v>73</v>
      </c>
      <c r="B8" s="119">
        <f t="shared" ref="B8:N8" si="3" xml:space="preserve"> SUMIF( $B$21:$B$39, $A8, C$21:C$39 )</f>
        <v>0</v>
      </c>
      <c r="C8" s="120">
        <f t="shared" si="3"/>
        <v>0</v>
      </c>
      <c r="D8" s="121">
        <f t="shared" si="3"/>
        <v>0</v>
      </c>
      <c r="E8" s="121">
        <f t="shared" si="3"/>
        <v>43846</v>
      </c>
      <c r="F8" s="121">
        <f t="shared" si="3"/>
        <v>105792</v>
      </c>
      <c r="G8" s="121">
        <f t="shared" si="3"/>
        <v>-59587</v>
      </c>
      <c r="H8" s="121">
        <f t="shared" si="3"/>
        <v>153949</v>
      </c>
      <c r="I8" s="121">
        <f t="shared" si="3"/>
        <v>408077</v>
      </c>
      <c r="J8" s="121">
        <f t="shared" si="3"/>
        <v>200779.62</v>
      </c>
      <c r="K8" s="121">
        <f t="shared" si="3"/>
        <v>132673.46899999998</v>
      </c>
      <c r="L8" s="121">
        <f t="shared" si="3"/>
        <v>288535.68799999997</v>
      </c>
      <c r="M8" s="121">
        <f xml:space="preserve"> SUMIF( $B$21:$B$40, $A8, N$21:N$40 )</f>
        <v>321280.40779999999</v>
      </c>
      <c r="N8" s="121">
        <f t="shared" si="3"/>
        <v>336116</v>
      </c>
    </row>
    <row r="9" spans="1:14" ht="15" x14ac:dyDescent="0.25">
      <c r="A9" s="115" t="s">
        <v>74</v>
      </c>
      <c r="B9" s="119">
        <f t="shared" ref="B9:N9" si="4" xml:space="preserve"> SUMIF( $B$21:$B$39, $A9, C$21:C$39 )</f>
        <v>0</v>
      </c>
      <c r="C9" s="120">
        <f t="shared" si="4"/>
        <v>0</v>
      </c>
      <c r="D9" s="121">
        <f t="shared" si="4"/>
        <v>0</v>
      </c>
      <c r="E9" s="121">
        <f t="shared" si="4"/>
        <v>0</v>
      </c>
      <c r="F9" s="121">
        <f t="shared" si="4"/>
        <v>0</v>
      </c>
      <c r="G9" s="121">
        <f t="shared" si="4"/>
        <v>0</v>
      </c>
      <c r="H9" s="121">
        <f t="shared" si="4"/>
        <v>0</v>
      </c>
      <c r="I9" s="121">
        <f t="shared" si="4"/>
        <v>0</v>
      </c>
      <c r="J9" s="121">
        <f t="shared" si="4"/>
        <v>0</v>
      </c>
      <c r="K9" s="121">
        <f t="shared" si="4"/>
        <v>0</v>
      </c>
      <c r="L9" s="121">
        <f t="shared" si="4"/>
        <v>0</v>
      </c>
      <c r="M9" s="121">
        <f t="shared" si="4"/>
        <v>0</v>
      </c>
      <c r="N9" s="121">
        <f t="shared" si="4"/>
        <v>0</v>
      </c>
    </row>
    <row r="10" spans="1:14" ht="15" x14ac:dyDescent="0.25">
      <c r="A10" s="115" t="s">
        <v>75</v>
      </c>
      <c r="B10" s="119">
        <f xml:space="preserve"> SUMIF( $B$21:$B$39, $A10, C$21:C$39 )</f>
        <v>0</v>
      </c>
      <c r="C10" s="120">
        <f xml:space="preserve"> SUMIF( $B$21:$B$39, $A10, D$21:D$39)</f>
        <v>0</v>
      </c>
      <c r="D10" s="121">
        <f t="shared" ref="D10:N13" si="5" xml:space="preserve"> SUMIF( $B$21:$B$39, $A10, E$21:E$39 )</f>
        <v>0</v>
      </c>
      <c r="E10" s="121">
        <f t="shared" si="5"/>
        <v>0</v>
      </c>
      <c r="F10" s="121">
        <f t="shared" si="5"/>
        <v>0</v>
      </c>
      <c r="G10" s="121">
        <f t="shared" si="5"/>
        <v>0</v>
      </c>
      <c r="H10" s="121">
        <f t="shared" si="5"/>
        <v>0</v>
      </c>
      <c r="I10" s="121">
        <f t="shared" si="5"/>
        <v>0</v>
      </c>
      <c r="J10" s="121">
        <f t="shared" si="5"/>
        <v>0</v>
      </c>
      <c r="K10" s="121">
        <f t="shared" si="5"/>
        <v>0</v>
      </c>
      <c r="L10" s="121">
        <f t="shared" si="5"/>
        <v>0</v>
      </c>
      <c r="M10" s="121">
        <f t="shared" si="5"/>
        <v>0</v>
      </c>
      <c r="N10" s="121">
        <f t="shared" si="5"/>
        <v>0</v>
      </c>
    </row>
    <row r="11" spans="1:14" ht="15" x14ac:dyDescent="0.25">
      <c r="A11" s="115" t="s">
        <v>76</v>
      </c>
      <c r="B11" s="119">
        <f xml:space="preserve"> SUMIF( $B$21:$B$39, $A11, C$21:C$39 )</f>
        <v>0</v>
      </c>
      <c r="C11" s="120">
        <f xml:space="preserve"> SUMIF( $B$21:$B$39, $A11, D$21:D$39)</f>
        <v>0</v>
      </c>
      <c r="D11" s="121">
        <f t="shared" si="5"/>
        <v>0</v>
      </c>
      <c r="E11" s="121">
        <f t="shared" si="5"/>
        <v>0</v>
      </c>
      <c r="F11" s="121">
        <f t="shared" si="5"/>
        <v>0</v>
      </c>
      <c r="G11" s="121">
        <f t="shared" si="5"/>
        <v>0</v>
      </c>
      <c r="H11" s="121">
        <f t="shared" si="5"/>
        <v>0</v>
      </c>
      <c r="I11" s="121">
        <f t="shared" si="5"/>
        <v>0</v>
      </c>
      <c r="J11" s="121">
        <f t="shared" si="5"/>
        <v>0</v>
      </c>
      <c r="K11" s="121">
        <f t="shared" si="5"/>
        <v>0</v>
      </c>
      <c r="L11" s="121">
        <f t="shared" si="5"/>
        <v>0</v>
      </c>
      <c r="M11" s="121">
        <f t="shared" si="5"/>
        <v>0</v>
      </c>
      <c r="N11" s="121">
        <f t="shared" si="5"/>
        <v>0</v>
      </c>
    </row>
    <row r="12" spans="1:14" ht="15" x14ac:dyDescent="0.25">
      <c r="A12" s="115" t="s">
        <v>77</v>
      </c>
      <c r="B12" s="119">
        <f xml:space="preserve"> SUMIF( $B$21:$B$39, $A12, C$21:C$39 )</f>
        <v>0</v>
      </c>
      <c r="C12" s="120">
        <f xml:space="preserve"> SUMIF( $B$21:$B$39, $A12, D$21:D$39 )</f>
        <v>0</v>
      </c>
      <c r="D12" s="121">
        <f t="shared" si="5"/>
        <v>0</v>
      </c>
      <c r="E12" s="121">
        <f t="shared" si="5"/>
        <v>0</v>
      </c>
      <c r="F12" s="121">
        <f t="shared" si="5"/>
        <v>0</v>
      </c>
      <c r="G12" s="121">
        <f t="shared" si="5"/>
        <v>0</v>
      </c>
      <c r="H12" s="121">
        <f t="shared" si="5"/>
        <v>0</v>
      </c>
      <c r="I12" s="121">
        <f t="shared" si="5"/>
        <v>0</v>
      </c>
      <c r="J12" s="121">
        <f t="shared" si="5"/>
        <v>0</v>
      </c>
      <c r="K12" s="121">
        <f t="shared" si="5"/>
        <v>0</v>
      </c>
      <c r="L12" s="121">
        <f t="shared" si="5"/>
        <v>0</v>
      </c>
      <c r="M12" s="121">
        <f t="shared" si="5"/>
        <v>0</v>
      </c>
      <c r="N12" s="121">
        <f t="shared" si="5"/>
        <v>0</v>
      </c>
    </row>
    <row r="13" spans="1:14" ht="15" x14ac:dyDescent="0.25">
      <c r="A13" s="115" t="s">
        <v>78</v>
      </c>
      <c r="B13" s="122">
        <f xml:space="preserve"> SUMIF( $B$21:$B$39, $A13, C$21:C$39 )</f>
        <v>0</v>
      </c>
      <c r="C13" s="123">
        <f xml:space="preserve"> SUMIF( $B$21:$B$39, $A13, D$21:D$39 )</f>
        <v>0</v>
      </c>
      <c r="D13" s="124">
        <f t="shared" si="5"/>
        <v>0</v>
      </c>
      <c r="E13" s="124">
        <f t="shared" si="5"/>
        <v>0</v>
      </c>
      <c r="F13" s="124">
        <f t="shared" si="5"/>
        <v>0</v>
      </c>
      <c r="G13" s="124">
        <f t="shared" si="5"/>
        <v>0</v>
      </c>
      <c r="H13" s="124">
        <f t="shared" si="5"/>
        <v>0</v>
      </c>
      <c r="I13" s="124">
        <f t="shared" si="5"/>
        <v>0</v>
      </c>
      <c r="J13" s="124">
        <f t="shared" si="5"/>
        <v>0</v>
      </c>
      <c r="K13" s="124">
        <f t="shared" si="5"/>
        <v>0</v>
      </c>
      <c r="L13" s="124">
        <f t="shared" si="5"/>
        <v>0</v>
      </c>
      <c r="M13" s="124">
        <f t="shared" si="5"/>
        <v>0</v>
      </c>
      <c r="N13" s="124">
        <f t="shared" si="5"/>
        <v>0</v>
      </c>
    </row>
    <row r="14" spans="1:14" ht="15.75" x14ac:dyDescent="0.25">
      <c r="A14" s="125" t="s">
        <v>55</v>
      </c>
      <c r="B14" s="126">
        <f>SUM(B5:B13)</f>
        <v>473897</v>
      </c>
      <c r="C14" s="126">
        <f t="shared" ref="C14:D14" si="6">SUM(C5:C13)</f>
        <v>216006</v>
      </c>
      <c r="D14" s="126">
        <f t="shared" si="6"/>
        <v>170472.40000000002</v>
      </c>
      <c r="E14" s="126">
        <f t="shared" ref="E14:G14" si="7">SUM(E5:E13)</f>
        <v>513809</v>
      </c>
      <c r="F14" s="126">
        <f t="shared" ref="F14" si="8">SUM(F5:F13)</f>
        <v>490206</v>
      </c>
      <c r="G14" s="126">
        <f t="shared" si="7"/>
        <v>441282</v>
      </c>
      <c r="H14" s="126">
        <f t="shared" ref="H14:I14" si="9">SUM(H5:H13)</f>
        <v>513873</v>
      </c>
      <c r="I14" s="126">
        <f t="shared" si="9"/>
        <v>846071.4</v>
      </c>
      <c r="J14" s="126">
        <f t="shared" ref="J14:K14" si="10">SUM(J5:J13)</f>
        <v>1091620.6200000001</v>
      </c>
      <c r="K14" s="126">
        <f t="shared" si="10"/>
        <v>1021060.0689999999</v>
      </c>
      <c r="L14" s="126">
        <f t="shared" ref="L14:M14" si="11">SUM(L5:L13)</f>
        <v>1171055.6880000001</v>
      </c>
      <c r="M14" s="126">
        <f t="shared" ca="1" si="11"/>
        <v>1438722.6077999999</v>
      </c>
      <c r="N14" s="126">
        <f t="shared" ref="N14" si="12">SUM(N5:N13)</f>
        <v>1320747.2</v>
      </c>
    </row>
    <row r="16" spans="1:14" x14ac:dyDescent="0.2">
      <c r="I16" s="176"/>
    </row>
    <row r="19" spans="1:15" outlineLevel="1" x14ac:dyDescent="0.2"/>
    <row r="20" spans="1:15" ht="15" outlineLevel="1" x14ac:dyDescent="0.25">
      <c r="A20" s="127" t="s">
        <v>40</v>
      </c>
      <c r="B20" s="128" t="s">
        <v>79</v>
      </c>
      <c r="C20" s="128">
        <v>2013</v>
      </c>
      <c r="D20" s="128">
        <v>2014</v>
      </c>
      <c r="E20" s="128">
        <v>2015</v>
      </c>
      <c r="F20" s="128">
        <v>2016</v>
      </c>
      <c r="G20" s="128">
        <v>2017</v>
      </c>
      <c r="H20" s="128">
        <v>2018</v>
      </c>
      <c r="I20" s="128">
        <v>2019</v>
      </c>
      <c r="J20" s="128">
        <v>2020</v>
      </c>
      <c r="K20" s="128">
        <v>2021</v>
      </c>
      <c r="L20" s="128">
        <v>2022</v>
      </c>
      <c r="M20" s="128">
        <v>2023</v>
      </c>
      <c r="N20" s="128">
        <v>2024</v>
      </c>
      <c r="O20" s="128">
        <v>2025</v>
      </c>
    </row>
    <row r="21" spans="1:15" ht="15" outlineLevel="1" x14ac:dyDescent="0.25">
      <c r="A21" s="129" t="str">
        <f>'Facility Detail'!B2</f>
        <v>Long Lake #3</v>
      </c>
      <c r="B21" s="129" t="str">
        <f xml:space="preserve"> IF( 'Facility Detail'!D2 = "", "", 'Facility Detail'!D2 )</f>
        <v>Water (Incremental Hydro)</v>
      </c>
      <c r="C21" s="116">
        <f>'Facility Detail'!D68</f>
        <v>14197</v>
      </c>
      <c r="D21" s="117">
        <f>'Facility Detail'!E68</f>
        <v>14197</v>
      </c>
      <c r="E21" s="118">
        <f>'Facility Detail'!F68</f>
        <v>14197</v>
      </c>
      <c r="F21" s="118">
        <f>'Facility Detail'!G68</f>
        <v>14197</v>
      </c>
      <c r="G21" s="118">
        <f>'Facility Detail'!H68</f>
        <v>14197</v>
      </c>
      <c r="H21" s="118">
        <f>'Facility Detail'!I68</f>
        <v>14197</v>
      </c>
      <c r="I21" s="118">
        <f>'Facility Detail'!J68</f>
        <v>7241</v>
      </c>
      <c r="J21" s="118">
        <f>'Facility Detail'!K68</f>
        <v>14197</v>
      </c>
      <c r="K21" s="118">
        <f>'Facility Detail'!L68</f>
        <v>14200</v>
      </c>
      <c r="L21" s="118">
        <f>'Facility Detail'!M68</f>
        <v>12319</v>
      </c>
      <c r="M21" s="118">
        <f>'Facility Detail'!N68</f>
        <v>9621</v>
      </c>
      <c r="N21" s="118">
        <f>'Facility Detail'!O68</f>
        <v>13206</v>
      </c>
      <c r="O21" s="118">
        <f>'Facility Detail'!P68</f>
        <v>13206</v>
      </c>
    </row>
    <row r="22" spans="1:15" ht="15" outlineLevel="1" x14ac:dyDescent="0.25">
      <c r="A22" s="130" t="str">
        <f>'Facility Detail'!B3</f>
        <v>Little Falls #4</v>
      </c>
      <c r="B22" s="130" t="str">
        <f xml:space="preserve"> IF( 'Facility Detail'!D3 = "", "", 'Facility Detail'!D3 )</f>
        <v>Water (Incremental Hydro)</v>
      </c>
      <c r="C22" s="119">
        <f>'Facility Detail'!D104</f>
        <v>4862</v>
      </c>
      <c r="D22" s="120">
        <f>'Facility Detail'!E104</f>
        <v>4862</v>
      </c>
      <c r="E22" s="121">
        <f>'Facility Detail'!F104</f>
        <v>4862</v>
      </c>
      <c r="F22" s="121">
        <f>'Facility Detail'!G104</f>
        <v>4862</v>
      </c>
      <c r="G22" s="121">
        <f>'Facility Detail'!H104</f>
        <v>4862</v>
      </c>
      <c r="H22" s="121">
        <f>'Facility Detail'!I104</f>
        <v>4862</v>
      </c>
      <c r="I22" s="121">
        <f>'Facility Detail'!J104</f>
        <v>0</v>
      </c>
      <c r="J22" s="121">
        <f>'Facility Detail'!K104</f>
        <v>2214</v>
      </c>
      <c r="K22" s="121">
        <f>'Facility Detail'!L104</f>
        <v>0</v>
      </c>
      <c r="L22" s="121">
        <f>'Facility Detail'!M104</f>
        <v>2015</v>
      </c>
      <c r="M22" s="121">
        <f>'Facility Detail'!N104</f>
        <v>1875</v>
      </c>
      <c r="N22" s="121">
        <f>'Facility Detail'!O104</f>
        <v>2063</v>
      </c>
      <c r="O22" s="121">
        <f>'Facility Detail'!P104</f>
        <v>2063</v>
      </c>
    </row>
    <row r="23" spans="1:15" ht="15" outlineLevel="1" x14ac:dyDescent="0.25">
      <c r="A23" s="130" t="str">
        <f>'Facility Detail'!B4</f>
        <v>Cabinet Gorge #2</v>
      </c>
      <c r="B23" s="130" t="str">
        <f xml:space="preserve"> IF( 'Facility Detail'!D4 = "", "", 'Facility Detail'!D4 )</f>
        <v>Water (Incremental Hydro)</v>
      </c>
      <c r="C23" s="119">
        <f>'Facility Detail'!D140</f>
        <v>29008</v>
      </c>
      <c r="D23" s="120">
        <f>'Facility Detail'!E140</f>
        <v>29008</v>
      </c>
      <c r="E23" s="121">
        <f>'Facility Detail'!F140</f>
        <v>29008</v>
      </c>
      <c r="F23" s="121">
        <f>'Facility Detail'!G140</f>
        <v>29008</v>
      </c>
      <c r="G23" s="121">
        <f>'Facility Detail'!H140</f>
        <v>29008</v>
      </c>
      <c r="H23" s="121">
        <f>'Facility Detail'!I140</f>
        <v>29008</v>
      </c>
      <c r="I23" s="121">
        <f>'Facility Detail'!J140</f>
        <v>12184</v>
      </c>
      <c r="J23" s="121">
        <f>'Facility Detail'!K140</f>
        <v>33542</v>
      </c>
      <c r="K23" s="121">
        <f>'Facility Detail'!L140</f>
        <v>33542</v>
      </c>
      <c r="L23" s="121">
        <f>'Facility Detail'!M140</f>
        <v>23465</v>
      </c>
      <c r="M23" s="121">
        <f>'Facility Detail'!N140</f>
        <v>13332</v>
      </c>
      <c r="N23" s="121">
        <f>'Facility Detail'!O140</f>
        <v>14870</v>
      </c>
      <c r="O23" s="121">
        <f>'Facility Detail'!P140</f>
        <v>14870</v>
      </c>
    </row>
    <row r="24" spans="1:15" ht="15" outlineLevel="1" x14ac:dyDescent="0.25">
      <c r="A24" s="130" t="str">
        <f>'Facility Detail'!B5</f>
        <v>Cabinet Gorge #3</v>
      </c>
      <c r="B24" s="130" t="str">
        <f xml:space="preserve"> IF( 'Facility Detail'!D5 = "", "", 'Facility Detail'!D5 )</f>
        <v>Water (Incremental Hydro)</v>
      </c>
      <c r="C24" s="119">
        <f>'Facility Detail'!D176</f>
        <v>45808</v>
      </c>
      <c r="D24" s="120">
        <f>'Facility Detail'!E176</f>
        <v>45808</v>
      </c>
      <c r="E24" s="121">
        <f>'Facility Detail'!F176</f>
        <v>45808</v>
      </c>
      <c r="F24" s="121">
        <f>'Facility Detail'!G176</f>
        <v>45808</v>
      </c>
      <c r="G24" s="121">
        <f>'Facility Detail'!H176</f>
        <v>45808</v>
      </c>
      <c r="H24" s="121">
        <f>'Facility Detail'!I176</f>
        <v>45808</v>
      </c>
      <c r="I24" s="121">
        <f>'Facility Detail'!J176</f>
        <v>13690</v>
      </c>
      <c r="J24" s="121">
        <f>'Facility Detail'!K176</f>
        <v>20576</v>
      </c>
      <c r="K24" s="121">
        <f>'Facility Detail'!L176</f>
        <v>20576</v>
      </c>
      <c r="L24" s="121">
        <f>'Facility Detail'!M176</f>
        <v>20379</v>
      </c>
      <c r="M24" s="121">
        <f>'Facility Detail'!N176</f>
        <v>9500</v>
      </c>
      <c r="N24" s="121">
        <f>'Facility Detail'!O176</f>
        <v>10733</v>
      </c>
      <c r="O24" s="121">
        <f>'Facility Detail'!P176</f>
        <v>10733</v>
      </c>
    </row>
    <row r="25" spans="1:15" ht="15" outlineLevel="1" x14ac:dyDescent="0.25">
      <c r="A25" s="130" t="str">
        <f>'Facility Detail'!B6</f>
        <v>Cabinet Gorge #4</v>
      </c>
      <c r="B25" s="130" t="str">
        <f xml:space="preserve"> IF( 'Facility Detail'!D6 = "", "", 'Facility Detail'!D6 )</f>
        <v>Water (Incremental Hydro)</v>
      </c>
      <c r="C25" s="119">
        <f>'Facility Detail'!D212</f>
        <v>20517</v>
      </c>
      <c r="D25" s="120">
        <f>'Facility Detail'!E212</f>
        <v>20517</v>
      </c>
      <c r="E25" s="121">
        <f>'Facility Detail'!F212</f>
        <v>20517</v>
      </c>
      <c r="F25" s="121">
        <f>'Facility Detail'!G212</f>
        <v>20517</v>
      </c>
      <c r="G25" s="121">
        <f>'Facility Detail'!H212</f>
        <v>20517</v>
      </c>
      <c r="H25" s="121">
        <f>'Facility Detail'!I212</f>
        <v>20517</v>
      </c>
      <c r="I25" s="121">
        <f>'Facility Detail'!J212</f>
        <v>6137</v>
      </c>
      <c r="J25" s="121">
        <f>'Facility Detail'!K212</f>
        <v>302</v>
      </c>
      <c r="K25" s="121">
        <f>'Facility Detail'!L212</f>
        <v>302</v>
      </c>
      <c r="L25" s="121">
        <f>'Facility Detail'!M212</f>
        <v>13662</v>
      </c>
      <c r="M25" s="121">
        <f>'Facility Detail'!N212</f>
        <v>13442</v>
      </c>
      <c r="N25" s="121">
        <f>'Facility Detail'!O212</f>
        <v>14310</v>
      </c>
      <c r="O25" s="121">
        <f>'Facility Detail'!P212</f>
        <v>14310</v>
      </c>
    </row>
    <row r="26" spans="1:15" ht="15" outlineLevel="1" x14ac:dyDescent="0.25">
      <c r="A26" s="130" t="str">
        <f>'Facility Detail'!B7</f>
        <v>Noxon Rapids #1</v>
      </c>
      <c r="B26" s="130" t="str">
        <f xml:space="preserve"> IF( 'Facility Detail'!D7 = "", "", 'Facility Detail'!D7 )</f>
        <v>Water (Incremental Hydro)</v>
      </c>
      <c r="C26" s="119">
        <f>'Facility Detail'!D248</f>
        <v>21435</v>
      </c>
      <c r="D26" s="120">
        <f>'Facility Detail'!E248</f>
        <v>21435</v>
      </c>
      <c r="E26" s="121">
        <f>'Facility Detail'!F248</f>
        <v>21435</v>
      </c>
      <c r="F26" s="121">
        <f>'Facility Detail'!G248</f>
        <v>21435</v>
      </c>
      <c r="G26" s="121">
        <f>'Facility Detail'!H248</f>
        <v>21435</v>
      </c>
      <c r="H26" s="121">
        <f>'Facility Detail'!I248</f>
        <v>21435</v>
      </c>
      <c r="I26" s="121">
        <f>'Facility Detail'!J248</f>
        <v>21435</v>
      </c>
      <c r="J26" s="121">
        <f>'Facility Detail'!K248</f>
        <v>21435</v>
      </c>
      <c r="K26" s="121">
        <f>'Facility Detail'!L248</f>
        <v>30000</v>
      </c>
      <c r="L26" s="121">
        <f>'Facility Detail'!M248</f>
        <v>26788</v>
      </c>
      <c r="M26" s="121">
        <f>'Facility Detail'!N248</f>
        <v>19549</v>
      </c>
      <c r="N26" s="121">
        <f>'Facility Detail'!O248</f>
        <v>21315</v>
      </c>
      <c r="O26" s="121">
        <f>'Facility Detail'!P248</f>
        <v>21315</v>
      </c>
    </row>
    <row r="27" spans="1:15" ht="15" outlineLevel="1" x14ac:dyDescent="0.25">
      <c r="A27" s="130" t="str">
        <f>'Facility Detail'!B8</f>
        <v>Noxon Rapids #2</v>
      </c>
      <c r="B27" s="130" t="str">
        <f xml:space="preserve"> IF( 'Facility Detail'!D8 = "", "", 'Facility Detail'!D8 )</f>
        <v>Water (Incremental Hydro)</v>
      </c>
      <c r="C27" s="119">
        <f>'Facility Detail'!D284</f>
        <v>7709</v>
      </c>
      <c r="D27" s="120">
        <f>'Facility Detail'!E284</f>
        <v>7709</v>
      </c>
      <c r="E27" s="121">
        <f>'Facility Detail'!F284</f>
        <v>7709</v>
      </c>
      <c r="F27" s="121">
        <f>'Facility Detail'!G284</f>
        <v>7709</v>
      </c>
      <c r="G27" s="121">
        <f>'Facility Detail'!H284</f>
        <v>7709</v>
      </c>
      <c r="H27" s="121">
        <f>'Facility Detail'!I284</f>
        <v>7709</v>
      </c>
      <c r="I27" s="121">
        <f>'Facility Detail'!J284</f>
        <v>7709</v>
      </c>
      <c r="J27" s="121">
        <f>'Facility Detail'!K284</f>
        <v>7709</v>
      </c>
      <c r="K27" s="121">
        <f>'Facility Detail'!L284</f>
        <v>9701</v>
      </c>
      <c r="L27" s="121">
        <f>'Facility Detail'!M284</f>
        <v>8412</v>
      </c>
      <c r="M27" s="121">
        <f>'Facility Detail'!N284</f>
        <v>6417</v>
      </c>
      <c r="N27" s="121">
        <f>'Facility Detail'!O284</f>
        <v>6345</v>
      </c>
      <c r="O27" s="121">
        <f>'Facility Detail'!P284</f>
        <v>6345</v>
      </c>
    </row>
    <row r="28" spans="1:15" ht="15" outlineLevel="1" x14ac:dyDescent="0.25">
      <c r="A28" s="130" t="str">
        <f>'Facility Detail'!B9</f>
        <v>Noxon Rapids #3</v>
      </c>
      <c r="B28" s="130" t="str">
        <f xml:space="preserve"> IF( 'Facility Detail'!D9 = "", "", 'Facility Detail'!D9 )</f>
        <v>Water (Incremental Hydro)</v>
      </c>
      <c r="C28" s="119">
        <f>'Facility Detail'!D320</f>
        <v>14529</v>
      </c>
      <c r="D28" s="120">
        <f>'Facility Detail'!E320</f>
        <v>14529</v>
      </c>
      <c r="E28" s="121">
        <f>'Facility Detail'!F320</f>
        <v>14529</v>
      </c>
      <c r="F28" s="121">
        <f>'Facility Detail'!G320</f>
        <v>14529</v>
      </c>
      <c r="G28" s="121">
        <f>'Facility Detail'!H320</f>
        <v>14529</v>
      </c>
      <c r="H28" s="121">
        <f>'Facility Detail'!I320</f>
        <v>14529</v>
      </c>
      <c r="I28" s="121">
        <f>'Facility Detail'!J320</f>
        <v>14529</v>
      </c>
      <c r="J28" s="121">
        <f>'Facility Detail'!K320</f>
        <v>14529</v>
      </c>
      <c r="K28" s="121">
        <f>'Facility Detail'!L320</f>
        <v>32000</v>
      </c>
      <c r="L28" s="121">
        <f>'Facility Detail'!M320</f>
        <v>32039</v>
      </c>
      <c r="M28" s="121">
        <f>'Facility Detail'!N320</f>
        <v>21245</v>
      </c>
      <c r="N28" s="121">
        <f>'Facility Detail'!O320</f>
        <v>20875</v>
      </c>
      <c r="O28" s="121">
        <f>'Facility Detail'!P320</f>
        <v>20875</v>
      </c>
    </row>
    <row r="29" spans="1:15" ht="15" outlineLevel="1" x14ac:dyDescent="0.25">
      <c r="A29" s="130" t="str">
        <f>'Facility Detail'!B10</f>
        <v>Noxon Rapids #4</v>
      </c>
      <c r="B29" s="130" t="str">
        <f xml:space="preserve"> IF( 'Facility Detail'!D10 = "", "", 'Facility Detail'!D10 )</f>
        <v>Water (Incremental Hydro)</v>
      </c>
      <c r="C29" s="119">
        <f>'Facility Detail'!D356</f>
        <v>10934</v>
      </c>
      <c r="D29" s="120">
        <f>'Facility Detail'!E356</f>
        <v>12024</v>
      </c>
      <c r="E29" s="121">
        <f>'Facility Detail'!F356</f>
        <v>12024</v>
      </c>
      <c r="F29" s="121">
        <f>'Facility Detail'!G356</f>
        <v>12024</v>
      </c>
      <c r="G29" s="121">
        <f>'Facility Detail'!H356</f>
        <v>12024</v>
      </c>
      <c r="H29" s="121">
        <f>'Facility Detail'!I356</f>
        <v>12024</v>
      </c>
      <c r="I29" s="121">
        <f>'Facility Detail'!J356</f>
        <v>11898</v>
      </c>
      <c r="J29" s="121">
        <f>'Facility Detail'!K356</f>
        <v>12024</v>
      </c>
      <c r="K29" s="121">
        <f>'Facility Detail'!L356</f>
        <v>14994</v>
      </c>
      <c r="L29" s="121">
        <f>'Facility Detail'!M356</f>
        <v>11742</v>
      </c>
      <c r="M29" s="121">
        <f>'Facility Detail'!N356</f>
        <v>11778</v>
      </c>
      <c r="N29" s="121">
        <f>'Facility Detail'!O356</f>
        <v>13202</v>
      </c>
      <c r="O29" s="121">
        <f>'Facility Detail'!P356</f>
        <v>13202</v>
      </c>
    </row>
    <row r="30" spans="1:15" ht="15" outlineLevel="1" x14ac:dyDescent="0.25">
      <c r="A30" s="130" t="str">
        <f>'Facility Detail'!B11</f>
        <v>Grant PUD Fish Bypasses</v>
      </c>
      <c r="B30" s="130" t="str">
        <f xml:space="preserve"> IF( 'Facility Detail'!D11 = "", "", 'Facility Detail'!D11 )</f>
        <v>Water (Incremental Hydro)</v>
      </c>
      <c r="C30" s="119">
        <f>'Facility Detail'!D392</f>
        <v>22206</v>
      </c>
      <c r="D30" s="120">
        <f>'Facility Detail'!E392</f>
        <v>0</v>
      </c>
      <c r="E30" s="120">
        <f>'Facility Detail'!F392</f>
        <v>0</v>
      </c>
      <c r="F30" s="120">
        <f>'Facility Detail'!G392</f>
        <v>0</v>
      </c>
      <c r="G30" s="120">
        <f>'Facility Detail'!H392</f>
        <v>0</v>
      </c>
      <c r="H30" s="120">
        <f>'Facility Detail'!I392</f>
        <v>0</v>
      </c>
      <c r="I30" s="120">
        <f>'Facility Detail'!J392</f>
        <v>0</v>
      </c>
      <c r="J30" s="120">
        <f>'Facility Detail'!K392</f>
        <v>0</v>
      </c>
      <c r="K30" s="120">
        <f>'Facility Detail'!L392</f>
        <v>0</v>
      </c>
      <c r="L30" s="120">
        <f>'Facility Detail'!M392</f>
        <v>0</v>
      </c>
      <c r="M30" s="120">
        <f>'Facility Detail'!N392</f>
        <v>0</v>
      </c>
      <c r="N30" s="120">
        <f>'Facility Detail'!O392</f>
        <v>0</v>
      </c>
      <c r="O30" s="120">
        <f>'Facility Detail'!P392</f>
        <v>0</v>
      </c>
    </row>
    <row r="31" spans="1:15" ht="15" outlineLevel="1" x14ac:dyDescent="0.25">
      <c r="A31" s="130" t="str">
        <f>'Facility Detail'!B12</f>
        <v>Palouse Wind</v>
      </c>
      <c r="B31" s="130" t="str">
        <f xml:space="preserve"> IF( 'Facility Detail'!D12 = "", "", 'Facility Detail'!D12 )</f>
        <v>Wind</v>
      </c>
      <c r="C31" s="119">
        <f>'Facility Detail'!D438</f>
        <v>282692</v>
      </c>
      <c r="D31" s="144">
        <f>'Facility Detail'!E438</f>
        <v>45917</v>
      </c>
      <c r="E31" s="121">
        <f>'Facility Detail'!F438</f>
        <v>0.40000000002328306</v>
      </c>
      <c r="F31" s="121">
        <f>'Facility Detail'!G438</f>
        <v>250042</v>
      </c>
      <c r="G31" s="121">
        <f>'Facility Detail'!H438</f>
        <v>192375</v>
      </c>
      <c r="H31" s="121">
        <f>'Facility Detail'!I438</f>
        <v>308830</v>
      </c>
      <c r="I31" s="121">
        <f>'Facility Detail'!J438</f>
        <v>256663</v>
      </c>
      <c r="J31" s="121">
        <f>'Facility Detail'!K438</f>
        <v>302728</v>
      </c>
      <c r="K31" s="121">
        <f>'Facility Detail'!L438</f>
        <v>398616</v>
      </c>
      <c r="L31" s="121">
        <f>'Facility Detail'!M438</f>
        <v>371951</v>
      </c>
      <c r="M31" s="121">
        <f>'Facility Detail'!N438</f>
        <v>353864</v>
      </c>
      <c r="N31" s="121">
        <f>'Facility Detail'!O438</f>
        <v>370320</v>
      </c>
      <c r="O31" s="121">
        <f>'Facility Detail'!P438</f>
        <v>384719</v>
      </c>
    </row>
    <row r="32" spans="1:15" ht="15" outlineLevel="1" x14ac:dyDescent="0.25">
      <c r="A32" s="130" t="str">
        <f>'Facility Detail'!B13</f>
        <v>EWEB (Stateline) Wind REC Purchase</v>
      </c>
      <c r="B32" s="130" t="str">
        <f xml:space="preserve"> IF( 'Facility Detail'!D13 = "", "", 'Facility Detail'!D13 )</f>
        <v>Wind</v>
      </c>
      <c r="C32" s="119">
        <f>'Facility Detail'!D472</f>
        <v>0</v>
      </c>
      <c r="D32" s="119">
        <f>'Facility Detail'!E472</f>
        <v>0</v>
      </c>
      <c r="E32" s="119">
        <f>'Facility Detail'!F472</f>
        <v>383</v>
      </c>
      <c r="F32" s="119">
        <f>'Facility Detail'!G472</f>
        <v>49617</v>
      </c>
      <c r="G32" s="119">
        <f>'Facility Detail'!H472</f>
        <v>0</v>
      </c>
      <c r="H32" s="119">
        <f>'Facility Detail'!I472</f>
        <v>0</v>
      </c>
      <c r="I32" s="119">
        <f>'Facility Detail'!J472</f>
        <v>0</v>
      </c>
      <c r="J32" s="119">
        <f>'Facility Detail'!K472</f>
        <v>0</v>
      </c>
      <c r="K32" s="119">
        <f>'Facility Detail'!L472</f>
        <v>0</v>
      </c>
      <c r="L32" s="119">
        <f>'Facility Detail'!M472</f>
        <v>0</v>
      </c>
      <c r="M32" s="119">
        <f>'Facility Detail'!N472</f>
        <v>0</v>
      </c>
      <c r="N32" s="119">
        <f>'Facility Detail'!O472</f>
        <v>0</v>
      </c>
      <c r="O32" s="119">
        <f>'Facility Detail'!P472</f>
        <v>0</v>
      </c>
    </row>
    <row r="33" spans="1:15" ht="15" outlineLevel="1" x14ac:dyDescent="0.25">
      <c r="A33" s="130" t="str">
        <f>'Facility Detail'!B14</f>
        <v>Nine Mile #1</v>
      </c>
      <c r="B33" s="130" t="str">
        <f xml:space="preserve"> IF( 'Facility Detail'!D14 = "", "", 'Facility Detail'!D14 )</f>
        <v>Water (Incremental Hydro)</v>
      </c>
      <c r="C33" s="119">
        <f>'Facility Detail'!D508</f>
        <v>0</v>
      </c>
      <c r="D33" s="119">
        <f>'Facility Detail'!E508</f>
        <v>0</v>
      </c>
      <c r="E33" s="119">
        <f>'Facility Detail'!F508</f>
        <v>0</v>
      </c>
      <c r="F33" s="119">
        <f>'Facility Detail'!G508</f>
        <v>215</v>
      </c>
      <c r="G33" s="119">
        <f>'Facility Detail'!H508</f>
        <v>8804</v>
      </c>
      <c r="H33" s="119">
        <f>'Facility Detail'!I508</f>
        <v>8804</v>
      </c>
      <c r="I33" s="119">
        <f>'Facility Detail'!J508</f>
        <v>6608</v>
      </c>
      <c r="J33" s="119">
        <f>'Facility Detail'!K508</f>
        <v>3395</v>
      </c>
      <c r="K33" s="119">
        <f>'Facility Detail'!L508</f>
        <v>3395</v>
      </c>
      <c r="L33" s="119">
        <f>'Facility Detail'!M508</f>
        <v>18326</v>
      </c>
      <c r="M33" s="119">
        <f>'Facility Detail'!N508</f>
        <v>14469</v>
      </c>
      <c r="N33" s="119">
        <f>'Facility Detail'!O508</f>
        <v>15048</v>
      </c>
      <c r="O33" s="119">
        <f>'Facility Detail'!P508</f>
        <v>15048</v>
      </c>
    </row>
    <row r="34" spans="1:15" ht="15" outlineLevel="1" x14ac:dyDescent="0.25">
      <c r="A34" s="130" t="str">
        <f>'Facility Detail'!B15</f>
        <v>Nine Mile #2</v>
      </c>
      <c r="B34" s="130" t="str">
        <f xml:space="preserve"> IF( 'Facility Detail'!D15 = "", "", 'Facility Detail'!D15 )</f>
        <v>Water (Incremental Hydro)</v>
      </c>
      <c r="C34" s="119">
        <f>'Facility Detail'!D544</f>
        <v>0</v>
      </c>
      <c r="D34" s="119">
        <f>'Facility Detail'!E544</f>
        <v>0</v>
      </c>
      <c r="E34" s="119">
        <f>'Facility Detail'!F544</f>
        <v>0</v>
      </c>
      <c r="F34" s="119">
        <f>'Facility Detail'!G544</f>
        <v>0</v>
      </c>
      <c r="G34" s="119">
        <f>'Facility Detail'!H544</f>
        <v>13146</v>
      </c>
      <c r="H34" s="119">
        <f>'Facility Detail'!I544</f>
        <v>13146</v>
      </c>
      <c r="I34" s="119">
        <f>'Facility Detail'!J544</f>
        <v>1830</v>
      </c>
      <c r="J34" s="119">
        <f>'Facility Detail'!K544</f>
        <v>5343</v>
      </c>
      <c r="K34" s="119">
        <f>'Facility Detail'!L544</f>
        <v>5343</v>
      </c>
      <c r="L34" s="119">
        <f>'Facility Detail'!M544</f>
        <v>19241</v>
      </c>
      <c r="M34" s="119">
        <f>'Facility Detail'!N544</f>
        <v>15192</v>
      </c>
      <c r="N34" s="119">
        <f>'Facility Detail'!O544</f>
        <v>15900</v>
      </c>
      <c r="O34" s="119">
        <f>'Facility Detail'!P544</f>
        <v>15900</v>
      </c>
    </row>
    <row r="35" spans="1:15" ht="15" outlineLevel="1" x14ac:dyDescent="0.25">
      <c r="A35" s="130" t="str">
        <f>'Facility Detail'!B16</f>
        <v>Kettle Falls</v>
      </c>
      <c r="B35" s="130" t="str">
        <f xml:space="preserve"> IF( 'Facility Detail'!D16 = "", "", 'Facility Detail'!D16 )</f>
        <v>Biomass</v>
      </c>
      <c r="C35" s="119">
        <f>'Facility Detail'!D590</f>
        <v>0</v>
      </c>
      <c r="D35" s="119">
        <f>'Facility Detail'!E590</f>
        <v>0</v>
      </c>
      <c r="E35" s="119">
        <f>'Facility Detail'!F590</f>
        <v>0</v>
      </c>
      <c r="F35" s="119">
        <f>'Facility Detail'!G590</f>
        <v>43846</v>
      </c>
      <c r="G35" s="119">
        <f>'Facility Detail'!H590</f>
        <v>105792</v>
      </c>
      <c r="H35" s="119">
        <f>'Facility Detail'!I590</f>
        <v>-59587</v>
      </c>
      <c r="I35" s="119">
        <f>'Facility Detail'!J590</f>
        <v>153949</v>
      </c>
      <c r="J35" s="119">
        <f>'Facility Detail'!K590</f>
        <v>408077</v>
      </c>
      <c r="K35" s="119">
        <f>'Facility Detail'!L590</f>
        <v>200779.62</v>
      </c>
      <c r="L35" s="119">
        <f>'Facility Detail'!M590</f>
        <v>132673.46899999998</v>
      </c>
      <c r="M35" s="119">
        <f>'Facility Detail'!N590</f>
        <v>288535.68799999997</v>
      </c>
      <c r="N35" s="119">
        <f>'Facility Detail'!O590</f>
        <v>321280.40779999999</v>
      </c>
      <c r="O35" s="119">
        <f>'Facility Detail'!P590</f>
        <v>336116</v>
      </c>
    </row>
    <row r="36" spans="1:15" ht="15" x14ac:dyDescent="0.25">
      <c r="A36" s="130" t="str">
        <f>'Facility Detail'!B17</f>
        <v>Boulder Community Solar</v>
      </c>
      <c r="B36" s="130" t="str">
        <f xml:space="preserve"> IF( 'Facility Detail'!D17 = "", "", 'Facility Detail'!D17 )</f>
        <v>Solar</v>
      </c>
      <c r="C36" s="119">
        <f>'Facility Detail'!D630</f>
        <v>0</v>
      </c>
      <c r="D36" s="119">
        <f>'Facility Detail'!E630</f>
        <v>0</v>
      </c>
      <c r="E36" s="119">
        <f>'Facility Detail'!F630</f>
        <v>0</v>
      </c>
      <c r="F36" s="119">
        <f>'Facility Detail'!G630</f>
        <v>0</v>
      </c>
      <c r="G36" s="119">
        <f>'Facility Detail'!H630</f>
        <v>0</v>
      </c>
      <c r="H36" s="119">
        <f>'Facility Detail'!I630</f>
        <v>0</v>
      </c>
      <c r="I36" s="119">
        <f>'Facility Detail'!J630</f>
        <v>0</v>
      </c>
      <c r="J36" s="119">
        <f>'Facility Detail'!K630</f>
        <v>0</v>
      </c>
      <c r="K36" s="119">
        <f>'Facility Detail'!L630</f>
        <v>537</v>
      </c>
      <c r="L36" s="119">
        <f>'Facility Detail'!M630</f>
        <v>650</v>
      </c>
      <c r="M36" s="119">
        <f>'Facility Detail'!N630</f>
        <v>1010</v>
      </c>
      <c r="N36" s="119">
        <f>'Facility Detail'!O630</f>
        <v>1010</v>
      </c>
      <c r="O36" s="119">
        <f>'Facility Detail'!P630</f>
        <v>1010</v>
      </c>
    </row>
    <row r="37" spans="1:15" ht="15" x14ac:dyDescent="0.25">
      <c r="A37" s="130" t="str">
        <f>'Facility Detail'!B18</f>
        <v>Rathdrum Solar</v>
      </c>
      <c r="B37" s="130" t="str">
        <f xml:space="preserve"> IF( 'Facility Detail'!D18 = "", "", 'Facility Detail'!D18 )</f>
        <v>Solar</v>
      </c>
      <c r="C37" s="119">
        <f>'Facility Detail'!D670</f>
        <v>0</v>
      </c>
      <c r="D37" s="119">
        <f>'Facility Detail'!E670</f>
        <v>0</v>
      </c>
      <c r="E37" s="119">
        <f>'Facility Detail'!F670</f>
        <v>0</v>
      </c>
      <c r="F37" s="119">
        <f>'Facility Detail'!G670</f>
        <v>0</v>
      </c>
      <c r="G37" s="119">
        <f>'Facility Detail'!H670</f>
        <v>0</v>
      </c>
      <c r="H37" s="119">
        <f>'Facility Detail'!I670</f>
        <v>0</v>
      </c>
      <c r="I37" s="119">
        <f>'Facility Detail'!J670</f>
        <v>0</v>
      </c>
      <c r="J37" s="119">
        <f>'Facility Detail'!K670</f>
        <v>0</v>
      </c>
      <c r="K37" s="119">
        <f>'Facility Detail'!L670</f>
        <v>0</v>
      </c>
      <c r="L37" s="119">
        <f>'Facility Detail'!M670</f>
        <v>0</v>
      </c>
      <c r="M37" s="119">
        <f>'Facility Detail'!N670</f>
        <v>0</v>
      </c>
      <c r="N37" s="119">
        <f>'Facility Detail'!O670</f>
        <v>0</v>
      </c>
      <c r="O37" s="119">
        <f>'Facility Detail'!P670</f>
        <v>2</v>
      </c>
    </row>
    <row r="38" spans="1:15" ht="15" x14ac:dyDescent="0.25">
      <c r="A38" s="130" t="str">
        <f>'Facility Detail'!B19</f>
        <v>Adams-Neilson Solar Farm</v>
      </c>
      <c r="B38" s="130" t="str">
        <f xml:space="preserve"> IF( 'Facility Detail'!D19 = "", "", 'Facility Detail'!D19 )</f>
        <v>Solar</v>
      </c>
      <c r="C38" s="119">
        <f>'Facility Detail'!D710</f>
        <v>0</v>
      </c>
      <c r="D38" s="119">
        <f>'Facility Detail'!E710</f>
        <v>0</v>
      </c>
      <c r="E38" s="119">
        <f>'Facility Detail'!F710</f>
        <v>0</v>
      </c>
      <c r="F38" s="119">
        <f>'Facility Detail'!G710</f>
        <v>0</v>
      </c>
      <c r="G38" s="119">
        <f>'Facility Detail'!H710</f>
        <v>0</v>
      </c>
      <c r="H38" s="119">
        <f>'Facility Detail'!I710</f>
        <v>0</v>
      </c>
      <c r="I38" s="119">
        <f>'Facility Detail'!J710</f>
        <v>0</v>
      </c>
      <c r="J38" s="119">
        <f>'Facility Detail'!K710</f>
        <v>0</v>
      </c>
      <c r="K38" s="119">
        <f>'Facility Detail'!L710</f>
        <v>0</v>
      </c>
      <c r="L38" s="119">
        <f>'Facility Detail'!M710</f>
        <v>0</v>
      </c>
      <c r="M38" s="119">
        <f>'Facility Detail'!N710</f>
        <v>0</v>
      </c>
      <c r="N38" s="119">
        <f>'Facility Detail'!O710</f>
        <v>0</v>
      </c>
      <c r="O38" s="119">
        <f>'Facility Detail'!P710</f>
        <v>0</v>
      </c>
    </row>
    <row r="39" spans="1:15" ht="15" x14ac:dyDescent="0.25">
      <c r="A39" s="130" t="str">
        <f>'Facility Detail'!B20</f>
        <v>Rattlesnake Flat Wind</v>
      </c>
      <c r="B39" s="130" t="str">
        <f xml:space="preserve"> IF( 'Facility Detail'!D20 = "", "", 'Facility Detail'!D20 )</f>
        <v>Wind</v>
      </c>
      <c r="C39" s="119">
        <f>'Facility Detail'!D752</f>
        <v>0</v>
      </c>
      <c r="D39" s="119">
        <f>'Facility Detail'!E752</f>
        <v>0</v>
      </c>
      <c r="E39" s="119">
        <f>'Facility Detail'!F752</f>
        <v>0</v>
      </c>
      <c r="F39" s="119">
        <f>'Facility Detail'!G752</f>
        <v>0</v>
      </c>
      <c r="G39" s="119">
        <f>'Facility Detail'!H752</f>
        <v>0</v>
      </c>
      <c r="H39" s="119">
        <f>'Facility Detail'!I752</f>
        <v>0</v>
      </c>
      <c r="I39" s="119">
        <f>'Facility Detail'!J752</f>
        <v>0</v>
      </c>
      <c r="J39" s="119">
        <f>'Facility Detail'!K752</f>
        <v>0.40000000000145519</v>
      </c>
      <c r="K39" s="119">
        <f>'Facility Detail'!L752</f>
        <v>327635</v>
      </c>
      <c r="L39" s="119">
        <f>'Facility Detail'!M752</f>
        <v>327397.59999999998</v>
      </c>
      <c r="M39" s="119">
        <f>'Facility Detail'!N752</f>
        <v>391226</v>
      </c>
      <c r="N39" s="119">
        <f>'Facility Detail'!O752</f>
        <v>451033.2</v>
      </c>
      <c r="O39" s="119">
        <f>'Facility Detail'!P752</f>
        <v>451033.2</v>
      </c>
    </row>
    <row r="40" spans="1:15" ht="15" x14ac:dyDescent="0.25">
      <c r="A40" s="130" t="str">
        <f>'Facility Detail'!B21</f>
        <v>Clearwater Wind</v>
      </c>
      <c r="B40" s="130" t="str">
        <f xml:space="preserve"> IF( 'Facility Detail'!D21 = "", "", 'Facility Detail'!D21 )</f>
        <v>Wind</v>
      </c>
      <c r="C40" s="119">
        <f>'Facility Detail'!D793</f>
        <v>0</v>
      </c>
      <c r="D40" s="119">
        <f>'Facility Detail'!E793</f>
        <v>0</v>
      </c>
      <c r="E40" s="119">
        <f>'Facility Detail'!F793</f>
        <v>0</v>
      </c>
      <c r="F40" s="119">
        <f>'Facility Detail'!G793</f>
        <v>0</v>
      </c>
      <c r="G40" s="119">
        <f>'Facility Detail'!H793</f>
        <v>0</v>
      </c>
      <c r="H40" s="119">
        <f>'Facility Detail'!I793</f>
        <v>0</v>
      </c>
      <c r="I40" s="119">
        <f>'Facility Detail'!J793</f>
        <v>0</v>
      </c>
      <c r="J40" s="119">
        <f>'Facility Detail'!K793</f>
        <v>0</v>
      </c>
      <c r="K40" s="119">
        <f>'Facility Detail'!L793</f>
        <v>0</v>
      </c>
      <c r="L40" s="119">
        <f>'Facility Detail'!M793</f>
        <v>0</v>
      </c>
      <c r="M40" s="119">
        <f>'Facility Detail'!N793</f>
        <v>0</v>
      </c>
      <c r="N40" s="119">
        <f>'Facility Detail'!O793</f>
        <v>147212</v>
      </c>
      <c r="O40" s="119">
        <f>'Facility Detail'!P793</f>
        <v>367252</v>
      </c>
    </row>
    <row r="46" spans="1:15" x14ac:dyDescent="0.2">
      <c r="I46" s="176"/>
    </row>
  </sheetData>
  <pageMargins left="0.7" right="0.7" top="0.75" bottom="0.75" header="0.3" footer="0.3"/>
  <pageSetup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19A2AAE6E71604E8339489AA3DBC626" ma:contentTypeVersion="16" ma:contentTypeDescription="" ma:contentTypeScope="" ma:versionID="2f8063401bf4bd4b9cc046c9fbacf13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2024-05-31T07:00:00+00:00</OpenedDate>
    <SignificantOrder xmlns="dc463f71-b30c-4ab2-9473-d307f9d35888">false</SignificantOrder>
    <Date1 xmlns="dc463f71-b30c-4ab2-9473-d307f9d35888">2024-05-31T07:00:00+00:00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240421</DocketNumber>
    <DelegatedOrder xmlns="dc463f71-b30c-4ab2-9473-d307f9d35888">false</DelegatedOrder>
  </documentManagement>
</p:properties>
</file>

<file path=customXml/itemProps1.xml><?xml version="1.0" encoding="utf-8"?>
<ds:datastoreItem xmlns:ds="http://schemas.openxmlformats.org/officeDocument/2006/customXml" ds:itemID="{2AD805EA-AD9C-4440-B8A4-C15FA34C5B6B}"/>
</file>

<file path=customXml/itemProps2.xml><?xml version="1.0" encoding="utf-8"?>
<ds:datastoreItem xmlns:ds="http://schemas.openxmlformats.org/officeDocument/2006/customXml" ds:itemID="{D6ACBF45-AFF0-4DFF-BF18-C49A8050FFF5}"/>
</file>

<file path=customXml/itemProps3.xml><?xml version="1.0" encoding="utf-8"?>
<ds:datastoreItem xmlns:ds="http://schemas.openxmlformats.org/officeDocument/2006/customXml" ds:itemID="{09124FBA-EAA6-482B-B72F-12E4E91A513F}"/>
</file>

<file path=customXml/itemProps4.xml><?xml version="1.0" encoding="utf-8"?>
<ds:datastoreItem xmlns:ds="http://schemas.openxmlformats.org/officeDocument/2006/customXml" ds:itemID="{94837B17-50F3-49A7-86A4-0A080BB698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Summary</vt:lpstr>
      <vt:lpstr>Facility Detail</vt:lpstr>
      <vt:lpstr>Generation Rollup</vt:lpstr>
      <vt:lpstr>Facility</vt:lpstr>
      <vt:lpstr>'Generation Rollup'!LaborBonus</vt:lpstr>
      <vt:lpstr>LaborBonus</vt:lpstr>
      <vt:lpstr>'Facility Detail'!Print_Area</vt:lpstr>
      <vt:lpstr>'Generation Rollup'!Print_Area</vt:lpstr>
      <vt:lpstr>Summary!Print_Area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Lyons, John</cp:lastModifiedBy>
  <cp:lastPrinted>2017-07-11T18:54:52Z</cp:lastPrinted>
  <dcterms:created xsi:type="dcterms:W3CDTF">2011-06-02T16:07:19Z</dcterms:created>
  <dcterms:modified xsi:type="dcterms:W3CDTF">2024-05-30T20:09:47Z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0x0101006E56B4D1795A2E4DB2F0B01679ED314A00919A2AAE6E71604E8339489AA3DBC626</vt:lpwstr>
  </property>
  <property fmtid="{D5CDD505-2E9C-101B-9397-08002B2CF9AE}" pid="3" name="_docset_NoMedatataSyncRequired">
    <vt:lpwstr>False</vt:lpwstr>
  </property>
</Properties>
</file>