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180" windowWidth="20496" windowHeight="7368" tabRatio="713" activeTab="1"/>
  </bookViews>
  <sheets>
    <sheet name="Electric" sheetId="24" r:id="rId1"/>
    <sheet name="Gas" sheetId="25" r:id="rId2"/>
    <sheet name="2023 AMI in  Ratebase" sheetId="22" r:id="rId3"/>
    <sheet name="AMI" sheetId="30" r:id="rId4"/>
    <sheet name="AMI DFIT" sheetId="29" r:id="rId5"/>
    <sheet name="45600155" sheetId="27" r:id="rId6"/>
    <sheet name="49500071" sheetId="28" r:id="rId7"/>
    <sheet name="AMI Debt Return proof" sheetId="31" r:id="rId8"/>
  </sheets>
  <externalReferences>
    <externalReference r:id="rId9"/>
    <externalReference r:id="rId10"/>
    <externalReference r:id="rId11"/>
    <externalReference r:id="rId1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localSheetId="7" hidden="1">[1]ConsolidatingPL!#REF!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7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7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 hidden="1">-2060790043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localSheetId="7" hidden="1">{#N/A,#N/A,FALSE,"Coversheet";#N/A,#N/A,FALSE,"QA"}</definedName>
    <definedName name="Delete09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localSheetId="7" hidden="1">{#N/A,#N/A,FALSE,"Schedule F";#N/A,#N/A,FALSE,"Schedule G"}</definedName>
    <definedName name="Delete10" hidden="1">{#N/A,#N/A,FALSE,"Schedule F";#N/A,#N/A,FALSE,"Schedule G"}</definedName>
    <definedName name="Delete21" localSheetId="7" hidden="1">{#N/A,#N/A,FALSE,"Coversheet";#N/A,#N/A,FALSE,"QA"}</definedName>
    <definedName name="Delete21" hidden="1">{#N/A,#N/A,FALSE,"Coversheet";#N/A,#N/A,FALSE,"QA"}</definedName>
    <definedName name="DFIT" localSheetId="7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hidden="1">{#N/A,#N/A,FALSE,"Coversheet";#N/A,#N/A,FALSE,"QA"}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localSheetId="7" hidden="1">{#N/A,#N/A,FALSE,"Summ";#N/A,#N/A,FALSE,"General"}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localSheetId="7" hidden="1">{#N/A,#N/A,FALSE,"Summ";#N/A,#N/A,FALSE,"General"}</definedName>
    <definedName name="TEMP" hidden="1">{#N/A,#N/A,FALSE,"Summ";#N/A,#N/A,FALSE,"General"}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7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7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7" hidden="1">{#N/A,#N/A,FALSE,"2002 Small Tool OH";#N/A,#N/A,FALSE,"QA"}</definedName>
    <definedName name="wrn.Small._.Tools._.Overhead." hidden="1">{#N/A,#N/A,FALSE,"2002 Small Tool OH";#N/A,#N/A,FALSE,"QA"}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25" l="1"/>
  <c r="A28" i="25" s="1"/>
  <c r="A29" i="25" s="1"/>
  <c r="A27" i="24" l="1"/>
  <c r="A28" i="24"/>
  <c r="A29" i="24"/>
  <c r="G14" i="31" l="1"/>
  <c r="G13" i="31"/>
  <c r="G8" i="31"/>
  <c r="G9" i="31" s="1"/>
  <c r="G12" i="31" s="1"/>
  <c r="G6" i="31"/>
  <c r="H6" i="31" l="1"/>
  <c r="H8" i="31"/>
  <c r="H9" i="31" l="1"/>
  <c r="C24" i="25" l="1"/>
  <c r="C23" i="25"/>
  <c r="C22" i="25"/>
  <c r="C24" i="24" l="1"/>
  <c r="C23" i="24"/>
  <c r="C22" i="24"/>
  <c r="D20" i="24" l="1"/>
  <c r="D20" i="25"/>
  <c r="AL25" i="29"/>
  <c r="AL24" i="29"/>
  <c r="AL23" i="29"/>
  <c r="AL22" i="29"/>
  <c r="AL26" i="29" s="1"/>
  <c r="AF13" i="29"/>
  <c r="AF12" i="29"/>
  <c r="AF11" i="29"/>
  <c r="AG14" i="29"/>
  <c r="AF10" i="29"/>
  <c r="AF14" i="29" s="1"/>
  <c r="M92" i="30" l="1"/>
  <c r="L92" i="30"/>
  <c r="N92" i="30" l="1"/>
  <c r="D3" i="29"/>
  <c r="G92" i="30"/>
  <c r="E3" i="29"/>
  <c r="C92" i="30"/>
  <c r="D92" i="30"/>
  <c r="F92" i="30"/>
  <c r="D57" i="30"/>
  <c r="F57" i="30"/>
  <c r="G57" i="30"/>
  <c r="D58" i="30"/>
  <c r="F58" i="30"/>
  <c r="F60" i="30"/>
  <c r="G60" i="30"/>
  <c r="G61" i="30"/>
  <c r="I61" i="30"/>
  <c r="J64" i="30"/>
  <c r="C42" i="30"/>
  <c r="D42" i="30"/>
  <c r="F42" i="30"/>
  <c r="G42" i="30"/>
  <c r="I42" i="30"/>
  <c r="J42" i="30"/>
  <c r="C43" i="30"/>
  <c r="D43" i="30"/>
  <c r="F43" i="30"/>
  <c r="G43" i="30"/>
  <c r="I43" i="30"/>
  <c r="C69" i="30" s="1"/>
  <c r="J43" i="30"/>
  <c r="C44" i="30"/>
  <c r="D44" i="30"/>
  <c r="F44" i="30"/>
  <c r="G44" i="30"/>
  <c r="I44" i="30"/>
  <c r="F70" i="30" s="1"/>
  <c r="J44" i="30"/>
  <c r="D70" i="30" s="1"/>
  <c r="C45" i="30"/>
  <c r="D45" i="30"/>
  <c r="F45" i="30"/>
  <c r="G45" i="30"/>
  <c r="I45" i="30"/>
  <c r="F71" i="30" s="1"/>
  <c r="J45" i="30"/>
  <c r="D71" i="30" s="1"/>
  <c r="C46" i="30"/>
  <c r="D46" i="30"/>
  <c r="F46" i="30"/>
  <c r="G46" i="30"/>
  <c r="I46" i="30"/>
  <c r="J46" i="30"/>
  <c r="C47" i="30"/>
  <c r="D47" i="30"/>
  <c r="F47" i="30"/>
  <c r="G47" i="30"/>
  <c r="I47" i="30"/>
  <c r="J47" i="30"/>
  <c r="C48" i="30"/>
  <c r="D48" i="30"/>
  <c r="F48" i="30"/>
  <c r="G48" i="30"/>
  <c r="I48" i="30"/>
  <c r="C74" i="30" s="1"/>
  <c r="J48" i="30"/>
  <c r="D74" i="30" s="1"/>
  <c r="D100" i="30" s="1"/>
  <c r="T47" i="29" s="1"/>
  <c r="C49" i="30"/>
  <c r="D49" i="30"/>
  <c r="F49" i="30"/>
  <c r="G49" i="30"/>
  <c r="I49" i="30"/>
  <c r="J49" i="30"/>
  <c r="C50" i="30"/>
  <c r="D50" i="30"/>
  <c r="F50" i="30"/>
  <c r="G50" i="30"/>
  <c r="I50" i="30"/>
  <c r="F76" i="30" s="1"/>
  <c r="F102" i="30" s="1"/>
  <c r="V52" i="29" s="1"/>
  <c r="J50" i="30"/>
  <c r="C51" i="30"/>
  <c r="D51" i="30"/>
  <c r="F51" i="30"/>
  <c r="G51" i="30"/>
  <c r="I51" i="30"/>
  <c r="C77" i="30" s="1"/>
  <c r="J51" i="30"/>
  <c r="G77" i="30" s="1"/>
  <c r="G103" i="30" s="1"/>
  <c r="W53" i="29" s="1"/>
  <c r="C52" i="30"/>
  <c r="D52" i="30"/>
  <c r="F52" i="30"/>
  <c r="G52" i="30"/>
  <c r="I52" i="30"/>
  <c r="J52" i="30"/>
  <c r="C53" i="30"/>
  <c r="D53" i="30"/>
  <c r="F53" i="30"/>
  <c r="F105" i="30" s="1"/>
  <c r="Y52" i="29" s="1"/>
  <c r="G53" i="30"/>
  <c r="I53" i="30"/>
  <c r="C79" i="30" s="1"/>
  <c r="J53" i="30"/>
  <c r="C54" i="30"/>
  <c r="D54" i="30"/>
  <c r="F54" i="30"/>
  <c r="G54" i="30"/>
  <c r="I54" i="30"/>
  <c r="J54" i="30"/>
  <c r="D55" i="30"/>
  <c r="F55" i="30"/>
  <c r="G55" i="30"/>
  <c r="I55" i="30"/>
  <c r="J55" i="30"/>
  <c r="D56" i="30"/>
  <c r="F56" i="30"/>
  <c r="G56" i="30"/>
  <c r="I56" i="30"/>
  <c r="J56" i="30"/>
  <c r="C76" i="30"/>
  <c r="F69" i="30"/>
  <c r="G72" i="30"/>
  <c r="C73" i="30"/>
  <c r="D73" i="30"/>
  <c r="D99" i="30" s="1"/>
  <c r="S47" i="29" s="1"/>
  <c r="F73" i="30"/>
  <c r="G73" i="30"/>
  <c r="J99" i="30" s="1"/>
  <c r="D76" i="30"/>
  <c r="G76" i="30"/>
  <c r="G102" i="30" s="1"/>
  <c r="V53" i="29" s="1"/>
  <c r="F79" i="30"/>
  <c r="C80" i="30"/>
  <c r="C106" i="30" s="1"/>
  <c r="Z46" i="29" s="1"/>
  <c r="D80" i="30"/>
  <c r="F80" i="30"/>
  <c r="G80" i="30"/>
  <c r="D1" i="29"/>
  <c r="E1" i="29"/>
  <c r="B14" i="29"/>
  <c r="C14" i="29"/>
  <c r="N14" i="29"/>
  <c r="O14" i="29"/>
  <c r="B22" i="29"/>
  <c r="C22" i="29"/>
  <c r="N22" i="29"/>
  <c r="O22" i="29"/>
  <c r="P22" i="29"/>
  <c r="Q22" i="29"/>
  <c r="Q28" i="29" s="1"/>
  <c r="R22" i="29"/>
  <c r="R28" i="29" s="1"/>
  <c r="B23" i="29"/>
  <c r="B26" i="29" s="1"/>
  <c r="N23" i="29"/>
  <c r="O23" i="29"/>
  <c r="P23" i="29"/>
  <c r="Q23" i="29"/>
  <c r="R23" i="29"/>
  <c r="S23" i="29"/>
  <c r="T23" i="29"/>
  <c r="U23" i="29"/>
  <c r="V23" i="29" s="1"/>
  <c r="B24" i="29"/>
  <c r="C24" i="29"/>
  <c r="D24" i="29"/>
  <c r="E24" i="29"/>
  <c r="F24" i="29"/>
  <c r="G24" i="29" s="1"/>
  <c r="N24" i="29"/>
  <c r="B25" i="29"/>
  <c r="C25" i="29"/>
  <c r="D25" i="29"/>
  <c r="E25" i="29"/>
  <c r="F25" i="29"/>
  <c r="G25" i="29"/>
  <c r="H25" i="29"/>
  <c r="I25" i="29"/>
  <c r="J25" i="29"/>
  <c r="N25" i="29"/>
  <c r="O25" i="29"/>
  <c r="P25" i="29" s="1"/>
  <c r="P31" i="29" s="1"/>
  <c r="Q25" i="29"/>
  <c r="R25" i="29"/>
  <c r="S25" i="29" s="1"/>
  <c r="O29" i="29"/>
  <c r="P29" i="29"/>
  <c r="Q29" i="29"/>
  <c r="R29" i="29"/>
  <c r="S29" i="29"/>
  <c r="T29" i="29"/>
  <c r="U29" i="29"/>
  <c r="V29" i="29"/>
  <c r="C30" i="29"/>
  <c r="D30" i="29"/>
  <c r="E30" i="29"/>
  <c r="C31" i="29"/>
  <c r="D31" i="29"/>
  <c r="E31" i="29"/>
  <c r="F31" i="29"/>
  <c r="G31" i="29"/>
  <c r="H31" i="29"/>
  <c r="O31" i="29"/>
  <c r="Q31" i="29"/>
  <c r="R31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AA35" i="29"/>
  <c r="AB35" i="29"/>
  <c r="AC35" i="29"/>
  <c r="AD35" i="29"/>
  <c r="AE35" i="29"/>
  <c r="AF35" i="29"/>
  <c r="AG35" i="29"/>
  <c r="AH35" i="29"/>
  <c r="AI35" i="29"/>
  <c r="AJ35" i="29"/>
  <c r="AK3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AI45" i="29"/>
  <c r="AJ45" i="29"/>
  <c r="AK45" i="29"/>
  <c r="AL45" i="29"/>
  <c r="G106" i="30" l="1"/>
  <c r="Z53" i="29" s="1"/>
  <c r="G98" i="30"/>
  <c r="R53" i="29" s="1"/>
  <c r="C105" i="30"/>
  <c r="Y46" i="29" s="1"/>
  <c r="C95" i="30"/>
  <c r="O46" i="29" s="1"/>
  <c r="C81" i="30"/>
  <c r="F81" i="30"/>
  <c r="F107" i="30" s="1"/>
  <c r="AA52" i="29" s="1"/>
  <c r="F87" i="30"/>
  <c r="C87" i="30"/>
  <c r="G82" i="30"/>
  <c r="G108" i="30" s="1"/>
  <c r="AB53" i="29" s="1"/>
  <c r="D82" i="30"/>
  <c r="F82" i="30"/>
  <c r="F108" i="30" s="1"/>
  <c r="AB52" i="29" s="1"/>
  <c r="C82" i="30"/>
  <c r="G70" i="30"/>
  <c r="G96" i="30" s="1"/>
  <c r="P53" i="29" s="1"/>
  <c r="G81" i="30"/>
  <c r="G107" i="30" s="1"/>
  <c r="AA53" i="29" s="1"/>
  <c r="D81" i="30"/>
  <c r="D107" i="30" s="1"/>
  <c r="AA47" i="29" s="1"/>
  <c r="C70" i="30"/>
  <c r="I96" i="30" s="1"/>
  <c r="G90" i="30"/>
  <c r="D90" i="30"/>
  <c r="I95" i="30"/>
  <c r="J102" i="30"/>
  <c r="C99" i="30"/>
  <c r="S46" i="29" s="1"/>
  <c r="D102" i="30"/>
  <c r="V47" i="29" s="1"/>
  <c r="I102" i="30"/>
  <c r="F64" i="30"/>
  <c r="F77" i="30"/>
  <c r="F103" i="30" s="1"/>
  <c r="W52" i="29" s="1"/>
  <c r="F99" i="30"/>
  <c r="S52" i="29" s="1"/>
  <c r="D77" i="30"/>
  <c r="G69" i="30"/>
  <c r="G95" i="30" s="1"/>
  <c r="O53" i="29" s="1"/>
  <c r="D69" i="30"/>
  <c r="D79" i="30"/>
  <c r="D105" i="30" s="1"/>
  <c r="Y47" i="29" s="1"/>
  <c r="G58" i="30"/>
  <c r="D95" i="30"/>
  <c r="O47" i="29" s="1"/>
  <c r="I105" i="30"/>
  <c r="I58" i="30"/>
  <c r="D72" i="30"/>
  <c r="J98" i="30" s="1"/>
  <c r="D60" i="30"/>
  <c r="C102" i="30"/>
  <c r="V46" i="29" s="1"/>
  <c r="F95" i="30"/>
  <c r="O52" i="29" s="1"/>
  <c r="C65" i="30"/>
  <c r="D61" i="30"/>
  <c r="C57" i="30"/>
  <c r="C72" i="30"/>
  <c r="F72" i="30"/>
  <c r="F98" i="30" s="1"/>
  <c r="R52" i="29" s="1"/>
  <c r="C55" i="30"/>
  <c r="C62" i="30"/>
  <c r="C66" i="30"/>
  <c r="C63" i="30"/>
  <c r="C60" i="30"/>
  <c r="C59" i="30"/>
  <c r="C64" i="30"/>
  <c r="C56" i="30"/>
  <c r="G75" i="30"/>
  <c r="G101" i="30" s="1"/>
  <c r="U53" i="29" s="1"/>
  <c r="C58" i="30"/>
  <c r="J57" i="30"/>
  <c r="J63" i="30"/>
  <c r="J59" i="30"/>
  <c r="I65" i="30"/>
  <c r="I59" i="30"/>
  <c r="I57" i="30"/>
  <c r="I62" i="30"/>
  <c r="I66" i="30"/>
  <c r="I63" i="30"/>
  <c r="F97" i="30"/>
  <c r="Q52" i="29" s="1"/>
  <c r="J61" i="30"/>
  <c r="G65" i="30"/>
  <c r="F65" i="30"/>
  <c r="D65" i="30"/>
  <c r="F61" i="30"/>
  <c r="C61" i="30"/>
  <c r="I64" i="30"/>
  <c r="G78" i="30"/>
  <c r="G104" i="30" s="1"/>
  <c r="X53" i="29" s="1"/>
  <c r="D78" i="30"/>
  <c r="G68" i="30"/>
  <c r="G94" i="30" s="1"/>
  <c r="D68" i="30"/>
  <c r="J94" i="30" s="1"/>
  <c r="F68" i="30"/>
  <c r="F94" i="30" s="1"/>
  <c r="C68" i="30"/>
  <c r="I94" i="30" s="1"/>
  <c r="C100" i="30"/>
  <c r="T46" i="29" s="1"/>
  <c r="D97" i="30"/>
  <c r="Q47" i="29" s="1"/>
  <c r="J60" i="30"/>
  <c r="F75" i="30"/>
  <c r="F101" i="30" s="1"/>
  <c r="U52" i="29" s="1"/>
  <c r="C75" i="30"/>
  <c r="I101" i="30" s="1"/>
  <c r="G64" i="30"/>
  <c r="C78" i="30"/>
  <c r="F78" i="30"/>
  <c r="F104" i="30" s="1"/>
  <c r="X52" i="29" s="1"/>
  <c r="J66" i="30"/>
  <c r="D64" i="30"/>
  <c r="G62" i="30"/>
  <c r="I60" i="30"/>
  <c r="D62" i="30"/>
  <c r="J58" i="30"/>
  <c r="D59" i="30"/>
  <c r="C71" i="30"/>
  <c r="D75" i="30"/>
  <c r="G63" i="30"/>
  <c r="F63" i="30"/>
  <c r="G71" i="30"/>
  <c r="G97" i="30" s="1"/>
  <c r="Q53" i="29" s="1"/>
  <c r="D63" i="30"/>
  <c r="J62" i="30"/>
  <c r="G79" i="30"/>
  <c r="G105" i="30" s="1"/>
  <c r="Y53" i="29" s="1"/>
  <c r="G66" i="30"/>
  <c r="F106" i="30"/>
  <c r="Z52" i="29" s="1"/>
  <c r="C103" i="30"/>
  <c r="W46" i="29" s="1"/>
  <c r="I99" i="30"/>
  <c r="F96" i="30"/>
  <c r="P52" i="29" s="1"/>
  <c r="G59" i="30"/>
  <c r="F66" i="30"/>
  <c r="F62" i="30"/>
  <c r="D106" i="30"/>
  <c r="Z47" i="29" s="1"/>
  <c r="G99" i="30"/>
  <c r="S53" i="29" s="1"/>
  <c r="D96" i="30"/>
  <c r="P47" i="29" s="1"/>
  <c r="G74" i="30"/>
  <c r="J100" i="30" s="1"/>
  <c r="D66" i="30"/>
  <c r="F59" i="30"/>
  <c r="F74" i="30"/>
  <c r="F100" i="30" s="1"/>
  <c r="T52" i="29" s="1"/>
  <c r="J65" i="30"/>
  <c r="I31" i="29"/>
  <c r="G30" i="29"/>
  <c r="H24" i="29"/>
  <c r="S22" i="29"/>
  <c r="W23" i="29"/>
  <c r="P28" i="29"/>
  <c r="O28" i="29"/>
  <c r="N26" i="29"/>
  <c r="O24" i="29"/>
  <c r="F30" i="29"/>
  <c r="K25" i="29"/>
  <c r="J31" i="29"/>
  <c r="C23" i="29"/>
  <c r="S31" i="29"/>
  <c r="T25" i="29"/>
  <c r="D22" i="29"/>
  <c r="C26" i="29"/>
  <c r="C32" i="29" s="1"/>
  <c r="C28" i="29"/>
  <c r="M81" i="30" l="1"/>
  <c r="L81" i="30"/>
  <c r="C107" i="30"/>
  <c r="AA46" i="29" s="1"/>
  <c r="J95" i="30"/>
  <c r="J97" i="30"/>
  <c r="F85" i="30"/>
  <c r="F111" i="30" s="1"/>
  <c r="AE52" i="29" s="1"/>
  <c r="C85" i="30"/>
  <c r="G84" i="30"/>
  <c r="G110" i="30" s="1"/>
  <c r="AD53" i="29" s="1"/>
  <c r="D84" i="30"/>
  <c r="G85" i="30"/>
  <c r="G111" i="30" s="1"/>
  <c r="AE53" i="29" s="1"/>
  <c r="D85" i="30"/>
  <c r="D111" i="30" s="1"/>
  <c r="AE47" i="29" s="1"/>
  <c r="F84" i="30"/>
  <c r="F110" i="30" s="1"/>
  <c r="AD52" i="29" s="1"/>
  <c r="C84" i="30"/>
  <c r="C110" i="30" s="1"/>
  <c r="AD46" i="29" s="1"/>
  <c r="G87" i="30"/>
  <c r="G113" i="30" s="1"/>
  <c r="AG53" i="29" s="1"/>
  <c r="D87" i="30"/>
  <c r="J96" i="30"/>
  <c r="F91" i="30"/>
  <c r="F117" i="30" s="1"/>
  <c r="AK52" i="29" s="1"/>
  <c r="C91" i="30"/>
  <c r="C90" i="30"/>
  <c r="F90" i="30"/>
  <c r="F116" i="30" s="1"/>
  <c r="AJ52" i="29" s="1"/>
  <c r="G86" i="30"/>
  <c r="G112" i="30" s="1"/>
  <c r="AF53" i="29" s="1"/>
  <c r="D86" i="30"/>
  <c r="F89" i="30"/>
  <c r="F115" i="30" s="1"/>
  <c r="AI52" i="29" s="1"/>
  <c r="C89" i="30"/>
  <c r="G83" i="30"/>
  <c r="G109" i="30" s="1"/>
  <c r="AC53" i="29" s="1"/>
  <c r="D83" i="30"/>
  <c r="F86" i="30"/>
  <c r="F112" i="30" s="1"/>
  <c r="AF52" i="29" s="1"/>
  <c r="C86" i="30"/>
  <c r="C112" i="30" s="1"/>
  <c r="AF46" i="29" s="1"/>
  <c r="C96" i="30"/>
  <c r="P46" i="29" s="1"/>
  <c r="G88" i="30"/>
  <c r="G114" i="30" s="1"/>
  <c r="AH53" i="29" s="1"/>
  <c r="D88" i="30"/>
  <c r="G91" i="30"/>
  <c r="G117" i="30" s="1"/>
  <c r="AK53" i="29" s="1"/>
  <c r="D91" i="30"/>
  <c r="F88" i="30"/>
  <c r="F114" i="30" s="1"/>
  <c r="AH52" i="29" s="1"/>
  <c r="C88" i="30"/>
  <c r="C114" i="30" s="1"/>
  <c r="AH46" i="29" s="1"/>
  <c r="G89" i="30"/>
  <c r="G115" i="30" s="1"/>
  <c r="AI53" i="29" s="1"/>
  <c r="D89" i="30"/>
  <c r="F83" i="30"/>
  <c r="F109" i="30" s="1"/>
  <c r="AC52" i="29" s="1"/>
  <c r="C83" i="30"/>
  <c r="I103" i="30"/>
  <c r="D98" i="30"/>
  <c r="R47" i="29" s="1"/>
  <c r="D103" i="30"/>
  <c r="W47" i="29" s="1"/>
  <c r="J103" i="30"/>
  <c r="D94" i="30"/>
  <c r="J101" i="30"/>
  <c r="C101" i="30"/>
  <c r="U46" i="29" s="1"/>
  <c r="D101" i="30"/>
  <c r="U47" i="29" s="1"/>
  <c r="D116" i="30"/>
  <c r="AJ47" i="29" s="1"/>
  <c r="C113" i="30"/>
  <c r="AG46" i="29" s="1"/>
  <c r="F113" i="30"/>
  <c r="AG52" i="29" s="1"/>
  <c r="I98" i="30"/>
  <c r="C97" i="30"/>
  <c r="Q46" i="29" s="1"/>
  <c r="I97" i="30"/>
  <c r="G118" i="30"/>
  <c r="D19" i="22" s="1"/>
  <c r="J104" i="30"/>
  <c r="D104" i="30"/>
  <c r="X47" i="29" s="1"/>
  <c r="C108" i="30"/>
  <c r="AB46" i="29" s="1"/>
  <c r="G100" i="30"/>
  <c r="T53" i="29" s="1"/>
  <c r="D108" i="30"/>
  <c r="AB47" i="29" s="1"/>
  <c r="C94" i="30"/>
  <c r="C98" i="30"/>
  <c r="R46" i="29" s="1"/>
  <c r="J105" i="30"/>
  <c r="C118" i="30"/>
  <c r="F118" i="30"/>
  <c r="I104" i="30"/>
  <c r="C104" i="30"/>
  <c r="X46" i="29" s="1"/>
  <c r="G116" i="30"/>
  <c r="AJ53" i="29" s="1"/>
  <c r="I100" i="30"/>
  <c r="W29" i="29"/>
  <c r="X23" i="29"/>
  <c r="D28" i="29"/>
  <c r="E22" i="29"/>
  <c r="T31" i="29"/>
  <c r="U25" i="29"/>
  <c r="O30" i="29"/>
  <c r="P24" i="29"/>
  <c r="S28" i="29"/>
  <c r="T22" i="29"/>
  <c r="C29" i="29"/>
  <c r="D23" i="29"/>
  <c r="H30" i="29"/>
  <c r="I24" i="29"/>
  <c r="K31" i="29"/>
  <c r="L25" i="29"/>
  <c r="O26" i="29"/>
  <c r="O32" i="29" s="1"/>
  <c r="N81" i="30" l="1"/>
  <c r="AL52" i="29"/>
  <c r="D14" i="22"/>
  <c r="AL53" i="29"/>
  <c r="D15" i="22"/>
  <c r="AL46" i="29"/>
  <c r="C14" i="22"/>
  <c r="D14" i="24" s="1"/>
  <c r="D109" i="30"/>
  <c r="AC47" i="29" s="1"/>
  <c r="D110" i="30"/>
  <c r="AD47" i="29" s="1"/>
  <c r="D117" i="30"/>
  <c r="AK47" i="29" s="1"/>
  <c r="D118" i="30"/>
  <c r="C19" i="22" s="1"/>
  <c r="C117" i="30"/>
  <c r="AK46" i="29" s="1"/>
  <c r="C115" i="30"/>
  <c r="AI46" i="29" s="1"/>
  <c r="C111" i="30"/>
  <c r="AE46" i="29" s="1"/>
  <c r="D115" i="30"/>
  <c r="AI47" i="29" s="1"/>
  <c r="D112" i="30"/>
  <c r="AF47" i="29" s="1"/>
  <c r="C109" i="30"/>
  <c r="AC46" i="29" s="1"/>
  <c r="D113" i="30"/>
  <c r="AG47" i="29" s="1"/>
  <c r="C116" i="30"/>
  <c r="AJ46" i="29" s="1"/>
  <c r="D114" i="30"/>
  <c r="AH47" i="29" s="1"/>
  <c r="U31" i="29"/>
  <c r="V25" i="29"/>
  <c r="D29" i="29"/>
  <c r="E23" i="29"/>
  <c r="E26" i="29" s="1"/>
  <c r="E32" i="29" s="1"/>
  <c r="T28" i="29"/>
  <c r="U22" i="29"/>
  <c r="P30" i="29"/>
  <c r="Q24" i="29"/>
  <c r="P26" i="29"/>
  <c r="P32" i="29" s="1"/>
  <c r="L31" i="29"/>
  <c r="M25" i="29"/>
  <c r="Q40" i="29" s="1"/>
  <c r="E28" i="29"/>
  <c r="F22" i="29"/>
  <c r="I30" i="29"/>
  <c r="J24" i="29"/>
  <c r="D26" i="29"/>
  <c r="D32" i="29" s="1"/>
  <c r="X29" i="29"/>
  <c r="Y23" i="29"/>
  <c r="F14" i="24" l="1"/>
  <c r="E19" i="22"/>
  <c r="AL47" i="29"/>
  <c r="C15" i="22"/>
  <c r="D15" i="24" s="1"/>
  <c r="Y29" i="29"/>
  <c r="Z23" i="29"/>
  <c r="T40" i="29"/>
  <c r="Q30" i="29"/>
  <c r="R24" i="29"/>
  <c r="Q26" i="29"/>
  <c r="Q32" i="29" s="1"/>
  <c r="K24" i="29"/>
  <c r="J30" i="29"/>
  <c r="U28" i="29"/>
  <c r="V22" i="29"/>
  <c r="U40" i="29"/>
  <c r="M31" i="29"/>
  <c r="N31" i="29"/>
  <c r="O40" i="29"/>
  <c r="P40" i="29"/>
  <c r="S40" i="29"/>
  <c r="G22" i="29"/>
  <c r="F28" i="29"/>
  <c r="E29" i="29"/>
  <c r="F23" i="29"/>
  <c r="R40" i="29"/>
  <c r="W25" i="29"/>
  <c r="V31" i="29"/>
  <c r="V40" i="29"/>
  <c r="N40" i="29"/>
  <c r="E14" i="24" l="1"/>
  <c r="F15" i="24"/>
  <c r="E13" i="29"/>
  <c r="F13" i="29"/>
  <c r="G23" i="29"/>
  <c r="F29" i="29"/>
  <c r="W22" i="29"/>
  <c r="V28" i="29"/>
  <c r="X25" i="29"/>
  <c r="W31" i="29"/>
  <c r="W40" i="29"/>
  <c r="L24" i="29"/>
  <c r="K30" i="29"/>
  <c r="F26" i="29"/>
  <c r="F32" i="29" s="1"/>
  <c r="S24" i="29"/>
  <c r="R30" i="29"/>
  <c r="R26" i="29"/>
  <c r="R32" i="29" s="1"/>
  <c r="G28" i="29"/>
  <c r="H22" i="29"/>
  <c r="G26" i="29"/>
  <c r="G32" i="29" s="1"/>
  <c r="AA17" i="29"/>
  <c r="AB17" i="29" s="1"/>
  <c r="AC17" i="29" s="1"/>
  <c r="AD17" i="29" s="1"/>
  <c r="AE17" i="29" s="1"/>
  <c r="AF17" i="29" s="1"/>
  <c r="AG17" i="29" s="1"/>
  <c r="AH17" i="29" s="1"/>
  <c r="AI17" i="29" s="1"/>
  <c r="AJ17" i="29" s="1"/>
  <c r="AK17" i="29" s="1"/>
  <c r="Z29" i="29"/>
  <c r="Z38" i="29"/>
  <c r="E15" i="24" l="1"/>
  <c r="AA23" i="29"/>
  <c r="Y25" i="29"/>
  <c r="X31" i="29"/>
  <c r="X40" i="29"/>
  <c r="L30" i="29"/>
  <c r="M24" i="29"/>
  <c r="R11" i="29"/>
  <c r="AB23" i="29"/>
  <c r="AA29" i="29"/>
  <c r="AA38" i="29"/>
  <c r="H28" i="29"/>
  <c r="I22" i="29"/>
  <c r="H26" i="29"/>
  <c r="H32" i="29" s="1"/>
  <c r="X22" i="29"/>
  <c r="W28" i="29"/>
  <c r="T24" i="29"/>
  <c r="S30" i="29"/>
  <c r="S39" i="29"/>
  <c r="S26" i="29"/>
  <c r="S32" i="29" s="1"/>
  <c r="H23" i="29"/>
  <c r="G29" i="29"/>
  <c r="Q39" i="29"/>
  <c r="H29" i="29" l="1"/>
  <c r="I23" i="29"/>
  <c r="I28" i="29"/>
  <c r="I26" i="29"/>
  <c r="I32" i="29" s="1"/>
  <c r="J22" i="29"/>
  <c r="AB29" i="29"/>
  <c r="AC23" i="29"/>
  <c r="AB38" i="29"/>
  <c r="M30" i="29"/>
  <c r="N30" i="29"/>
  <c r="O39" i="29"/>
  <c r="N39" i="29"/>
  <c r="P39" i="29"/>
  <c r="U24" i="29"/>
  <c r="T30" i="29"/>
  <c r="T39" i="29"/>
  <c r="T26" i="29"/>
  <c r="T32" i="29" s="1"/>
  <c r="Z25" i="29"/>
  <c r="Y31" i="29"/>
  <c r="Y40" i="29"/>
  <c r="X28" i="29"/>
  <c r="Y22" i="29"/>
  <c r="R39" i="29"/>
  <c r="AA19" i="29" l="1"/>
  <c r="AB19" i="29" s="1"/>
  <c r="AC19" i="29" s="1"/>
  <c r="AD19" i="29" s="1"/>
  <c r="AE19" i="29" s="1"/>
  <c r="AF19" i="29" s="1"/>
  <c r="AG19" i="29" s="1"/>
  <c r="AH19" i="29" s="1"/>
  <c r="AI19" i="29" s="1"/>
  <c r="AJ19" i="29" s="1"/>
  <c r="AK19" i="29" s="1"/>
  <c r="AA25" i="29"/>
  <c r="Z31" i="29"/>
  <c r="Z40" i="29"/>
  <c r="Z22" i="29"/>
  <c r="Y28" i="29"/>
  <c r="AC29" i="29"/>
  <c r="AD23" i="29"/>
  <c r="AC38" i="29"/>
  <c r="J26" i="29"/>
  <c r="J32" i="29" s="1"/>
  <c r="J28" i="29"/>
  <c r="K22" i="29"/>
  <c r="V24" i="29"/>
  <c r="U30" i="29"/>
  <c r="U39" i="29"/>
  <c r="U26" i="29"/>
  <c r="U32" i="29" s="1"/>
  <c r="E12" i="29"/>
  <c r="F12" i="29"/>
  <c r="J23" i="29"/>
  <c r="I29" i="29"/>
  <c r="K28" i="29" l="1"/>
  <c r="L22" i="29"/>
  <c r="AA16" i="29"/>
  <c r="AB16" i="29" s="1"/>
  <c r="AC16" i="29" s="1"/>
  <c r="AD16" i="29" s="1"/>
  <c r="AE16" i="29" s="1"/>
  <c r="AF16" i="29" s="1"/>
  <c r="AG16" i="29" s="1"/>
  <c r="AH16" i="29" s="1"/>
  <c r="AI16" i="29" s="1"/>
  <c r="AJ16" i="29" s="1"/>
  <c r="AK16" i="29" s="1"/>
  <c r="Z28" i="29"/>
  <c r="Z37" i="29"/>
  <c r="K23" i="29"/>
  <c r="J29" i="29"/>
  <c r="AE23" i="29"/>
  <c r="AD29" i="29"/>
  <c r="AD38" i="29"/>
  <c r="AB25" i="29"/>
  <c r="AA31" i="29"/>
  <c r="AA40" i="29"/>
  <c r="W24" i="29"/>
  <c r="V30" i="29"/>
  <c r="V39" i="29"/>
  <c r="V26" i="29"/>
  <c r="V32" i="29" s="1"/>
  <c r="X24" i="29" l="1"/>
  <c r="W30" i="29"/>
  <c r="W39" i="29"/>
  <c r="W26" i="29"/>
  <c r="W32" i="29" s="1"/>
  <c r="K29" i="29"/>
  <c r="L23" i="29"/>
  <c r="AC25" i="29"/>
  <c r="AB31" i="29"/>
  <c r="AB40" i="29"/>
  <c r="AA22" i="29"/>
  <c r="L26" i="29"/>
  <c r="L32" i="29" s="1"/>
  <c r="L28" i="29"/>
  <c r="M22" i="29"/>
  <c r="T37" i="29"/>
  <c r="R37" i="29"/>
  <c r="V37" i="29"/>
  <c r="W37" i="29"/>
  <c r="AE29" i="29"/>
  <c r="AF23" i="29"/>
  <c r="AE38" i="29"/>
  <c r="K26" i="29"/>
  <c r="K32" i="29" s="1"/>
  <c r="AA28" i="29" l="1"/>
  <c r="AB22" i="29"/>
  <c r="Q10" i="29"/>
  <c r="AA37" i="29"/>
  <c r="AD25" i="29"/>
  <c r="AC40" i="29"/>
  <c r="AC31" i="29"/>
  <c r="V42" i="29"/>
  <c r="V48" i="29" s="1"/>
  <c r="V49" i="29" s="1"/>
  <c r="R42" i="29"/>
  <c r="R48" i="29" s="1"/>
  <c r="R49" i="29" s="1"/>
  <c r="R41" i="29"/>
  <c r="W42" i="29"/>
  <c r="W48" i="29" s="1"/>
  <c r="W49" i="29" s="1"/>
  <c r="AF29" i="29"/>
  <c r="AG23" i="29"/>
  <c r="AF38" i="29"/>
  <c r="L29" i="29"/>
  <c r="M23" i="29"/>
  <c r="X38" i="29"/>
  <c r="X43" i="29" s="1"/>
  <c r="X54" i="29" s="1"/>
  <c r="X55" i="29" s="1"/>
  <c r="R38" i="29"/>
  <c r="R43" i="29" s="1"/>
  <c r="R54" i="29" s="1"/>
  <c r="R55" i="29" s="1"/>
  <c r="T38" i="29"/>
  <c r="T43" i="29" s="1"/>
  <c r="T54" i="29" s="1"/>
  <c r="T55" i="29" s="1"/>
  <c r="T42" i="29"/>
  <c r="T48" i="29" s="1"/>
  <c r="T49" i="29" s="1"/>
  <c r="T41" i="29"/>
  <c r="M26" i="29"/>
  <c r="M28" i="29"/>
  <c r="Y37" i="29"/>
  <c r="N28" i="29"/>
  <c r="N37" i="29"/>
  <c r="O37" i="29"/>
  <c r="U37" i="29"/>
  <c r="P37" i="29"/>
  <c r="S37" i="29"/>
  <c r="Q37" i="29"/>
  <c r="X37" i="29"/>
  <c r="Y24" i="29"/>
  <c r="X30" i="29"/>
  <c r="X39" i="29"/>
  <c r="X26" i="29"/>
  <c r="X32" i="29" s="1"/>
  <c r="AG29" i="29" l="1"/>
  <c r="AH23" i="29"/>
  <c r="AG38" i="29"/>
  <c r="S42" i="29"/>
  <c r="S48" i="29" s="1"/>
  <c r="S49" i="29" s="1"/>
  <c r="N42" i="29"/>
  <c r="E10" i="29"/>
  <c r="E14" i="29" s="1"/>
  <c r="U42" i="29"/>
  <c r="U48" i="29" s="1"/>
  <c r="U49" i="29" s="1"/>
  <c r="Q42" i="29"/>
  <c r="Q48" i="29" s="1"/>
  <c r="Q49" i="29" s="1"/>
  <c r="O42" i="29"/>
  <c r="O48" i="29" s="1"/>
  <c r="O49" i="29" s="1"/>
  <c r="X42" i="29"/>
  <c r="X48" i="29" s="1"/>
  <c r="X49" i="29" s="1"/>
  <c r="X41" i="29"/>
  <c r="P42" i="29"/>
  <c r="P48" i="29" s="1"/>
  <c r="P49" i="29" s="1"/>
  <c r="Y42" i="29"/>
  <c r="Y48" i="29" s="1"/>
  <c r="Y49" i="29" s="1"/>
  <c r="M32" i="29"/>
  <c r="N32" i="29"/>
  <c r="AE25" i="29"/>
  <c r="AD31" i="29"/>
  <c r="AD40" i="29"/>
  <c r="M29" i="29"/>
  <c r="N29" i="29"/>
  <c r="Y38" i="29"/>
  <c r="Y43" i="29" s="1"/>
  <c r="Y54" i="29" s="1"/>
  <c r="Y55" i="29" s="1"/>
  <c r="N38" i="29"/>
  <c r="S38" i="29"/>
  <c r="S43" i="29" s="1"/>
  <c r="S54" i="29" s="1"/>
  <c r="S55" i="29" s="1"/>
  <c r="V38" i="29"/>
  <c r="U38" i="29"/>
  <c r="U43" i="29" s="1"/>
  <c r="U54" i="29" s="1"/>
  <c r="U55" i="29" s="1"/>
  <c r="P38" i="29"/>
  <c r="P43" i="29" s="1"/>
  <c r="P54" i="29" s="1"/>
  <c r="P55" i="29" s="1"/>
  <c r="W38" i="29"/>
  <c r="Q38" i="29"/>
  <c r="Q43" i="29" s="1"/>
  <c r="Q54" i="29" s="1"/>
  <c r="Q55" i="29" s="1"/>
  <c r="O38" i="29"/>
  <c r="O43" i="29" s="1"/>
  <c r="O54" i="29" s="1"/>
  <c r="O55" i="29" s="1"/>
  <c r="AB28" i="29"/>
  <c r="AC22" i="29"/>
  <c r="AB37" i="29"/>
  <c r="Z24" i="29"/>
  <c r="Y30" i="29"/>
  <c r="Y39" i="29"/>
  <c r="Y26" i="29"/>
  <c r="Y32" i="29" s="1"/>
  <c r="P41" i="29" l="1"/>
  <c r="W43" i="29"/>
  <c r="W54" i="29" s="1"/>
  <c r="W55" i="29" s="1"/>
  <c r="W41" i="29"/>
  <c r="N43" i="29"/>
  <c r="F11" i="29"/>
  <c r="F14" i="29" s="1"/>
  <c r="Q41" i="29"/>
  <c r="V43" i="29"/>
  <c r="V54" i="29" s="1"/>
  <c r="V55" i="29" s="1"/>
  <c r="V41" i="29"/>
  <c r="O41" i="29"/>
  <c r="U41" i="29"/>
  <c r="AA18" i="29"/>
  <c r="AB18" i="29" s="1"/>
  <c r="AC18" i="29" s="1"/>
  <c r="AD18" i="29" s="1"/>
  <c r="AE18" i="29" s="1"/>
  <c r="AF18" i="29" s="1"/>
  <c r="AG18" i="29" s="1"/>
  <c r="AH18" i="29" s="1"/>
  <c r="AI18" i="29" s="1"/>
  <c r="AJ18" i="29" s="1"/>
  <c r="AK18" i="29" s="1"/>
  <c r="Z30" i="29"/>
  <c r="Z39" i="29"/>
  <c r="Z26" i="29"/>
  <c r="N41" i="29"/>
  <c r="G14" i="29" s="1"/>
  <c r="S41" i="29"/>
  <c r="AE31" i="29"/>
  <c r="AF25" i="29"/>
  <c r="AE40" i="29"/>
  <c r="AC28" i="29"/>
  <c r="AD22" i="29"/>
  <c r="AC37" i="29"/>
  <c r="AH29" i="29"/>
  <c r="AI23" i="29"/>
  <c r="AH38" i="29"/>
  <c r="Y41" i="29"/>
  <c r="Z32" i="29" l="1"/>
  <c r="Z27" i="29"/>
  <c r="AI29" i="29"/>
  <c r="AJ23" i="29"/>
  <c r="AI38" i="29"/>
  <c r="Z43" i="29"/>
  <c r="Z54" i="29" s="1"/>
  <c r="Z55" i="29" s="1"/>
  <c r="Z42" i="29"/>
  <c r="Z48" i="29" s="1"/>
  <c r="Z49" i="29" s="1"/>
  <c r="Z41" i="29"/>
  <c r="AA24" i="29"/>
  <c r="AE22" i="29"/>
  <c r="AD28" i="29"/>
  <c r="AD37" i="29"/>
  <c r="AF31" i="29"/>
  <c r="AG25" i="29"/>
  <c r="AF40" i="29"/>
  <c r="AH25" i="29" l="1"/>
  <c r="AG31" i="29"/>
  <c r="AG40" i="29"/>
  <c r="AF22" i="29"/>
  <c r="AE28" i="29"/>
  <c r="AE37" i="29"/>
  <c r="AA30" i="29"/>
  <c r="AB24" i="29"/>
  <c r="Q14" i="29"/>
  <c r="R14" i="29"/>
  <c r="AA39" i="29"/>
  <c r="AA26" i="29"/>
  <c r="AA32" i="29" s="1"/>
  <c r="AK23" i="29"/>
  <c r="AJ29" i="29"/>
  <c r="AJ38" i="29"/>
  <c r="AA43" i="29" l="1"/>
  <c r="AA42" i="29"/>
  <c r="AA48" i="29" s="1"/>
  <c r="AA49" i="29" s="1"/>
  <c r="S14" i="29"/>
  <c r="AK29" i="29"/>
  <c r="AL29" i="29"/>
  <c r="AK38" i="29"/>
  <c r="AL38" i="29"/>
  <c r="AB30" i="29"/>
  <c r="AC24" i="29"/>
  <c r="AB39" i="29"/>
  <c r="AB26" i="29"/>
  <c r="AB32" i="29" s="1"/>
  <c r="AA54" i="29"/>
  <c r="AA55" i="29" s="1"/>
  <c r="AA41" i="29"/>
  <c r="AG22" i="29"/>
  <c r="AF28" i="29"/>
  <c r="AF37" i="29"/>
  <c r="AI25" i="29"/>
  <c r="AH31" i="29"/>
  <c r="AH40" i="29"/>
  <c r="AB43" i="29" l="1"/>
  <c r="AB42" i="29"/>
  <c r="AJ25" i="29"/>
  <c r="AI31" i="29"/>
  <c r="AI40" i="29"/>
  <c r="AG28" i="29"/>
  <c r="AH22" i="29"/>
  <c r="AG37" i="29"/>
  <c r="AB54" i="29"/>
  <c r="AB55" i="29" s="1"/>
  <c r="AB48" i="29"/>
  <c r="AB49" i="29" s="1"/>
  <c r="AB41" i="29"/>
  <c r="AD24" i="29"/>
  <c r="AC30" i="29"/>
  <c r="AC39" i="29"/>
  <c r="AC26" i="29"/>
  <c r="AC32" i="29" s="1"/>
  <c r="AC43" i="29" l="1"/>
  <c r="AC42" i="29"/>
  <c r="AC48" i="29" s="1"/>
  <c r="AC49" i="29" s="1"/>
  <c r="AC54" i="29"/>
  <c r="AC55" i="29" s="1"/>
  <c r="AC41" i="29"/>
  <c r="AE24" i="29"/>
  <c r="AD30" i="29"/>
  <c r="AD39" i="29"/>
  <c r="AD26" i="29"/>
  <c r="AD32" i="29" s="1"/>
  <c r="AH28" i="29"/>
  <c r="AI22" i="29"/>
  <c r="AH37" i="29"/>
  <c r="AJ31" i="29"/>
  <c r="AK25" i="29"/>
  <c r="AJ40" i="29"/>
  <c r="AD43" i="29" l="1"/>
  <c r="AD42" i="29"/>
  <c r="AL31" i="29"/>
  <c r="AK31" i="29"/>
  <c r="AK40" i="29"/>
  <c r="AL40" i="29"/>
  <c r="AI28" i="29"/>
  <c r="AJ22" i="29"/>
  <c r="AI37" i="29"/>
  <c r="AD54" i="29"/>
  <c r="AD55" i="29" s="1"/>
  <c r="AD41" i="29"/>
  <c r="AD48" i="29"/>
  <c r="AD49" i="29" s="1"/>
  <c r="AF24" i="29"/>
  <c r="AE30" i="29"/>
  <c r="AE39" i="29"/>
  <c r="AE26" i="29"/>
  <c r="AE32" i="29" s="1"/>
  <c r="AE43" i="29" l="1"/>
  <c r="AE42" i="29"/>
  <c r="AE54" i="29"/>
  <c r="AE55" i="29" s="1"/>
  <c r="AE41" i="29"/>
  <c r="AE48" i="29"/>
  <c r="AE49" i="29" s="1"/>
  <c r="AF30" i="29"/>
  <c r="AG24" i="29"/>
  <c r="AF39" i="29"/>
  <c r="AF26" i="29"/>
  <c r="AF32" i="29" s="1"/>
  <c r="AJ28" i="29"/>
  <c r="AK22" i="29"/>
  <c r="AJ37" i="29"/>
  <c r="AF43" i="29" l="1"/>
  <c r="AF54" i="29" s="1"/>
  <c r="AF55" i="29" s="1"/>
  <c r="AF42" i="29"/>
  <c r="AK28" i="29"/>
  <c r="AL28" i="29"/>
  <c r="AK37" i="29"/>
  <c r="AL37" i="29"/>
  <c r="AF41" i="29"/>
  <c r="AF48" i="29"/>
  <c r="AF49" i="29" s="1"/>
  <c r="AH24" i="29"/>
  <c r="AG30" i="29"/>
  <c r="AG39" i="29"/>
  <c r="AG26" i="29"/>
  <c r="AG32" i="29" s="1"/>
  <c r="AG43" i="29" l="1"/>
  <c r="AG42" i="29"/>
  <c r="AG54" i="29"/>
  <c r="AG55" i="29" s="1"/>
  <c r="AG41" i="29"/>
  <c r="AG48" i="29"/>
  <c r="AG49" i="29" s="1"/>
  <c r="AI24" i="29"/>
  <c r="AH30" i="29"/>
  <c r="AH39" i="29"/>
  <c r="AH26" i="29"/>
  <c r="AH32" i="29" s="1"/>
  <c r="AH43" i="29" l="1"/>
  <c r="AH42" i="29"/>
  <c r="AH54" i="29"/>
  <c r="AH55" i="29" s="1"/>
  <c r="AH41" i="29"/>
  <c r="AH48" i="29"/>
  <c r="AH49" i="29" s="1"/>
  <c r="AI30" i="29"/>
  <c r="AJ24" i="29"/>
  <c r="AI39" i="29"/>
  <c r="AI26" i="29"/>
  <c r="AI32" i="29" s="1"/>
  <c r="AI43" i="29" l="1"/>
  <c r="AI42" i="29"/>
  <c r="AI54" i="29"/>
  <c r="AI55" i="29" s="1"/>
  <c r="AI41" i="29"/>
  <c r="AI48" i="29"/>
  <c r="AI49" i="29" s="1"/>
  <c r="AJ30" i="29"/>
  <c r="AK24" i="29"/>
  <c r="AJ39" i="29"/>
  <c r="AJ26" i="29"/>
  <c r="AJ32" i="29" s="1"/>
  <c r="AH57" i="29"/>
  <c r="AJ43" i="29" l="1"/>
  <c r="AJ42" i="29"/>
  <c r="AJ48" i="29" s="1"/>
  <c r="AJ49" i="29" s="1"/>
  <c r="AJ54" i="29"/>
  <c r="AJ55" i="29" s="1"/>
  <c r="AJ41" i="29"/>
  <c r="AK30" i="29"/>
  <c r="AL30" i="29"/>
  <c r="AK39" i="29"/>
  <c r="AK26" i="29"/>
  <c r="AL39" i="29"/>
  <c r="AL43" i="29" l="1"/>
  <c r="AL54" i="29" s="1"/>
  <c r="AL42" i="29"/>
  <c r="AK43" i="29"/>
  <c r="AK54" i="29" s="1"/>
  <c r="AK55" i="29" s="1"/>
  <c r="AK42" i="29"/>
  <c r="AK48" i="29" s="1"/>
  <c r="AK49" i="29" s="1"/>
  <c r="AL48" i="29"/>
  <c r="AL41" i="29"/>
  <c r="AK32" i="29"/>
  <c r="AL32" i="29"/>
  <c r="AK41" i="29"/>
  <c r="AL49" i="29" l="1"/>
  <c r="C16" i="22"/>
  <c r="AL55" i="29"/>
  <c r="D16" i="22"/>
  <c r="AK57" i="29"/>
  <c r="AL57" i="29" l="1"/>
  <c r="A18" i="25"/>
  <c r="A19" i="25" s="1"/>
  <c r="A20" i="25" s="1"/>
  <c r="A21" i="25" s="1"/>
  <c r="A22" i="25" s="1"/>
  <c r="A23" i="25" s="1"/>
  <c r="A24" i="25" s="1"/>
  <c r="A25" i="25" s="1"/>
  <c r="A26" i="25" l="1"/>
  <c r="F20" i="25"/>
  <c r="F20" i="24"/>
  <c r="A17" i="24" l="1"/>
  <c r="A18" i="24" s="1"/>
  <c r="A19" i="24" s="1"/>
  <c r="A20" i="24" s="1"/>
  <c r="A21" i="24" s="1"/>
  <c r="A22" i="24" s="1"/>
  <c r="A23" i="24" s="1"/>
  <c r="A24" i="24" s="1"/>
  <c r="A25" i="24" s="1"/>
  <c r="A26" i="24" s="1"/>
  <c r="A6" i="25" l="1"/>
  <c r="A4" i="22"/>
  <c r="D15" i="25" l="1"/>
  <c r="D14" i="25"/>
  <c r="F14" i="25" l="1"/>
  <c r="F15" i="25"/>
  <c r="E15" i="25" s="1"/>
  <c r="E14" i="25" l="1"/>
  <c r="E15" i="22"/>
  <c r="E14" i="22"/>
  <c r="D16" i="25" l="1"/>
  <c r="D17" i="22"/>
  <c r="F16" i="25" l="1"/>
  <c r="D16" i="24"/>
  <c r="C17" i="22"/>
  <c r="E16" i="22"/>
  <c r="E17" i="22" s="1"/>
  <c r="D17" i="25"/>
  <c r="J3" i="31" s="1"/>
  <c r="E16" i="25" l="1"/>
  <c r="J13" i="31"/>
  <c r="J14" i="31"/>
  <c r="J6" i="31"/>
  <c r="J8" i="31"/>
  <c r="J12" i="31" s="1"/>
  <c r="F16" i="24"/>
  <c r="F17" i="24"/>
  <c r="D17" i="24"/>
  <c r="I3" i="31" s="1"/>
  <c r="E16" i="24" l="1"/>
  <c r="E17" i="24" s="1"/>
  <c r="I13" i="31"/>
  <c r="I14" i="31"/>
  <c r="I6" i="31"/>
  <c r="I8" i="31"/>
  <c r="I12" i="31" s="1"/>
  <c r="I5" i="31"/>
  <c r="J9" i="31"/>
  <c r="F23" i="24"/>
  <c r="F24" i="24"/>
  <c r="I9" i="31" l="1"/>
  <c r="F22" i="24"/>
  <c r="F25" i="24" l="1"/>
  <c r="F27" i="24" s="1"/>
  <c r="F24" i="25" l="1"/>
  <c r="F22" i="25"/>
  <c r="F23" i="25"/>
  <c r="F28" i="24" l="1"/>
  <c r="F25" i="25"/>
  <c r="F27" i="25" s="1"/>
  <c r="F29" i="24" l="1"/>
  <c r="F28" i="25" l="1"/>
  <c r="F29" i="25" l="1"/>
  <c r="F17" i="25" l="1"/>
  <c r="E17" i="25"/>
  <c r="J5" i="31" l="1"/>
</calcChain>
</file>

<file path=xl/sharedStrings.xml><?xml version="1.0" encoding="utf-8"?>
<sst xmlns="http://schemas.openxmlformats.org/spreadsheetml/2006/main" count="309" uniqueCount="179">
  <si>
    <t>Description</t>
  </si>
  <si>
    <t>Depreciation Expense</t>
  </si>
  <si>
    <t>Electric</t>
  </si>
  <si>
    <t>Gas</t>
  </si>
  <si>
    <t>Common</t>
  </si>
  <si>
    <t>AMI Plant Assets</t>
  </si>
  <si>
    <t>Gross Plant</t>
  </si>
  <si>
    <t>Reserve</t>
  </si>
  <si>
    <t>Total PSE</t>
  </si>
  <si>
    <t>Total Gas</t>
  </si>
  <si>
    <t>Total Electric</t>
  </si>
  <si>
    <t>No.</t>
  </si>
  <si>
    <t xml:space="preserve">Line </t>
  </si>
  <si>
    <t>Four Factor Allocator</t>
  </si>
  <si>
    <t>PUGET SOUND ENERGY-ELECTRIC</t>
  </si>
  <si>
    <t>REMOVE AMI RATEBASE</t>
  </si>
  <si>
    <t>COMMMISSION BASIS REPORT</t>
  </si>
  <si>
    <t>per Tax Department:</t>
  </si>
  <si>
    <t>AMI Plant Assets Accumulated Deferred Taxes</t>
  </si>
  <si>
    <t>Beg Bal</t>
  </si>
  <si>
    <t>End Bal</t>
  </si>
  <si>
    <t>Electric Meters</t>
  </si>
  <si>
    <t>Gas Meters</t>
  </si>
  <si>
    <t>Common Comm Eq</t>
  </si>
  <si>
    <t>Common Software</t>
  </si>
  <si>
    <t>Total DR/(CR) Balance</t>
  </si>
  <si>
    <t>End Balance</t>
  </si>
  <si>
    <t>check</t>
  </si>
  <si>
    <t>Common Allocation</t>
  </si>
  <si>
    <t>AMA</t>
  </si>
  <si>
    <t>PUGET SOUND ENERGY-GAS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</si>
  <si>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</si>
  <si>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</si>
  <si>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</si>
  <si>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</si>
  <si>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</si>
  <si>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</si>
  <si>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</si>
  <si>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PLANT BALANCE</t>
  </si>
  <si>
    <t xml:space="preserve">ACCUM DEPRECIATION </t>
  </si>
  <si>
    <t>DEFERRED INCOME TAX LIABILITY</t>
  </si>
  <si>
    <t>Adj 3.19G</t>
  </si>
  <si>
    <t>Adj 3.19E</t>
  </si>
  <si>
    <t>PUGET SOUND ENERGY- ELECTRIC</t>
  </si>
  <si>
    <t>UTILITY PLANT RATEBASE (AMA)</t>
  </si>
  <si>
    <t>NET  PLANT RATEBASE (AMA)</t>
  </si>
  <si>
    <t>12/31/2022 AMA</t>
  </si>
  <si>
    <t>AR OK 2/16/23</t>
  </si>
  <si>
    <t>JK OK 2/17/23</t>
  </si>
  <si>
    <t>2022 ADIT</t>
  </si>
  <si>
    <t>OTHER OPERATING REVENUES</t>
  </si>
  <si>
    <t>Over/underabsorption</t>
  </si>
  <si>
    <t>Debit</t>
  </si>
  <si>
    <t xml:space="preserve">  Pages:                      0</t>
  </si>
  <si>
    <t xml:space="preserve">  ZO12                      Orders: Actual 12 Month Ended</t>
  </si>
  <si>
    <t>REMOVE AMI RETURN DEFERRAL (ASSOCIATED PLANT REMOVED)</t>
  </si>
  <si>
    <t xml:space="preserve">TOTAL </t>
  </si>
  <si>
    <t>BAD DEBTS - CUSTOMER ACCTS EXPENSES</t>
  </si>
  <si>
    <t>ANNUAL FILING FEE - ADMIN &amp; GENERAL EXPENSE</t>
  </si>
  <si>
    <t>STATE UTILITY TAX - TAXES OTHER THAN F.I.T.</t>
  </si>
  <si>
    <t>INCREASE (DECREASE) OPERATING INCOME BEFORE FIT</t>
  </si>
  <si>
    <t>INCREASE (DECREASE) FIT</t>
  </si>
  <si>
    <t>INCREASE (DECREASE) NOI</t>
  </si>
  <si>
    <t>REMOVE ELECTRIC AMI REVENUE AND RATEBASE</t>
  </si>
  <si>
    <t>REMOVE GAS AMI REVENUE AND RATEBASE</t>
  </si>
  <si>
    <t>FOR THE TWELVE MONTHS ENDED DECEMBER 31, 2023</t>
  </si>
  <si>
    <t>tie to CBR</t>
  </si>
  <si>
    <t>GAS</t>
  </si>
  <si>
    <t>&lt;==CBR==&gt;</t>
  </si>
  <si>
    <t>ELECTRIC</t>
  </si>
  <si>
    <t>DFIT</t>
  </si>
  <si>
    <t>2021 ADIT</t>
  </si>
  <si>
    <t>JK OK 3/6/22</t>
  </si>
  <si>
    <t>CBR Allocators</t>
  </si>
  <si>
    <t>DEC-23 AMA</t>
  </si>
  <si>
    <t>NOV-23 AMA</t>
  </si>
  <si>
    <t>OCT-23 AMA</t>
  </si>
  <si>
    <t>SEP-23 AMA</t>
  </si>
  <si>
    <t>AUG-23 AMA</t>
  </si>
  <si>
    <t>JUL-23 AMA</t>
  </si>
  <si>
    <t>JUN-23 AMA</t>
  </si>
  <si>
    <t>MAY-23 AMA</t>
  </si>
  <si>
    <t>APR-23 AMA</t>
  </si>
  <si>
    <t>MAR-23 AMA</t>
  </si>
  <si>
    <t>FEB-23 AMA</t>
  </si>
  <si>
    <t>JAN-23 AMA</t>
  </si>
  <si>
    <t>ties to CBR</t>
  </si>
  <si>
    <t>DEC-22 AMA</t>
  </si>
  <si>
    <t>NOV-22 AMA</t>
  </si>
  <si>
    <t>OCT-22 AMA</t>
  </si>
  <si>
    <t>SEP-22 AMA</t>
  </si>
  <si>
    <t>AUG-22 AMA</t>
  </si>
  <si>
    <t>JUL-22 AMA</t>
  </si>
  <si>
    <t>JUN-22 AMA</t>
  </si>
  <si>
    <t>MAY-22 AMA</t>
  </si>
  <si>
    <t>APR-22 AMA</t>
  </si>
  <si>
    <t>MAR-22 AMA</t>
  </si>
  <si>
    <t>FEB-22 AMA</t>
  </si>
  <si>
    <t>JAN-22 AMA</t>
  </si>
  <si>
    <t>DEC-21AMA</t>
  </si>
  <si>
    <t>DEC-23 Common Allocation</t>
  </si>
  <si>
    <t>NOV-23 Common Allocation</t>
  </si>
  <si>
    <t>OCT-23 Common Allocation</t>
  </si>
  <si>
    <t>SEP-23 Common Allocation</t>
  </si>
  <si>
    <t>AUG-23 Common Allocation</t>
  </si>
  <si>
    <t>JUL-23 Common Allocation</t>
  </si>
  <si>
    <t>JUN-23 Common Allocation</t>
  </si>
  <si>
    <t>MAY-23 Common Allocation</t>
  </si>
  <si>
    <t>APR-23 Common Allocation</t>
  </si>
  <si>
    <t>Mar-23 Common Allocation</t>
  </si>
  <si>
    <t>Feb-23 Common Allocation</t>
  </si>
  <si>
    <t>JAN-23 Common Allocation</t>
  </si>
  <si>
    <t>DEC-22 Common Allocation</t>
  </si>
  <si>
    <t>NOV-22 Common Allocation</t>
  </si>
  <si>
    <t>OCT-22 Common Allocation</t>
  </si>
  <si>
    <t>SEP-22 Common Allocation</t>
  </si>
  <si>
    <t>AUG-22 Common Allocation</t>
  </si>
  <si>
    <t>JUL-22 Common Allocation</t>
  </si>
  <si>
    <t>JUN-22 Common Allocation</t>
  </si>
  <si>
    <t>MAY-22 Common Allocation</t>
  </si>
  <si>
    <t>APR-22 Common Allocation</t>
  </si>
  <si>
    <t>Mar-22 Common Allocation</t>
  </si>
  <si>
    <t>Feb-22 Common Allocation</t>
  </si>
  <si>
    <t>JAN-22 Common Allocation</t>
  </si>
  <si>
    <t>DEC-21 Common Allocation</t>
  </si>
  <si>
    <t>DEC-23 AMA Before Common Allocation</t>
  </si>
  <si>
    <t>NOV-23 AMA Before Common Allocation</t>
  </si>
  <si>
    <t>OCT-23 AMA Before Common Allocation</t>
  </si>
  <si>
    <t>SEP-23 AMA Before Common Allocation</t>
  </si>
  <si>
    <t>AUG-23 AMA Before Common Allocation</t>
  </si>
  <si>
    <t>JUL-23 AMA Before Common Allocation</t>
  </si>
  <si>
    <t>JUN-23 AMA Before Common Allocation</t>
  </si>
  <si>
    <t>MAY-23 AMA Before Common Allocation</t>
  </si>
  <si>
    <t>APR-23 AMA Before Common Allocation</t>
  </si>
  <si>
    <t>Mar-23 AMA Before Common Allocation</t>
  </si>
  <si>
    <t>Feb-23 AMA Before Common Allocation</t>
  </si>
  <si>
    <t>JAN-23 AMA Before Common Allocation</t>
  </si>
  <si>
    <t>DEC-22 AMA Before Common Allocation</t>
  </si>
  <si>
    <t>NOV-22 AMA Before Common Allocation</t>
  </si>
  <si>
    <t>OCT-22 AMA Before Common Allocation</t>
  </si>
  <si>
    <t>SEP-22 AMA Before Common Allocation</t>
  </si>
  <si>
    <t>AUG-22 AMA Before Common Allocation</t>
  </si>
  <si>
    <t>JUL-22 AMA Before Common Allocation</t>
  </si>
  <si>
    <t>JUN-22 AMA Before Common Allocation</t>
  </si>
  <si>
    <t>MAY-22 AMA Before Common Allocation</t>
  </si>
  <si>
    <t>APR-22 AMA Before Common Allocation</t>
  </si>
  <si>
    <t>Mar-22 AMA Before Common Allocation</t>
  </si>
  <si>
    <t>Feb-22 AMA Before Common Allocation</t>
  </si>
  <si>
    <t>JAN-22 AMA Before Common Allocation</t>
  </si>
  <si>
    <t>DEC-21 AMA Before Common Allocation</t>
  </si>
  <si>
    <t xml:space="preserve">(whole $) </t>
  </si>
  <si>
    <t>2023 ADIT</t>
  </si>
  <si>
    <t>Common AMI Comm Eq</t>
  </si>
  <si>
    <t xml:space="preserve">  Date:                     02/26/2024</t>
  </si>
  <si>
    <t>Orders</t>
  </si>
  <si>
    <t>12 Months</t>
  </si>
  <si>
    <t>45600155  AMI Return Deferral - Electric</t>
  </si>
  <si>
    <t>49500071  AMI Return Deferral - Gas</t>
  </si>
  <si>
    <t>AR OK 3/13/24</t>
  </si>
  <si>
    <t>`</t>
  </si>
  <si>
    <t>Electric EOP</t>
  </si>
  <si>
    <t>Gas EOP</t>
  </si>
  <si>
    <t>SHORT AND LONG TERM DEBT</t>
  </si>
  <si>
    <t>AMI RB</t>
  </si>
  <si>
    <t>EQUITY</t>
  </si>
  <si>
    <t>TOTAL</t>
  </si>
  <si>
    <t>Allocation</t>
  </si>
  <si>
    <t>&lt;=check that equity portion is removed</t>
  </si>
  <si>
    <r>
      <t xml:space="preserve">portion of RB due to Equity </t>
    </r>
    <r>
      <rPr>
        <b/>
        <sz val="11"/>
        <color rgb="FFFF0000"/>
        <rFont val="Calibri"/>
        <family val="2"/>
      </rPr>
      <t>(TO REMOVE)</t>
    </r>
  </si>
  <si>
    <t>AFTER TAX SHORT TERM DEBT ( (LINE 1)* 79%)</t>
  </si>
  <si>
    <t>portion of RB due to Debt</t>
  </si>
  <si>
    <t>TOTAL AFTER TAX COST OF CAPITAL</t>
  </si>
  <si>
    <t>Sum</t>
  </si>
  <si>
    <t>proofs:</t>
  </si>
  <si>
    <t>return on Debt Portion of RB at full ROR = Debt component only</t>
  </si>
  <si>
    <t>return on AMI Total RB x Debt Rate</t>
  </si>
  <si>
    <t>return on AMI Total RB x Equity Rate</t>
  </si>
  <si>
    <t>2023 UE-220066-67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</si>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</sst>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PAGE&quot;\ 0.00"/>
    <numFmt numFmtId="166" formatCode="0.000000"/>
    <numFmt numFmtId="167" formatCode="0.00000%"/>
    <numFmt numFmtId="168" formatCode="_(&quot;$&quot;* #,##0_);_(&quot;$&quot;* \(#,##0\);_(&quot;$&quot;* &quot;-&quot;??_);_(@_)"/>
    <numFmt numFmtId="169" formatCode="0.000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rgb="FF0000FF"/>
      <name val="Times New Roman"/>
      <family val="1"/>
    </font>
    <font>
      <sz val="11"/>
      <color rgb="FF00B050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FF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7" fillId="0" borderId="0">
      <alignment horizontal="left" wrapText="1"/>
    </xf>
  </cellStyleXfs>
  <cellXfs count="204">
    <xf numFmtId="0" fontId="0" fillId="0" borderId="0" xfId="0"/>
    <xf numFmtId="0" fontId="0" fillId="0" borderId="0" xfId="0"/>
    <xf numFmtId="17" fontId="0" fillId="0" borderId="0" xfId="0" applyNumberFormat="1"/>
    <xf numFmtId="43" fontId="0" fillId="0" borderId="0" xfId="1" applyFont="1"/>
    <xf numFmtId="0" fontId="0" fillId="0" borderId="0" xfId="0" applyFill="1"/>
    <xf numFmtId="0" fontId="3" fillId="0" borderId="0" xfId="0" applyNumberFormat="1" applyFont="1" applyFill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2" fontId="7" fillId="0" borderId="0" xfId="0" applyNumberFormat="1" applyFont="1"/>
    <xf numFmtId="41" fontId="7" fillId="0" borderId="0" xfId="0" applyNumberFormat="1" applyFont="1"/>
    <xf numFmtId="0" fontId="8" fillId="0" borderId="0" xfId="0" applyFont="1" applyAlignment="1">
      <alignment vertical="center"/>
    </xf>
    <xf numFmtId="10" fontId="5" fillId="0" borderId="0" xfId="1" applyNumberFormat="1" applyFont="1"/>
    <xf numFmtId="43" fontId="5" fillId="0" borderId="0" xfId="1" applyFont="1"/>
    <xf numFmtId="14" fontId="9" fillId="0" borderId="0" xfId="0" applyNumberFormat="1" applyFont="1" applyAlignment="1">
      <alignment horizontal="center"/>
    </xf>
    <xf numFmtId="0" fontId="4" fillId="0" borderId="0" xfId="0" applyFont="1" applyBorder="1"/>
    <xf numFmtId="17" fontId="4" fillId="0" borderId="0" xfId="0" applyNumberFormat="1" applyFon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164" fontId="4" fillId="0" borderId="0" xfId="1" applyNumberFormat="1" applyFont="1"/>
    <xf numFmtId="164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5" xfId="1" applyNumberFormat="1" applyFont="1" applyBorder="1"/>
    <xf numFmtId="164" fontId="4" fillId="0" borderId="5" xfId="0" applyNumberFormat="1" applyFont="1" applyBorder="1"/>
    <xf numFmtId="43" fontId="10" fillId="0" borderId="0" xfId="0" applyNumberFormat="1" applyFont="1"/>
    <xf numFmtId="0" fontId="10" fillId="0" borderId="0" xfId="0" applyFont="1"/>
    <xf numFmtId="17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/>
    <xf numFmtId="0" fontId="3" fillId="0" borderId="0" xfId="0" quotePrefix="1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11" fillId="0" borderId="0" xfId="0" applyNumberFormat="1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/>
    <xf numFmtId="37" fontId="12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 indent="2"/>
    </xf>
    <xf numFmtId="0" fontId="12" fillId="0" borderId="2" xfId="0" applyFont="1" applyFill="1" applyBorder="1" applyAlignment="1">
      <alignment horizontal="left" indent="2"/>
    </xf>
    <xf numFmtId="0" fontId="12" fillId="0" borderId="0" xfId="0" applyFont="1" applyFill="1" applyAlignment="1">
      <alignment horizontal="left"/>
    </xf>
    <xf numFmtId="41" fontId="7" fillId="0" borderId="2" xfId="0" applyNumberFormat="1" applyFont="1" applyFill="1" applyBorder="1"/>
    <xf numFmtId="42" fontId="0" fillId="0" borderId="0" xfId="0" applyNumberFormat="1"/>
    <xf numFmtId="0" fontId="14" fillId="0" borderId="0" xfId="0" applyFont="1"/>
    <xf numFmtId="0" fontId="15" fillId="0" borderId="0" xfId="0" applyFont="1"/>
    <xf numFmtId="43" fontId="16" fillId="0" borderId="0" xfId="1" applyFont="1"/>
    <xf numFmtId="164" fontId="0" fillId="0" borderId="0" xfId="0" applyNumberFormat="1"/>
    <xf numFmtId="164" fontId="0" fillId="0" borderId="0" xfId="1" applyNumberFormat="1" applyFont="1"/>
    <xf numFmtId="164" fontId="14" fillId="0" borderId="0" xfId="0" applyNumberFormat="1" applyFont="1"/>
    <xf numFmtId="42" fontId="3" fillId="3" borderId="0" xfId="0" applyNumberFormat="1" applyFont="1" applyFill="1" applyBorder="1" applyAlignment="1"/>
    <xf numFmtId="42" fontId="3" fillId="0" borderId="0" xfId="0" applyNumberFormat="1" applyFont="1" applyFill="1" applyBorder="1" applyAlignment="1"/>
    <xf numFmtId="42" fontId="3" fillId="4" borderId="0" xfId="0" applyNumberFormat="1" applyFont="1" applyFill="1" applyBorder="1" applyAlignment="1"/>
    <xf numFmtId="164" fontId="5" fillId="3" borderId="8" xfId="0" applyNumberFormat="1" applyFont="1" applyFill="1" applyBorder="1"/>
    <xf numFmtId="0" fontId="3" fillId="0" borderId="9" xfId="0" applyFont="1" applyFill="1" applyBorder="1" applyAlignment="1">
      <alignment horizontal="left"/>
    </xf>
    <xf numFmtId="0" fontId="14" fillId="0" borderId="0" xfId="0" applyFont="1" applyBorder="1"/>
    <xf numFmtId="164" fontId="4" fillId="0" borderId="2" xfId="0" applyNumberFormat="1" applyFont="1" applyFill="1" applyBorder="1"/>
    <xf numFmtId="164" fontId="5" fillId="0" borderId="10" xfId="0" applyNumberFormat="1" applyFont="1" applyFill="1" applyBorder="1"/>
    <xf numFmtId="0" fontId="3" fillId="0" borderId="11" xfId="0" applyFont="1" applyFill="1" applyBorder="1" applyAlignment="1">
      <alignment horizontal="left" indent="2"/>
    </xf>
    <xf numFmtId="164" fontId="4" fillId="0" borderId="0" xfId="0" applyNumberFormat="1" applyFont="1" applyFill="1"/>
    <xf numFmtId="0" fontId="3" fillId="0" borderId="12" xfId="0" applyFont="1" applyFill="1" applyBorder="1" applyAlignment="1">
      <alignment horizontal="left" indent="2"/>
    </xf>
    <xf numFmtId="0" fontId="9" fillId="0" borderId="0" xfId="0" applyFont="1" applyBorder="1"/>
    <xf numFmtId="17" fontId="5" fillId="0" borderId="10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164" fontId="14" fillId="0" borderId="0" xfId="0" applyNumberFormat="1" applyFont="1" applyFill="1"/>
    <xf numFmtId="0" fontId="1" fillId="0" borderId="10" xfId="0" applyFont="1" applyBorder="1"/>
    <xf numFmtId="0" fontId="1" fillId="0" borderId="12" xfId="0" applyFont="1" applyBorder="1"/>
    <xf numFmtId="164" fontId="5" fillId="3" borderId="13" xfId="0" applyNumberFormat="1" applyFont="1" applyFill="1" applyBorder="1"/>
    <xf numFmtId="0" fontId="3" fillId="0" borderId="12" xfId="0" applyFont="1" applyFill="1" applyBorder="1" applyAlignment="1">
      <alignment horizontal="left"/>
    </xf>
    <xf numFmtId="17" fontId="4" fillId="0" borderId="0" xfId="0" applyNumberFormat="1" applyFont="1" applyFill="1" applyAlignment="1">
      <alignment horizontal="center"/>
    </xf>
    <xf numFmtId="164" fontId="19" fillId="0" borderId="0" xfId="0" applyNumberFormat="1" applyFont="1" applyFill="1"/>
    <xf numFmtId="164" fontId="20" fillId="0" borderId="10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64" fontId="4" fillId="0" borderId="5" xfId="0" applyNumberFormat="1" applyFont="1" applyFill="1" applyBorder="1"/>
    <xf numFmtId="164" fontId="5" fillId="0" borderId="13" xfId="0" applyNumberFormat="1" applyFont="1" applyFill="1" applyBorder="1"/>
    <xf numFmtId="0" fontId="5" fillId="0" borderId="12" xfId="0" applyFont="1" applyBorder="1" applyAlignment="1">
      <alignment horizontal="right"/>
    </xf>
    <xf numFmtId="0" fontId="5" fillId="0" borderId="12" xfId="0" applyFont="1" applyBorder="1"/>
    <xf numFmtId="0" fontId="4" fillId="0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5" borderId="12" xfId="0" applyFont="1" applyFill="1" applyBorder="1"/>
    <xf numFmtId="0" fontId="21" fillId="0" borderId="15" xfId="0" applyFont="1" applyBorder="1"/>
    <xf numFmtId="0" fontId="5" fillId="0" borderId="16" xfId="0" applyFont="1" applyBorder="1"/>
    <xf numFmtId="164" fontId="4" fillId="6" borderId="5" xfId="1" applyNumberFormat="1" applyFont="1" applyFill="1" applyBorder="1"/>
    <xf numFmtId="164" fontId="4" fillId="6" borderId="0" xfId="1" applyNumberFormat="1" applyFont="1" applyFill="1"/>
    <xf numFmtId="14" fontId="9" fillId="0" borderId="0" xfId="0" applyNumberFormat="1" applyFont="1" applyAlignment="1">
      <alignment horizontal="left"/>
    </xf>
    <xf numFmtId="0" fontId="22" fillId="0" borderId="0" xfId="0" applyFont="1"/>
    <xf numFmtId="0" fontId="1" fillId="0" borderId="17" xfId="0" applyFont="1" applyBorder="1"/>
    <xf numFmtId="10" fontId="5" fillId="0" borderId="17" xfId="0" applyNumberFormat="1" applyFont="1" applyBorder="1"/>
    <xf numFmtId="164" fontId="5" fillId="3" borderId="1" xfId="0" applyNumberFormat="1" applyFont="1" applyFill="1" applyBorder="1"/>
    <xf numFmtId="0" fontId="5" fillId="3" borderId="0" xfId="0" applyFont="1" applyFill="1" applyBorder="1"/>
    <xf numFmtId="0" fontId="4" fillId="3" borderId="1" xfId="0" applyFont="1" applyFill="1" applyBorder="1"/>
    <xf numFmtId="164" fontId="5" fillId="0" borderId="1" xfId="0" applyNumberFormat="1" applyFont="1" applyBorder="1"/>
    <xf numFmtId="0" fontId="4" fillId="0" borderId="1" xfId="0" applyFont="1" applyFill="1" applyBorder="1"/>
    <xf numFmtId="0" fontId="23" fillId="0" borderId="0" xfId="0" applyFont="1"/>
    <xf numFmtId="0" fontId="24" fillId="0" borderId="0" xfId="0" applyFont="1"/>
    <xf numFmtId="0" fontId="4" fillId="3" borderId="0" xfId="0" applyFont="1" applyFill="1" applyBorder="1"/>
    <xf numFmtId="0" fontId="4" fillId="0" borderId="0" xfId="0" applyFont="1" applyFill="1"/>
    <xf numFmtId="164" fontId="4" fillId="3" borderId="0" xfId="0" applyNumberFormat="1" applyFont="1" applyFill="1"/>
    <xf numFmtId="0" fontId="0" fillId="3" borderId="0" xfId="0" applyFill="1"/>
    <xf numFmtId="43" fontId="5" fillId="0" borderId="0" xfId="0" applyNumberFormat="1" applyFont="1" applyAlignment="1"/>
    <xf numFmtId="164" fontId="0" fillId="0" borderId="0" xfId="0" applyNumberFormat="1" applyFont="1" applyFill="1"/>
    <xf numFmtId="0" fontId="5" fillId="0" borderId="0" xfId="0" applyFont="1" applyFill="1" applyBorder="1"/>
    <xf numFmtId="164" fontId="1" fillId="3" borderId="0" xfId="0" applyNumberFormat="1" applyFont="1" applyFill="1"/>
    <xf numFmtId="164" fontId="25" fillId="3" borderId="0" xfId="0" applyNumberFormat="1" applyFont="1" applyFill="1"/>
    <xf numFmtId="164" fontId="25" fillId="0" borderId="0" xfId="0" applyNumberFormat="1" applyFont="1"/>
    <xf numFmtId="17" fontId="0" fillId="0" borderId="0" xfId="0" applyNumberFormat="1" applyFill="1"/>
    <xf numFmtId="164" fontId="26" fillId="0" borderId="0" xfId="1" applyNumberFormat="1" applyFont="1"/>
    <xf numFmtId="164" fontId="27" fillId="0" borderId="0" xfId="0" applyNumberFormat="1" applyFont="1" applyFill="1"/>
    <xf numFmtId="164" fontId="27" fillId="3" borderId="0" xfId="0" applyNumberFormat="1" applyFont="1" applyFill="1"/>
    <xf numFmtId="17" fontId="0" fillId="3" borderId="0" xfId="0" applyNumberFormat="1" applyFill="1"/>
    <xf numFmtId="164" fontId="27" fillId="0" borderId="0" xfId="0" applyNumberFormat="1" applyFont="1"/>
    <xf numFmtId="0" fontId="26" fillId="0" borderId="0" xfId="0" applyFont="1"/>
    <xf numFmtId="164" fontId="28" fillId="3" borderId="0" xfId="1" applyNumberFormat="1" applyFont="1" applyFill="1"/>
    <xf numFmtId="164" fontId="27" fillId="0" borderId="0" xfId="1" applyNumberFormat="1" applyFont="1"/>
    <xf numFmtId="10" fontId="5" fillId="0" borderId="0" xfId="0" applyNumberFormat="1" applyFont="1"/>
    <xf numFmtId="43" fontId="0" fillId="0" borderId="2" xfId="0" applyNumberFormat="1" applyFont="1" applyBorder="1" applyAlignment="1">
      <alignment horizontal="center"/>
    </xf>
    <xf numFmtId="43" fontId="1" fillId="0" borderId="0" xfId="0" applyNumberFormat="1" applyFont="1" applyFill="1" applyAlignment="1">
      <alignment horizontal="center"/>
    </xf>
    <xf numFmtId="14" fontId="2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3" fontId="5" fillId="0" borderId="0" xfId="0" applyNumberFormat="1" applyFont="1"/>
    <xf numFmtId="10" fontId="0" fillId="0" borderId="0" xfId="0" applyNumberFormat="1"/>
    <xf numFmtId="0" fontId="4" fillId="0" borderId="0" xfId="0" applyFont="1" applyFill="1" applyBorder="1"/>
    <xf numFmtId="164" fontId="5" fillId="0" borderId="1" xfId="0" applyNumberFormat="1" applyFont="1" applyFill="1" applyBorder="1"/>
    <xf numFmtId="164" fontId="4" fillId="0" borderId="1" xfId="0" applyNumberFormat="1" applyFont="1" applyFill="1" applyBorder="1"/>
    <xf numFmtId="14" fontId="0" fillId="0" borderId="0" xfId="0" applyNumberFormat="1" applyAlignment="1">
      <alignment horizontal="left"/>
    </xf>
    <xf numFmtId="0" fontId="0" fillId="0" borderId="5" xfId="0" applyBorder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10" fillId="0" borderId="0" xfId="0" applyNumberFormat="1" applyFont="1" applyFill="1"/>
    <xf numFmtId="44" fontId="4" fillId="0" borderId="0" xfId="0" applyNumberFormat="1" applyFont="1"/>
    <xf numFmtId="168" fontId="4" fillId="0" borderId="7" xfId="0" applyNumberFormat="1" applyFont="1" applyBorder="1"/>
    <xf numFmtId="168" fontId="4" fillId="0" borderId="0" xfId="0" applyNumberFormat="1" applyFont="1" applyBorder="1"/>
    <xf numFmtId="0" fontId="7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left"/>
    </xf>
    <xf numFmtId="42" fontId="7" fillId="0" borderId="0" xfId="0" applyNumberFormat="1" applyFont="1" applyFill="1" applyBorder="1" applyAlignment="1"/>
    <xf numFmtId="0" fontId="7" fillId="0" borderId="0" xfId="0" applyNumberFormat="1" applyFont="1" applyFill="1" applyAlignment="1"/>
    <xf numFmtId="37" fontId="7" fillId="0" borderId="0" xfId="0" applyNumberFormat="1" applyFont="1" applyFill="1" applyBorder="1" applyAlignment="1"/>
    <xf numFmtId="0" fontId="7" fillId="0" borderId="0" xfId="0" applyFont="1" applyFill="1" applyAlignment="1">
      <alignment horizontal="left" indent="2"/>
    </xf>
    <xf numFmtId="164" fontId="7" fillId="0" borderId="0" xfId="0" applyNumberFormat="1" applyFont="1" applyFill="1" applyBorder="1" applyAlignment="1"/>
    <xf numFmtId="0" fontId="7" fillId="0" borderId="2" xfId="0" applyFont="1" applyFill="1" applyBorder="1" applyAlignment="1">
      <alignment horizontal="left" indent="2"/>
    </xf>
    <xf numFmtId="164" fontId="7" fillId="0" borderId="2" xfId="0" applyNumberFormat="1" applyFont="1" applyFill="1" applyBorder="1" applyAlignment="1"/>
    <xf numFmtId="0" fontId="7" fillId="0" borderId="0" xfId="0" applyFont="1" applyFill="1" applyAlignment="1">
      <alignment horizontal="left"/>
    </xf>
    <xf numFmtId="166" fontId="7" fillId="0" borderId="0" xfId="4" applyFont="1" applyFill="1" applyBorder="1" applyAlignment="1">
      <alignment horizontal="left"/>
    </xf>
    <xf numFmtId="167" fontId="7" fillId="0" borderId="0" xfId="2" applyNumberFormat="1" applyFont="1" applyFill="1" applyBorder="1" applyAlignment="1">
      <alignment horizontal="center"/>
    </xf>
    <xf numFmtId="166" fontId="7" fillId="0" borderId="0" xfId="4" applyFont="1" applyFill="1" applyBorder="1">
      <alignment horizontal="left" wrapText="1"/>
    </xf>
    <xf numFmtId="166" fontId="7" fillId="0" borderId="0" xfId="4" applyFont="1" applyFill="1" applyBorder="1" applyAlignment="1"/>
    <xf numFmtId="9" fontId="7" fillId="0" borderId="0" xfId="2" applyFont="1" applyFill="1" applyBorder="1" applyAlignment="1"/>
    <xf numFmtId="168" fontId="6" fillId="0" borderId="1" xfId="3" applyNumberFormat="1" applyFont="1" applyFill="1" applyBorder="1"/>
    <xf numFmtId="168" fontId="4" fillId="0" borderId="0" xfId="0" applyNumberFormat="1" applyFont="1"/>
    <xf numFmtId="0" fontId="28" fillId="0" borderId="0" xfId="0" applyFont="1"/>
    <xf numFmtId="164" fontId="14" fillId="2" borderId="17" xfId="0" applyNumberFormat="1" applyFont="1" applyFill="1" applyBorder="1"/>
    <xf numFmtId="43" fontId="14" fillId="2" borderId="17" xfId="0" applyNumberFormat="1" applyFont="1" applyFill="1" applyBorder="1"/>
    <xf numFmtId="0" fontId="33" fillId="0" borderId="0" xfId="0" applyFont="1" applyAlignment="1">
      <alignment wrapText="1"/>
    </xf>
    <xf numFmtId="10" fontId="0" fillId="0" borderId="0" xfId="0" applyNumberFormat="1" applyAlignment="1">
      <alignment horizontal="center"/>
    </xf>
    <xf numFmtId="10" fontId="27" fillId="0" borderId="0" xfId="0" applyNumberFormat="1" applyFont="1"/>
    <xf numFmtId="164" fontId="0" fillId="7" borderId="0" xfId="1" applyNumberFormat="1" applyFont="1" applyFill="1"/>
    <xf numFmtId="0" fontId="0" fillId="0" borderId="0" xfId="0" applyAlignment="1">
      <alignment horizontal="center"/>
    </xf>
    <xf numFmtId="10" fontId="0" fillId="0" borderId="2" xfId="0" applyNumberFormat="1" applyBorder="1" applyAlignment="1">
      <alignment horizontal="center"/>
    </xf>
    <xf numFmtId="10" fontId="27" fillId="0" borderId="2" xfId="0" applyNumberFormat="1" applyFont="1" applyBorder="1"/>
    <xf numFmtId="164" fontId="0" fillId="0" borderId="2" xfId="1" applyNumberFormat="1" applyFont="1" applyBorder="1"/>
    <xf numFmtId="0" fontId="27" fillId="0" borderId="0" xfId="0" applyFont="1"/>
    <xf numFmtId="0" fontId="31" fillId="0" borderId="18" xfId="0" applyFont="1" applyFill="1" applyBorder="1" applyAlignment="1">
      <alignment horizontal="left"/>
    </xf>
    <xf numFmtId="0" fontId="32" fillId="0" borderId="7" xfId="0" applyFont="1" applyFill="1" applyBorder="1"/>
    <xf numFmtId="0" fontId="32" fillId="0" borderId="19" xfId="0" applyFont="1" applyFill="1" applyBorder="1"/>
    <xf numFmtId="0" fontId="32" fillId="0" borderId="20" xfId="0" applyNumberFormat="1" applyFont="1" applyFill="1" applyBorder="1" applyAlignment="1"/>
    <xf numFmtId="10" fontId="32" fillId="0" borderId="0" xfId="0" applyNumberFormat="1" applyFont="1" applyFill="1" applyBorder="1"/>
    <xf numFmtId="10" fontId="32" fillId="0" borderId="21" xfId="0" applyNumberFormat="1" applyFont="1" applyFill="1" applyBorder="1"/>
    <xf numFmtId="9" fontId="32" fillId="0" borderId="7" xfId="0" applyNumberFormat="1" applyFont="1" applyFill="1" applyBorder="1"/>
    <xf numFmtId="169" fontId="31" fillId="0" borderId="19" xfId="0" applyNumberFormat="1" applyFont="1" applyFill="1" applyBorder="1"/>
    <xf numFmtId="0" fontId="32" fillId="0" borderId="0" xfId="0" applyFont="1" applyFill="1" applyBorder="1"/>
    <xf numFmtId="0" fontId="32" fillId="0" borderId="21" xfId="0" applyFont="1" applyFill="1" applyBorder="1"/>
    <xf numFmtId="0" fontId="32" fillId="0" borderId="22" xfId="0" applyNumberFormat="1" applyFont="1" applyFill="1" applyBorder="1" applyAlignment="1"/>
    <xf numFmtId="9" fontId="32" fillId="0" borderId="5" xfId="0" applyNumberFormat="1" applyFont="1" applyFill="1" applyBorder="1"/>
    <xf numFmtId="0" fontId="32" fillId="0" borderId="5" xfId="0" applyFont="1" applyFill="1" applyBorder="1"/>
    <xf numFmtId="10" fontId="32" fillId="0" borderId="4" xfId="0" applyNumberFormat="1" applyFont="1" applyFill="1" applyBorder="1"/>
    <xf numFmtId="10" fontId="7" fillId="0" borderId="0" xfId="2" applyNumberFormat="1" applyFont="1" applyFill="1" applyBorder="1" applyAlignment="1"/>
    <xf numFmtId="164" fontId="7" fillId="0" borderId="0" xfId="1" applyNumberFormat="1" applyFont="1" applyFill="1" applyBorder="1" applyAlignment="1"/>
    <xf numFmtId="164" fontId="7" fillId="0" borderId="2" xfId="1" applyNumberFormat="1" applyFont="1" applyFill="1" applyBorder="1" applyAlignment="1"/>
    <xf numFmtId="168" fontId="7" fillId="0" borderId="0" xfId="0" applyNumberFormat="1" applyFont="1" applyFill="1" applyBorder="1" applyAlignment="1"/>
    <xf numFmtId="10" fontId="4" fillId="0" borderId="0" xfId="2" applyNumberFormat="1" applyFont="1"/>
    <xf numFmtId="43" fontId="1" fillId="0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Comma" xfId="1" builtinId="3"/>
    <cellStyle name="Currency" xfId="3" builtinId="4"/>
    <cellStyle name="Normal" xfId="0" builtinId="0"/>
    <cellStyle name="Percent" xfId="2" builtinId="5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447675</xdr:colOff>
      <xdr:row>0</xdr:row>
      <xdr:rowOff>0</xdr:rowOff>
    </xdr:from>
    <xdr:ext cx="7629525" cy="204740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2950" y="0"/>
          <a:ext cx="7629525" cy="20474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3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FOR THE TWELVE MONTHS ENDED DECEMBER 31, 2023</v>
          </cell>
        </row>
        <row r="6">
          <cell r="B6">
            <v>5.3359999999999996E-3</v>
          </cell>
        </row>
        <row r="7">
          <cell r="B7">
            <v>4.0000000000000001E-3</v>
          </cell>
        </row>
        <row r="8">
          <cell r="B8">
            <v>3.8526999999999999E-2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2.7460000000000002E-3</v>
          </cell>
        </row>
        <row r="7">
          <cell r="B7">
            <v>4.0000000000000001E-3</v>
          </cell>
        </row>
        <row r="8">
          <cell r="B8">
            <v>3.8413999999999997E-2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35">
          <cell r="E35">
            <v>0.65559999999999996</v>
          </cell>
          <cell r="F35">
            <v>0.34439999999999998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20" sqref="B20"/>
    </sheetView>
  </sheetViews>
  <sheetFormatPr defaultColWidth="9.109375" defaultRowHeight="13.8" x14ac:dyDescent="0.25"/>
  <cols>
    <col min="1" max="1" width="5.109375" style="6" bestFit="1" customWidth="1"/>
    <col min="2" max="2" width="61.6640625" style="6" bestFit="1" customWidth="1"/>
    <col min="3" max="3" width="9.44140625" style="6" bestFit="1" customWidth="1"/>
    <col min="4" max="4" width="13.33203125" style="6" customWidth="1"/>
    <col min="5" max="6" width="17.44140625" style="6" bestFit="1" customWidth="1"/>
    <col min="7" max="7" width="9.109375" style="6"/>
    <col min="8" max="8" width="28.5546875" style="6" customWidth="1"/>
    <col min="9" max="9" width="15.6640625" style="6" bestFit="1" customWidth="1"/>
    <col min="10" max="16384" width="9.109375" style="6"/>
  </cols>
  <sheetData>
    <row r="1" spans="1:9" ht="14.4" thickBot="1" x14ac:dyDescent="0.3"/>
    <row r="2" spans="1:9" ht="14.4" thickBot="1" x14ac:dyDescent="0.3">
      <c r="A2" s="43"/>
      <c r="B2" s="43"/>
      <c r="C2" s="43"/>
      <c r="D2" s="43"/>
      <c r="E2" s="43"/>
      <c r="F2" s="44" t="s">
        <v>42</v>
      </c>
    </row>
    <row r="3" spans="1:9" x14ac:dyDescent="0.25">
      <c r="A3" s="45"/>
      <c r="B3" s="45"/>
      <c r="C3" s="45"/>
      <c r="D3" s="45"/>
      <c r="E3" s="45"/>
      <c r="F3" s="45"/>
    </row>
    <row r="4" spans="1:9" x14ac:dyDescent="0.25">
      <c r="A4" s="46" t="s">
        <v>43</v>
      </c>
      <c r="B4" s="47"/>
      <c r="C4" s="47"/>
      <c r="D4" s="47"/>
      <c r="E4" s="47"/>
      <c r="F4" s="47"/>
    </row>
    <row r="5" spans="1:9" x14ac:dyDescent="0.25">
      <c r="A5" s="48" t="s">
        <v>63</v>
      </c>
      <c r="B5" s="49"/>
      <c r="C5" s="49"/>
      <c r="D5" s="49"/>
      <c r="E5" s="49"/>
      <c r="F5" s="49"/>
    </row>
    <row r="6" spans="1:9" x14ac:dyDescent="0.25">
      <c r="A6" s="5" t="s">
        <v>65</v>
      </c>
      <c r="B6" s="50"/>
      <c r="C6" s="50"/>
      <c r="D6" s="50"/>
      <c r="E6" s="50"/>
      <c r="F6" s="50"/>
    </row>
    <row r="7" spans="1:9" x14ac:dyDescent="0.25">
      <c r="A7" s="46" t="s">
        <v>31</v>
      </c>
      <c r="B7" s="50"/>
      <c r="C7" s="50"/>
      <c r="D7" s="50"/>
      <c r="E7" s="50"/>
      <c r="F7" s="50"/>
    </row>
    <row r="8" spans="1:9" x14ac:dyDescent="0.25">
      <c r="A8" s="51"/>
      <c r="B8" s="51"/>
      <c r="C8" s="51"/>
      <c r="D8" s="51"/>
      <c r="E8" s="51"/>
      <c r="F8" s="51"/>
    </row>
    <row r="9" spans="1:9" x14ac:dyDescent="0.25">
      <c r="A9" s="52" t="s">
        <v>32</v>
      </c>
      <c r="B9" s="45"/>
      <c r="C9" s="45"/>
      <c r="D9" s="52"/>
      <c r="E9" s="52"/>
      <c r="F9" s="52"/>
    </row>
    <row r="10" spans="1:9" x14ac:dyDescent="0.25">
      <c r="A10" s="53" t="s">
        <v>33</v>
      </c>
      <c r="B10" s="54" t="s">
        <v>34</v>
      </c>
      <c r="C10" s="54"/>
      <c r="D10" s="55" t="s">
        <v>35</v>
      </c>
      <c r="E10" s="55" t="s">
        <v>36</v>
      </c>
      <c r="F10" s="55" t="s">
        <v>37</v>
      </c>
    </row>
    <row r="11" spans="1:9" x14ac:dyDescent="0.25">
      <c r="A11" s="156"/>
      <c r="B11" s="157"/>
      <c r="C11" s="157"/>
      <c r="D11" s="157"/>
      <c r="E11" s="157"/>
      <c r="F11" s="157"/>
    </row>
    <row r="12" spans="1:9" x14ac:dyDescent="0.25">
      <c r="A12" s="153">
        <v>1</v>
      </c>
      <c r="B12" s="154"/>
      <c r="C12" s="154"/>
      <c r="D12" s="155"/>
      <c r="E12" s="155"/>
      <c r="F12" s="155"/>
    </row>
    <row r="13" spans="1:9" x14ac:dyDescent="0.25">
      <c r="A13" s="153">
        <v>2</v>
      </c>
      <c r="B13" s="154" t="s">
        <v>44</v>
      </c>
      <c r="C13" s="154"/>
      <c r="D13" s="156"/>
      <c r="E13" s="157"/>
      <c r="F13" s="155"/>
    </row>
    <row r="14" spans="1:9" ht="14.4" x14ac:dyDescent="0.3">
      <c r="A14" s="153">
        <v>3</v>
      </c>
      <c r="B14" s="158" t="s">
        <v>38</v>
      </c>
      <c r="C14" s="158"/>
      <c r="D14" s="155">
        <f>'2023 AMI in  Ratebase'!C14</f>
        <v>246714212.26988548</v>
      </c>
      <c r="E14" s="197">
        <f>+D14+F14</f>
        <v>87866095.151984334</v>
      </c>
      <c r="F14" s="199">
        <f>-'AMI Debt Return proof'!$H$6*D14</f>
        <v>-158848117.11790115</v>
      </c>
      <c r="H14"/>
      <c r="I14"/>
    </row>
    <row r="15" spans="1:9" ht="14.4" x14ac:dyDescent="0.3">
      <c r="A15" s="153">
        <v>4</v>
      </c>
      <c r="B15" s="158" t="s">
        <v>39</v>
      </c>
      <c r="C15" s="158"/>
      <c r="D15" s="159">
        <f>'2023 AMI in  Ratebase'!C15</f>
        <v>-42580571.605072275</v>
      </c>
      <c r="E15" s="197">
        <f t="shared" ref="E15:E16" si="0">+D15+F15</f>
        <v>-15164868.378901437</v>
      </c>
      <c r="F15" s="159">
        <f>-'AMI Debt Return proof'!$H$6*D15</f>
        <v>27415703.226170838</v>
      </c>
      <c r="H15"/>
      <c r="I15"/>
    </row>
    <row r="16" spans="1:9" ht="14.4" x14ac:dyDescent="0.3">
      <c r="A16" s="153">
        <v>5</v>
      </c>
      <c r="B16" s="160" t="s">
        <v>40</v>
      </c>
      <c r="C16" s="160"/>
      <c r="D16" s="161">
        <f>'2023 AMI in  Ratebase'!C16</f>
        <v>-30059138.043387838</v>
      </c>
      <c r="E16" s="198">
        <f t="shared" si="0"/>
        <v>-10705419.275228906</v>
      </c>
      <c r="F16" s="161">
        <f>-'AMI Debt Return proof'!$H$6*D16</f>
        <v>19353718.768158931</v>
      </c>
      <c r="H16"/>
      <c r="I16"/>
    </row>
    <row r="17" spans="1:9" ht="14.4" x14ac:dyDescent="0.3">
      <c r="A17" s="153">
        <f>+A16+1</f>
        <v>6</v>
      </c>
      <c r="B17" s="162" t="s">
        <v>45</v>
      </c>
      <c r="C17" s="162"/>
      <c r="D17" s="155">
        <f>SUM(D14:D16)</f>
        <v>174074502.62142539</v>
      </c>
      <c r="E17" s="155">
        <f t="shared" ref="E17:F17" si="1">SUM(E14:E16)</f>
        <v>61995807.497853994</v>
      </c>
      <c r="F17" s="155">
        <f t="shared" si="1"/>
        <v>-112078695.12357138</v>
      </c>
      <c r="H17"/>
      <c r="I17"/>
    </row>
    <row r="18" spans="1:9" ht="14.4" x14ac:dyDescent="0.3">
      <c r="A18" s="153">
        <f t="shared" ref="A18:A29" si="2">+A17+1</f>
        <v>7</v>
      </c>
      <c r="E18" s="196"/>
      <c r="H18"/>
      <c r="I18"/>
    </row>
    <row r="19" spans="1:9" ht="14.4" x14ac:dyDescent="0.3">
      <c r="A19" s="153">
        <f t="shared" si="2"/>
        <v>8</v>
      </c>
      <c r="B19" s="154" t="s">
        <v>50</v>
      </c>
      <c r="C19" s="154"/>
      <c r="H19"/>
      <c r="I19"/>
    </row>
    <row r="20" spans="1:9" ht="14.4" x14ac:dyDescent="0.3">
      <c r="A20" s="153">
        <f t="shared" si="2"/>
        <v>9</v>
      </c>
      <c r="B20" s="158" t="s">
        <v>55</v>
      </c>
      <c r="C20" s="158"/>
      <c r="D20" s="34">
        <f>'45600155'!B15</f>
        <v>-8733913</v>
      </c>
      <c r="F20" s="155">
        <f>E20-D20</f>
        <v>8733913</v>
      </c>
      <c r="H20"/>
      <c r="I20"/>
    </row>
    <row r="21" spans="1:9" ht="14.4" x14ac:dyDescent="0.3">
      <c r="A21" s="153">
        <f t="shared" si="2"/>
        <v>10</v>
      </c>
      <c r="H21"/>
      <c r="I21"/>
    </row>
    <row r="22" spans="1:9" ht="14.4" x14ac:dyDescent="0.3">
      <c r="A22" s="153">
        <f t="shared" si="2"/>
        <v>11</v>
      </c>
      <c r="B22" s="163" t="s">
        <v>57</v>
      </c>
      <c r="C22" s="164">
        <f>+[2]Inputs!$B$6</f>
        <v>5.3359999999999996E-3</v>
      </c>
      <c r="F22" s="150">
        <f>-C22*F20</f>
        <v>-46604.159767999998</v>
      </c>
      <c r="H22"/>
      <c r="I22"/>
    </row>
    <row r="23" spans="1:9" ht="14.4" x14ac:dyDescent="0.3">
      <c r="A23" s="153">
        <f t="shared" si="2"/>
        <v>12</v>
      </c>
      <c r="B23" s="163" t="s">
        <v>58</v>
      </c>
      <c r="C23" s="164">
        <f>+[2]Inputs!$B$7</f>
        <v>4.0000000000000001E-3</v>
      </c>
      <c r="F23" s="159">
        <f>-C23*F20</f>
        <v>-34935.652000000002</v>
      </c>
      <c r="H23"/>
      <c r="I23"/>
    </row>
    <row r="24" spans="1:9" ht="14.4" x14ac:dyDescent="0.3">
      <c r="A24" s="153">
        <f t="shared" si="2"/>
        <v>13</v>
      </c>
      <c r="B24" s="163" t="s">
        <v>59</v>
      </c>
      <c r="C24" s="164">
        <f>+[2]Inputs!$B$8</f>
        <v>3.8526999999999999E-2</v>
      </c>
      <c r="F24" s="161">
        <f>-C24*F20</f>
        <v>-336491.466151</v>
      </c>
      <c r="H24"/>
      <c r="I24"/>
    </row>
    <row r="25" spans="1:9" ht="14.4" x14ac:dyDescent="0.3">
      <c r="A25" s="153">
        <f t="shared" si="2"/>
        <v>14</v>
      </c>
      <c r="B25" s="165" t="s">
        <v>56</v>
      </c>
      <c r="C25" s="165"/>
      <c r="F25" s="151">
        <f>SUM(F22:F24)</f>
        <v>-418031.27791900001</v>
      </c>
      <c r="H25"/>
      <c r="I25"/>
    </row>
    <row r="26" spans="1:9" ht="14.4" x14ac:dyDescent="0.3">
      <c r="A26" s="153">
        <f t="shared" si="2"/>
        <v>15</v>
      </c>
      <c r="B26" s="165"/>
      <c r="C26" s="165"/>
      <c r="D26" s="159"/>
      <c r="E26" s="197"/>
      <c r="F26" s="159"/>
      <c r="H26"/>
      <c r="I26"/>
    </row>
    <row r="27" spans="1:9" ht="14.4" x14ac:dyDescent="0.3">
      <c r="A27" s="153">
        <f t="shared" si="2"/>
        <v>16</v>
      </c>
      <c r="B27" s="166" t="s">
        <v>60</v>
      </c>
      <c r="F27" s="150">
        <f>-F20-F25</f>
        <v>-8315881.722081</v>
      </c>
      <c r="H27"/>
      <c r="I27"/>
    </row>
    <row r="28" spans="1:9" ht="14.4" x14ac:dyDescent="0.3">
      <c r="A28" s="153">
        <f t="shared" si="2"/>
        <v>17</v>
      </c>
      <c r="B28" s="166" t="s">
        <v>61</v>
      </c>
      <c r="C28" s="167">
        <v>0.21</v>
      </c>
      <c r="F28" s="161">
        <f>+C28*F27</f>
        <v>-1746335.1616370098</v>
      </c>
      <c r="H28"/>
      <c r="I28"/>
    </row>
    <row r="29" spans="1:9" ht="15" thickBot="1" x14ac:dyDescent="0.35">
      <c r="A29" s="153">
        <f t="shared" si="2"/>
        <v>18</v>
      </c>
      <c r="B29" s="166" t="s">
        <v>62</v>
      </c>
      <c r="F29" s="168">
        <f>F27-F28</f>
        <v>-6569546.5604439899</v>
      </c>
      <c r="H29"/>
      <c r="I29"/>
    </row>
    <row r="30" spans="1:9" ht="15" thickTop="1" x14ac:dyDescent="0.3">
      <c r="A30" s="153"/>
      <c r="H30"/>
      <c r="I30"/>
    </row>
    <row r="31" spans="1:9" x14ac:dyDescent="0.25">
      <c r="A31" s="153"/>
    </row>
    <row r="32" spans="1:9" x14ac:dyDescent="0.25">
      <c r="A32" s="153"/>
      <c r="F32" s="169"/>
    </row>
    <row r="33" spans="1:1" x14ac:dyDescent="0.25">
      <c r="A33" s="153"/>
    </row>
    <row r="34" spans="1:1" x14ac:dyDescent="0.25">
      <c r="A34" s="153"/>
    </row>
    <row r="35" spans="1:1" x14ac:dyDescent="0.25">
      <c r="A35" s="153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B33" sqref="B33"/>
    </sheetView>
  </sheetViews>
  <sheetFormatPr defaultColWidth="9.109375" defaultRowHeight="13.8" x14ac:dyDescent="0.25"/>
  <cols>
    <col min="1" max="1" width="5.109375" style="6" bestFit="1" customWidth="1"/>
    <col min="2" max="2" width="61.6640625" style="6" bestFit="1" customWidth="1"/>
    <col min="3" max="3" width="9.44140625" style="6" bestFit="1" customWidth="1"/>
    <col min="4" max="5" width="13.33203125" style="6" customWidth="1"/>
    <col min="6" max="6" width="15.109375" style="6" bestFit="1" customWidth="1"/>
    <col min="7" max="7" width="9.109375" style="6"/>
    <col min="8" max="8" width="28.5546875" style="6" customWidth="1"/>
    <col min="9" max="9" width="16" style="6" bestFit="1" customWidth="1"/>
    <col min="10" max="16384" width="9.109375" style="6"/>
  </cols>
  <sheetData>
    <row r="1" spans="1:11" ht="14.4" thickBot="1" x14ac:dyDescent="0.3"/>
    <row r="2" spans="1:11" ht="14.4" thickBot="1" x14ac:dyDescent="0.3">
      <c r="A2" s="43"/>
      <c r="B2" s="43"/>
      <c r="C2" s="43"/>
      <c r="D2" s="43"/>
      <c r="E2" s="43"/>
      <c r="F2" s="44" t="s">
        <v>41</v>
      </c>
    </row>
    <row r="3" spans="1:11" x14ac:dyDescent="0.25">
      <c r="A3" s="45"/>
      <c r="B3" s="45"/>
      <c r="C3" s="45"/>
      <c r="D3" s="45"/>
      <c r="E3" s="45"/>
      <c r="F3" s="45"/>
    </row>
    <row r="4" spans="1:11" x14ac:dyDescent="0.25">
      <c r="A4" s="46" t="s">
        <v>30</v>
      </c>
      <c r="B4" s="47"/>
      <c r="C4" s="47"/>
      <c r="D4" s="47"/>
      <c r="E4" s="47"/>
      <c r="F4" s="47"/>
    </row>
    <row r="5" spans="1:11" x14ac:dyDescent="0.25">
      <c r="A5" s="48" t="s">
        <v>64</v>
      </c>
      <c r="B5" s="49"/>
      <c r="C5" s="49"/>
      <c r="D5" s="49"/>
      <c r="E5" s="49"/>
      <c r="F5" s="49"/>
    </row>
    <row r="6" spans="1:11" x14ac:dyDescent="0.25">
      <c r="A6" s="5" t="str">
        <f>Electric!A6</f>
        <v>FOR THE TWELVE MONTHS ENDED DECEMBER 31, 2023</v>
      </c>
      <c r="B6" s="50"/>
      <c r="C6" s="50"/>
      <c r="D6" s="50"/>
      <c r="E6" s="50"/>
      <c r="F6" s="50"/>
    </row>
    <row r="7" spans="1:11" x14ac:dyDescent="0.25">
      <c r="A7" s="46" t="s">
        <v>31</v>
      </c>
      <c r="B7" s="50"/>
      <c r="C7" s="50"/>
      <c r="D7" s="50"/>
      <c r="E7" s="50"/>
      <c r="F7" s="50"/>
    </row>
    <row r="8" spans="1:11" x14ac:dyDescent="0.25">
      <c r="A8" s="51"/>
      <c r="B8" s="51"/>
      <c r="C8" s="51"/>
      <c r="D8" s="51"/>
      <c r="E8" s="51"/>
      <c r="F8" s="51"/>
    </row>
    <row r="9" spans="1:11" x14ac:dyDescent="0.25">
      <c r="A9" s="52" t="s">
        <v>32</v>
      </c>
      <c r="B9" s="45"/>
      <c r="C9" s="45"/>
      <c r="D9" s="52"/>
      <c r="E9" s="52"/>
      <c r="F9" s="52"/>
    </row>
    <row r="10" spans="1:11" x14ac:dyDescent="0.25">
      <c r="A10" s="53" t="s">
        <v>33</v>
      </c>
      <c r="B10" s="54" t="s">
        <v>34</v>
      </c>
      <c r="C10" s="54"/>
      <c r="D10" s="55" t="s">
        <v>35</v>
      </c>
      <c r="E10" s="55" t="s">
        <v>36</v>
      </c>
      <c r="F10" s="55" t="s">
        <v>37</v>
      </c>
    </row>
    <row r="11" spans="1:11" x14ac:dyDescent="0.25">
      <c r="A11" s="56"/>
      <c r="B11" s="57"/>
      <c r="C11" s="57"/>
      <c r="D11" s="57"/>
      <c r="E11" s="57"/>
      <c r="F11" s="57"/>
    </row>
    <row r="12" spans="1:11" x14ac:dyDescent="0.25">
      <c r="A12" s="153">
        <v>1</v>
      </c>
      <c r="B12" s="154"/>
      <c r="C12" s="154"/>
      <c r="D12" s="155"/>
      <c r="E12" s="155"/>
      <c r="F12" s="155"/>
    </row>
    <row r="13" spans="1:11" x14ac:dyDescent="0.25">
      <c r="A13" s="153">
        <v>2</v>
      </c>
      <c r="B13" s="154" t="s">
        <v>44</v>
      </c>
      <c r="C13" s="154"/>
      <c r="D13" s="156"/>
      <c r="E13" s="157"/>
      <c r="F13" s="157"/>
    </row>
    <row r="14" spans="1:11" ht="14.4" x14ac:dyDescent="0.3">
      <c r="A14" s="153">
        <v>3</v>
      </c>
      <c r="B14" s="158" t="s">
        <v>38</v>
      </c>
      <c r="C14" s="158"/>
      <c r="D14" s="155">
        <f>'2023 AMI in  Ratebase'!D14</f>
        <v>114495478.68928115</v>
      </c>
      <c r="E14" s="197">
        <f>+D14+F14</f>
        <v>40777021.041573584</v>
      </c>
      <c r="F14" s="199">
        <f>-'AMI Debt Return proof'!$H$6*D14</f>
        <v>-73718457.647707567</v>
      </c>
      <c r="H14"/>
      <c r="I14"/>
      <c r="J14"/>
      <c r="K14"/>
    </row>
    <row r="15" spans="1:11" ht="14.4" x14ac:dyDescent="0.3">
      <c r="A15" s="153">
        <v>4</v>
      </c>
      <c r="B15" s="158" t="s">
        <v>39</v>
      </c>
      <c r="C15" s="158"/>
      <c r="D15" s="159">
        <f>'2023 AMI in  Ratebase'!D15</f>
        <v>-14578074.675098633</v>
      </c>
      <c r="E15" s="197">
        <f t="shared" ref="E15:E16" si="0">+D15+F15</f>
        <v>-5191912.070042111</v>
      </c>
      <c r="F15" s="159">
        <f>-'AMI Debt Return proof'!$H$6*D15</f>
        <v>9386162.6050565224</v>
      </c>
      <c r="H15"/>
      <c r="I15"/>
      <c r="J15"/>
      <c r="K15"/>
    </row>
    <row r="16" spans="1:11" ht="14.4" x14ac:dyDescent="0.3">
      <c r="A16" s="153">
        <v>5</v>
      </c>
      <c r="B16" s="160" t="s">
        <v>40</v>
      </c>
      <c r="C16" s="160"/>
      <c r="D16" s="161">
        <f>'2023 AMI in  Ratebase'!D16</f>
        <v>-14206354.845689232</v>
      </c>
      <c r="E16" s="198">
        <f t="shared" si="0"/>
        <v>-5059525.81794798</v>
      </c>
      <c r="F16" s="161">
        <f>-'AMI Debt Return proof'!$H$6*D16</f>
        <v>9146829.0277412515</v>
      </c>
      <c r="H16"/>
      <c r="I16"/>
      <c r="J16"/>
      <c r="K16"/>
    </row>
    <row r="17" spans="1:11" ht="14.4" x14ac:dyDescent="0.3">
      <c r="A17" s="153">
        <v>6</v>
      </c>
      <c r="B17" s="162" t="s">
        <v>45</v>
      </c>
      <c r="C17" s="162"/>
      <c r="D17" s="155">
        <f>SUM(D14:D16)</f>
        <v>85711049.168493286</v>
      </c>
      <c r="E17" s="155">
        <f t="shared" ref="E17:F17" si="1">SUM(E14:E16)</f>
        <v>30525583.153583493</v>
      </c>
      <c r="F17" s="155">
        <f t="shared" si="1"/>
        <v>-55185466.014909789</v>
      </c>
      <c r="H17"/>
      <c r="I17"/>
      <c r="J17"/>
      <c r="K17"/>
    </row>
    <row r="18" spans="1:11" ht="14.4" x14ac:dyDescent="0.3">
      <c r="A18" s="153">
        <f>+A17+1</f>
        <v>7</v>
      </c>
      <c r="E18" s="200"/>
      <c r="H18"/>
      <c r="I18"/>
      <c r="J18"/>
      <c r="K18"/>
    </row>
    <row r="19" spans="1:11" ht="14.4" x14ac:dyDescent="0.3">
      <c r="A19" s="153">
        <f t="shared" ref="A19:A29" si="2">+A18+1</f>
        <v>8</v>
      </c>
      <c r="B19" s="154" t="s">
        <v>50</v>
      </c>
      <c r="C19" s="154"/>
      <c r="E19" s="200"/>
      <c r="H19"/>
      <c r="I19"/>
      <c r="J19"/>
      <c r="K19"/>
    </row>
    <row r="20" spans="1:11" ht="14.4" x14ac:dyDescent="0.3">
      <c r="A20" s="153">
        <f t="shared" si="2"/>
        <v>9</v>
      </c>
      <c r="B20" s="158" t="s">
        <v>55</v>
      </c>
      <c r="C20" s="158"/>
      <c r="D20" s="34">
        <f>+'49500071'!B15</f>
        <v>-4662048</v>
      </c>
      <c r="E20" s="200"/>
      <c r="F20" s="155">
        <f>E20-D20</f>
        <v>4662048</v>
      </c>
      <c r="H20"/>
      <c r="I20"/>
      <c r="J20"/>
      <c r="K20"/>
    </row>
    <row r="21" spans="1:11" ht="14.4" x14ac:dyDescent="0.3">
      <c r="A21" s="153">
        <f t="shared" si="2"/>
        <v>10</v>
      </c>
      <c r="H21"/>
      <c r="I21"/>
      <c r="J21"/>
      <c r="K21"/>
    </row>
    <row r="22" spans="1:11" ht="14.4" x14ac:dyDescent="0.3">
      <c r="A22" s="153">
        <f t="shared" si="2"/>
        <v>11</v>
      </c>
      <c r="B22" s="163" t="s">
        <v>57</v>
      </c>
      <c r="C22" s="164">
        <f>+[3]Inputs!$B$6</f>
        <v>2.7460000000000002E-3</v>
      </c>
      <c r="F22" s="150">
        <f>-C22*F20</f>
        <v>-12801.983808000001</v>
      </c>
      <c r="H22"/>
      <c r="I22"/>
      <c r="J22"/>
      <c r="K22"/>
    </row>
    <row r="23" spans="1:11" ht="14.4" x14ac:dyDescent="0.3">
      <c r="A23" s="153">
        <f t="shared" si="2"/>
        <v>12</v>
      </c>
      <c r="B23" s="163" t="s">
        <v>58</v>
      </c>
      <c r="C23" s="164">
        <f>+[3]Inputs!$B$7</f>
        <v>4.0000000000000001E-3</v>
      </c>
      <c r="F23" s="159">
        <f>-C23*F20</f>
        <v>-18648.191999999999</v>
      </c>
      <c r="H23"/>
      <c r="I23"/>
      <c r="J23"/>
      <c r="K23"/>
    </row>
    <row r="24" spans="1:11" ht="14.4" x14ac:dyDescent="0.3">
      <c r="A24" s="153">
        <f t="shared" si="2"/>
        <v>13</v>
      </c>
      <c r="B24" s="163" t="s">
        <v>59</v>
      </c>
      <c r="C24" s="164">
        <f>+[3]Inputs!$B$8</f>
        <v>3.8413999999999997E-2</v>
      </c>
      <c r="F24" s="161">
        <f>-C24*F20</f>
        <v>-179087.911872</v>
      </c>
      <c r="H24"/>
      <c r="I24"/>
      <c r="J24"/>
      <c r="K24"/>
    </row>
    <row r="25" spans="1:11" ht="14.4" x14ac:dyDescent="0.3">
      <c r="A25" s="153">
        <f t="shared" si="2"/>
        <v>14</v>
      </c>
      <c r="B25" s="165" t="s">
        <v>56</v>
      </c>
      <c r="C25" s="165"/>
      <c r="F25" s="151">
        <f>SUM(F22:F24)</f>
        <v>-210538.08768</v>
      </c>
      <c r="H25"/>
      <c r="I25"/>
      <c r="J25"/>
      <c r="K25"/>
    </row>
    <row r="26" spans="1:11" ht="14.4" x14ac:dyDescent="0.3">
      <c r="A26" s="153">
        <f t="shared" si="2"/>
        <v>15</v>
      </c>
      <c r="B26" s="165"/>
      <c r="C26" s="165"/>
      <c r="F26" s="152"/>
      <c r="H26"/>
      <c r="I26"/>
      <c r="J26"/>
      <c r="K26"/>
    </row>
    <row r="27" spans="1:11" ht="14.4" x14ac:dyDescent="0.3">
      <c r="A27" s="153">
        <f t="shared" si="2"/>
        <v>16</v>
      </c>
      <c r="B27" s="166" t="s">
        <v>60</v>
      </c>
      <c r="F27" s="150">
        <f>-F20-F25</f>
        <v>-4451509.9123200001</v>
      </c>
      <c r="H27"/>
      <c r="I27"/>
      <c r="J27"/>
      <c r="K27"/>
    </row>
    <row r="28" spans="1:11" ht="14.4" x14ac:dyDescent="0.3">
      <c r="A28" s="153">
        <f t="shared" si="2"/>
        <v>17</v>
      </c>
      <c r="B28" s="166" t="s">
        <v>61</v>
      </c>
      <c r="C28" s="167">
        <v>0.21</v>
      </c>
      <c r="F28" s="161">
        <f>+C28*F27</f>
        <v>-934817.08158719994</v>
      </c>
      <c r="H28"/>
      <c r="I28"/>
      <c r="J28"/>
      <c r="K28"/>
    </row>
    <row r="29" spans="1:11" ht="15" thickBot="1" x14ac:dyDescent="0.35">
      <c r="A29" s="153">
        <f t="shared" si="2"/>
        <v>18</v>
      </c>
      <c r="B29" s="166" t="s">
        <v>62</v>
      </c>
      <c r="F29" s="168">
        <f>F27-F28</f>
        <v>-3516692.8307328001</v>
      </c>
      <c r="H29"/>
      <c r="I29"/>
      <c r="J29"/>
      <c r="K29"/>
    </row>
    <row r="30" spans="1:11" ht="15" thickTop="1" x14ac:dyDescent="0.3">
      <c r="A30" s="153"/>
      <c r="H30"/>
      <c r="I30"/>
      <c r="J30"/>
      <c r="K30"/>
    </row>
    <row r="31" spans="1:11" ht="14.4" x14ac:dyDescent="0.3">
      <c r="A31" s="153"/>
      <c r="H31"/>
      <c r="I31"/>
      <c r="J31"/>
      <c r="K31"/>
    </row>
    <row r="32" spans="1:11" ht="14.4" x14ac:dyDescent="0.3">
      <c r="A32" s="58"/>
      <c r="F32" s="169"/>
      <c r="H32"/>
      <c r="I32"/>
      <c r="J32"/>
      <c r="K32"/>
    </row>
    <row r="33" spans="1:5" x14ac:dyDescent="0.25">
      <c r="A33" s="58"/>
      <c r="E33" s="6" t="s">
        <v>159</v>
      </c>
    </row>
    <row r="34" spans="1:5" x14ac:dyDescent="0.25">
      <c r="A34" s="58"/>
    </row>
    <row r="35" spans="1:5" x14ac:dyDescent="0.25">
      <c r="A35" s="58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9" sqref="C19"/>
    </sheetView>
  </sheetViews>
  <sheetFormatPr defaultColWidth="8.88671875" defaultRowHeight="13.8" x14ac:dyDescent="0.25"/>
  <cols>
    <col min="1" max="1" width="4.88671875" style="6" bestFit="1" customWidth="1"/>
    <col min="2" max="2" width="34.44140625" style="6" bestFit="1" customWidth="1"/>
    <col min="3" max="3" width="14.33203125" style="6" bestFit="1" customWidth="1"/>
    <col min="4" max="4" width="13.5546875" style="6" bestFit="1" customWidth="1"/>
    <col min="5" max="5" width="14.33203125" style="6" bestFit="1" customWidth="1"/>
    <col min="6" max="16384" width="8.88671875" style="6"/>
  </cols>
  <sheetData>
    <row r="1" spans="1:5" x14ac:dyDescent="0.25">
      <c r="E1" s="7"/>
    </row>
    <row r="2" spans="1:5" x14ac:dyDescent="0.25">
      <c r="A2" s="8" t="s">
        <v>14</v>
      </c>
      <c r="B2" s="9"/>
      <c r="C2" s="9"/>
      <c r="D2" s="9"/>
      <c r="E2" s="9"/>
    </row>
    <row r="3" spans="1:5" x14ac:dyDescent="0.25">
      <c r="A3" s="10" t="s">
        <v>15</v>
      </c>
      <c r="B3" s="9"/>
      <c r="C3" s="9"/>
      <c r="D3" s="9"/>
      <c r="E3" s="9"/>
    </row>
    <row r="4" spans="1:5" x14ac:dyDescent="0.25">
      <c r="A4" s="11" t="str">
        <f>Electric!A6</f>
        <v>FOR THE TWELVE MONTHS ENDED DECEMBER 31, 2023</v>
      </c>
      <c r="B4" s="9"/>
      <c r="C4" s="9"/>
      <c r="D4" s="9"/>
      <c r="E4" s="9"/>
    </row>
    <row r="5" spans="1:5" x14ac:dyDescent="0.25">
      <c r="A5" s="8" t="s">
        <v>16</v>
      </c>
      <c r="B5" s="9"/>
      <c r="C5" s="9"/>
      <c r="D5" s="9"/>
      <c r="E5" s="9"/>
    </row>
    <row r="6" spans="1:5" x14ac:dyDescent="0.25">
      <c r="A6" s="5"/>
      <c r="B6" s="9"/>
      <c r="C6" s="9"/>
      <c r="D6" s="9"/>
      <c r="E6" s="9"/>
    </row>
    <row r="7" spans="1:5" x14ac:dyDescent="0.25">
      <c r="A7" s="5"/>
      <c r="B7" s="9"/>
      <c r="C7" s="9"/>
      <c r="D7" s="9"/>
      <c r="E7" s="9"/>
    </row>
    <row r="8" spans="1:5" x14ac:dyDescent="0.25">
      <c r="A8" s="5"/>
      <c r="B8" s="9"/>
      <c r="C8" s="9"/>
      <c r="D8" s="9"/>
      <c r="E8" s="9"/>
    </row>
    <row r="9" spans="1:5" x14ac:dyDescent="0.25">
      <c r="A9" s="12" t="s">
        <v>12</v>
      </c>
    </row>
    <row r="10" spans="1:5" x14ac:dyDescent="0.25">
      <c r="A10" s="13" t="s">
        <v>11</v>
      </c>
      <c r="B10" s="13" t="s">
        <v>0</v>
      </c>
      <c r="C10" s="14" t="s">
        <v>10</v>
      </c>
      <c r="D10" s="14" t="s">
        <v>9</v>
      </c>
      <c r="E10" s="14" t="s">
        <v>8</v>
      </c>
    </row>
    <row r="11" spans="1:5" x14ac:dyDescent="0.25">
      <c r="A11" s="16"/>
      <c r="B11" s="16"/>
      <c r="C11" s="17"/>
      <c r="D11" s="17"/>
      <c r="E11" s="17"/>
    </row>
    <row r="12" spans="1:5" x14ac:dyDescent="0.25">
      <c r="A12" s="15">
        <v>1</v>
      </c>
      <c r="B12" s="16"/>
      <c r="C12" s="17"/>
      <c r="D12" s="17"/>
      <c r="E12" s="17"/>
    </row>
    <row r="13" spans="1:5" x14ac:dyDescent="0.25">
      <c r="A13" s="18">
        <v>2</v>
      </c>
      <c r="B13" s="59" t="s">
        <v>44</v>
      </c>
    </row>
    <row r="14" spans="1:5" x14ac:dyDescent="0.25">
      <c r="A14" s="18">
        <v>3</v>
      </c>
      <c r="B14" s="60" t="s">
        <v>38</v>
      </c>
      <c r="C14" s="19">
        <f>+AMI!C118</f>
        <v>246714212.26988548</v>
      </c>
      <c r="D14" s="19">
        <f>+AMI!F118</f>
        <v>114495478.68928115</v>
      </c>
      <c r="E14" s="19">
        <f>C14+D14</f>
        <v>361209690.95916665</v>
      </c>
    </row>
    <row r="15" spans="1:5" x14ac:dyDescent="0.25">
      <c r="A15" s="15">
        <v>4</v>
      </c>
      <c r="B15" s="60" t="s">
        <v>39</v>
      </c>
      <c r="C15" s="20">
        <f>-AMI!D118</f>
        <v>-42580571.605072275</v>
      </c>
      <c r="D15" s="20">
        <f>-AMI!G118</f>
        <v>-14578074.675098633</v>
      </c>
      <c r="E15" s="20">
        <f>D15+C15</f>
        <v>-57158646.28017091</v>
      </c>
    </row>
    <row r="16" spans="1:5" x14ac:dyDescent="0.25">
      <c r="A16" s="15">
        <v>5</v>
      </c>
      <c r="B16" s="61" t="s">
        <v>40</v>
      </c>
      <c r="C16" s="63">
        <f>+'AMI DFIT'!AL48</f>
        <v>-30059138.043387838</v>
      </c>
      <c r="D16" s="63">
        <f>+'AMI DFIT'!AL54</f>
        <v>-14206354.845689232</v>
      </c>
      <c r="E16" s="63">
        <f>D16+C16</f>
        <v>-44265492.889077067</v>
      </c>
    </row>
    <row r="17" spans="1:5" x14ac:dyDescent="0.25">
      <c r="A17" s="15">
        <v>6</v>
      </c>
      <c r="B17" s="62" t="s">
        <v>45</v>
      </c>
      <c r="C17" s="19">
        <f>SUM(C14:C16)</f>
        <v>174074502.62142539</v>
      </c>
      <c r="D17" s="19">
        <f>SUM(D14:D16)</f>
        <v>85711049.168493286</v>
      </c>
      <c r="E17" s="19">
        <f>SUM(E14:E16)</f>
        <v>259785551.78991866</v>
      </c>
    </row>
    <row r="19" spans="1:5" x14ac:dyDescent="0.25">
      <c r="B19" s="6" t="s">
        <v>1</v>
      </c>
      <c r="C19" s="33">
        <f>+AMI!D118-AMI!D106</f>
        <v>10735817.745206293</v>
      </c>
      <c r="D19" s="33">
        <f>+AMI!G118-AMI!G106</f>
        <v>3864295.4812747147</v>
      </c>
      <c r="E19" s="33">
        <f>+C19+D19</f>
        <v>14600113.226481007</v>
      </c>
    </row>
    <row r="24" spans="1:5" ht="14.4" x14ac:dyDescent="0.25">
      <c r="B24" s="21"/>
    </row>
    <row r="25" spans="1:5" ht="14.4" x14ac:dyDescent="0.25">
      <c r="B25" s="2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workbookViewId="0">
      <pane xSplit="2" ySplit="3" topLeftCell="C78" activePane="bottomRight" state="frozen"/>
      <selection activeCell="C66" sqref="C66"/>
      <selection pane="topRight" activeCell="C66" sqref="C66"/>
      <selection pane="bottomLeft" activeCell="C66" sqref="C66"/>
      <selection pane="bottomRight" activeCell="C118" sqref="C118"/>
    </sheetView>
  </sheetViews>
  <sheetFormatPr defaultColWidth="9.109375" defaultRowHeight="14.4" outlineLevelRow="1" x14ac:dyDescent="0.3"/>
  <cols>
    <col min="1" max="1" width="47.109375" style="1" bestFit="1" customWidth="1"/>
    <col min="2" max="2" width="11" style="1" bestFit="1" customWidth="1"/>
    <col min="3" max="3" width="23" style="1" bestFit="1" customWidth="1"/>
    <col min="4" max="4" width="15.6640625" style="1" bestFit="1" customWidth="1"/>
    <col min="5" max="5" width="1.6640625" style="1" customWidth="1"/>
    <col min="6" max="7" width="15.6640625" style="1" bestFit="1" customWidth="1"/>
    <col min="8" max="8" width="1.6640625" style="1" customWidth="1"/>
    <col min="9" max="10" width="15.6640625" style="1" bestFit="1" customWidth="1"/>
    <col min="11" max="11" width="12.5546875" style="1" bestFit="1" customWidth="1"/>
    <col min="12" max="12" width="15.44140625" style="1" customWidth="1"/>
    <col min="13" max="15" width="12" style="1" bestFit="1" customWidth="1"/>
    <col min="16" max="16" width="34" style="1" bestFit="1" customWidth="1"/>
    <col min="17" max="23" width="15.33203125" style="1" bestFit="1" customWidth="1"/>
    <col min="24" max="28" width="13.109375" style="1" bestFit="1" customWidth="1"/>
    <col min="29" max="29" width="12" style="1" bestFit="1" customWidth="1"/>
    <col min="30" max="16384" width="9.109375" style="1"/>
  </cols>
  <sheetData>
    <row r="1" spans="1:13" x14ac:dyDescent="0.3">
      <c r="A1" s="12" t="s">
        <v>5</v>
      </c>
      <c r="B1" s="16"/>
      <c r="F1" s="140"/>
    </row>
    <row r="2" spans="1:13" x14ac:dyDescent="0.3">
      <c r="A2" s="139" t="s">
        <v>5</v>
      </c>
      <c r="B2" s="138"/>
      <c r="C2" s="201" t="s">
        <v>2</v>
      </c>
      <c r="D2" s="201"/>
      <c r="E2" s="137"/>
      <c r="F2" s="201" t="s">
        <v>3</v>
      </c>
      <c r="G2" s="201"/>
      <c r="H2" s="137"/>
      <c r="I2" s="201" t="s">
        <v>4</v>
      </c>
      <c r="J2" s="201"/>
    </row>
    <row r="3" spans="1:13" x14ac:dyDescent="0.3">
      <c r="C3" s="136" t="s">
        <v>6</v>
      </c>
      <c r="D3" s="136" t="s">
        <v>7</v>
      </c>
      <c r="E3" s="136"/>
      <c r="F3" s="136" t="s">
        <v>6</v>
      </c>
      <c r="G3" s="136" t="s">
        <v>7</v>
      </c>
      <c r="H3" s="136"/>
      <c r="I3" s="136" t="s">
        <v>6</v>
      </c>
      <c r="J3" s="136" t="s">
        <v>7</v>
      </c>
    </row>
    <row r="4" spans="1:13" hidden="1" outlineLevel="1" x14ac:dyDescent="0.3">
      <c r="A4" s="26">
        <v>44166</v>
      </c>
      <c r="C4" s="134">
        <v>129016630.54000001</v>
      </c>
      <c r="D4" s="134">
        <v>9882835.0500183105</v>
      </c>
      <c r="E4" s="134"/>
      <c r="F4" s="134">
        <v>54062516.830000006</v>
      </c>
      <c r="G4" s="134">
        <v>2677058.9475030703</v>
      </c>
      <c r="H4" s="134"/>
      <c r="I4" s="134">
        <v>53133674.620000012</v>
      </c>
      <c r="J4" s="134">
        <v>28806126.465951025</v>
      </c>
    </row>
    <row r="5" spans="1:13" hidden="1" outlineLevel="1" x14ac:dyDescent="0.3">
      <c r="A5" s="2">
        <v>44197</v>
      </c>
      <c r="C5" s="134">
        <v>133406290.62</v>
      </c>
      <c r="D5" s="134">
        <v>10484006.7465603</v>
      </c>
      <c r="E5" s="134"/>
      <c r="F5" s="134">
        <v>56436673.990000002</v>
      </c>
      <c r="G5" s="134">
        <v>2844329.0851612543</v>
      </c>
      <c r="H5" s="134"/>
      <c r="I5" s="134">
        <v>53133674.620000012</v>
      </c>
      <c r="J5" s="134">
        <v>29761575.464391861</v>
      </c>
      <c r="K5" s="114"/>
      <c r="L5" s="135"/>
      <c r="M5" s="135"/>
    </row>
    <row r="6" spans="1:13" hidden="1" outlineLevel="1" x14ac:dyDescent="0.3">
      <c r="A6" s="2">
        <v>44228</v>
      </c>
      <c r="C6" s="134">
        <v>134059959.81</v>
      </c>
      <c r="D6" s="134">
        <v>11096890.6371201</v>
      </c>
      <c r="E6" s="134"/>
      <c r="F6" s="134">
        <v>56199363.289999999</v>
      </c>
      <c r="G6" s="134">
        <v>3010105.9417090602</v>
      </c>
      <c r="H6" s="134"/>
      <c r="I6" s="134">
        <v>53133674.620000012</v>
      </c>
      <c r="J6" s="134">
        <v>30717306.021935768</v>
      </c>
    </row>
    <row r="7" spans="1:13" hidden="1" outlineLevel="1" x14ac:dyDescent="0.3">
      <c r="A7" s="126">
        <v>44256</v>
      </c>
      <c r="C7" s="134">
        <v>142424871.41</v>
      </c>
      <c r="D7" s="134">
        <v>11729973.5487266</v>
      </c>
      <c r="E7" s="134"/>
      <c r="F7" s="134">
        <v>60922588.960000001</v>
      </c>
      <c r="G7" s="134">
        <v>3165425.4072435177</v>
      </c>
      <c r="H7" s="134"/>
      <c r="I7" s="134">
        <v>55532293.24000001</v>
      </c>
      <c r="J7" s="134">
        <v>31679484.305677842</v>
      </c>
    </row>
    <row r="8" spans="1:13" hidden="1" outlineLevel="1" x14ac:dyDescent="0.3">
      <c r="A8" s="126">
        <v>44287</v>
      </c>
      <c r="C8" s="134">
        <v>142709554.24000001</v>
      </c>
      <c r="D8" s="134">
        <v>12382822.213917499</v>
      </c>
      <c r="E8" s="134"/>
      <c r="F8" s="134">
        <v>60624799.419999994</v>
      </c>
      <c r="G8" s="134">
        <v>3335515.9210386733</v>
      </c>
      <c r="H8" s="134"/>
      <c r="I8" s="134">
        <v>55568980.040000014</v>
      </c>
      <c r="J8" s="134">
        <v>32648638.192333899</v>
      </c>
    </row>
    <row r="9" spans="1:13" hidden="1" outlineLevel="1" x14ac:dyDescent="0.3">
      <c r="A9" s="126">
        <v>44317</v>
      </c>
      <c r="C9" s="134">
        <v>146553360.69999999</v>
      </c>
      <c r="D9" s="134">
        <v>13045410.310000001</v>
      </c>
      <c r="E9" s="134"/>
      <c r="F9" s="134">
        <v>61458931.600000001</v>
      </c>
      <c r="G9" s="134">
        <v>3495870.3620000002</v>
      </c>
      <c r="H9" s="134"/>
      <c r="I9" s="134">
        <v>56005874.970000014</v>
      </c>
      <c r="J9" s="134">
        <v>33619106.259999998</v>
      </c>
    </row>
    <row r="10" spans="1:13" hidden="1" outlineLevel="1" x14ac:dyDescent="0.3">
      <c r="A10" s="126">
        <v>44348</v>
      </c>
      <c r="C10" s="134">
        <v>157426932.03999999</v>
      </c>
      <c r="D10" s="134">
        <v>13741815.2913842</v>
      </c>
      <c r="E10" s="134"/>
      <c r="F10" s="134">
        <v>67644556.329999998</v>
      </c>
      <c r="G10" s="134">
        <v>3680948.2693790551</v>
      </c>
      <c r="H10" s="134"/>
      <c r="I10" s="134">
        <v>56005874.970000014</v>
      </c>
      <c r="J10" s="134">
        <v>34237167.937608838</v>
      </c>
    </row>
    <row r="11" spans="1:13" hidden="1" outlineLevel="1" x14ac:dyDescent="0.3">
      <c r="A11" s="126">
        <v>44378</v>
      </c>
      <c r="C11" s="134">
        <v>156253083.16</v>
      </c>
      <c r="D11" s="134">
        <v>14460119.555240599</v>
      </c>
      <c r="E11" s="134"/>
      <c r="F11" s="134">
        <v>67626869.939999998</v>
      </c>
      <c r="G11" s="134">
        <v>3858264.892992327</v>
      </c>
      <c r="H11" s="134"/>
      <c r="I11" s="134">
        <v>31177433.339999996</v>
      </c>
      <c r="J11" s="134">
        <v>9676965.5672448985</v>
      </c>
    </row>
    <row r="12" spans="1:13" hidden="1" outlineLevel="1" x14ac:dyDescent="0.3">
      <c r="A12" s="126">
        <v>44409</v>
      </c>
      <c r="C12" s="134">
        <v>156653632.02000001</v>
      </c>
      <c r="D12" s="134">
        <v>15176973.300481001</v>
      </c>
      <c r="E12" s="134"/>
      <c r="F12" s="134">
        <v>69948991.599999994</v>
      </c>
      <c r="G12" s="134">
        <v>4000573.2300765039</v>
      </c>
      <c r="H12" s="134"/>
      <c r="I12" s="134">
        <v>31177433.339999996</v>
      </c>
      <c r="J12" s="134">
        <v>9941390.37190721</v>
      </c>
    </row>
    <row r="13" spans="1:13" hidden="1" outlineLevel="1" x14ac:dyDescent="0.3">
      <c r="A13" s="126">
        <v>44440</v>
      </c>
      <c r="C13" s="134">
        <v>160459858.38999999</v>
      </c>
      <c r="D13" s="134">
        <v>15903633.4149468</v>
      </c>
      <c r="E13" s="134"/>
      <c r="F13" s="134">
        <v>71482111.420000002</v>
      </c>
      <c r="G13" s="134">
        <v>4117070.1552742911</v>
      </c>
      <c r="H13" s="134"/>
      <c r="I13" s="134">
        <v>31177433.339999996</v>
      </c>
      <c r="J13" s="134">
        <v>10205805.226807849</v>
      </c>
    </row>
    <row r="14" spans="1:13" hidden="1" outlineLevel="1" x14ac:dyDescent="0.3">
      <c r="A14" s="126">
        <v>44470</v>
      </c>
      <c r="C14" s="134">
        <v>160827235.63999999</v>
      </c>
      <c r="D14" s="134">
        <v>16639518.485840701</v>
      </c>
      <c r="E14" s="134"/>
      <c r="F14" s="134">
        <v>73048649.179999992</v>
      </c>
      <c r="G14" s="134">
        <v>4315308.574580525</v>
      </c>
      <c r="H14" s="134"/>
      <c r="I14" s="134">
        <v>32838521.209999993</v>
      </c>
      <c r="J14" s="134">
        <v>10474830.06166856</v>
      </c>
    </row>
    <row r="15" spans="1:13" hidden="1" outlineLevel="1" x14ac:dyDescent="0.3">
      <c r="A15" s="126">
        <v>44501</v>
      </c>
      <c r="C15" s="134">
        <v>162513837.61000001</v>
      </c>
      <c r="D15" s="134">
        <v>17380108.565514199</v>
      </c>
      <c r="E15" s="134"/>
      <c r="F15" s="134">
        <v>73669103.929999992</v>
      </c>
      <c r="G15" s="134">
        <v>4505767.9085268388</v>
      </c>
      <c r="H15" s="134"/>
      <c r="I15" s="134">
        <v>32845868.829999998</v>
      </c>
      <c r="J15" s="134">
        <v>10748473.180358319</v>
      </c>
      <c r="L15" s="120" t="s">
        <v>13</v>
      </c>
    </row>
    <row r="16" spans="1:13" hidden="1" outlineLevel="1" x14ac:dyDescent="0.3">
      <c r="A16" s="130">
        <v>44531</v>
      </c>
      <c r="B16" s="119"/>
      <c r="C16" s="133">
        <v>166330918.37</v>
      </c>
      <c r="D16" s="133">
        <v>18129967.037717599</v>
      </c>
      <c r="E16" s="133"/>
      <c r="F16" s="133">
        <v>79477107.519999996</v>
      </c>
      <c r="G16" s="133">
        <v>4738218.0785166007</v>
      </c>
      <c r="H16" s="133"/>
      <c r="I16" s="133">
        <v>64149043.360000007</v>
      </c>
      <c r="J16" s="133">
        <v>11109026.930916309</v>
      </c>
      <c r="K16" s="114" t="s">
        <v>86</v>
      </c>
      <c r="L16" s="108">
        <v>0.65980000000000005</v>
      </c>
      <c r="M16" s="108">
        <v>0.3402</v>
      </c>
    </row>
    <row r="17" spans="1:12" hidden="1" outlineLevel="1" x14ac:dyDescent="0.3">
      <c r="A17" s="2">
        <v>44562</v>
      </c>
      <c r="C17" s="131">
        <v>166402317.05000001</v>
      </c>
      <c r="D17" s="131">
        <v>18887034.899501</v>
      </c>
      <c r="E17" s="131"/>
      <c r="F17" s="131">
        <v>80999872.099999994</v>
      </c>
      <c r="G17" s="131">
        <v>5027064.2319586016</v>
      </c>
      <c r="H17" s="131"/>
      <c r="I17" s="131">
        <v>64990773.370000012</v>
      </c>
      <c r="J17" s="131">
        <v>11558853.890653955</v>
      </c>
      <c r="K17" s="115"/>
    </row>
    <row r="18" spans="1:12" hidden="1" outlineLevel="1" x14ac:dyDescent="0.3">
      <c r="A18" s="2">
        <v>44593</v>
      </c>
      <c r="C18" s="131">
        <v>167955106.15000001</v>
      </c>
      <c r="D18" s="131">
        <v>19653270.765745599</v>
      </c>
      <c r="E18" s="131"/>
      <c r="F18" s="131">
        <v>78980942.539999992</v>
      </c>
      <c r="G18" s="131">
        <v>5158510.3307912815</v>
      </c>
      <c r="H18" s="131"/>
      <c r="I18" s="131">
        <v>65016065.56000001</v>
      </c>
      <c r="J18" s="131">
        <v>12011416.984536752</v>
      </c>
      <c r="K18" s="115"/>
    </row>
    <row r="19" spans="1:12" hidden="1" outlineLevel="1" x14ac:dyDescent="0.3">
      <c r="A19" s="2">
        <v>44621</v>
      </c>
      <c r="C19" s="131">
        <v>173432875.46000001</v>
      </c>
      <c r="D19" s="131">
        <v>20435618.300756101</v>
      </c>
      <c r="E19" s="131"/>
      <c r="F19" s="131">
        <v>80830470.929999992</v>
      </c>
      <c r="G19" s="131">
        <v>5373477.8558366932</v>
      </c>
      <c r="H19" s="131"/>
      <c r="I19" s="131">
        <v>65019903.420000009</v>
      </c>
      <c r="J19" s="131">
        <v>12463986.35308006</v>
      </c>
      <c r="K19" s="115"/>
    </row>
    <row r="20" spans="1:12" hidden="1" outlineLevel="1" x14ac:dyDescent="0.3">
      <c r="A20" s="2">
        <v>44652</v>
      </c>
      <c r="C20" s="131">
        <v>173503338.94</v>
      </c>
      <c r="D20" s="131">
        <v>21230680.294748999</v>
      </c>
      <c r="E20" s="131"/>
      <c r="F20" s="131">
        <v>80273491.999999985</v>
      </c>
      <c r="G20" s="131">
        <v>5605511.0548881227</v>
      </c>
      <c r="H20" s="131"/>
      <c r="I20" s="131">
        <v>65026453.940000013</v>
      </c>
      <c r="J20" s="131">
        <v>12916679.813480902</v>
      </c>
      <c r="K20" s="115"/>
    </row>
    <row r="21" spans="1:12" hidden="1" outlineLevel="1" x14ac:dyDescent="0.3">
      <c r="A21" s="2">
        <v>44682</v>
      </c>
      <c r="C21" s="131">
        <v>173698435</v>
      </c>
      <c r="D21" s="131">
        <v>22026350.800000001</v>
      </c>
      <c r="E21" s="131"/>
      <c r="F21" s="131">
        <v>80344748.809999987</v>
      </c>
      <c r="G21" s="131">
        <v>5891380.3222000003</v>
      </c>
      <c r="H21" s="131"/>
      <c r="I21" s="131">
        <v>64925932.980000012</v>
      </c>
      <c r="J21" s="131">
        <v>13368137.437000001</v>
      </c>
      <c r="K21" s="115"/>
    </row>
    <row r="22" spans="1:12" hidden="1" outlineLevel="1" x14ac:dyDescent="0.3">
      <c r="A22" s="2">
        <v>44713</v>
      </c>
      <c r="C22" s="131">
        <v>173911682.09</v>
      </c>
      <c r="D22" s="131">
        <v>22822957.542475</v>
      </c>
      <c r="E22" s="131"/>
      <c r="F22" s="131">
        <v>82110459.959999993</v>
      </c>
      <c r="G22" s="131">
        <v>6081595.7509585433</v>
      </c>
      <c r="H22" s="131"/>
      <c r="I22" s="131">
        <v>64825436.750000007</v>
      </c>
      <c r="J22" s="131">
        <v>13701340.122506119</v>
      </c>
      <c r="K22" s="115"/>
    </row>
    <row r="23" spans="1:12" hidden="1" outlineLevel="1" x14ac:dyDescent="0.3">
      <c r="A23" s="2">
        <v>44743</v>
      </c>
      <c r="C23" s="131">
        <v>176436606.33000001</v>
      </c>
      <c r="D23" s="131">
        <v>23625838.620730501</v>
      </c>
      <c r="E23" s="131"/>
      <c r="F23" s="131">
        <v>83095882.149999991</v>
      </c>
      <c r="G23" s="131">
        <v>6226311.9118375266</v>
      </c>
      <c r="H23" s="131"/>
      <c r="I23" s="131">
        <v>64839966.110000007</v>
      </c>
      <c r="J23" s="131">
        <v>14151691.30827705</v>
      </c>
      <c r="K23" s="115"/>
    </row>
    <row r="24" spans="1:12" hidden="1" outlineLevel="1" x14ac:dyDescent="0.3">
      <c r="A24" s="2">
        <v>44774</v>
      </c>
      <c r="C24" s="131">
        <v>180587926.13</v>
      </c>
      <c r="D24" s="131">
        <v>24444019.9493712</v>
      </c>
      <c r="E24" s="131"/>
      <c r="F24" s="131">
        <v>83547577.439999998</v>
      </c>
      <c r="G24" s="131">
        <v>6324100.025634544</v>
      </c>
      <c r="H24" s="131"/>
      <c r="I24" s="131">
        <v>64840439.660000004</v>
      </c>
      <c r="J24" s="131">
        <v>14601219.029328279</v>
      </c>
      <c r="K24" s="115"/>
      <c r="L24" s="132"/>
    </row>
    <row r="25" spans="1:12" hidden="1" outlineLevel="1" x14ac:dyDescent="0.3">
      <c r="A25" s="2">
        <v>44805</v>
      </c>
      <c r="C25" s="131">
        <v>184893175.40000001</v>
      </c>
      <c r="D25" s="131">
        <v>25281580.8093905</v>
      </c>
      <c r="E25" s="131"/>
      <c r="F25" s="131">
        <v>84290213.010000005</v>
      </c>
      <c r="G25" s="131">
        <v>6502337.1339801131</v>
      </c>
      <c r="H25" s="131"/>
      <c r="I25" s="131">
        <v>64852044.760000005</v>
      </c>
      <c r="J25" s="131">
        <v>14987750.538520573</v>
      </c>
      <c r="K25" s="68"/>
      <c r="L25" s="127"/>
    </row>
    <row r="26" spans="1:12" hidden="1" outlineLevel="1" x14ac:dyDescent="0.3">
      <c r="A26" s="2">
        <v>44835</v>
      </c>
      <c r="C26" s="131">
        <v>184972954.94999999</v>
      </c>
      <c r="D26" s="131">
        <v>26129190.770659301</v>
      </c>
      <c r="E26" s="131"/>
      <c r="F26" s="131">
        <v>81915803.939999983</v>
      </c>
      <c r="G26" s="131">
        <v>6789786.4228981966</v>
      </c>
      <c r="H26" s="131"/>
      <c r="I26" s="131">
        <v>64791257.720000006</v>
      </c>
      <c r="J26" s="131">
        <v>15436651.272591161</v>
      </c>
      <c r="K26" s="68"/>
      <c r="L26" s="127"/>
    </row>
    <row r="27" spans="1:12" hidden="1" outlineLevel="1" x14ac:dyDescent="0.3">
      <c r="A27" s="2">
        <v>44866</v>
      </c>
      <c r="C27" s="131">
        <v>188582579.18000001</v>
      </c>
      <c r="D27" s="131">
        <v>26985255.537361398</v>
      </c>
      <c r="E27" s="131"/>
      <c r="F27" s="131">
        <v>83554690.939999998</v>
      </c>
      <c r="G27" s="131">
        <v>7090641.3274475271</v>
      </c>
      <c r="H27" s="131"/>
      <c r="I27" s="131">
        <v>64366292.850000001</v>
      </c>
      <c r="J27" s="131">
        <v>15884223.50197986</v>
      </c>
      <c r="K27" s="68"/>
      <c r="L27" s="127"/>
    </row>
    <row r="28" spans="1:12" collapsed="1" x14ac:dyDescent="0.3">
      <c r="A28" s="130">
        <v>44896</v>
      </c>
      <c r="B28" s="119"/>
      <c r="C28" s="129">
        <v>189877803.99000001</v>
      </c>
      <c r="D28" s="129">
        <v>26696185.228328899</v>
      </c>
      <c r="E28" s="129"/>
      <c r="F28" s="129">
        <v>89478631.75999999</v>
      </c>
      <c r="G28" s="129">
        <v>7072171.2844134709</v>
      </c>
      <c r="H28" s="129"/>
      <c r="I28" s="129">
        <v>64399743.640000001</v>
      </c>
      <c r="J28" s="129">
        <v>16310294.906413792</v>
      </c>
      <c r="K28" s="114" t="s">
        <v>86</v>
      </c>
      <c r="L28" s="127"/>
    </row>
    <row r="29" spans="1:12" x14ac:dyDescent="0.3">
      <c r="A29" s="126">
        <v>44927</v>
      </c>
      <c r="B29" s="4"/>
      <c r="C29" s="128">
        <v>192310466.80000001</v>
      </c>
      <c r="D29" s="128">
        <v>27578403.570233501</v>
      </c>
      <c r="E29" s="128"/>
      <c r="F29" s="128">
        <v>91007006.859999985</v>
      </c>
      <c r="G29" s="128">
        <v>7461184.9283566866</v>
      </c>
      <c r="H29" s="128"/>
      <c r="I29" s="128">
        <v>62097116.390000008</v>
      </c>
      <c r="J29" s="128">
        <v>14325227.86856338</v>
      </c>
      <c r="K29" s="114"/>
      <c r="L29" s="127"/>
    </row>
    <row r="30" spans="1:12" x14ac:dyDescent="0.3">
      <c r="A30" s="126">
        <v>44958</v>
      </c>
      <c r="B30" s="4"/>
      <c r="C30" s="128">
        <v>193064575.72</v>
      </c>
      <c r="D30" s="128">
        <v>28369794.585457899</v>
      </c>
      <c r="E30" s="128"/>
      <c r="F30" s="128">
        <v>92738309.849999994</v>
      </c>
      <c r="G30" s="128">
        <v>7876679.2151069539</v>
      </c>
      <c r="H30" s="128"/>
      <c r="I30" s="128">
        <v>61971438.710000008</v>
      </c>
      <c r="J30" s="128">
        <v>14732069.824523868</v>
      </c>
      <c r="K30" s="114"/>
      <c r="L30" s="127"/>
    </row>
    <row r="31" spans="1:12" x14ac:dyDescent="0.3">
      <c r="A31" s="126">
        <v>44986</v>
      </c>
      <c r="B31" s="4"/>
      <c r="C31" s="128">
        <v>198527160.94999999</v>
      </c>
      <c r="D31" s="128">
        <v>29278614.506095801</v>
      </c>
      <c r="E31" s="128"/>
      <c r="F31" s="128">
        <v>90630873.849999994</v>
      </c>
      <c r="G31" s="128">
        <v>8012250.3312330116</v>
      </c>
      <c r="H31" s="128"/>
      <c r="I31" s="128">
        <v>62545654.070000008</v>
      </c>
      <c r="J31" s="128">
        <v>15140145.133111449</v>
      </c>
      <c r="K31" s="114"/>
      <c r="L31" s="127"/>
    </row>
    <row r="32" spans="1:12" x14ac:dyDescent="0.3">
      <c r="A32" s="126">
        <v>45017</v>
      </c>
      <c r="B32" s="4"/>
      <c r="C32" s="128">
        <v>202862612.59999999</v>
      </c>
      <c r="D32" s="128">
        <v>30210172.707309</v>
      </c>
      <c r="E32" s="128"/>
      <c r="F32" s="128">
        <v>91718227.539999992</v>
      </c>
      <c r="G32" s="128">
        <v>8402947.6789663658</v>
      </c>
      <c r="H32" s="128"/>
      <c r="I32" s="128">
        <v>61970149.870000005</v>
      </c>
      <c r="J32" s="128">
        <v>15548220.614035869</v>
      </c>
      <c r="K32" s="114"/>
      <c r="L32" s="127"/>
    </row>
    <row r="33" spans="1:12" x14ac:dyDescent="0.3">
      <c r="A33" s="126">
        <v>45047</v>
      </c>
      <c r="B33" s="4"/>
      <c r="C33" s="128">
        <v>205722518.16</v>
      </c>
      <c r="D33" s="128">
        <v>31158430.703738499</v>
      </c>
      <c r="E33" s="128"/>
      <c r="F33" s="128">
        <v>92021923.149999991</v>
      </c>
      <c r="G33" s="128">
        <v>8748985.0111336019</v>
      </c>
      <c r="H33" s="128"/>
      <c r="I33" s="128">
        <v>61963655.960000008</v>
      </c>
      <c r="J33" s="128">
        <v>15954262.514279779</v>
      </c>
      <c r="K33" s="114"/>
      <c r="L33" s="127"/>
    </row>
    <row r="34" spans="1:12" x14ac:dyDescent="0.3">
      <c r="A34" s="126">
        <v>45078</v>
      </c>
      <c r="B34" s="4"/>
      <c r="C34" s="128">
        <v>210258940.78</v>
      </c>
      <c r="D34" s="128">
        <v>31210201.311326701</v>
      </c>
      <c r="E34" s="128"/>
      <c r="F34" s="128">
        <v>95418214.399999991</v>
      </c>
      <c r="G34" s="128">
        <v>8797412.4375027567</v>
      </c>
      <c r="H34" s="128"/>
      <c r="I34" s="128">
        <v>61944310.180000007</v>
      </c>
      <c r="J34" s="128">
        <v>16044916.600517903</v>
      </c>
      <c r="K34" s="114"/>
      <c r="L34" s="127"/>
    </row>
    <row r="35" spans="1:12" x14ac:dyDescent="0.3">
      <c r="A35" s="126">
        <v>45108</v>
      </c>
      <c r="B35" s="4"/>
      <c r="C35" s="128">
        <v>211721257.91999999</v>
      </c>
      <c r="D35" s="128">
        <v>33103199.962371498</v>
      </c>
      <c r="E35" s="128"/>
      <c r="F35" s="128">
        <v>94335464.829999983</v>
      </c>
      <c r="G35" s="128">
        <v>9374595.7036890518</v>
      </c>
      <c r="H35" s="128"/>
      <c r="I35" s="128">
        <v>60947005.790000007</v>
      </c>
      <c r="J35" s="128">
        <v>15727960.86028108</v>
      </c>
      <c r="K35" s="114"/>
      <c r="L35" s="127"/>
    </row>
    <row r="36" spans="1:12" x14ac:dyDescent="0.3">
      <c r="A36" s="126">
        <v>45139</v>
      </c>
      <c r="B36" s="4"/>
      <c r="C36" s="128">
        <v>211781365.58000001</v>
      </c>
      <c r="D36" s="128">
        <v>34086078.809715152</v>
      </c>
      <c r="E36" s="128"/>
      <c r="F36" s="128">
        <v>93959165.699999988</v>
      </c>
      <c r="G36" s="128">
        <v>9737526.794412002</v>
      </c>
      <c r="H36" s="128"/>
      <c r="I36" s="128">
        <v>60915534.540000007</v>
      </c>
      <c r="J36" s="128">
        <v>16117248.669996589</v>
      </c>
      <c r="K36" s="114"/>
      <c r="L36" s="127"/>
    </row>
    <row r="37" spans="1:12" x14ac:dyDescent="0.3">
      <c r="A37" s="126">
        <v>45170</v>
      </c>
      <c r="B37" s="4"/>
      <c r="C37" s="128">
        <v>212077100.38</v>
      </c>
      <c r="D37" s="128">
        <v>35069784.172910288</v>
      </c>
      <c r="E37" s="128"/>
      <c r="F37" s="128">
        <v>94415248.489999995</v>
      </c>
      <c r="G37" s="128">
        <v>10104438.299651148</v>
      </c>
      <c r="H37" s="128"/>
      <c r="I37" s="128">
        <v>60916816.57</v>
      </c>
      <c r="J37" s="128">
        <v>16506452.83218538</v>
      </c>
      <c r="K37" s="114"/>
      <c r="L37" s="127"/>
    </row>
    <row r="38" spans="1:12" x14ac:dyDescent="0.3">
      <c r="A38" s="126">
        <v>45200</v>
      </c>
      <c r="B38" s="4"/>
      <c r="C38" s="128">
        <v>213217762.09</v>
      </c>
      <c r="D38" s="128">
        <v>36056822.819513202</v>
      </c>
      <c r="E38" s="128"/>
      <c r="F38" s="128">
        <v>94766894.659999996</v>
      </c>
      <c r="G38" s="128">
        <v>10524297.268139139</v>
      </c>
      <c r="H38" s="128"/>
      <c r="I38" s="128">
        <v>61016927.25</v>
      </c>
      <c r="J38" s="128">
        <v>16895938.280750901</v>
      </c>
      <c r="K38" s="114"/>
      <c r="L38" s="127"/>
    </row>
    <row r="39" spans="1:12" x14ac:dyDescent="0.3">
      <c r="A39" s="126">
        <v>45231</v>
      </c>
      <c r="B39" s="4"/>
      <c r="C39" s="128">
        <v>219480408.06</v>
      </c>
      <c r="D39" s="128">
        <v>37061042.654770799</v>
      </c>
      <c r="E39" s="128"/>
      <c r="F39" s="128">
        <v>95228792.409999996</v>
      </c>
      <c r="G39" s="128">
        <v>10908476.758466158</v>
      </c>
      <c r="H39" s="128"/>
      <c r="I39" s="128">
        <v>60906393.270000003</v>
      </c>
      <c r="J39" s="128">
        <v>17285395.295681201</v>
      </c>
      <c r="K39" s="114"/>
      <c r="L39" s="127"/>
    </row>
    <row r="40" spans="1:12" x14ac:dyDescent="0.3">
      <c r="A40" s="126">
        <v>45261</v>
      </c>
      <c r="B40" s="4"/>
      <c r="C40" s="128">
        <v>219042793.21000001</v>
      </c>
      <c r="D40" s="128">
        <v>38078782.206596501</v>
      </c>
      <c r="E40" s="128"/>
      <c r="F40" s="128">
        <v>96281466.829999998</v>
      </c>
      <c r="G40" s="128">
        <v>11157027.298187891</v>
      </c>
      <c r="H40" s="128"/>
      <c r="I40" s="128">
        <v>61033556.830000006</v>
      </c>
      <c r="J40" s="128">
        <v>17674692.352108002</v>
      </c>
      <c r="K40" s="114"/>
      <c r="L40" s="127"/>
    </row>
    <row r="41" spans="1:12" x14ac:dyDescent="0.3">
      <c r="A41" s="126"/>
      <c r="C41" s="125"/>
      <c r="D41" s="125"/>
      <c r="E41" s="125"/>
      <c r="F41" s="125"/>
      <c r="G41" s="125"/>
      <c r="H41" s="125"/>
      <c r="I41" s="125"/>
      <c r="J41" s="125"/>
      <c r="K41" s="114"/>
    </row>
    <row r="42" spans="1:12" hidden="1" outlineLevel="1" x14ac:dyDescent="0.3">
      <c r="A42" s="119" t="s">
        <v>149</v>
      </c>
      <c r="B42" s="119"/>
      <c r="C42" s="124">
        <f t="shared" ref="C42:D66" si="0">((C4+C16)+(2*(SUM(C5:C15))))/24</f>
        <v>150080199.17458332</v>
      </c>
      <c r="D42" s="124">
        <f t="shared" si="0"/>
        <v>13837306.092799997</v>
      </c>
      <c r="E42" s="124"/>
      <c r="F42" s="124">
        <f t="shared" ref="F42:G66" si="1">((F4+F16)+(2*(SUM(F5:F15))))/24</f>
        <v>65486037.652916647</v>
      </c>
      <c r="G42" s="124">
        <f t="shared" si="1"/>
        <v>3669734.8550826572</v>
      </c>
      <c r="H42" s="124"/>
      <c r="I42" s="124">
        <f t="shared" ref="I42:J66" si="2">((I4+I16)+(2*(SUM(I5:I15))))/24</f>
        <v>45603201.792499997</v>
      </c>
      <c r="J42" s="124">
        <f t="shared" si="2"/>
        <v>21972359.940697391</v>
      </c>
      <c r="K42" s="114" t="s">
        <v>86</v>
      </c>
    </row>
    <row r="43" spans="1:12" hidden="1" outlineLevel="1" x14ac:dyDescent="0.3">
      <c r="A43" s="4" t="s">
        <v>148</v>
      </c>
      <c r="C43" s="121">
        <f t="shared" si="0"/>
        <v>153009795.60208333</v>
      </c>
      <c r="D43" s="121">
        <f t="shared" si="0"/>
        <v>14531062.765326664</v>
      </c>
      <c r="E43" s="121"/>
      <c r="F43" s="121">
        <f t="shared" si="1"/>
        <v>67568445.51958333</v>
      </c>
      <c r="G43" s="121">
        <f t="shared" si="1"/>
        <v>3846563.7833247767</v>
      </c>
      <c r="H43" s="121"/>
      <c r="I43" s="121">
        <f t="shared" si="2"/>
        <v>46556221.271250002</v>
      </c>
      <c r="J43" s="121">
        <f t="shared" si="2"/>
        <v>20476534.061165195</v>
      </c>
    </row>
    <row r="44" spans="1:12" hidden="1" outlineLevel="1" x14ac:dyDescent="0.3">
      <c r="A44" s="4" t="s">
        <v>147</v>
      </c>
      <c r="B44" s="27"/>
      <c r="C44" s="121">
        <f t="shared" si="0"/>
        <v>155796927.80083331</v>
      </c>
      <c r="D44" s="121">
        <f t="shared" si="0"/>
        <v>15237704.777058588</v>
      </c>
      <c r="E44" s="121"/>
      <c r="F44" s="121">
        <f t="shared" si="1"/>
        <v>69541144.576250002</v>
      </c>
      <c r="G44" s="121">
        <f t="shared" si="1"/>
        <v>4027027.9306530915</v>
      </c>
      <c r="H44" s="121"/>
      <c r="I44" s="121">
        <f t="shared" si="2"/>
        <v>47545366.675000004</v>
      </c>
      <c r="J44" s="121">
        <f t="shared" si="2"/>
        <v>18938675.285701159</v>
      </c>
    </row>
    <row r="45" spans="1:12" hidden="1" outlineLevel="1" x14ac:dyDescent="0.3">
      <c r="A45" s="4" t="s">
        <v>146</v>
      </c>
      <c r="B45" s="27"/>
      <c r="C45" s="121">
        <f t="shared" si="0"/>
        <v>158501225.73375002</v>
      </c>
      <c r="D45" s="121">
        <f t="shared" si="0"/>
        <v>15956955.813752549</v>
      </c>
      <c r="E45" s="121"/>
      <c r="F45" s="121">
        <f t="shared" si="1"/>
        <v>71319872.127083316</v>
      </c>
      <c r="G45" s="121">
        <f t="shared" si="1"/>
        <v>4208546.9655562332</v>
      </c>
      <c r="H45" s="121"/>
      <c r="I45" s="121">
        <f t="shared" si="2"/>
        <v>48435783.388333343</v>
      </c>
      <c r="J45" s="121">
        <f t="shared" si="2"/>
        <v>17358617.494451296</v>
      </c>
    </row>
    <row r="46" spans="1:12" hidden="1" outlineLevel="1" x14ac:dyDescent="0.3">
      <c r="A46" s="4" t="s">
        <v>145</v>
      </c>
      <c r="B46" s="27"/>
      <c r="C46" s="121">
        <f t="shared" si="0"/>
        <v>161076300.26499999</v>
      </c>
      <c r="D46" s="121">
        <f t="shared" si="0"/>
        <v>16688351.765121756</v>
      </c>
      <c r="E46" s="121"/>
      <c r="F46" s="121">
        <f t="shared" si="1"/>
        <v>72968062.733333334</v>
      </c>
      <c r="G46" s="121">
        <f t="shared" si="1"/>
        <v>4395132.281491342</v>
      </c>
      <c r="H46" s="121"/>
      <c r="I46" s="121">
        <f t="shared" si="2"/>
        <v>49225161.891666673</v>
      </c>
      <c r="J46" s="121">
        <f t="shared" si="2"/>
        <v>15735806.813974179</v>
      </c>
    </row>
    <row r="47" spans="1:12" hidden="1" outlineLevel="1" x14ac:dyDescent="0.3">
      <c r="A47" s="4" t="s">
        <v>144</v>
      </c>
      <c r="B47" s="27"/>
      <c r="C47" s="121">
        <f t="shared" si="0"/>
        <v>163490419.39000002</v>
      </c>
      <c r="D47" s="121">
        <f t="shared" si="0"/>
        <v>17431218.372239731</v>
      </c>
      <c r="E47" s="121"/>
      <c r="F47" s="121">
        <f t="shared" si="1"/>
        <v>74573667.307916656</v>
      </c>
      <c r="G47" s="121">
        <f t="shared" si="1"/>
        <v>4589528.3270767359</v>
      </c>
      <c r="H47" s="121"/>
      <c r="I47" s="121">
        <f t="shared" si="2"/>
        <v>49990892.387916677</v>
      </c>
      <c r="J47" s="121">
        <f t="shared" si="2"/>
        <v>14069851.513896972</v>
      </c>
    </row>
    <row r="48" spans="1:12" hidden="1" outlineLevel="1" x14ac:dyDescent="0.3">
      <c r="A48" s="4" t="s">
        <v>143</v>
      </c>
      <c r="B48" s="27"/>
      <c r="C48" s="121">
        <f t="shared" si="0"/>
        <v>165308328.73791668</v>
      </c>
      <c r="D48" s="121">
        <f t="shared" si="0"/>
        <v>18183805.153118517</v>
      </c>
      <c r="E48" s="121"/>
      <c r="F48" s="121">
        <f t="shared" si="1"/>
        <v>75963322.342916653</v>
      </c>
      <c r="G48" s="121">
        <f t="shared" si="1"/>
        <v>4789368.2204842158</v>
      </c>
      <c r="H48" s="121"/>
      <c r="I48" s="121">
        <f t="shared" si="2"/>
        <v>50730043.212500006</v>
      </c>
      <c r="J48" s="121">
        <f t="shared" si="2"/>
        <v>12370401.653976025</v>
      </c>
    </row>
    <row r="49" spans="1:11" hidden="1" outlineLevel="1" x14ac:dyDescent="0.3">
      <c r="A49" s="4" t="s">
        <v>142</v>
      </c>
      <c r="B49" s="27"/>
      <c r="C49" s="121">
        <f t="shared" si="0"/>
        <v>166836173.45541668</v>
      </c>
      <c r="D49" s="121">
        <f t="shared" si="0"/>
        <v>18944091.041309379</v>
      </c>
      <c r="E49" s="121"/>
      <c r="F49" s="121">
        <f t="shared" si="1"/>
        <v>77210610.502916649</v>
      </c>
      <c r="G49" s="121">
        <f t="shared" si="1"/>
        <v>4988063.8246685769</v>
      </c>
      <c r="H49" s="121"/>
      <c r="I49" s="121">
        <f t="shared" si="2"/>
        <v>52500130.485416673</v>
      </c>
      <c r="J49" s="121">
        <f t="shared" si="2"/>
        <v>11701189.067556418</v>
      </c>
    </row>
    <row r="50" spans="1:11" hidden="1" outlineLevel="1" x14ac:dyDescent="0.3">
      <c r="A50" s="4" t="s">
        <v>141</v>
      </c>
      <c r="B50" s="27"/>
      <c r="C50" s="121">
        <f t="shared" si="0"/>
        <v>168674415.84208331</v>
      </c>
      <c r="D50" s="121">
        <f t="shared" si="0"/>
        <v>19712122.946075212</v>
      </c>
      <c r="E50" s="121"/>
      <c r="F50" s="121">
        <f t="shared" si="1"/>
        <v>78421760.421666652</v>
      </c>
      <c r="G50" s="121">
        <f t="shared" si="1"/>
        <v>5183546.06693538</v>
      </c>
      <c r="H50" s="121"/>
      <c r="I50" s="121">
        <f t="shared" si="2"/>
        <v>55305361.280833341</v>
      </c>
      <c r="J50" s="121">
        <f t="shared" si="2"/>
        <v>12081795.500825303</v>
      </c>
      <c r="K50" s="115"/>
    </row>
    <row r="51" spans="1:11" hidden="1" outlineLevel="1" x14ac:dyDescent="0.3">
      <c r="A51" s="4" t="s">
        <v>140</v>
      </c>
      <c r="B51" s="27"/>
      <c r="C51" s="121">
        <f t="shared" si="0"/>
        <v>170689732.97208333</v>
      </c>
      <c r="D51" s="121">
        <f t="shared" si="0"/>
        <v>20488997.697880793</v>
      </c>
      <c r="E51" s="121"/>
      <c r="F51" s="121">
        <f t="shared" si="1"/>
        <v>79522039.064583331</v>
      </c>
      <c r="G51" s="121">
        <f t="shared" si="1"/>
        <v>5379745.8075297065</v>
      </c>
      <c r="H51" s="121"/>
      <c r="I51" s="121">
        <f t="shared" si="2"/>
        <v>58111095.353333324</v>
      </c>
      <c r="J51" s="121">
        <f t="shared" si="2"/>
        <v>12475202.74953921</v>
      </c>
    </row>
    <row r="52" spans="1:11" hidden="1" outlineLevel="1" x14ac:dyDescent="0.3">
      <c r="A52" s="4" t="s">
        <v>139</v>
      </c>
      <c r="B52" s="27"/>
      <c r="C52" s="121">
        <f t="shared" si="0"/>
        <v>172713859.48541668</v>
      </c>
      <c r="D52" s="121">
        <f t="shared" si="0"/>
        <v>21275148.517850056</v>
      </c>
      <c r="E52" s="121"/>
      <c r="F52" s="121">
        <f t="shared" si="1"/>
        <v>80425174.745833322</v>
      </c>
      <c r="G52" s="121">
        <f t="shared" si="1"/>
        <v>5582235.175322352</v>
      </c>
      <c r="H52" s="121"/>
      <c r="I52" s="121">
        <f t="shared" si="2"/>
        <v>60845568.183750004</v>
      </c>
      <c r="J52" s="121">
        <f t="shared" si="2"/>
        <v>12881193.021315685</v>
      </c>
    </row>
    <row r="53" spans="1:11" hidden="1" outlineLevel="1" x14ac:dyDescent="0.3">
      <c r="A53" s="4" t="s">
        <v>138</v>
      </c>
      <c r="B53" s="27"/>
      <c r="C53" s="121">
        <f t="shared" si="0"/>
        <v>174806128.68875</v>
      </c>
      <c r="D53" s="121">
        <f t="shared" si="0"/>
        <v>22070765.986877795</v>
      </c>
      <c r="E53" s="121"/>
      <c r="F53" s="121">
        <f t="shared" si="1"/>
        <v>81206538.986249998</v>
      </c>
      <c r="G53" s="121">
        <f t="shared" si="1"/>
        <v>5793041.4781239508</v>
      </c>
      <c r="H53" s="121"/>
      <c r="I53" s="121">
        <f t="shared" si="2"/>
        <v>63490283.205833346</v>
      </c>
      <c r="J53" s="121">
        <f t="shared" si="2"/>
        <v>13301925.168505022</v>
      </c>
    </row>
    <row r="54" spans="1:11" collapsed="1" x14ac:dyDescent="0.3">
      <c r="A54" s="119" t="s">
        <v>137</v>
      </c>
      <c r="B54" s="110"/>
      <c r="C54" s="123">
        <f t="shared" si="0"/>
        <v>176873446.48833337</v>
      </c>
      <c r="D54" s="123">
        <f t="shared" si="0"/>
        <v>22827906.201980237</v>
      </c>
      <c r="E54" s="123"/>
      <c r="F54" s="123">
        <f t="shared" si="1"/>
        <v>82035168.621666655</v>
      </c>
      <c r="G54" s="123">
        <f t="shared" si="1"/>
        <v>5997992.5874913484</v>
      </c>
      <c r="H54" s="123"/>
      <c r="I54" s="123">
        <f t="shared" si="2"/>
        <v>64814080.051666677</v>
      </c>
      <c r="J54" s="123">
        <f t="shared" si="2"/>
        <v>13732634.264218315</v>
      </c>
      <c r="K54" s="68"/>
    </row>
    <row r="55" spans="1:11" x14ac:dyDescent="0.3">
      <c r="A55" s="4" t="s">
        <v>136</v>
      </c>
      <c r="B55" s="122"/>
      <c r="C55" s="121">
        <f t="shared" si="0"/>
        <v>178934072.96208334</v>
      </c>
      <c r="D55" s="121">
        <f t="shared" si="0"/>
        <v>23546972.3212029</v>
      </c>
      <c r="E55" s="121"/>
      <c r="F55" s="121">
        <f t="shared" si="1"/>
        <v>82868862.746666655</v>
      </c>
      <c r="G55" s="121">
        <f t="shared" si="1"/>
        <v>6196662.3334203037</v>
      </c>
      <c r="H55" s="121"/>
      <c r="I55" s="121">
        <f t="shared" si="2"/>
        <v>64703956.855833344</v>
      </c>
      <c r="J55" s="121">
        <f t="shared" si="2"/>
        <v>14064619.345610268</v>
      </c>
      <c r="K55" s="68"/>
    </row>
    <row r="56" spans="1:11" x14ac:dyDescent="0.3">
      <c r="A56" s="4" t="s">
        <v>135</v>
      </c>
      <c r="B56" s="122"/>
      <c r="C56" s="121">
        <f t="shared" si="0"/>
        <v>181059807.10041669</v>
      </c>
      <c r="D56" s="121">
        <f t="shared" si="0"/>
        <v>24272301.174971428</v>
      </c>
      <c r="E56" s="121"/>
      <c r="F56" s="121">
        <f t="shared" si="1"/>
        <v>83859050.332916662</v>
      </c>
      <c r="G56" s="121">
        <f t="shared" si="1"/>
        <v>6411341.0659500444</v>
      </c>
      <c r="H56" s="121"/>
      <c r="I56" s="121">
        <f t="shared" si="2"/>
        <v>64456528.362916671</v>
      </c>
      <c r="J56" s="121">
        <f t="shared" si="2"/>
        <v>14293245.463022625</v>
      </c>
      <c r="K56" s="68"/>
    </row>
    <row r="57" spans="1:11" x14ac:dyDescent="0.3">
      <c r="A57" s="4" t="s">
        <v>134</v>
      </c>
      <c r="B57" s="122"/>
      <c r="C57" s="121">
        <f t="shared" si="0"/>
        <v>183151630.22791669</v>
      </c>
      <c r="D57" s="121">
        <f t="shared" si="0"/>
        <v>25003947.842681926</v>
      </c>
      <c r="E57" s="121"/>
      <c r="F57" s="121">
        <f t="shared" si="1"/>
        <v>84840624.092500001</v>
      </c>
      <c r="G57" s="121">
        <f t="shared" si="1"/>
        <v>6634546.9559380449</v>
      </c>
      <c r="H57" s="121"/>
      <c r="I57" s="121">
        <f t="shared" si="2"/>
        <v>64226575.187916674</v>
      </c>
      <c r="J57" s="121">
        <f t="shared" si="2"/>
        <v>14518112.613856727</v>
      </c>
      <c r="K57" s="68"/>
    </row>
    <row r="58" spans="1:11" x14ac:dyDescent="0.3">
      <c r="A58" s="4" t="s">
        <v>133</v>
      </c>
      <c r="B58" s="122"/>
      <c r="C58" s="121">
        <f t="shared" si="0"/>
        <v>185420528.52583337</v>
      </c>
      <c r="D58" s="121">
        <f t="shared" si="0"/>
        <v>25746551.535094421</v>
      </c>
      <c r="E58" s="121"/>
      <c r="F58" s="121">
        <f t="shared" si="1"/>
        <v>85725838.195000008</v>
      </c>
      <c r="G58" s="121">
        <f t="shared" si="1"/>
        <v>6861055.6684161527</v>
      </c>
      <c r="H58" s="121"/>
      <c r="I58" s="121">
        <f t="shared" si="2"/>
        <v>63996135.462083347</v>
      </c>
      <c r="J58" s="121">
        <f t="shared" si="2"/>
        <v>14739266.763047827</v>
      </c>
      <c r="K58" s="68"/>
    </row>
    <row r="59" spans="1:11" x14ac:dyDescent="0.3">
      <c r="A59" s="4" t="s">
        <v>132</v>
      </c>
      <c r="B59" s="122"/>
      <c r="C59" s="121">
        <f t="shared" si="0"/>
        <v>187978168.39333335</v>
      </c>
      <c r="D59" s="121">
        <f t="shared" si="0"/>
        <v>26501200.381606851</v>
      </c>
      <c r="E59" s="121"/>
      <c r="F59" s="121">
        <f t="shared" si="1"/>
        <v>86689251.106666669</v>
      </c>
      <c r="G59" s="121">
        <f t="shared" si="1"/>
        <v>7096682.3897916451</v>
      </c>
      <c r="H59" s="121"/>
      <c r="I59" s="121">
        <f t="shared" si="2"/>
        <v>63745361.250000007</v>
      </c>
      <c r="J59" s="121">
        <f t="shared" si="2"/>
        <v>14956669.507957608</v>
      </c>
      <c r="K59" s="68"/>
    </row>
    <row r="60" spans="1:11" x14ac:dyDescent="0.3">
      <c r="A60" s="4" t="s">
        <v>131</v>
      </c>
      <c r="B60" s="122"/>
      <c r="C60" s="121">
        <f t="shared" si="0"/>
        <v>190826974.30375001</v>
      </c>
      <c r="D60" s="121">
        <f t="shared" si="0"/>
        <v>27231172.201298114</v>
      </c>
      <c r="E60" s="121"/>
      <c r="F60" s="121">
        <f t="shared" si="1"/>
        <v>87730289.805833325</v>
      </c>
      <c r="G60" s="121">
        <f t="shared" si="1"/>
        <v>7328908.280436554</v>
      </c>
      <c r="H60" s="121"/>
      <c r="I60" s="121">
        <f t="shared" si="2"/>
        <v>63501886.100416683</v>
      </c>
      <c r="J60" s="121">
        <f t="shared" si="2"/>
        <v>15162073.73942809</v>
      </c>
      <c r="K60" s="68"/>
    </row>
    <row r="61" spans="1:11" x14ac:dyDescent="0.3">
      <c r="A61" s="4" t="s">
        <v>130</v>
      </c>
      <c r="B61" s="122"/>
      <c r="C61" s="121">
        <f t="shared" si="0"/>
        <v>193811637.23208332</v>
      </c>
      <c r="D61" s="121">
        <f t="shared" si="0"/>
        <v>27975530.747568637</v>
      </c>
      <c r="E61" s="121"/>
      <c r="F61" s="121">
        <f t="shared" si="1"/>
        <v>88753095.519166663</v>
      </c>
      <c r="G61" s="121">
        <f t="shared" si="1"/>
        <v>7573245.8003697097</v>
      </c>
      <c r="H61" s="121"/>
      <c r="I61" s="121">
        <f t="shared" si="2"/>
        <v>63219632.480000019</v>
      </c>
      <c r="J61" s="121">
        <f t="shared" si="2"/>
        <v>15325400.657345414</v>
      </c>
      <c r="K61" s="68"/>
    </row>
    <row r="62" spans="1:11" x14ac:dyDescent="0.3">
      <c r="A62" s="4" t="s">
        <v>129</v>
      </c>
      <c r="B62" s="122"/>
      <c r="C62" s="121">
        <f t="shared" si="0"/>
        <v>196581557.69208333</v>
      </c>
      <c r="D62" s="121">
        <f t="shared" si="0"/>
        <v>28772173.255984683</v>
      </c>
      <c r="E62" s="121"/>
      <c r="F62" s="121">
        <f t="shared" si="1"/>
        <v>89655227.641666651</v>
      </c>
      <c r="G62" s="121">
        <f t="shared" si="1"/>
        <v>7846650.4070625836</v>
      </c>
      <c r="H62" s="121"/>
      <c r="I62" s="121">
        <f t="shared" si="2"/>
        <v>62893888.086666673</v>
      </c>
      <c r="J62" s="121">
        <f t="shared" si="2"/>
        <v>15454246.457040094</v>
      </c>
      <c r="K62" s="68"/>
    </row>
    <row r="63" spans="1:11" x14ac:dyDescent="0.3">
      <c r="A63" s="4" t="s">
        <v>128</v>
      </c>
      <c r="B63" s="122"/>
      <c r="C63" s="121">
        <f t="shared" si="0"/>
        <v>199013947.87666667</v>
      </c>
      <c r="D63" s="121">
        <f t="shared" si="0"/>
        <v>29581767.515312333</v>
      </c>
      <c r="E63" s="121"/>
      <c r="F63" s="121">
        <f t="shared" si="1"/>
        <v>90510920.297499999</v>
      </c>
      <c r="G63" s="121">
        <f t="shared" si="1"/>
        <v>8138964.0709979385</v>
      </c>
      <c r="H63" s="121"/>
      <c r="I63" s="121">
        <f t="shared" si="2"/>
        <v>62566382.532083333</v>
      </c>
      <c r="J63" s="121">
        <f t="shared" si="2"/>
        <v>15580693.620970644</v>
      </c>
      <c r="K63" s="68"/>
    </row>
    <row r="64" spans="1:11" x14ac:dyDescent="0.3">
      <c r="A64" s="4" t="s">
        <v>127</v>
      </c>
      <c r="B64" s="122"/>
      <c r="C64" s="121">
        <f t="shared" si="0"/>
        <v>201323478.38166666</v>
      </c>
      <c r="D64" s="121">
        <f t="shared" si="0"/>
        <v>30403260.657494575</v>
      </c>
      <c r="E64" s="121"/>
      <c r="F64" s="121">
        <f t="shared" si="1"/>
        <v>91468258.889166653</v>
      </c>
      <c r="G64" s="121">
        <f t="shared" si="1"/>
        <v>8444656.2381192688</v>
      </c>
      <c r="H64" s="121"/>
      <c r="I64" s="121">
        <f t="shared" si="2"/>
        <v>62245150.921250008</v>
      </c>
      <c r="J64" s="121">
        <f t="shared" si="2"/>
        <v>15704776.508546665</v>
      </c>
      <c r="K64" s="68"/>
    </row>
    <row r="65" spans="1:14" x14ac:dyDescent="0.3">
      <c r="A65" s="4" t="s">
        <v>126</v>
      </c>
      <c r="B65" s="122"/>
      <c r="C65" s="121">
        <f t="shared" si="0"/>
        <v>203787754.88250002</v>
      </c>
      <c r="D65" s="121">
        <f t="shared" si="0"/>
        <v>31236736.456088882</v>
      </c>
      <c r="E65" s="121"/>
      <c r="F65" s="121">
        <f t="shared" si="1"/>
        <v>92490141.897083327</v>
      </c>
      <c r="G65" s="121">
        <f t="shared" si="1"/>
        <v>8759337.3329634201</v>
      </c>
      <c r="H65" s="121"/>
      <c r="I65" s="121">
        <f t="shared" si="2"/>
        <v>61943724.669166662</v>
      </c>
      <c r="J65" s="121">
        <f t="shared" si="2"/>
        <v>15823962.291957544</v>
      </c>
      <c r="K65" s="68"/>
    </row>
    <row r="66" spans="1:14" x14ac:dyDescent="0.3">
      <c r="A66" s="119" t="s">
        <v>125</v>
      </c>
      <c r="B66" s="110"/>
      <c r="C66" s="123">
        <f t="shared" si="0"/>
        <v>206290372.30333331</v>
      </c>
      <c r="D66" s="123">
        <f t="shared" si="0"/>
        <v>32130835.793408755</v>
      </c>
      <c r="E66" s="123"/>
      <c r="F66" s="123">
        <f t="shared" si="1"/>
        <v>93260014.252916649</v>
      </c>
      <c r="G66" s="123">
        <f t="shared" si="1"/>
        <v>9088616.1431631297</v>
      </c>
      <c r="H66" s="123"/>
      <c r="I66" s="123">
        <f t="shared" si="2"/>
        <v>61659304.40291667</v>
      </c>
      <c r="J66" s="123">
        <f t="shared" si="2"/>
        <v>15939194.343599023</v>
      </c>
      <c r="K66" s="68"/>
    </row>
    <row r="67" spans="1:14" x14ac:dyDescent="0.3">
      <c r="A67" s="117"/>
      <c r="B67" s="25"/>
      <c r="C67" s="34"/>
      <c r="D67" s="34"/>
      <c r="E67" s="34"/>
      <c r="F67" s="34"/>
      <c r="G67" s="34"/>
      <c r="H67" s="34"/>
      <c r="I67" s="34"/>
      <c r="J67" s="34"/>
      <c r="L67" s="120"/>
    </row>
    <row r="68" spans="1:14" outlineLevel="1" x14ac:dyDescent="0.3">
      <c r="A68" s="119" t="s">
        <v>124</v>
      </c>
      <c r="B68" s="116"/>
      <c r="C68" s="118">
        <f t="shared" ref="C68:C80" si="3">$L$68*I42</f>
        <v>29943062.296955496</v>
      </c>
      <c r="D68" s="118">
        <f t="shared" ref="D68:D80" si="4">$L$68*J42</f>
        <v>14427051.537061905</v>
      </c>
      <c r="E68" s="118"/>
      <c r="F68" s="118">
        <f t="shared" ref="F68:F80" si="5">I42*$M$68</f>
        <v>15660139.495544499</v>
      </c>
      <c r="G68" s="118">
        <f t="shared" ref="G68:G80" si="6">J42*$M$68</f>
        <v>7545308.4036354832</v>
      </c>
      <c r="H68" s="118"/>
      <c r="I68" s="118"/>
      <c r="J68" s="118"/>
      <c r="K68" s="114" t="s">
        <v>86</v>
      </c>
      <c r="L68" s="22">
        <v>0.65659999999999996</v>
      </c>
      <c r="M68" s="22">
        <v>0.34339999999999998</v>
      </c>
    </row>
    <row r="69" spans="1:14" outlineLevel="1" x14ac:dyDescent="0.3">
      <c r="A69" s="4" t="s">
        <v>123</v>
      </c>
      <c r="B69" s="25"/>
      <c r="C69" s="80">
        <f t="shared" si="3"/>
        <v>30568814.88670275</v>
      </c>
      <c r="D69" s="80">
        <f t="shared" si="4"/>
        <v>13444892.264561066</v>
      </c>
      <c r="E69" s="80"/>
      <c r="F69" s="80">
        <f t="shared" si="5"/>
        <v>15987406.38454725</v>
      </c>
      <c r="G69" s="80">
        <f t="shared" si="6"/>
        <v>7031641.7966041276</v>
      </c>
      <c r="H69" s="80"/>
      <c r="I69" s="80"/>
      <c r="J69" s="80"/>
      <c r="N69" s="23"/>
    </row>
    <row r="70" spans="1:14" outlineLevel="1" x14ac:dyDescent="0.3">
      <c r="A70" s="4" t="s">
        <v>122</v>
      </c>
      <c r="B70" s="25"/>
      <c r="C70" s="80">
        <f t="shared" si="3"/>
        <v>31218287.758804999</v>
      </c>
      <c r="D70" s="80">
        <f t="shared" si="4"/>
        <v>12435134.19259138</v>
      </c>
      <c r="E70" s="80"/>
      <c r="F70" s="80">
        <f t="shared" si="5"/>
        <v>16327078.916195001</v>
      </c>
      <c r="G70" s="80">
        <f t="shared" si="6"/>
        <v>6503541.0931097781</v>
      </c>
      <c r="H70" s="80"/>
      <c r="I70" s="80"/>
      <c r="J70" s="80"/>
    </row>
    <row r="71" spans="1:14" outlineLevel="1" x14ac:dyDescent="0.3">
      <c r="A71" s="4" t="s">
        <v>121</v>
      </c>
      <c r="B71" s="25"/>
      <c r="C71" s="80">
        <f t="shared" si="3"/>
        <v>31802935.372779671</v>
      </c>
      <c r="D71" s="80">
        <f t="shared" si="4"/>
        <v>11397668.246856719</v>
      </c>
      <c r="E71" s="80"/>
      <c r="F71" s="80">
        <f t="shared" si="5"/>
        <v>16632848.01555367</v>
      </c>
      <c r="G71" s="80">
        <f t="shared" si="6"/>
        <v>5960949.2475945745</v>
      </c>
      <c r="H71" s="80"/>
      <c r="I71" s="80"/>
      <c r="J71" s="80"/>
    </row>
    <row r="72" spans="1:14" outlineLevel="1" x14ac:dyDescent="0.3">
      <c r="A72" s="4" t="s">
        <v>120</v>
      </c>
      <c r="B72" s="25"/>
      <c r="C72" s="80">
        <f t="shared" si="3"/>
        <v>32321241.298068337</v>
      </c>
      <c r="D72" s="80">
        <f t="shared" si="4"/>
        <v>10332130.754055446</v>
      </c>
      <c r="E72" s="80"/>
      <c r="F72" s="80">
        <f t="shared" si="5"/>
        <v>16903920.593598336</v>
      </c>
      <c r="G72" s="80">
        <f t="shared" si="6"/>
        <v>5403676.0599187333</v>
      </c>
      <c r="H72" s="80"/>
      <c r="I72" s="80"/>
      <c r="J72" s="80"/>
    </row>
    <row r="73" spans="1:14" outlineLevel="1" x14ac:dyDescent="0.3">
      <c r="A73" s="4" t="s">
        <v>119</v>
      </c>
      <c r="B73" s="25"/>
      <c r="C73" s="80">
        <f t="shared" si="3"/>
        <v>32824019.941906087</v>
      </c>
      <c r="D73" s="80">
        <f t="shared" si="4"/>
        <v>9238264.5040247515</v>
      </c>
      <c r="E73" s="80"/>
      <c r="F73" s="80">
        <f t="shared" si="5"/>
        <v>17166872.446010586</v>
      </c>
      <c r="G73" s="80">
        <f t="shared" si="6"/>
        <v>4831587.0098722195</v>
      </c>
      <c r="H73" s="80"/>
      <c r="I73" s="80"/>
      <c r="J73" s="80"/>
    </row>
    <row r="74" spans="1:14" outlineLevel="1" x14ac:dyDescent="0.3">
      <c r="A74" s="4" t="s">
        <v>118</v>
      </c>
      <c r="B74" s="25"/>
      <c r="C74" s="80">
        <f t="shared" si="3"/>
        <v>33309346.373327501</v>
      </c>
      <c r="D74" s="80">
        <f t="shared" si="4"/>
        <v>8122405.7260006573</v>
      </c>
      <c r="E74" s="80"/>
      <c r="F74" s="80">
        <f t="shared" si="5"/>
        <v>17420696.839172501</v>
      </c>
      <c r="G74" s="80">
        <f t="shared" si="6"/>
        <v>4247995.9279753668</v>
      </c>
      <c r="H74" s="80"/>
      <c r="I74" s="80"/>
      <c r="J74" s="80"/>
    </row>
    <row r="75" spans="1:14" outlineLevel="1" x14ac:dyDescent="0.3">
      <c r="A75" s="4" t="s">
        <v>117</v>
      </c>
      <c r="B75" s="25"/>
      <c r="C75" s="80">
        <f t="shared" si="3"/>
        <v>34471585.676724583</v>
      </c>
      <c r="D75" s="80">
        <f t="shared" si="4"/>
        <v>7683000.7417575438</v>
      </c>
      <c r="E75" s="80"/>
      <c r="F75" s="80">
        <f t="shared" si="5"/>
        <v>18028544.808692086</v>
      </c>
      <c r="G75" s="80">
        <f t="shared" si="6"/>
        <v>4018188.3257988738</v>
      </c>
      <c r="H75" s="80"/>
      <c r="I75" s="80"/>
      <c r="J75" s="80"/>
    </row>
    <row r="76" spans="1:14" outlineLevel="1" x14ac:dyDescent="0.3">
      <c r="A76" s="4" t="s">
        <v>116</v>
      </c>
      <c r="B76" s="25"/>
      <c r="C76" s="80">
        <f t="shared" si="3"/>
        <v>36313500.216995172</v>
      </c>
      <c r="D76" s="80">
        <f t="shared" si="4"/>
        <v>7932906.9258418931</v>
      </c>
      <c r="E76" s="80"/>
      <c r="F76" s="80">
        <f t="shared" si="5"/>
        <v>18991861.063838169</v>
      </c>
      <c r="G76" s="80">
        <f t="shared" si="6"/>
        <v>4148888.5749834087</v>
      </c>
      <c r="H76" s="80"/>
      <c r="I76" s="80"/>
      <c r="J76" s="80"/>
      <c r="K76" s="115"/>
    </row>
    <row r="77" spans="1:14" outlineLevel="1" x14ac:dyDescent="0.3">
      <c r="A77" s="4" t="s">
        <v>115</v>
      </c>
      <c r="B77" s="25"/>
      <c r="C77" s="80">
        <f t="shared" si="3"/>
        <v>38155745.208998658</v>
      </c>
      <c r="D77" s="80">
        <f t="shared" si="4"/>
        <v>8191218.1253474448</v>
      </c>
      <c r="E77" s="80"/>
      <c r="F77" s="80">
        <f t="shared" si="5"/>
        <v>19955350.144334663</v>
      </c>
      <c r="G77" s="80">
        <f t="shared" si="6"/>
        <v>4283984.6241917647</v>
      </c>
      <c r="H77" s="80"/>
      <c r="I77" s="80"/>
      <c r="J77" s="80"/>
    </row>
    <row r="78" spans="1:14" outlineLevel="1" x14ac:dyDescent="0.3">
      <c r="A78" s="4" t="s">
        <v>114</v>
      </c>
      <c r="B78" s="25"/>
      <c r="C78" s="80">
        <f t="shared" si="3"/>
        <v>39951200.069450252</v>
      </c>
      <c r="D78" s="80">
        <f t="shared" si="4"/>
        <v>8457791.3377958778</v>
      </c>
      <c r="E78" s="80"/>
      <c r="F78" s="80">
        <f t="shared" si="5"/>
        <v>20894368.114299752</v>
      </c>
      <c r="G78" s="80">
        <f t="shared" si="6"/>
        <v>4423401.6835198058</v>
      </c>
      <c r="H78" s="80"/>
      <c r="I78" s="80"/>
      <c r="J78" s="80"/>
    </row>
    <row r="79" spans="1:14" outlineLevel="1" x14ac:dyDescent="0.3">
      <c r="A79" s="4" t="s">
        <v>113</v>
      </c>
      <c r="B79" s="25"/>
      <c r="C79" s="80">
        <f t="shared" si="3"/>
        <v>41687719.952950172</v>
      </c>
      <c r="D79" s="80">
        <f t="shared" si="4"/>
        <v>8734044.0656403974</v>
      </c>
      <c r="E79" s="80"/>
      <c r="F79" s="80">
        <f t="shared" si="5"/>
        <v>21802563.25288317</v>
      </c>
      <c r="G79" s="80">
        <f t="shared" si="6"/>
        <v>4567881.102864624</v>
      </c>
      <c r="H79" s="80"/>
      <c r="I79" s="80"/>
      <c r="J79" s="80"/>
    </row>
    <row r="80" spans="1:14" x14ac:dyDescent="0.3">
      <c r="A80" s="119" t="s">
        <v>112</v>
      </c>
      <c r="B80" s="116"/>
      <c r="C80" s="118">
        <f t="shared" si="3"/>
        <v>42556924.961924337</v>
      </c>
      <c r="D80" s="118">
        <f t="shared" si="4"/>
        <v>9016847.6578857452</v>
      </c>
      <c r="E80" s="118"/>
      <c r="F80" s="118">
        <f t="shared" si="5"/>
        <v>22257155.089742336</v>
      </c>
      <c r="G80" s="118">
        <f t="shared" si="6"/>
        <v>4715786.6063325694</v>
      </c>
      <c r="H80" s="118"/>
      <c r="I80" s="118"/>
      <c r="J80" s="118"/>
      <c r="K80" s="68"/>
      <c r="L80"/>
      <c r="M80"/>
      <c r="N80"/>
    </row>
    <row r="81" spans="1:14" x14ac:dyDescent="0.3">
      <c r="A81" s="4" t="s">
        <v>111</v>
      </c>
      <c r="B81" s="25"/>
      <c r="C81" s="34">
        <f t="shared" ref="C81:C92" si="7">$L$92*I55</f>
        <v>42419914.114684336</v>
      </c>
      <c r="D81" s="34">
        <f t="shared" ref="D81:D92" si="8">$L$92*J55</f>
        <v>9220764.4429820906</v>
      </c>
      <c r="E81" s="34"/>
      <c r="F81" s="34">
        <f t="shared" ref="F81:F92" si="9">I55*$M$92</f>
        <v>22284042.741149005</v>
      </c>
      <c r="G81" s="34">
        <f t="shared" ref="G81:G92" si="10">J55*$M$92</f>
        <v>4843854.9026281759</v>
      </c>
      <c r="H81" s="34"/>
      <c r="I81" s="34"/>
      <c r="J81" s="34"/>
      <c r="K81" s="68"/>
      <c r="L81" s="68">
        <f>+D81-D80</f>
        <v>203916.78509634547</v>
      </c>
      <c r="M81" s="68">
        <f>+G81-G80</f>
        <v>128068.29629560653</v>
      </c>
      <c r="N81" s="68">
        <f>+J81-J80</f>
        <v>0</v>
      </c>
    </row>
    <row r="82" spans="1:14" x14ac:dyDescent="0.3">
      <c r="A82" s="4" t="s">
        <v>110</v>
      </c>
      <c r="B82" s="25"/>
      <c r="C82" s="34">
        <f t="shared" si="7"/>
        <v>42257699.99472817</v>
      </c>
      <c r="D82" s="34">
        <f t="shared" si="8"/>
        <v>9370651.7255576327</v>
      </c>
      <c r="E82" s="34"/>
      <c r="F82" s="34">
        <f t="shared" si="9"/>
        <v>22198828.3681885</v>
      </c>
      <c r="G82" s="34">
        <f t="shared" si="10"/>
        <v>4922593.7374649914</v>
      </c>
      <c r="H82" s="34"/>
      <c r="I82" s="34"/>
      <c r="J82" s="34"/>
      <c r="K82" s="68"/>
      <c r="L82"/>
      <c r="M82"/>
      <c r="N82"/>
    </row>
    <row r="83" spans="1:14" x14ac:dyDescent="0.3">
      <c r="A83" s="4" t="s">
        <v>109</v>
      </c>
      <c r="B83" s="25"/>
      <c r="C83" s="34">
        <f t="shared" si="7"/>
        <v>42106942.693198167</v>
      </c>
      <c r="D83" s="34">
        <f t="shared" si="8"/>
        <v>9518074.6296444703</v>
      </c>
      <c r="E83" s="34"/>
      <c r="F83" s="34">
        <f t="shared" si="9"/>
        <v>22119632.494718503</v>
      </c>
      <c r="G83" s="34">
        <f t="shared" si="10"/>
        <v>5000037.984212257</v>
      </c>
      <c r="H83" s="34"/>
      <c r="I83" s="34"/>
      <c r="J83" s="34"/>
      <c r="K83" s="68"/>
    </row>
    <row r="84" spans="1:14" x14ac:dyDescent="0.3">
      <c r="A84" s="4" t="s">
        <v>108</v>
      </c>
      <c r="B84" s="25"/>
      <c r="C84" s="34">
        <f t="shared" si="7"/>
        <v>41955866.408941843</v>
      </c>
      <c r="D84" s="34">
        <f t="shared" si="8"/>
        <v>9663063.2898541559</v>
      </c>
      <c r="E84" s="34"/>
      <c r="F84" s="34">
        <f t="shared" si="9"/>
        <v>22040269.053141505</v>
      </c>
      <c r="G84" s="34">
        <f t="shared" si="10"/>
        <v>5076203.4731936716</v>
      </c>
      <c r="H84" s="34"/>
      <c r="I84" s="34"/>
      <c r="J84" s="34"/>
      <c r="K84" s="68"/>
    </row>
    <row r="85" spans="1:14" x14ac:dyDescent="0.3">
      <c r="A85" s="4" t="s">
        <v>107</v>
      </c>
      <c r="B85" s="25"/>
      <c r="C85" s="34">
        <f t="shared" si="7"/>
        <v>41791458.835500002</v>
      </c>
      <c r="D85" s="34">
        <f t="shared" si="8"/>
        <v>9805592.5294170063</v>
      </c>
      <c r="E85" s="34"/>
      <c r="F85" s="34">
        <f t="shared" si="9"/>
        <v>21953902.414500002</v>
      </c>
      <c r="G85" s="34">
        <f t="shared" si="10"/>
        <v>5151076.9785405993</v>
      </c>
      <c r="H85" s="34"/>
      <c r="I85" s="34"/>
      <c r="J85" s="34"/>
      <c r="K85" s="68"/>
    </row>
    <row r="86" spans="1:14" x14ac:dyDescent="0.3">
      <c r="A86" s="4" t="s">
        <v>106</v>
      </c>
      <c r="B86" s="25"/>
      <c r="C86" s="34">
        <f t="shared" si="7"/>
        <v>41631836.527433172</v>
      </c>
      <c r="D86" s="34">
        <f t="shared" si="8"/>
        <v>9940255.5435690545</v>
      </c>
      <c r="E86" s="34"/>
      <c r="F86" s="34">
        <f t="shared" si="9"/>
        <v>21870049.572983503</v>
      </c>
      <c r="G86" s="34">
        <f t="shared" si="10"/>
        <v>5221818.1958590336</v>
      </c>
      <c r="H86" s="34"/>
      <c r="I86" s="34"/>
      <c r="J86" s="34"/>
      <c r="K86" s="68"/>
    </row>
    <row r="87" spans="1:14" x14ac:dyDescent="0.3">
      <c r="A87" s="4" t="s">
        <v>105</v>
      </c>
      <c r="B87" s="25"/>
      <c r="C87" s="34">
        <f t="shared" si="7"/>
        <v>41446791.053888008</v>
      </c>
      <c r="D87" s="34">
        <f t="shared" si="8"/>
        <v>10047332.670955652</v>
      </c>
      <c r="E87" s="34"/>
      <c r="F87" s="34">
        <f t="shared" si="9"/>
        <v>21772841.426112007</v>
      </c>
      <c r="G87" s="34">
        <f t="shared" si="10"/>
        <v>5278067.9863897599</v>
      </c>
      <c r="H87" s="34"/>
      <c r="I87" s="34"/>
      <c r="J87" s="34"/>
      <c r="K87" s="68"/>
    </row>
    <row r="88" spans="1:14" x14ac:dyDescent="0.3">
      <c r="A88" s="4" t="s">
        <v>104</v>
      </c>
      <c r="B88" s="25"/>
      <c r="C88" s="34">
        <f t="shared" si="7"/>
        <v>41233233.029618666</v>
      </c>
      <c r="D88" s="34">
        <f t="shared" si="8"/>
        <v>10131803.977235485</v>
      </c>
      <c r="E88" s="34"/>
      <c r="F88" s="34">
        <f t="shared" si="9"/>
        <v>21660655.057048</v>
      </c>
      <c r="G88" s="34">
        <f t="shared" si="10"/>
        <v>5322442.479804608</v>
      </c>
      <c r="H88" s="34"/>
      <c r="I88" s="34"/>
      <c r="J88" s="34"/>
      <c r="K88" s="68"/>
    </row>
    <row r="89" spans="1:14" x14ac:dyDescent="0.3">
      <c r="A89" s="4" t="s">
        <v>103</v>
      </c>
      <c r="B89" s="25"/>
      <c r="C89" s="34">
        <f t="shared" si="7"/>
        <v>41018520.38803383</v>
      </c>
      <c r="D89" s="34">
        <f t="shared" si="8"/>
        <v>10214702.737908354</v>
      </c>
      <c r="E89" s="34"/>
      <c r="F89" s="34">
        <f t="shared" si="9"/>
        <v>21547862.144049499</v>
      </c>
      <c r="G89" s="34">
        <f t="shared" si="10"/>
        <v>5365990.88306229</v>
      </c>
      <c r="H89" s="34"/>
      <c r="I89" s="34"/>
      <c r="J89" s="34"/>
      <c r="K89" s="68"/>
    </row>
    <row r="90" spans="1:14" x14ac:dyDescent="0.3">
      <c r="A90" s="4" t="s">
        <v>102</v>
      </c>
      <c r="B90" s="25"/>
      <c r="C90" s="34">
        <f t="shared" si="7"/>
        <v>40807920.9439715</v>
      </c>
      <c r="D90" s="34">
        <f t="shared" si="8"/>
        <v>10296051.479003193</v>
      </c>
      <c r="E90" s="34"/>
      <c r="F90" s="34">
        <f t="shared" si="9"/>
        <v>21437229.977278501</v>
      </c>
      <c r="G90" s="34">
        <f t="shared" si="10"/>
        <v>5408725.0295434715</v>
      </c>
      <c r="H90" s="34"/>
      <c r="I90" s="34"/>
      <c r="J90" s="34"/>
      <c r="K90" s="68"/>
    </row>
    <row r="91" spans="1:14" x14ac:dyDescent="0.3">
      <c r="A91" s="4" t="s">
        <v>101</v>
      </c>
      <c r="B91" s="25"/>
      <c r="C91" s="34">
        <f t="shared" si="7"/>
        <v>40610305.893105663</v>
      </c>
      <c r="D91" s="34">
        <f t="shared" si="8"/>
        <v>10374189.678607365</v>
      </c>
      <c r="E91" s="34"/>
      <c r="F91" s="34">
        <f t="shared" si="9"/>
        <v>21333418.776060998</v>
      </c>
      <c r="G91" s="34">
        <f t="shared" si="10"/>
        <v>5449772.6133501781</v>
      </c>
      <c r="H91" s="34"/>
      <c r="I91" s="34"/>
      <c r="J91" s="34"/>
      <c r="K91" s="68"/>
      <c r="L91" s="120" t="s">
        <v>13</v>
      </c>
    </row>
    <row r="92" spans="1:14" x14ac:dyDescent="0.3">
      <c r="A92" s="4" t="s">
        <v>100</v>
      </c>
      <c r="B92" s="25"/>
      <c r="C92" s="34">
        <f t="shared" si="7"/>
        <v>40423839.966552168</v>
      </c>
      <c r="D92" s="34">
        <f t="shared" si="8"/>
        <v>10449735.81166352</v>
      </c>
      <c r="E92" s="34"/>
      <c r="F92" s="34">
        <f t="shared" si="9"/>
        <v>21235464.436364502</v>
      </c>
      <c r="G92" s="34">
        <f t="shared" si="10"/>
        <v>5489458.5319355037</v>
      </c>
      <c r="H92" s="34"/>
      <c r="I92" s="34"/>
      <c r="J92" s="34"/>
      <c r="K92" s="68"/>
      <c r="L92" s="22">
        <f>+[4]Lead!$E$35</f>
        <v>0.65559999999999996</v>
      </c>
      <c r="M92" s="22">
        <f>+[4]Lead!$F$35</f>
        <v>0.34439999999999998</v>
      </c>
      <c r="N92" s="141">
        <f>SUM(L92:M92)</f>
        <v>1</v>
      </c>
    </row>
    <row r="93" spans="1:14" x14ac:dyDescent="0.3">
      <c r="A93" s="117"/>
      <c r="B93" s="25"/>
      <c r="C93" s="34"/>
      <c r="D93" s="34"/>
      <c r="E93" s="34"/>
      <c r="F93" s="34"/>
      <c r="G93" s="34"/>
      <c r="H93" s="34"/>
      <c r="I93" s="34"/>
      <c r="J93" s="34"/>
    </row>
    <row r="94" spans="1:14" ht="15" hidden="1" outlineLevel="1" thickBot="1" x14ac:dyDescent="0.35">
      <c r="A94" s="113" t="s">
        <v>99</v>
      </c>
      <c r="B94" s="142"/>
      <c r="C94" s="143">
        <f t="shared" ref="C94:D118" si="11">C42+C68</f>
        <v>180023261.47153881</v>
      </c>
      <c r="D94" s="143">
        <f t="shared" si="11"/>
        <v>28264357.629861902</v>
      </c>
      <c r="E94" s="143"/>
      <c r="F94" s="143">
        <f t="shared" ref="F94:G118" si="12">F42+F68</f>
        <v>81146177.148461148</v>
      </c>
      <c r="G94" s="143">
        <f t="shared" si="12"/>
        <v>11215043.25871814</v>
      </c>
      <c r="H94" s="143"/>
      <c r="I94" s="143">
        <f t="shared" ref="I94:J105" si="13">I42+I68</f>
        <v>45603201.792499997</v>
      </c>
      <c r="J94" s="143">
        <f t="shared" si="13"/>
        <v>21972359.940697391</v>
      </c>
      <c r="K94" s="114"/>
    </row>
    <row r="95" spans="1:14" ht="15.6" hidden="1" outlineLevel="1" thickTop="1" thickBot="1" x14ac:dyDescent="0.35">
      <c r="A95" s="113" t="s">
        <v>98</v>
      </c>
      <c r="B95" s="142"/>
      <c r="C95" s="143">
        <f t="shared" si="11"/>
        <v>183578610.48878607</v>
      </c>
      <c r="D95" s="143">
        <f t="shared" si="11"/>
        <v>27975955.029887728</v>
      </c>
      <c r="E95" s="143"/>
      <c r="F95" s="143">
        <f t="shared" si="12"/>
        <v>83555851.904130578</v>
      </c>
      <c r="G95" s="143">
        <f t="shared" si="12"/>
        <v>10878205.579928905</v>
      </c>
      <c r="H95" s="143"/>
      <c r="I95" s="144">
        <f t="shared" si="13"/>
        <v>46556221.271250002</v>
      </c>
      <c r="J95" s="144">
        <f t="shared" si="13"/>
        <v>20476534.061165195</v>
      </c>
    </row>
    <row r="96" spans="1:14" ht="15.6" hidden="1" outlineLevel="1" thickTop="1" thickBot="1" x14ac:dyDescent="0.35">
      <c r="A96" s="113" t="s">
        <v>97</v>
      </c>
      <c r="B96" s="122"/>
      <c r="C96" s="143">
        <f t="shared" si="11"/>
        <v>187015215.55963832</v>
      </c>
      <c r="D96" s="143">
        <f t="shared" si="11"/>
        <v>27672838.969649971</v>
      </c>
      <c r="E96" s="143"/>
      <c r="F96" s="143">
        <f t="shared" si="12"/>
        <v>85868223.492445007</v>
      </c>
      <c r="G96" s="143">
        <f t="shared" si="12"/>
        <v>10530569.023762871</v>
      </c>
      <c r="H96" s="143"/>
      <c r="I96" s="144">
        <f t="shared" si="13"/>
        <v>47545366.675000004</v>
      </c>
      <c r="J96" s="144">
        <f t="shared" si="13"/>
        <v>18938675.285701159</v>
      </c>
    </row>
    <row r="97" spans="1:11" ht="15.6" hidden="1" outlineLevel="1" thickTop="1" thickBot="1" x14ac:dyDescent="0.35">
      <c r="A97" s="113" t="s">
        <v>96</v>
      </c>
      <c r="B97" s="122"/>
      <c r="C97" s="143">
        <f t="shared" si="11"/>
        <v>190304161.10652968</v>
      </c>
      <c r="D97" s="143">
        <f t="shared" si="11"/>
        <v>27354624.060609266</v>
      </c>
      <c r="E97" s="143"/>
      <c r="F97" s="143">
        <f t="shared" si="12"/>
        <v>87952720.142636985</v>
      </c>
      <c r="G97" s="143">
        <f t="shared" si="12"/>
        <v>10169496.213150807</v>
      </c>
      <c r="H97" s="143"/>
      <c r="I97" s="143">
        <f t="shared" si="13"/>
        <v>48435783.388333343</v>
      </c>
      <c r="J97" s="143">
        <f t="shared" si="13"/>
        <v>17358617.494451296</v>
      </c>
    </row>
    <row r="98" spans="1:11" ht="15.6" hidden="1" outlineLevel="1" thickTop="1" thickBot="1" x14ac:dyDescent="0.35">
      <c r="A98" s="113" t="s">
        <v>95</v>
      </c>
      <c r="B98" s="122"/>
      <c r="C98" s="143">
        <f t="shared" si="11"/>
        <v>193397541.56306833</v>
      </c>
      <c r="D98" s="143">
        <f t="shared" si="11"/>
        <v>27020482.519177202</v>
      </c>
      <c r="E98" s="143"/>
      <c r="F98" s="143">
        <f t="shared" si="12"/>
        <v>89871983.32693167</v>
      </c>
      <c r="G98" s="143">
        <f t="shared" si="12"/>
        <v>9798808.3414100744</v>
      </c>
      <c r="H98" s="143"/>
      <c r="I98" s="143">
        <f t="shared" si="13"/>
        <v>49225161.891666673</v>
      </c>
      <c r="J98" s="143">
        <f t="shared" si="13"/>
        <v>15735806.813974179</v>
      </c>
    </row>
    <row r="99" spans="1:11" ht="15.6" hidden="1" outlineLevel="1" thickTop="1" thickBot="1" x14ac:dyDescent="0.35">
      <c r="A99" s="113" t="s">
        <v>94</v>
      </c>
      <c r="B99" s="122"/>
      <c r="C99" s="143">
        <f t="shared" si="11"/>
        <v>196314439.33190611</v>
      </c>
      <c r="D99" s="143">
        <f t="shared" si="11"/>
        <v>26669482.876264483</v>
      </c>
      <c r="E99" s="143"/>
      <c r="F99" s="143">
        <f t="shared" si="12"/>
        <v>91740539.753927246</v>
      </c>
      <c r="G99" s="143">
        <f t="shared" si="12"/>
        <v>9421115.3369489554</v>
      </c>
      <c r="H99" s="143"/>
      <c r="I99" s="143">
        <f t="shared" si="13"/>
        <v>49990892.387916677</v>
      </c>
      <c r="J99" s="143">
        <f t="shared" si="13"/>
        <v>14069851.513896972</v>
      </c>
    </row>
    <row r="100" spans="1:11" ht="15.6" hidden="1" outlineLevel="1" thickTop="1" thickBot="1" x14ac:dyDescent="0.35">
      <c r="A100" s="113" t="s">
        <v>93</v>
      </c>
      <c r="B100" s="122"/>
      <c r="C100" s="143">
        <f t="shared" si="11"/>
        <v>198617675.11124417</v>
      </c>
      <c r="D100" s="143">
        <f t="shared" si="11"/>
        <v>26306210.879119173</v>
      </c>
      <c r="E100" s="143"/>
      <c r="F100" s="143">
        <f t="shared" si="12"/>
        <v>93384019.18208915</v>
      </c>
      <c r="G100" s="143">
        <f t="shared" si="12"/>
        <v>9037364.1484595835</v>
      </c>
      <c r="H100" s="143"/>
      <c r="I100" s="143">
        <f t="shared" si="13"/>
        <v>50730043.212500006</v>
      </c>
      <c r="J100" s="143">
        <f t="shared" si="13"/>
        <v>12370401.653976025</v>
      </c>
    </row>
    <row r="101" spans="1:11" ht="15.6" hidden="1" outlineLevel="1" thickTop="1" thickBot="1" x14ac:dyDescent="0.35">
      <c r="A101" s="113" t="s">
        <v>92</v>
      </c>
      <c r="B101" s="122"/>
      <c r="C101" s="143">
        <f t="shared" si="11"/>
        <v>201307759.13214126</v>
      </c>
      <c r="D101" s="143">
        <f t="shared" si="11"/>
        <v>26627091.783066921</v>
      </c>
      <c r="E101" s="143"/>
      <c r="F101" s="143">
        <f t="shared" si="12"/>
        <v>95239155.311608732</v>
      </c>
      <c r="G101" s="143">
        <f t="shared" si="12"/>
        <v>9006252.1504674517</v>
      </c>
      <c r="H101" s="143"/>
      <c r="I101" s="143">
        <f t="shared" si="13"/>
        <v>52500130.485416673</v>
      </c>
      <c r="J101" s="143">
        <f t="shared" si="13"/>
        <v>11701189.067556418</v>
      </c>
    </row>
    <row r="102" spans="1:11" ht="15.6" hidden="1" outlineLevel="1" thickTop="1" thickBot="1" x14ac:dyDescent="0.35">
      <c r="A102" s="113" t="s">
        <v>91</v>
      </c>
      <c r="B102" s="122"/>
      <c r="C102" s="143">
        <f t="shared" si="11"/>
        <v>204987916.05907848</v>
      </c>
      <c r="D102" s="143">
        <f t="shared" si="11"/>
        <v>27645029.871917106</v>
      </c>
      <c r="E102" s="143"/>
      <c r="F102" s="143">
        <f t="shared" si="12"/>
        <v>97413621.485504821</v>
      </c>
      <c r="G102" s="143">
        <f t="shared" si="12"/>
        <v>9332434.6419187896</v>
      </c>
      <c r="H102" s="143"/>
      <c r="I102" s="143">
        <f t="shared" si="13"/>
        <v>55305361.280833341</v>
      </c>
      <c r="J102" s="143">
        <f t="shared" si="13"/>
        <v>12081795.500825303</v>
      </c>
      <c r="K102" s="115"/>
    </row>
    <row r="103" spans="1:11" ht="15.6" hidden="1" outlineLevel="1" thickTop="1" thickBot="1" x14ac:dyDescent="0.35">
      <c r="A103" s="113" t="s">
        <v>90</v>
      </c>
      <c r="B103" s="122"/>
      <c r="C103" s="143">
        <f t="shared" si="11"/>
        <v>208845478.18108198</v>
      </c>
      <c r="D103" s="143">
        <f t="shared" si="11"/>
        <v>28680215.82322824</v>
      </c>
      <c r="E103" s="143"/>
      <c r="F103" s="143">
        <f t="shared" si="12"/>
        <v>99477389.20891799</v>
      </c>
      <c r="G103" s="143">
        <f t="shared" si="12"/>
        <v>9663730.4317214713</v>
      </c>
      <c r="H103" s="143"/>
      <c r="I103" s="143">
        <f t="shared" si="13"/>
        <v>58111095.353333324</v>
      </c>
      <c r="J103" s="143">
        <f t="shared" si="13"/>
        <v>12475202.74953921</v>
      </c>
    </row>
    <row r="104" spans="1:11" ht="15.6" hidden="1" outlineLevel="1" thickTop="1" thickBot="1" x14ac:dyDescent="0.35">
      <c r="A104" s="113" t="s">
        <v>89</v>
      </c>
      <c r="B104" s="122"/>
      <c r="C104" s="143">
        <f t="shared" si="11"/>
        <v>212665059.55486694</v>
      </c>
      <c r="D104" s="143">
        <f t="shared" si="11"/>
        <v>29732939.855645932</v>
      </c>
      <c r="E104" s="143"/>
      <c r="F104" s="143">
        <f t="shared" si="12"/>
        <v>101319542.86013308</v>
      </c>
      <c r="G104" s="143">
        <f t="shared" si="12"/>
        <v>10005636.858842157</v>
      </c>
      <c r="H104" s="143"/>
      <c r="I104" s="143">
        <f t="shared" si="13"/>
        <v>60845568.183750004</v>
      </c>
      <c r="J104" s="143">
        <f t="shared" si="13"/>
        <v>12881193.021315685</v>
      </c>
    </row>
    <row r="105" spans="1:11" ht="15.6" hidden="1" outlineLevel="1" thickTop="1" thickBot="1" x14ac:dyDescent="0.35">
      <c r="A105" s="113" t="s">
        <v>88</v>
      </c>
      <c r="B105" s="122"/>
      <c r="C105" s="143">
        <f t="shared" si="11"/>
        <v>216493848.64170018</v>
      </c>
      <c r="D105" s="143">
        <f t="shared" si="11"/>
        <v>30804810.052518193</v>
      </c>
      <c r="E105" s="143"/>
      <c r="F105" s="143">
        <f t="shared" si="12"/>
        <v>103009102.23913316</v>
      </c>
      <c r="G105" s="143">
        <f t="shared" si="12"/>
        <v>10360922.580988575</v>
      </c>
      <c r="H105" s="143"/>
      <c r="I105" s="143">
        <f t="shared" si="13"/>
        <v>63490283.205833346</v>
      </c>
      <c r="J105" s="143">
        <f t="shared" si="13"/>
        <v>13301925.168505022</v>
      </c>
    </row>
    <row r="106" spans="1:11" ht="15" collapsed="1" thickBot="1" x14ac:dyDescent="0.35">
      <c r="A106" s="113" t="s">
        <v>87</v>
      </c>
      <c r="B106" s="122"/>
      <c r="C106" s="143">
        <f t="shared" si="11"/>
        <v>219430371.45025772</v>
      </c>
      <c r="D106" s="143">
        <f t="shared" si="11"/>
        <v>31844753.859865982</v>
      </c>
      <c r="E106" s="143"/>
      <c r="F106" s="143">
        <f t="shared" si="12"/>
        <v>104292323.71140899</v>
      </c>
      <c r="G106" s="143">
        <f t="shared" si="12"/>
        <v>10713779.193823919</v>
      </c>
      <c r="H106" s="143"/>
      <c r="I106"/>
      <c r="J106"/>
      <c r="K106" s="114"/>
    </row>
    <row r="107" spans="1:11" ht="15.6" thickTop="1" thickBot="1" x14ac:dyDescent="0.35">
      <c r="A107" s="113" t="s">
        <v>85</v>
      </c>
      <c r="B107" s="142"/>
      <c r="C107" s="143">
        <f t="shared" si="11"/>
        <v>221353987.07676768</v>
      </c>
      <c r="D107" s="143">
        <f t="shared" si="11"/>
        <v>32767736.764184989</v>
      </c>
      <c r="E107" s="143"/>
      <c r="F107" s="143">
        <f t="shared" si="12"/>
        <v>105152905.48781566</v>
      </c>
      <c r="G107" s="143">
        <f t="shared" si="12"/>
        <v>11040517.236048479</v>
      </c>
      <c r="H107" s="143"/>
      <c r="I107"/>
      <c r="J107"/>
    </row>
    <row r="108" spans="1:11" ht="15.6" thickTop="1" thickBot="1" x14ac:dyDescent="0.35">
      <c r="A108" s="113" t="s">
        <v>84</v>
      </c>
      <c r="B108" s="27"/>
      <c r="C108" s="112">
        <f t="shared" si="11"/>
        <v>223317507.09514487</v>
      </c>
      <c r="D108" s="112">
        <f t="shared" si="11"/>
        <v>33642952.900529057</v>
      </c>
      <c r="E108" s="112"/>
      <c r="F108" s="112">
        <f t="shared" si="12"/>
        <v>106057878.70110516</v>
      </c>
      <c r="G108" s="112">
        <f t="shared" si="12"/>
        <v>11333934.803415036</v>
      </c>
      <c r="H108" s="112"/>
      <c r="I108"/>
      <c r="J108"/>
    </row>
    <row r="109" spans="1:11" ht="15.6" thickTop="1" thickBot="1" x14ac:dyDescent="0.35">
      <c r="A109" s="113" t="s">
        <v>83</v>
      </c>
      <c r="B109" s="27"/>
      <c r="C109" s="112">
        <f t="shared" si="11"/>
        <v>225258572.92111486</v>
      </c>
      <c r="D109" s="112">
        <f t="shared" si="11"/>
        <v>34522022.472326398</v>
      </c>
      <c r="E109" s="112"/>
      <c r="F109" s="112">
        <f t="shared" si="12"/>
        <v>106960256.58721851</v>
      </c>
      <c r="G109" s="112">
        <f t="shared" si="12"/>
        <v>11634584.940150302</v>
      </c>
      <c r="H109" s="112"/>
      <c r="I109"/>
      <c r="J109"/>
    </row>
    <row r="110" spans="1:11" ht="15.6" thickTop="1" thickBot="1" x14ac:dyDescent="0.35">
      <c r="A110" s="113" t="s">
        <v>82</v>
      </c>
      <c r="B110" s="27"/>
      <c r="C110" s="112">
        <f t="shared" si="11"/>
        <v>227376394.9347752</v>
      </c>
      <c r="D110" s="112">
        <f t="shared" si="11"/>
        <v>35409614.824948579</v>
      </c>
      <c r="E110" s="112"/>
      <c r="F110" s="112">
        <f t="shared" si="12"/>
        <v>107766107.24814151</v>
      </c>
      <c r="G110" s="112">
        <f t="shared" si="12"/>
        <v>11937259.141609825</v>
      </c>
      <c r="H110" s="112"/>
      <c r="I110"/>
      <c r="J110"/>
    </row>
    <row r="111" spans="1:11" ht="15.6" thickTop="1" thickBot="1" x14ac:dyDescent="0.35">
      <c r="A111" s="113" t="s">
        <v>81</v>
      </c>
      <c r="B111" s="27"/>
      <c r="C111" s="112">
        <f t="shared" si="11"/>
        <v>229769627.22883335</v>
      </c>
      <c r="D111" s="112">
        <f t="shared" si="11"/>
        <v>36306792.911023855</v>
      </c>
      <c r="E111" s="112"/>
      <c r="F111" s="112">
        <f t="shared" si="12"/>
        <v>108643153.52116667</v>
      </c>
      <c r="G111" s="112">
        <f t="shared" si="12"/>
        <v>12247759.368332244</v>
      </c>
      <c r="H111" s="112"/>
      <c r="I111"/>
      <c r="J111"/>
    </row>
    <row r="112" spans="1:11" ht="15.6" thickTop="1" thickBot="1" x14ac:dyDescent="0.35">
      <c r="A112" s="113" t="s">
        <v>80</v>
      </c>
      <c r="B112" s="27"/>
      <c r="C112" s="112">
        <f t="shared" si="11"/>
        <v>232458810.8311832</v>
      </c>
      <c r="D112" s="112">
        <f t="shared" si="11"/>
        <v>37171427.744867168</v>
      </c>
      <c r="E112" s="112"/>
      <c r="F112" s="112">
        <f t="shared" si="12"/>
        <v>109600339.37881683</v>
      </c>
      <c r="G112" s="112">
        <f t="shared" si="12"/>
        <v>12550726.476295587</v>
      </c>
      <c r="H112" s="112"/>
      <c r="I112"/>
      <c r="J112"/>
    </row>
    <row r="113" spans="1:10" ht="15.6" thickTop="1" thickBot="1" x14ac:dyDescent="0.35">
      <c r="A113" s="113" t="s">
        <v>79</v>
      </c>
      <c r="B113" s="27"/>
      <c r="C113" s="112">
        <f t="shared" si="11"/>
        <v>235258428.28597134</v>
      </c>
      <c r="D113" s="112">
        <f t="shared" si="11"/>
        <v>38022863.418524288</v>
      </c>
      <c r="E113" s="112"/>
      <c r="F113" s="112">
        <f t="shared" si="12"/>
        <v>110525936.94527867</v>
      </c>
      <c r="G113" s="112">
        <f t="shared" si="12"/>
        <v>12851313.78675947</v>
      </c>
      <c r="H113" s="112"/>
      <c r="I113"/>
      <c r="J113"/>
    </row>
    <row r="114" spans="1:10" ht="15.6" thickTop="1" thickBot="1" x14ac:dyDescent="0.35">
      <c r="A114" s="113" t="s">
        <v>78</v>
      </c>
      <c r="B114" s="27"/>
      <c r="C114" s="112">
        <f t="shared" si="11"/>
        <v>237814790.72170198</v>
      </c>
      <c r="D114" s="112">
        <f t="shared" si="11"/>
        <v>38903977.233220167</v>
      </c>
      <c r="E114" s="112"/>
      <c r="F114" s="112">
        <f t="shared" si="12"/>
        <v>111315882.69871464</v>
      </c>
      <c r="G114" s="112">
        <f t="shared" si="12"/>
        <v>13169092.886867192</v>
      </c>
      <c r="H114" s="112"/>
      <c r="I114"/>
      <c r="J114"/>
    </row>
    <row r="115" spans="1:10" ht="15.6" thickTop="1" thickBot="1" x14ac:dyDescent="0.35">
      <c r="A115" s="113" t="s">
        <v>77</v>
      </c>
      <c r="B115" s="27"/>
      <c r="C115" s="112">
        <f t="shared" si="11"/>
        <v>240032468.2647005</v>
      </c>
      <c r="D115" s="112">
        <f t="shared" si="11"/>
        <v>39796470.253220685</v>
      </c>
      <c r="E115" s="112"/>
      <c r="F115" s="112">
        <f t="shared" si="12"/>
        <v>112058782.44154949</v>
      </c>
      <c r="G115" s="112">
        <f t="shared" si="12"/>
        <v>13504954.954060229</v>
      </c>
      <c r="H115" s="112"/>
      <c r="I115"/>
      <c r="J115"/>
    </row>
    <row r="116" spans="1:10" ht="15.6" thickTop="1" thickBot="1" x14ac:dyDescent="0.35">
      <c r="A116" s="113" t="s">
        <v>76</v>
      </c>
      <c r="B116" s="27"/>
      <c r="C116" s="112">
        <f t="shared" si="11"/>
        <v>242131399.32563818</v>
      </c>
      <c r="D116" s="112">
        <f t="shared" si="11"/>
        <v>40699312.136497766</v>
      </c>
      <c r="E116" s="112"/>
      <c r="F116" s="112">
        <f t="shared" si="12"/>
        <v>112905488.86644515</v>
      </c>
      <c r="G116" s="112">
        <f t="shared" si="12"/>
        <v>13853381.267662741</v>
      </c>
      <c r="H116" s="112"/>
      <c r="I116"/>
      <c r="J116"/>
    </row>
    <row r="117" spans="1:10" ht="15.6" thickTop="1" thickBot="1" x14ac:dyDescent="0.35">
      <c r="A117" s="113" t="s">
        <v>75</v>
      </c>
      <c r="B117" s="27"/>
      <c r="C117" s="112">
        <f t="shared" si="11"/>
        <v>244398060.77560568</v>
      </c>
      <c r="D117" s="112">
        <f t="shared" si="11"/>
        <v>41610926.134696245</v>
      </c>
      <c r="E117" s="112"/>
      <c r="F117" s="112">
        <f t="shared" si="12"/>
        <v>113823560.67314433</v>
      </c>
      <c r="G117" s="112">
        <f t="shared" si="12"/>
        <v>14209109.946313597</v>
      </c>
      <c r="H117" s="112"/>
      <c r="I117"/>
      <c r="J117"/>
    </row>
    <row r="118" spans="1:10" ht="15.6" thickTop="1" thickBot="1" x14ac:dyDescent="0.35">
      <c r="A118" s="111" t="s">
        <v>74</v>
      </c>
      <c r="B118" s="110"/>
      <c r="C118" s="109">
        <f t="shared" si="11"/>
        <v>246714212.26988548</v>
      </c>
      <c r="D118" s="109">
        <f t="shared" si="11"/>
        <v>42580571.605072275</v>
      </c>
      <c r="E118" s="109"/>
      <c r="F118" s="109">
        <f t="shared" si="12"/>
        <v>114495478.68928115</v>
      </c>
      <c r="G118" s="109">
        <f t="shared" si="12"/>
        <v>14578074.675098633</v>
      </c>
      <c r="H118" s="109"/>
      <c r="I118"/>
      <c r="J118"/>
    </row>
    <row r="119" spans="1:10" ht="15" thickTop="1" x14ac:dyDescent="0.3">
      <c r="I119"/>
      <c r="J119"/>
    </row>
    <row r="185" spans="1:8" x14ac:dyDescent="0.3">
      <c r="A185" s="6"/>
      <c r="B185" s="6"/>
      <c r="C185" s="6"/>
      <c r="D185" s="6"/>
      <c r="E185" s="6"/>
      <c r="F185" s="6"/>
      <c r="G185" s="6"/>
      <c r="H185" s="6"/>
    </row>
    <row r="186" spans="1:8" x14ac:dyDescent="0.3">
      <c r="A186" s="6"/>
      <c r="B186" s="6"/>
      <c r="C186" s="6"/>
      <c r="D186" s="6"/>
      <c r="E186" s="6"/>
      <c r="F186" s="6"/>
      <c r="G186" s="6"/>
      <c r="H186" s="6"/>
    </row>
    <row r="187" spans="1:8" x14ac:dyDescent="0.3">
      <c r="A187" s="6"/>
      <c r="B187" s="6"/>
      <c r="C187" s="6"/>
      <c r="D187" s="6"/>
      <c r="E187" s="6"/>
      <c r="F187" s="6"/>
      <c r="G187" s="6"/>
      <c r="H187" s="6"/>
    </row>
    <row r="188" spans="1:8" x14ac:dyDescent="0.3">
      <c r="A188" s="6"/>
      <c r="B188" s="6"/>
      <c r="C188" s="6"/>
      <c r="D188" s="6"/>
      <c r="E188" s="6"/>
      <c r="F188" s="6"/>
      <c r="G188" s="6"/>
      <c r="H188" s="6"/>
    </row>
    <row r="189" spans="1:8" x14ac:dyDescent="0.3">
      <c r="A189" s="6"/>
      <c r="B189" s="6"/>
      <c r="C189" s="6"/>
      <c r="D189" s="6"/>
      <c r="E189" s="6"/>
      <c r="F189" s="6"/>
      <c r="G189" s="6"/>
      <c r="H189" s="6"/>
    </row>
    <row r="190" spans="1:8" x14ac:dyDescent="0.3">
      <c r="A190" s="6"/>
      <c r="B190" s="6"/>
      <c r="C190" s="6"/>
      <c r="D190" s="6"/>
      <c r="E190" s="6"/>
      <c r="F190" s="6"/>
      <c r="G190" s="6"/>
      <c r="H190" s="6"/>
    </row>
    <row r="191" spans="1:8" x14ac:dyDescent="0.3">
      <c r="A191" s="6"/>
      <c r="B191" s="6"/>
      <c r="C191" s="6"/>
      <c r="D191" s="6"/>
      <c r="E191" s="6"/>
      <c r="F191" s="6"/>
      <c r="G191" s="6"/>
      <c r="H191" s="6"/>
    </row>
    <row r="192" spans="1:8" x14ac:dyDescent="0.3">
      <c r="A192" s="6"/>
      <c r="B192" s="6"/>
      <c r="C192" s="6"/>
      <c r="D192" s="6"/>
      <c r="E192" s="6"/>
      <c r="F192" s="6"/>
      <c r="G192" s="6"/>
      <c r="H192" s="6"/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opLeftCell="T1" zoomScaleNormal="100" workbookViewId="0">
      <selection activeCell="V36" sqref="V36"/>
    </sheetView>
  </sheetViews>
  <sheetFormatPr defaultColWidth="9.109375" defaultRowHeight="14.4" x14ac:dyDescent="0.3"/>
  <cols>
    <col min="1" max="1" width="47.109375" style="1" bestFit="1" customWidth="1"/>
    <col min="2" max="2" width="12" style="1" bestFit="1" customWidth="1"/>
    <col min="3" max="3" width="13.88671875" style="1" bestFit="1" customWidth="1"/>
    <col min="4" max="12" width="12" style="1" bestFit="1" customWidth="1"/>
    <col min="13" max="13" width="34" style="1" bestFit="1" customWidth="1"/>
    <col min="14" max="14" width="14" style="1" bestFit="1" customWidth="1"/>
    <col min="15" max="21" width="15.33203125" style="1" bestFit="1" customWidth="1"/>
    <col min="22" max="36" width="13.109375" style="1" bestFit="1" customWidth="1"/>
    <col min="37" max="37" width="13.44140625" style="1" bestFit="1" customWidth="1"/>
    <col min="38" max="38" width="13.109375" style="1" bestFit="1" customWidth="1"/>
    <col min="39" max="16384" width="9.109375" style="1"/>
  </cols>
  <sheetData>
    <row r="1" spans="1:37" x14ac:dyDescent="0.3">
      <c r="B1" s="1">
        <v>2021</v>
      </c>
      <c r="C1" s="107" t="s">
        <v>73</v>
      </c>
      <c r="D1" s="108">
        <f>AMI!L16</f>
        <v>0.65980000000000005</v>
      </c>
      <c r="E1" s="108">
        <f>AMI!M16</f>
        <v>0.3402</v>
      </c>
      <c r="M1" s="6"/>
      <c r="N1" s="6"/>
      <c r="O1" s="6"/>
      <c r="P1" s="6"/>
      <c r="Q1" s="6"/>
      <c r="R1" s="6"/>
      <c r="S1" s="6"/>
      <c r="T1" s="6"/>
    </row>
    <row r="2" spans="1:37" s="6" customFormat="1" x14ac:dyDescent="0.3">
      <c r="A2" s="6" t="s">
        <v>17</v>
      </c>
      <c r="B2" s="6">
        <v>2022</v>
      </c>
      <c r="C2" s="107" t="s">
        <v>73</v>
      </c>
      <c r="D2" s="22">
        <v>0.65659999999999996</v>
      </c>
      <c r="E2" s="22">
        <v>0.34339999999999998</v>
      </c>
      <c r="M2" s="6" t="s">
        <v>17</v>
      </c>
      <c r="AE2" s="1" t="s">
        <v>18</v>
      </c>
      <c r="AF2" s="1"/>
      <c r="AG2" s="1"/>
      <c r="AH2" s="1"/>
      <c r="AI2" s="1"/>
      <c r="AJ2" s="1"/>
    </row>
    <row r="3" spans="1:37" s="6" customFormat="1" x14ac:dyDescent="0.3">
      <c r="B3" s="6">
        <v>2023</v>
      </c>
      <c r="C3" s="107" t="s">
        <v>73</v>
      </c>
      <c r="D3" s="22">
        <f>+AMI!L92</f>
        <v>0.65559999999999996</v>
      </c>
      <c r="E3" s="22">
        <f>+AMI!M92</f>
        <v>0.34439999999999998</v>
      </c>
      <c r="AE3" s="145">
        <v>45291</v>
      </c>
      <c r="AF3" s="1"/>
      <c r="AG3" s="1"/>
      <c r="AH3" s="1"/>
      <c r="AI3" s="1"/>
      <c r="AJ3" s="1"/>
    </row>
    <row r="4" spans="1:37" s="6" customFormat="1" x14ac:dyDescent="0.3">
      <c r="A4" s="28" t="s">
        <v>18</v>
      </c>
      <c r="E4" s="106" t="s">
        <v>72</v>
      </c>
      <c r="M4" s="28" t="s">
        <v>18</v>
      </c>
      <c r="P4" s="66" t="s">
        <v>47</v>
      </c>
      <c r="Q4" s="67" t="s">
        <v>48</v>
      </c>
      <c r="AE4" s="66" t="s">
        <v>158</v>
      </c>
      <c r="AF4" s="1"/>
      <c r="AG4" s="67"/>
      <c r="AH4" s="1"/>
      <c r="AI4" s="1"/>
      <c r="AJ4" s="1"/>
    </row>
    <row r="5" spans="1:37" s="6" customFormat="1" x14ac:dyDescent="0.3">
      <c r="A5" s="105">
        <v>44561</v>
      </c>
      <c r="M5" s="24" t="s">
        <v>46</v>
      </c>
      <c r="AE5" s="1"/>
      <c r="AF5" s="1"/>
      <c r="AG5" s="1"/>
      <c r="AH5" s="1"/>
      <c r="AI5" s="1"/>
      <c r="AJ5" s="1"/>
    </row>
    <row r="6" spans="1:37" s="6" customFormat="1" x14ac:dyDescent="0.3">
      <c r="AE6" s="1"/>
      <c r="AF6" s="1"/>
      <c r="AG6" s="1"/>
      <c r="AH6" s="1"/>
      <c r="AI6" s="1"/>
      <c r="AJ6" s="1"/>
    </row>
    <row r="7" spans="1:37" s="6" customFormat="1" x14ac:dyDescent="0.3">
      <c r="E7" s="29" t="s">
        <v>28</v>
      </c>
      <c r="F7" s="29"/>
      <c r="Q7" s="29" t="s">
        <v>28</v>
      </c>
      <c r="R7" s="29"/>
      <c r="AE7" s="1"/>
      <c r="AF7" s="202" t="s">
        <v>150</v>
      </c>
      <c r="AG7" s="203"/>
      <c r="AH7" s="1"/>
      <c r="AI7" s="202" t="s">
        <v>150</v>
      </c>
      <c r="AJ7" s="203"/>
    </row>
    <row r="8" spans="1:37" s="6" customFormat="1" x14ac:dyDescent="0.3">
      <c r="B8" s="30" t="s">
        <v>71</v>
      </c>
      <c r="C8" s="31"/>
      <c r="E8" s="30" t="s">
        <v>26</v>
      </c>
      <c r="F8" s="31"/>
      <c r="N8" s="30" t="s">
        <v>49</v>
      </c>
      <c r="O8" s="31"/>
      <c r="Q8" s="30" t="s">
        <v>26</v>
      </c>
      <c r="R8" s="31"/>
      <c r="AE8" s="1"/>
      <c r="AF8" s="202" t="s">
        <v>151</v>
      </c>
      <c r="AG8" s="203"/>
      <c r="AH8" s="1"/>
      <c r="AI8" s="202" t="s">
        <v>49</v>
      </c>
      <c r="AJ8" s="203"/>
    </row>
    <row r="9" spans="1:37" s="6" customFormat="1" x14ac:dyDescent="0.3">
      <c r="B9" s="32" t="s">
        <v>19</v>
      </c>
      <c r="C9" s="32" t="s">
        <v>20</v>
      </c>
      <c r="E9" s="32" t="s">
        <v>2</v>
      </c>
      <c r="F9" s="32" t="s">
        <v>3</v>
      </c>
      <c r="N9" s="32" t="s">
        <v>19</v>
      </c>
      <c r="O9" s="32" t="s">
        <v>20</v>
      </c>
      <c r="Q9" s="32" t="s">
        <v>2</v>
      </c>
      <c r="R9" s="32" t="s">
        <v>3</v>
      </c>
      <c r="AE9" s="1"/>
      <c r="AF9" s="146" t="s">
        <v>19</v>
      </c>
      <c r="AG9" s="146" t="s">
        <v>20</v>
      </c>
      <c r="AH9" s="1"/>
      <c r="AI9" s="146" t="s">
        <v>19</v>
      </c>
      <c r="AJ9" s="146" t="s">
        <v>20</v>
      </c>
    </row>
    <row r="10" spans="1:37" s="6" customFormat="1" x14ac:dyDescent="0.3">
      <c r="A10" s="6" t="s">
        <v>21</v>
      </c>
      <c r="B10" s="33">
        <v>-11840080.925063172</v>
      </c>
      <c r="C10" s="33">
        <v>-16916900.561307043</v>
      </c>
      <c r="E10" s="34">
        <f>N37</f>
        <v>-14378490.743185105</v>
      </c>
      <c r="F10" s="34"/>
      <c r="M10" s="6" t="s">
        <v>21</v>
      </c>
      <c r="N10" s="33">
        <v>-16916900.561307043</v>
      </c>
      <c r="O10" s="33">
        <v>-22016497.866317347</v>
      </c>
      <c r="Q10" s="34">
        <f>AA22</f>
        <v>-22693462.704723939</v>
      </c>
      <c r="R10" s="34"/>
      <c r="AE10" s="4" t="s">
        <v>21</v>
      </c>
      <c r="AF10" s="147">
        <f>AJ10</f>
        <v>-22016497.866317347</v>
      </c>
      <c r="AG10" s="147">
        <v>-30140075.92719629</v>
      </c>
      <c r="AH10" s="4"/>
      <c r="AI10" s="147">
        <v>-16916900.561307043</v>
      </c>
      <c r="AJ10" s="147">
        <v>-22016497.866317347</v>
      </c>
    </row>
    <row r="11" spans="1:37" s="6" customFormat="1" x14ac:dyDescent="0.3">
      <c r="A11" s="6" t="s">
        <v>22</v>
      </c>
      <c r="B11" s="33">
        <v>-4291755.7325249854</v>
      </c>
      <c r="C11" s="33">
        <v>-7371098.4778405931</v>
      </c>
      <c r="E11" s="34"/>
      <c r="F11" s="34">
        <f>N38</f>
        <v>-5831427.1051827893</v>
      </c>
      <c r="M11" s="6" t="s">
        <v>22</v>
      </c>
      <c r="N11" s="33">
        <v>-7371098.4778405931</v>
      </c>
      <c r="O11" s="33">
        <v>-10439153.960144294</v>
      </c>
      <c r="Q11" s="34"/>
      <c r="R11" s="34">
        <f>AA23</f>
        <v>-10718483.776511878</v>
      </c>
      <c r="AE11" s="4" t="s">
        <v>22</v>
      </c>
      <c r="AF11" s="147">
        <f t="shared" ref="AF11:AF13" si="0">AJ11</f>
        <v>-10439153.960144294</v>
      </c>
      <c r="AG11" s="147">
        <v>-13791111.756555337</v>
      </c>
      <c r="AH11" s="4"/>
      <c r="AI11" s="147">
        <v>-7371098.4778405931</v>
      </c>
      <c r="AJ11" s="147">
        <v>-10439153.960144294</v>
      </c>
    </row>
    <row r="12" spans="1:37" s="6" customFormat="1" x14ac:dyDescent="0.3">
      <c r="A12" s="6" t="s">
        <v>23</v>
      </c>
      <c r="B12" s="33">
        <v>-1035670.4595215009</v>
      </c>
      <c r="C12" s="33">
        <v>-991555.28147229168</v>
      </c>
      <c r="E12" s="34">
        <f>N39*D1</f>
        <v>-668781.7719538525</v>
      </c>
      <c r="F12" s="34">
        <f>N39*E1</f>
        <v>-344831.09854304424</v>
      </c>
      <c r="M12" s="6" t="s">
        <v>23</v>
      </c>
      <c r="N12" s="33">
        <v>-991555.28147229168</v>
      </c>
      <c r="O12" s="33">
        <v>-4702389.4392214529</v>
      </c>
      <c r="Q12" s="34">
        <v>-3135182.4540690277</v>
      </c>
      <c r="R12" s="34">
        <v>-1639691.8287043923</v>
      </c>
      <c r="AE12" s="4" t="s">
        <v>152</v>
      </c>
      <c r="AF12" s="147">
        <f t="shared" si="0"/>
        <v>-4702389.4392214529</v>
      </c>
      <c r="AG12" s="147">
        <v>-6506947.0244190805</v>
      </c>
      <c r="AH12" s="4"/>
      <c r="AI12" s="147">
        <v>-991555.28147229168</v>
      </c>
      <c r="AJ12" s="147">
        <v>-4702389.4392214529</v>
      </c>
    </row>
    <row r="13" spans="1:37" s="6" customFormat="1" x14ac:dyDescent="0.3">
      <c r="A13" s="6" t="s">
        <v>24</v>
      </c>
      <c r="B13" s="33">
        <v>196706.54328540387</v>
      </c>
      <c r="C13" s="33">
        <v>-5881279.0055342941</v>
      </c>
      <c r="E13" s="34">
        <f>N40*D1</f>
        <v>-1875340.4552959092</v>
      </c>
      <c r="F13" s="34">
        <f>N40*E1</f>
        <v>-966945.77582853625</v>
      </c>
      <c r="M13" s="6" t="s">
        <v>24</v>
      </c>
      <c r="N13" s="33">
        <v>-5881279.0055342941</v>
      </c>
      <c r="O13" s="33">
        <v>-441145.24219452334</v>
      </c>
      <c r="Q13" s="34">
        <v>-276851.12887266104</v>
      </c>
      <c r="R13" s="34">
        <v>-144792.38144208316</v>
      </c>
      <c r="AE13" s="4" t="s">
        <v>24</v>
      </c>
      <c r="AF13" s="147">
        <f t="shared" si="0"/>
        <v>-441145.24219452334</v>
      </c>
      <c r="AG13" s="147">
        <v>-493664.56210580666</v>
      </c>
      <c r="AH13" s="4"/>
      <c r="AI13" s="147">
        <v>-5881279.0055342941</v>
      </c>
      <c r="AJ13" s="147">
        <v>-441145.24219452334</v>
      </c>
    </row>
    <row r="14" spans="1:37" s="6" customFormat="1" ht="15" thickBot="1" x14ac:dyDescent="0.35">
      <c r="A14" s="35" t="s">
        <v>25</v>
      </c>
      <c r="B14" s="36">
        <f>SUM(B10:B13)</f>
        <v>-16970800.573824257</v>
      </c>
      <c r="C14" s="36">
        <f>SUM(C10:C13)</f>
        <v>-31160833.326154225</v>
      </c>
      <c r="E14" s="37">
        <f>SUM(E10:E13)</f>
        <v>-16922612.970434867</v>
      </c>
      <c r="F14" s="37">
        <f>SUM(F10:F13)</f>
        <v>-7143203.97955437</v>
      </c>
      <c r="G14" s="38">
        <f>SUM(E14:F14)-N41</f>
        <v>0</v>
      </c>
      <c r="H14" s="39" t="s">
        <v>27</v>
      </c>
      <c r="M14" s="35" t="s">
        <v>25</v>
      </c>
      <c r="N14" s="36">
        <f>SUM(N10:N13)</f>
        <v>-31160833.326154225</v>
      </c>
      <c r="O14" s="36">
        <f>SUM(O10:O13)</f>
        <v>-37599186.507877626</v>
      </c>
      <c r="Q14" s="37">
        <f>SUM(Q10:Q13)</f>
        <v>-26105496.287665628</v>
      </c>
      <c r="R14" s="37">
        <f>SUM(R10:R13)</f>
        <v>-12502967.986658353</v>
      </c>
      <c r="S14" s="38">
        <f>SUM(Q14:R14)-AA26</f>
        <v>101773.29708688706</v>
      </c>
      <c r="T14" s="39" t="s">
        <v>27</v>
      </c>
      <c r="AE14" s="4" t="s">
        <v>25</v>
      </c>
      <c r="AF14" s="148">
        <f>SUM(AF10:AF13)</f>
        <v>-37599186.507877626</v>
      </c>
      <c r="AG14" s="148">
        <f>SUM(AG10:AG13)</f>
        <v>-50931799.270276517</v>
      </c>
      <c r="AH14" s="4"/>
      <c r="AI14" s="148">
        <v>-31160833.326154225</v>
      </c>
      <c r="AJ14" s="148">
        <v>-37599186.507877626</v>
      </c>
    </row>
    <row r="15" spans="1:37" s="6" customFormat="1" thickTop="1" x14ac:dyDescent="0.25"/>
    <row r="16" spans="1:37" s="6" customFormat="1" ht="13.8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AA16" s="33">
        <f>(AL22-Z22)/12</f>
        <v>-676964.83840657736</v>
      </c>
      <c r="AB16" s="34">
        <f t="shared" ref="AB16:AK16" si="1">AA16</f>
        <v>-676964.83840657736</v>
      </c>
      <c r="AC16" s="34">
        <f t="shared" si="1"/>
        <v>-676964.83840657736</v>
      </c>
      <c r="AD16" s="34">
        <f t="shared" si="1"/>
        <v>-676964.83840657736</v>
      </c>
      <c r="AE16" s="34">
        <f t="shared" si="1"/>
        <v>-676964.83840657736</v>
      </c>
      <c r="AF16" s="34">
        <f t="shared" si="1"/>
        <v>-676964.83840657736</v>
      </c>
      <c r="AG16" s="34">
        <f t="shared" si="1"/>
        <v>-676964.83840657736</v>
      </c>
      <c r="AH16" s="34">
        <f t="shared" si="1"/>
        <v>-676964.83840657736</v>
      </c>
      <c r="AI16" s="34">
        <f t="shared" si="1"/>
        <v>-676964.83840657736</v>
      </c>
      <c r="AJ16" s="34">
        <f t="shared" si="1"/>
        <v>-676964.83840657736</v>
      </c>
      <c r="AK16" s="34">
        <f t="shared" si="1"/>
        <v>-676964.83840657736</v>
      </c>
    </row>
    <row r="17" spans="1:38" s="6" customFormat="1" ht="13.8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AA17" s="33">
        <f>(AL23-Z23)/12</f>
        <v>-279329.81636758725</v>
      </c>
      <c r="AB17" s="34">
        <f t="shared" ref="AB17:AK17" si="2">AA17</f>
        <v>-279329.81636758725</v>
      </c>
      <c r="AC17" s="34">
        <f t="shared" si="2"/>
        <v>-279329.81636758725</v>
      </c>
      <c r="AD17" s="34">
        <f t="shared" si="2"/>
        <v>-279329.81636758725</v>
      </c>
      <c r="AE17" s="34">
        <f t="shared" si="2"/>
        <v>-279329.81636758725</v>
      </c>
      <c r="AF17" s="34">
        <f t="shared" si="2"/>
        <v>-279329.81636758725</v>
      </c>
      <c r="AG17" s="34">
        <f t="shared" si="2"/>
        <v>-279329.81636758725</v>
      </c>
      <c r="AH17" s="34">
        <f t="shared" si="2"/>
        <v>-279329.81636758725</v>
      </c>
      <c r="AI17" s="34">
        <f t="shared" si="2"/>
        <v>-279329.81636758725</v>
      </c>
      <c r="AJ17" s="34">
        <f t="shared" si="2"/>
        <v>-279329.81636758725</v>
      </c>
      <c r="AK17" s="34">
        <f t="shared" si="2"/>
        <v>-279329.81636758725</v>
      </c>
    </row>
    <row r="18" spans="1:38" s="6" customFormat="1" ht="13.8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AA18" s="33">
        <f>(AL24-Z24)/12</f>
        <v>-150379.79876646903</v>
      </c>
      <c r="AB18" s="34">
        <f t="shared" ref="AB18:AK18" si="3">AA18</f>
        <v>-150379.79876646903</v>
      </c>
      <c r="AC18" s="34">
        <f t="shared" si="3"/>
        <v>-150379.79876646903</v>
      </c>
      <c r="AD18" s="34">
        <f t="shared" si="3"/>
        <v>-150379.79876646903</v>
      </c>
      <c r="AE18" s="34">
        <f t="shared" si="3"/>
        <v>-150379.79876646903</v>
      </c>
      <c r="AF18" s="34">
        <f t="shared" si="3"/>
        <v>-150379.79876646903</v>
      </c>
      <c r="AG18" s="34">
        <f t="shared" si="3"/>
        <v>-150379.79876646903</v>
      </c>
      <c r="AH18" s="34">
        <f t="shared" si="3"/>
        <v>-150379.79876646903</v>
      </c>
      <c r="AI18" s="34">
        <f t="shared" si="3"/>
        <v>-150379.79876646903</v>
      </c>
      <c r="AJ18" s="34">
        <f t="shared" si="3"/>
        <v>-150379.79876646903</v>
      </c>
      <c r="AK18" s="34">
        <f t="shared" si="3"/>
        <v>-150379.79876646903</v>
      </c>
    </row>
    <row r="19" spans="1:38" s="6" customFormat="1" ht="13.8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AA19" s="33">
        <f>(AL25-Z25)/12</f>
        <v>-4376.609992606881</v>
      </c>
      <c r="AB19" s="34">
        <f t="shared" ref="AB19:AK19" si="4">AA19</f>
        <v>-4376.609992606881</v>
      </c>
      <c r="AC19" s="34">
        <f t="shared" si="4"/>
        <v>-4376.609992606881</v>
      </c>
      <c r="AD19" s="34">
        <f t="shared" si="4"/>
        <v>-4376.609992606881</v>
      </c>
      <c r="AE19" s="34">
        <f t="shared" si="4"/>
        <v>-4376.609992606881</v>
      </c>
      <c r="AF19" s="34">
        <f t="shared" si="4"/>
        <v>-4376.609992606881</v>
      </c>
      <c r="AG19" s="34">
        <f t="shared" si="4"/>
        <v>-4376.609992606881</v>
      </c>
      <c r="AH19" s="34">
        <f t="shared" si="4"/>
        <v>-4376.609992606881</v>
      </c>
      <c r="AI19" s="34">
        <f t="shared" si="4"/>
        <v>-4376.609992606881</v>
      </c>
      <c r="AJ19" s="34">
        <f t="shared" si="4"/>
        <v>-4376.609992606881</v>
      </c>
      <c r="AK19" s="34">
        <f t="shared" si="4"/>
        <v>-4376.609992606881</v>
      </c>
    </row>
    <row r="20" spans="1:38" s="6" customFormat="1" ht="13.8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AA20" s="33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8" s="6" customFormat="1" ht="13.8" x14ac:dyDescent="0.25">
      <c r="B21" s="40">
        <v>44166</v>
      </c>
      <c r="C21" s="40">
        <v>44197</v>
      </c>
      <c r="D21" s="40">
        <v>44228</v>
      </c>
      <c r="E21" s="40">
        <v>44256</v>
      </c>
      <c r="F21" s="40">
        <v>44287</v>
      </c>
      <c r="G21" s="40">
        <v>44317</v>
      </c>
      <c r="H21" s="40">
        <v>44348</v>
      </c>
      <c r="I21" s="40">
        <v>44378</v>
      </c>
      <c r="J21" s="40">
        <v>44409</v>
      </c>
      <c r="K21" s="40">
        <v>44440</v>
      </c>
      <c r="L21" s="40">
        <v>44470</v>
      </c>
      <c r="M21" s="40">
        <v>44501</v>
      </c>
      <c r="N21" s="40">
        <v>44531</v>
      </c>
      <c r="O21" s="40">
        <v>44562</v>
      </c>
      <c r="P21" s="40">
        <v>44593</v>
      </c>
      <c r="Q21" s="40">
        <v>44621</v>
      </c>
      <c r="R21" s="40">
        <v>44652</v>
      </c>
      <c r="S21" s="40">
        <v>44682</v>
      </c>
      <c r="T21" s="40">
        <v>44713</v>
      </c>
      <c r="U21" s="40">
        <v>44743</v>
      </c>
      <c r="V21" s="40">
        <v>44774</v>
      </c>
      <c r="W21" s="40">
        <v>44805</v>
      </c>
      <c r="X21" s="40">
        <v>44835</v>
      </c>
      <c r="Y21" s="40">
        <v>44866</v>
      </c>
      <c r="Z21" s="40">
        <v>44896</v>
      </c>
      <c r="AA21" s="40">
        <v>44927</v>
      </c>
      <c r="AB21" s="40">
        <v>44958</v>
      </c>
      <c r="AC21" s="40">
        <v>44986</v>
      </c>
      <c r="AD21" s="40">
        <v>45017</v>
      </c>
      <c r="AE21" s="40">
        <v>45047</v>
      </c>
      <c r="AF21" s="40">
        <v>45078</v>
      </c>
      <c r="AG21" s="40">
        <v>45108</v>
      </c>
      <c r="AH21" s="40">
        <v>45139</v>
      </c>
      <c r="AI21" s="40">
        <v>45170</v>
      </c>
      <c r="AJ21" s="40">
        <v>45200</v>
      </c>
      <c r="AK21" s="40">
        <v>45231</v>
      </c>
      <c r="AL21" s="40">
        <v>45261</v>
      </c>
    </row>
    <row r="22" spans="1:38" s="6" customFormat="1" ht="13.8" x14ac:dyDescent="0.25">
      <c r="A22" s="6" t="s">
        <v>21</v>
      </c>
      <c r="B22" s="33">
        <f>B10</f>
        <v>-11840080.925063172</v>
      </c>
      <c r="C22" s="33">
        <f t="shared" ref="C22:M22" si="5">B22+(($C$10-$B$10)/12)</f>
        <v>-12263149.228083495</v>
      </c>
      <c r="D22" s="33">
        <f t="shared" si="5"/>
        <v>-12686217.531103818</v>
      </c>
      <c r="E22" s="33">
        <f t="shared" si="5"/>
        <v>-13109285.83412414</v>
      </c>
      <c r="F22" s="33">
        <f t="shared" si="5"/>
        <v>-13532354.137144463</v>
      </c>
      <c r="G22" s="33">
        <f t="shared" si="5"/>
        <v>-13955422.440164786</v>
      </c>
      <c r="H22" s="33">
        <f t="shared" si="5"/>
        <v>-14378490.743185109</v>
      </c>
      <c r="I22" s="33">
        <f t="shared" si="5"/>
        <v>-14801559.046205431</v>
      </c>
      <c r="J22" s="33">
        <f t="shared" si="5"/>
        <v>-15224627.349225754</v>
      </c>
      <c r="K22" s="33">
        <f t="shared" si="5"/>
        <v>-15647695.652246077</v>
      </c>
      <c r="L22" s="33">
        <f t="shared" si="5"/>
        <v>-16070763.955266399</v>
      </c>
      <c r="M22" s="33">
        <f t="shared" si="5"/>
        <v>-16493832.258286722</v>
      </c>
      <c r="N22" s="33">
        <f>N10</f>
        <v>-16916900.561307043</v>
      </c>
      <c r="O22" s="33">
        <f t="shared" ref="O22:Z22" si="6">N22+(($O$10-$N$10)/12)</f>
        <v>-17341867.003391236</v>
      </c>
      <c r="P22" s="33">
        <f t="shared" si="6"/>
        <v>-17766833.445475429</v>
      </c>
      <c r="Q22" s="33">
        <f t="shared" si="6"/>
        <v>-18191799.887559623</v>
      </c>
      <c r="R22" s="33">
        <f t="shared" si="6"/>
        <v>-18616766.329643816</v>
      </c>
      <c r="S22" s="33">
        <f t="shared" si="6"/>
        <v>-19041732.771728009</v>
      </c>
      <c r="T22" s="33">
        <f t="shared" si="6"/>
        <v>-19466699.213812202</v>
      </c>
      <c r="U22" s="33">
        <f t="shared" si="6"/>
        <v>-19891665.655896395</v>
      </c>
      <c r="V22" s="33">
        <f t="shared" si="6"/>
        <v>-20316632.097980589</v>
      </c>
      <c r="W22" s="33">
        <f t="shared" si="6"/>
        <v>-20741598.540064782</v>
      </c>
      <c r="X22" s="33">
        <f t="shared" si="6"/>
        <v>-21166564.982148975</v>
      </c>
      <c r="Y22" s="33">
        <f t="shared" si="6"/>
        <v>-21591531.424233168</v>
      </c>
      <c r="Z22" s="33">
        <f t="shared" si="6"/>
        <v>-22016497.866317362</v>
      </c>
      <c r="AA22" s="33">
        <f t="shared" ref="AA22:AK22" si="7">Z22+AA16</f>
        <v>-22693462.704723939</v>
      </c>
      <c r="AB22" s="33">
        <f t="shared" si="7"/>
        <v>-23370427.543130517</v>
      </c>
      <c r="AC22" s="33">
        <f t="shared" si="7"/>
        <v>-24047392.381537095</v>
      </c>
      <c r="AD22" s="33">
        <f t="shared" si="7"/>
        <v>-24724357.219943672</v>
      </c>
      <c r="AE22" s="33">
        <f t="shared" si="7"/>
        <v>-25401322.05835025</v>
      </c>
      <c r="AF22" s="33">
        <f t="shared" si="7"/>
        <v>-26078286.896756828</v>
      </c>
      <c r="AG22" s="33">
        <f t="shared" si="7"/>
        <v>-26755251.735163406</v>
      </c>
      <c r="AH22" s="33">
        <f t="shared" si="7"/>
        <v>-27432216.573569983</v>
      </c>
      <c r="AI22" s="33">
        <f t="shared" si="7"/>
        <v>-28109181.411976561</v>
      </c>
      <c r="AJ22" s="33">
        <f t="shared" si="7"/>
        <v>-28786146.250383139</v>
      </c>
      <c r="AK22" s="33">
        <f t="shared" si="7"/>
        <v>-29463111.088789716</v>
      </c>
      <c r="AL22" s="104">
        <f>+AG10</f>
        <v>-30140075.92719629</v>
      </c>
    </row>
    <row r="23" spans="1:38" s="6" customFormat="1" ht="13.8" x14ac:dyDescent="0.25">
      <c r="A23" s="6" t="s">
        <v>22</v>
      </c>
      <c r="B23" s="33">
        <f>B11</f>
        <v>-4291755.7325249854</v>
      </c>
      <c r="C23" s="33">
        <f t="shared" ref="C23:M23" si="8">B23+(($C$11-$B$11)/12)</f>
        <v>-4548367.6279679528</v>
      </c>
      <c r="D23" s="33">
        <f t="shared" si="8"/>
        <v>-4804979.5234109201</v>
      </c>
      <c r="E23" s="33">
        <f t="shared" si="8"/>
        <v>-5061591.4188538874</v>
      </c>
      <c r="F23" s="33">
        <f t="shared" si="8"/>
        <v>-5318203.3142968547</v>
      </c>
      <c r="G23" s="33">
        <f t="shared" si="8"/>
        <v>-5574815.209739822</v>
      </c>
      <c r="H23" s="33">
        <f t="shared" si="8"/>
        <v>-5831427.1051827893</v>
      </c>
      <c r="I23" s="33">
        <f t="shared" si="8"/>
        <v>-6088039.0006257566</v>
      </c>
      <c r="J23" s="33">
        <f t="shared" si="8"/>
        <v>-6344650.8960687239</v>
      </c>
      <c r="K23" s="33">
        <f t="shared" si="8"/>
        <v>-6601262.7915116912</v>
      </c>
      <c r="L23" s="33">
        <f t="shared" si="8"/>
        <v>-6857874.6869546585</v>
      </c>
      <c r="M23" s="33">
        <f t="shared" si="8"/>
        <v>-7114486.5823976258</v>
      </c>
      <c r="N23" s="33">
        <f>N11</f>
        <v>-7371098.4778405931</v>
      </c>
      <c r="O23" s="33">
        <f t="shared" ref="O23:Z23" si="9">N23+(($O$11-$N$11)/12)</f>
        <v>-7626769.7680325685</v>
      </c>
      <c r="P23" s="33">
        <f t="shared" si="9"/>
        <v>-7882441.0582245439</v>
      </c>
      <c r="Q23" s="33">
        <f t="shared" si="9"/>
        <v>-8138112.3484165194</v>
      </c>
      <c r="R23" s="33">
        <f t="shared" si="9"/>
        <v>-8393783.6386084948</v>
      </c>
      <c r="S23" s="33">
        <f t="shared" si="9"/>
        <v>-8649454.9288004693</v>
      </c>
      <c r="T23" s="33">
        <f t="shared" si="9"/>
        <v>-8905126.2189924438</v>
      </c>
      <c r="U23" s="33">
        <f t="shared" si="9"/>
        <v>-9160797.5091844182</v>
      </c>
      <c r="V23" s="33">
        <f t="shared" si="9"/>
        <v>-9416468.7993763927</v>
      </c>
      <c r="W23" s="33">
        <f t="shared" si="9"/>
        <v>-9672140.0895683672</v>
      </c>
      <c r="X23" s="33">
        <f t="shared" si="9"/>
        <v>-9927811.3797603417</v>
      </c>
      <c r="Y23" s="33">
        <f t="shared" si="9"/>
        <v>-10183482.669952316</v>
      </c>
      <c r="Z23" s="33">
        <f t="shared" si="9"/>
        <v>-10439153.960144291</v>
      </c>
      <c r="AA23" s="33">
        <f t="shared" ref="AA23:AK23" si="10">Z23+AA17</f>
        <v>-10718483.776511878</v>
      </c>
      <c r="AB23" s="33">
        <f t="shared" si="10"/>
        <v>-10997813.592879465</v>
      </c>
      <c r="AC23" s="33">
        <f t="shared" si="10"/>
        <v>-11277143.409247052</v>
      </c>
      <c r="AD23" s="33">
        <f t="shared" si="10"/>
        <v>-11556473.225614639</v>
      </c>
      <c r="AE23" s="33">
        <f t="shared" si="10"/>
        <v>-11835803.041982226</v>
      </c>
      <c r="AF23" s="33">
        <f t="shared" si="10"/>
        <v>-12115132.858349813</v>
      </c>
      <c r="AG23" s="33">
        <f t="shared" si="10"/>
        <v>-12394462.6747174</v>
      </c>
      <c r="AH23" s="33">
        <f t="shared" si="10"/>
        <v>-12673792.491084987</v>
      </c>
      <c r="AI23" s="33">
        <f t="shared" si="10"/>
        <v>-12953122.307452574</v>
      </c>
      <c r="AJ23" s="33">
        <f t="shared" si="10"/>
        <v>-13232452.123820161</v>
      </c>
      <c r="AK23" s="33">
        <f t="shared" si="10"/>
        <v>-13511781.940187749</v>
      </c>
      <c r="AL23" s="104">
        <f t="shared" ref="AL23:AL25" si="11">+AG11</f>
        <v>-13791111.756555337</v>
      </c>
    </row>
    <row r="24" spans="1:38" s="6" customFormat="1" ht="13.8" x14ac:dyDescent="0.25">
      <c r="A24" s="6" t="s">
        <v>23</v>
      </c>
      <c r="B24" s="33">
        <f>B12</f>
        <v>-1035670.4595215009</v>
      </c>
      <c r="C24" s="33">
        <f t="shared" ref="C24:M24" si="12">B24+(($C$12-$B$12)/12)</f>
        <v>-1031994.1946840668</v>
      </c>
      <c r="D24" s="33">
        <f t="shared" si="12"/>
        <v>-1028317.9298466328</v>
      </c>
      <c r="E24" s="33">
        <f t="shared" si="12"/>
        <v>-1024641.6650091987</v>
      </c>
      <c r="F24" s="33">
        <f t="shared" si="12"/>
        <v>-1020965.4001717647</v>
      </c>
      <c r="G24" s="33">
        <f t="shared" si="12"/>
        <v>-1017289.1353343306</v>
      </c>
      <c r="H24" s="33">
        <f t="shared" si="12"/>
        <v>-1013612.8704968966</v>
      </c>
      <c r="I24" s="33">
        <f t="shared" si="12"/>
        <v>-1009936.6056594625</v>
      </c>
      <c r="J24" s="33">
        <f t="shared" si="12"/>
        <v>-1006260.3408220285</v>
      </c>
      <c r="K24" s="33">
        <f t="shared" si="12"/>
        <v>-1002584.0759845944</v>
      </c>
      <c r="L24" s="33">
        <f t="shared" si="12"/>
        <v>-998907.81114716036</v>
      </c>
      <c r="M24" s="33">
        <f t="shared" si="12"/>
        <v>-995231.54630972631</v>
      </c>
      <c r="N24" s="33">
        <f>N12</f>
        <v>-991555.28147229168</v>
      </c>
      <c r="O24" s="33">
        <f t="shared" ref="O24:Z24" si="13">N24+(($O$12-$N$12)/12)</f>
        <v>-1300791.4612847217</v>
      </c>
      <c r="P24" s="33">
        <f t="shared" si="13"/>
        <v>-1610027.6410971519</v>
      </c>
      <c r="Q24" s="33">
        <f t="shared" si="13"/>
        <v>-1919263.8209095821</v>
      </c>
      <c r="R24" s="33">
        <f t="shared" si="13"/>
        <v>-2228500.000722012</v>
      </c>
      <c r="S24" s="33">
        <f t="shared" si="13"/>
        <v>-2537736.180534442</v>
      </c>
      <c r="T24" s="33">
        <f t="shared" si="13"/>
        <v>-2846972.3603468719</v>
      </c>
      <c r="U24" s="33">
        <f t="shared" si="13"/>
        <v>-3156208.5401593018</v>
      </c>
      <c r="V24" s="33">
        <f t="shared" si="13"/>
        <v>-3465444.7199717318</v>
      </c>
      <c r="W24" s="33">
        <f t="shared" si="13"/>
        <v>-3774680.8997841617</v>
      </c>
      <c r="X24" s="33">
        <f t="shared" si="13"/>
        <v>-4083917.0795965916</v>
      </c>
      <c r="Y24" s="33">
        <f t="shared" si="13"/>
        <v>-4393153.2594090216</v>
      </c>
      <c r="Z24" s="33">
        <f t="shared" si="13"/>
        <v>-4702389.439221452</v>
      </c>
      <c r="AA24" s="33">
        <f t="shared" ref="AA24:AK24" si="14">Z24+AA18</f>
        <v>-4852769.2379879206</v>
      </c>
      <c r="AB24" s="33">
        <f t="shared" si="14"/>
        <v>-5003149.0367543893</v>
      </c>
      <c r="AC24" s="33">
        <f t="shared" si="14"/>
        <v>-5153528.8355208579</v>
      </c>
      <c r="AD24" s="33">
        <f t="shared" si="14"/>
        <v>-5303908.6342873266</v>
      </c>
      <c r="AE24" s="33">
        <f t="shared" si="14"/>
        <v>-5454288.4330537952</v>
      </c>
      <c r="AF24" s="33">
        <f t="shared" si="14"/>
        <v>-5604668.2318202639</v>
      </c>
      <c r="AG24" s="33">
        <f t="shared" si="14"/>
        <v>-5755048.0305867326</v>
      </c>
      <c r="AH24" s="33">
        <f t="shared" si="14"/>
        <v>-5905427.8293532012</v>
      </c>
      <c r="AI24" s="33">
        <f t="shared" si="14"/>
        <v>-6055807.6281196699</v>
      </c>
      <c r="AJ24" s="33">
        <f t="shared" si="14"/>
        <v>-6206187.4268861385</v>
      </c>
      <c r="AK24" s="33">
        <f t="shared" si="14"/>
        <v>-6356567.2256526072</v>
      </c>
      <c r="AL24" s="104">
        <f t="shared" si="11"/>
        <v>-6506947.0244190805</v>
      </c>
    </row>
    <row r="25" spans="1:38" s="6" customFormat="1" ht="13.8" x14ac:dyDescent="0.25">
      <c r="A25" s="6" t="s">
        <v>24</v>
      </c>
      <c r="B25" s="33">
        <f>B13</f>
        <v>196706.54328540387</v>
      </c>
      <c r="C25" s="33">
        <f t="shared" ref="C25:M25" si="15">B25+(($C$13-$B$13)/12)</f>
        <v>-309792.25244957098</v>
      </c>
      <c r="D25" s="33">
        <f t="shared" si="15"/>
        <v>-816291.04818454583</v>
      </c>
      <c r="E25" s="33">
        <f t="shared" si="15"/>
        <v>-1322789.8439195207</v>
      </c>
      <c r="F25" s="33">
        <f t="shared" si="15"/>
        <v>-1829288.6396544955</v>
      </c>
      <c r="G25" s="33">
        <f t="shared" si="15"/>
        <v>-2335787.4353894703</v>
      </c>
      <c r="H25" s="33">
        <f t="shared" si="15"/>
        <v>-2842286.2311244453</v>
      </c>
      <c r="I25" s="33">
        <f t="shared" si="15"/>
        <v>-3348785.0268594204</v>
      </c>
      <c r="J25" s="33">
        <f t="shared" si="15"/>
        <v>-3855283.8225943954</v>
      </c>
      <c r="K25" s="33">
        <f t="shared" si="15"/>
        <v>-4361782.6183293704</v>
      </c>
      <c r="L25" s="33">
        <f t="shared" si="15"/>
        <v>-4868281.414064345</v>
      </c>
      <c r="M25" s="33">
        <f t="shared" si="15"/>
        <v>-5374780.2097993195</v>
      </c>
      <c r="N25" s="33">
        <f>N13</f>
        <v>-5881279.0055342941</v>
      </c>
      <c r="O25" s="33">
        <f t="shared" ref="O25:Z25" si="16">N25+(($O$13-$N$13)/12)</f>
        <v>-5427934.52525598</v>
      </c>
      <c r="P25" s="33">
        <f t="shared" si="16"/>
        <v>-4974590.0449776659</v>
      </c>
      <c r="Q25" s="33">
        <f t="shared" si="16"/>
        <v>-4521245.5646993518</v>
      </c>
      <c r="R25" s="33">
        <f t="shared" si="16"/>
        <v>-4067901.0844210377</v>
      </c>
      <c r="S25" s="33">
        <f t="shared" si="16"/>
        <v>-3614556.6041427236</v>
      </c>
      <c r="T25" s="33">
        <f t="shared" si="16"/>
        <v>-3161212.1238644095</v>
      </c>
      <c r="U25" s="33">
        <f t="shared" si="16"/>
        <v>-2707867.6435860954</v>
      </c>
      <c r="V25" s="33">
        <f t="shared" si="16"/>
        <v>-2254523.1633077813</v>
      </c>
      <c r="W25" s="33">
        <f t="shared" si="16"/>
        <v>-1801178.683029467</v>
      </c>
      <c r="X25" s="33">
        <f t="shared" si="16"/>
        <v>-1347834.2027511527</v>
      </c>
      <c r="Y25" s="33">
        <f t="shared" si="16"/>
        <v>-894489.72247283836</v>
      </c>
      <c r="Z25" s="33">
        <f t="shared" si="16"/>
        <v>-441145.24219452409</v>
      </c>
      <c r="AA25" s="33">
        <f t="shared" ref="AA25:AK25" si="17">Z25+AA19</f>
        <v>-445521.85218713095</v>
      </c>
      <c r="AB25" s="33">
        <f t="shared" si="17"/>
        <v>-449898.46217973781</v>
      </c>
      <c r="AC25" s="33">
        <f t="shared" si="17"/>
        <v>-454275.07217234466</v>
      </c>
      <c r="AD25" s="33">
        <f t="shared" si="17"/>
        <v>-458651.68216495152</v>
      </c>
      <c r="AE25" s="33">
        <f t="shared" si="17"/>
        <v>-463028.29215755838</v>
      </c>
      <c r="AF25" s="33">
        <f t="shared" si="17"/>
        <v>-467404.90215016523</v>
      </c>
      <c r="AG25" s="33">
        <f t="shared" si="17"/>
        <v>-471781.51214277209</v>
      </c>
      <c r="AH25" s="33">
        <f t="shared" si="17"/>
        <v>-476158.12213537894</v>
      </c>
      <c r="AI25" s="33">
        <f t="shared" si="17"/>
        <v>-480534.7321279858</v>
      </c>
      <c r="AJ25" s="33">
        <f t="shared" si="17"/>
        <v>-484911.34212059266</v>
      </c>
      <c r="AK25" s="33">
        <f t="shared" si="17"/>
        <v>-489287.95211319951</v>
      </c>
      <c r="AL25" s="104">
        <f t="shared" si="11"/>
        <v>-493664.56210580666</v>
      </c>
    </row>
    <row r="26" spans="1:38" s="6" customFormat="1" ht="13.8" x14ac:dyDescent="0.25">
      <c r="A26" s="35" t="s">
        <v>25</v>
      </c>
      <c r="B26" s="36">
        <f t="shared" ref="B26:AK26" si="18">SUM(B22:B25)</f>
        <v>-16970800.573824257</v>
      </c>
      <c r="C26" s="36">
        <f t="shared" si="18"/>
        <v>-18153303.303185087</v>
      </c>
      <c r="D26" s="36">
        <f t="shared" si="18"/>
        <v>-19335806.032545917</v>
      </c>
      <c r="E26" s="36">
        <f t="shared" si="18"/>
        <v>-20518308.761906747</v>
      </c>
      <c r="F26" s="36">
        <f t="shared" si="18"/>
        <v>-21700811.491267577</v>
      </c>
      <c r="G26" s="36">
        <f t="shared" si="18"/>
        <v>-22883314.220628411</v>
      </c>
      <c r="H26" s="36">
        <f t="shared" si="18"/>
        <v>-24065816.949989241</v>
      </c>
      <c r="I26" s="36">
        <f t="shared" si="18"/>
        <v>-25248319.679350071</v>
      </c>
      <c r="J26" s="36">
        <f t="shared" si="18"/>
        <v>-26430822.408710904</v>
      </c>
      <c r="K26" s="36">
        <f t="shared" si="18"/>
        <v>-27613325.138071731</v>
      </c>
      <c r="L26" s="36">
        <f t="shared" si="18"/>
        <v>-28795827.867432561</v>
      </c>
      <c r="M26" s="36">
        <f t="shared" si="18"/>
        <v>-29978330.596793391</v>
      </c>
      <c r="N26" s="36">
        <f t="shared" si="18"/>
        <v>-31160833.326154225</v>
      </c>
      <c r="O26" s="36">
        <f t="shared" si="18"/>
        <v>-31697362.757964507</v>
      </c>
      <c r="P26" s="36">
        <f t="shared" si="18"/>
        <v>-32233892.189774789</v>
      </c>
      <c r="Q26" s="36">
        <f t="shared" si="18"/>
        <v>-32770421.621585075</v>
      </c>
      <c r="R26" s="36">
        <f t="shared" si="18"/>
        <v>-33306951.053395361</v>
      </c>
      <c r="S26" s="36">
        <f t="shared" si="18"/>
        <v>-33843480.485205643</v>
      </c>
      <c r="T26" s="36">
        <f t="shared" si="18"/>
        <v>-34380009.917015925</v>
      </c>
      <c r="U26" s="36">
        <f t="shared" si="18"/>
        <v>-34916539.348826215</v>
      </c>
      <c r="V26" s="36">
        <f t="shared" si="18"/>
        <v>-35453068.780636489</v>
      </c>
      <c r="W26" s="36">
        <f t="shared" si="18"/>
        <v>-35989598.212446779</v>
      </c>
      <c r="X26" s="36">
        <f t="shared" si="18"/>
        <v>-36526127.644257061</v>
      </c>
      <c r="Y26" s="36">
        <f t="shared" si="18"/>
        <v>-37062657.076067351</v>
      </c>
      <c r="Z26" s="36">
        <f t="shared" si="18"/>
        <v>-37599186.507877626</v>
      </c>
      <c r="AA26" s="36">
        <f t="shared" si="18"/>
        <v>-38710237.571410872</v>
      </c>
      <c r="AB26" s="36">
        <f t="shared" si="18"/>
        <v>-39821288.634944111</v>
      </c>
      <c r="AC26" s="36">
        <f t="shared" si="18"/>
        <v>-40932339.69847735</v>
      </c>
      <c r="AD26" s="36">
        <f t="shared" si="18"/>
        <v>-42043390.762010589</v>
      </c>
      <c r="AE26" s="36">
        <f t="shared" si="18"/>
        <v>-43154441.825543836</v>
      </c>
      <c r="AF26" s="36">
        <f t="shared" si="18"/>
        <v>-44265492.889077067</v>
      </c>
      <c r="AG26" s="36">
        <f t="shared" si="18"/>
        <v>-45376543.952610306</v>
      </c>
      <c r="AH26" s="36">
        <f t="shared" si="18"/>
        <v>-46487595.016143546</v>
      </c>
      <c r="AI26" s="36">
        <f t="shared" si="18"/>
        <v>-47598646.079676792</v>
      </c>
      <c r="AJ26" s="36">
        <f t="shared" si="18"/>
        <v>-48709697.143210039</v>
      </c>
      <c r="AK26" s="36">
        <f t="shared" si="18"/>
        <v>-49820748.20674327</v>
      </c>
      <c r="AL26" s="103">
        <f>SUM(AL22:AL25)</f>
        <v>-50931799.270276517</v>
      </c>
    </row>
    <row r="27" spans="1:38" s="6" customFormat="1" ht="13.8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Y27" s="41" t="s">
        <v>27</v>
      </c>
      <c r="Z27" s="42">
        <f>Z26-O14</f>
        <v>0</v>
      </c>
    </row>
    <row r="28" spans="1:38" s="6" customFormat="1" ht="13.8" x14ac:dyDescent="0.25">
      <c r="C28" s="34">
        <f t="shared" ref="C28:AL28" si="19">+C22-B22</f>
        <v>-423068.3030203227</v>
      </c>
      <c r="D28" s="34">
        <f t="shared" si="19"/>
        <v>-423068.3030203227</v>
      </c>
      <c r="E28" s="34">
        <f t="shared" si="19"/>
        <v>-423068.3030203227</v>
      </c>
      <c r="F28" s="34">
        <f t="shared" si="19"/>
        <v>-423068.3030203227</v>
      </c>
      <c r="G28" s="34">
        <f t="shared" si="19"/>
        <v>-423068.3030203227</v>
      </c>
      <c r="H28" s="34">
        <f t="shared" si="19"/>
        <v>-423068.3030203227</v>
      </c>
      <c r="I28" s="34">
        <f t="shared" si="19"/>
        <v>-423068.3030203227</v>
      </c>
      <c r="J28" s="34">
        <f t="shared" si="19"/>
        <v>-423068.3030203227</v>
      </c>
      <c r="K28" s="34">
        <f t="shared" si="19"/>
        <v>-423068.3030203227</v>
      </c>
      <c r="L28" s="34">
        <f t="shared" si="19"/>
        <v>-423068.3030203227</v>
      </c>
      <c r="M28" s="34">
        <f t="shared" si="19"/>
        <v>-423068.3030203227</v>
      </c>
      <c r="N28" s="34">
        <f t="shared" si="19"/>
        <v>-423068.30302032083</v>
      </c>
      <c r="O28" s="34">
        <f t="shared" si="19"/>
        <v>-424966.44208419323</v>
      </c>
      <c r="P28" s="34">
        <f t="shared" si="19"/>
        <v>-424966.44208419323</v>
      </c>
      <c r="Q28" s="34">
        <f t="shared" si="19"/>
        <v>-424966.44208419323</v>
      </c>
      <c r="R28" s="34">
        <f t="shared" si="19"/>
        <v>-424966.44208419323</v>
      </c>
      <c r="S28" s="34">
        <f t="shared" si="19"/>
        <v>-424966.44208419323</v>
      </c>
      <c r="T28" s="34">
        <f t="shared" si="19"/>
        <v>-424966.44208419323</v>
      </c>
      <c r="U28" s="34">
        <f t="shared" si="19"/>
        <v>-424966.44208419323</v>
      </c>
      <c r="V28" s="34">
        <f t="shared" si="19"/>
        <v>-424966.44208419323</v>
      </c>
      <c r="W28" s="34">
        <f t="shared" si="19"/>
        <v>-424966.44208419323</v>
      </c>
      <c r="X28" s="34">
        <f t="shared" si="19"/>
        <v>-424966.44208419323</v>
      </c>
      <c r="Y28" s="34">
        <f t="shared" si="19"/>
        <v>-424966.44208419323</v>
      </c>
      <c r="Z28" s="34">
        <f t="shared" si="19"/>
        <v>-424966.44208419323</v>
      </c>
      <c r="AA28" s="34">
        <f t="shared" si="19"/>
        <v>-676964.83840657771</v>
      </c>
      <c r="AB28" s="34">
        <f t="shared" si="19"/>
        <v>-676964.83840657771</v>
      </c>
      <c r="AC28" s="34">
        <f t="shared" si="19"/>
        <v>-676964.83840657771</v>
      </c>
      <c r="AD28" s="34">
        <f t="shared" si="19"/>
        <v>-676964.83840657771</v>
      </c>
      <c r="AE28" s="34">
        <f t="shared" si="19"/>
        <v>-676964.83840657771</v>
      </c>
      <c r="AF28" s="34">
        <f t="shared" si="19"/>
        <v>-676964.83840657771</v>
      </c>
      <c r="AG28" s="34">
        <f t="shared" si="19"/>
        <v>-676964.83840657771</v>
      </c>
      <c r="AH28" s="34">
        <f t="shared" si="19"/>
        <v>-676964.83840657771</v>
      </c>
      <c r="AI28" s="34">
        <f t="shared" si="19"/>
        <v>-676964.83840657771</v>
      </c>
      <c r="AJ28" s="34">
        <f t="shared" si="19"/>
        <v>-676964.83840657771</v>
      </c>
      <c r="AK28" s="34">
        <f t="shared" si="19"/>
        <v>-676964.83840657771</v>
      </c>
      <c r="AL28" s="34">
        <f t="shared" si="19"/>
        <v>-676964.83840657398</v>
      </c>
    </row>
    <row r="29" spans="1:38" s="6" customFormat="1" ht="13.8" x14ac:dyDescent="0.25">
      <c r="C29" s="34">
        <f t="shared" ref="C29:AL29" si="20">+C23-B23</f>
        <v>-256611.8954429673</v>
      </c>
      <c r="D29" s="34">
        <f t="shared" si="20"/>
        <v>-256611.8954429673</v>
      </c>
      <c r="E29" s="34">
        <f t="shared" si="20"/>
        <v>-256611.8954429673</v>
      </c>
      <c r="F29" s="34">
        <f t="shared" si="20"/>
        <v>-256611.8954429673</v>
      </c>
      <c r="G29" s="34">
        <f t="shared" si="20"/>
        <v>-256611.8954429673</v>
      </c>
      <c r="H29" s="34">
        <f t="shared" si="20"/>
        <v>-256611.8954429673</v>
      </c>
      <c r="I29" s="34">
        <f t="shared" si="20"/>
        <v>-256611.8954429673</v>
      </c>
      <c r="J29" s="34">
        <f t="shared" si="20"/>
        <v>-256611.8954429673</v>
      </c>
      <c r="K29" s="34">
        <f t="shared" si="20"/>
        <v>-256611.8954429673</v>
      </c>
      <c r="L29" s="34">
        <f t="shared" si="20"/>
        <v>-256611.8954429673</v>
      </c>
      <c r="M29" s="34">
        <f t="shared" si="20"/>
        <v>-256611.8954429673</v>
      </c>
      <c r="N29" s="34">
        <f t="shared" si="20"/>
        <v>-256611.8954429673</v>
      </c>
      <c r="O29" s="34">
        <f t="shared" si="20"/>
        <v>-255671.29019197542</v>
      </c>
      <c r="P29" s="34">
        <f t="shared" si="20"/>
        <v>-255671.29019197542</v>
      </c>
      <c r="Q29" s="34">
        <f t="shared" si="20"/>
        <v>-255671.29019197542</v>
      </c>
      <c r="R29" s="34">
        <f t="shared" si="20"/>
        <v>-255671.29019197542</v>
      </c>
      <c r="S29" s="34">
        <f t="shared" si="20"/>
        <v>-255671.29019197449</v>
      </c>
      <c r="T29" s="34">
        <f t="shared" si="20"/>
        <v>-255671.29019197449</v>
      </c>
      <c r="U29" s="34">
        <f t="shared" si="20"/>
        <v>-255671.29019197449</v>
      </c>
      <c r="V29" s="34">
        <f t="shared" si="20"/>
        <v>-255671.29019197449</v>
      </c>
      <c r="W29" s="34">
        <f t="shared" si="20"/>
        <v>-255671.29019197449</v>
      </c>
      <c r="X29" s="34">
        <f t="shared" si="20"/>
        <v>-255671.29019197449</v>
      </c>
      <c r="Y29" s="34">
        <f t="shared" si="20"/>
        <v>-255671.29019197449</v>
      </c>
      <c r="Z29" s="34">
        <f t="shared" si="20"/>
        <v>-255671.29019197449</v>
      </c>
      <c r="AA29" s="34">
        <f t="shared" si="20"/>
        <v>-279329.81636758707</v>
      </c>
      <c r="AB29" s="34">
        <f t="shared" si="20"/>
        <v>-279329.81636758707</v>
      </c>
      <c r="AC29" s="34">
        <f t="shared" si="20"/>
        <v>-279329.81636758707</v>
      </c>
      <c r="AD29" s="34">
        <f t="shared" si="20"/>
        <v>-279329.81636758707</v>
      </c>
      <c r="AE29" s="34">
        <f t="shared" si="20"/>
        <v>-279329.81636758707</v>
      </c>
      <c r="AF29" s="34">
        <f t="shared" si="20"/>
        <v>-279329.81636758707</v>
      </c>
      <c r="AG29" s="34">
        <f t="shared" si="20"/>
        <v>-279329.81636758707</v>
      </c>
      <c r="AH29" s="34">
        <f t="shared" si="20"/>
        <v>-279329.81636758707</v>
      </c>
      <c r="AI29" s="34">
        <f t="shared" si="20"/>
        <v>-279329.81636758707</v>
      </c>
      <c r="AJ29" s="34">
        <f t="shared" si="20"/>
        <v>-279329.81636758707</v>
      </c>
      <c r="AK29" s="34">
        <f t="shared" si="20"/>
        <v>-279329.81636758707</v>
      </c>
      <c r="AL29" s="34">
        <f t="shared" si="20"/>
        <v>-279329.81636758894</v>
      </c>
    </row>
    <row r="30" spans="1:38" s="6" customFormat="1" ht="13.8" x14ac:dyDescent="0.25">
      <c r="C30" s="34">
        <f t="shared" ref="C30:AL30" si="21">+C24-B24</f>
        <v>3676.2648374340497</v>
      </c>
      <c r="D30" s="34">
        <f t="shared" si="21"/>
        <v>3676.2648374340497</v>
      </c>
      <c r="E30" s="34">
        <f t="shared" si="21"/>
        <v>3676.2648374340497</v>
      </c>
      <c r="F30" s="34">
        <f t="shared" si="21"/>
        <v>3676.2648374340497</v>
      </c>
      <c r="G30" s="34">
        <f t="shared" si="21"/>
        <v>3676.2648374340497</v>
      </c>
      <c r="H30" s="34">
        <f t="shared" si="21"/>
        <v>3676.2648374340497</v>
      </c>
      <c r="I30" s="34">
        <f t="shared" si="21"/>
        <v>3676.2648374340497</v>
      </c>
      <c r="J30" s="34">
        <f t="shared" si="21"/>
        <v>3676.2648374340497</v>
      </c>
      <c r="K30" s="34">
        <f t="shared" si="21"/>
        <v>3676.2648374340497</v>
      </c>
      <c r="L30" s="34">
        <f t="shared" si="21"/>
        <v>3676.2648374340497</v>
      </c>
      <c r="M30" s="34">
        <f t="shared" si="21"/>
        <v>3676.2648374340497</v>
      </c>
      <c r="N30" s="34">
        <f t="shared" si="21"/>
        <v>3676.2648374346318</v>
      </c>
      <c r="O30" s="34">
        <f t="shared" si="21"/>
        <v>-309236.17981243005</v>
      </c>
      <c r="P30" s="34">
        <f t="shared" si="21"/>
        <v>-309236.17981243017</v>
      </c>
      <c r="Q30" s="34">
        <f t="shared" si="21"/>
        <v>-309236.17981243017</v>
      </c>
      <c r="R30" s="34">
        <f t="shared" si="21"/>
        <v>-309236.17981242994</v>
      </c>
      <c r="S30" s="34">
        <f t="shared" si="21"/>
        <v>-309236.17981242994</v>
      </c>
      <c r="T30" s="34">
        <f t="shared" si="21"/>
        <v>-309236.17981242994</v>
      </c>
      <c r="U30" s="34">
        <f t="shared" si="21"/>
        <v>-309236.17981242994</v>
      </c>
      <c r="V30" s="34">
        <f t="shared" si="21"/>
        <v>-309236.17981242994</v>
      </c>
      <c r="W30" s="34">
        <f t="shared" si="21"/>
        <v>-309236.17981242994</v>
      </c>
      <c r="X30" s="34">
        <f t="shared" si="21"/>
        <v>-309236.17981242994</v>
      </c>
      <c r="Y30" s="34">
        <f t="shared" si="21"/>
        <v>-309236.17981242994</v>
      </c>
      <c r="Z30" s="34">
        <f t="shared" si="21"/>
        <v>-309236.1798124304</v>
      </c>
      <c r="AA30" s="34">
        <f t="shared" si="21"/>
        <v>-150379.79876646865</v>
      </c>
      <c r="AB30" s="34">
        <f t="shared" si="21"/>
        <v>-150379.79876646865</v>
      </c>
      <c r="AC30" s="34">
        <f t="shared" si="21"/>
        <v>-150379.79876646865</v>
      </c>
      <c r="AD30" s="34">
        <f t="shared" si="21"/>
        <v>-150379.79876646865</v>
      </c>
      <c r="AE30" s="34">
        <f t="shared" si="21"/>
        <v>-150379.79876646865</v>
      </c>
      <c r="AF30" s="34">
        <f t="shared" si="21"/>
        <v>-150379.79876646865</v>
      </c>
      <c r="AG30" s="34">
        <f t="shared" si="21"/>
        <v>-150379.79876646865</v>
      </c>
      <c r="AH30" s="34">
        <f t="shared" si="21"/>
        <v>-150379.79876646865</v>
      </c>
      <c r="AI30" s="34">
        <f t="shared" si="21"/>
        <v>-150379.79876646865</v>
      </c>
      <c r="AJ30" s="34">
        <f t="shared" si="21"/>
        <v>-150379.79876646865</v>
      </c>
      <c r="AK30" s="34">
        <f t="shared" si="21"/>
        <v>-150379.79876646865</v>
      </c>
      <c r="AL30" s="34">
        <f t="shared" si="21"/>
        <v>-150379.79876647331</v>
      </c>
    </row>
    <row r="31" spans="1:38" s="6" customFormat="1" ht="13.8" x14ac:dyDescent="0.25">
      <c r="C31" s="34">
        <f t="shared" ref="C31:AL31" si="22">+C25-B25</f>
        <v>-506498.79573497485</v>
      </c>
      <c r="D31" s="34">
        <f t="shared" si="22"/>
        <v>-506498.79573497485</v>
      </c>
      <c r="E31" s="34">
        <f t="shared" si="22"/>
        <v>-506498.7957349749</v>
      </c>
      <c r="F31" s="34">
        <f t="shared" si="22"/>
        <v>-506498.79573497479</v>
      </c>
      <c r="G31" s="34">
        <f t="shared" si="22"/>
        <v>-506498.79573497479</v>
      </c>
      <c r="H31" s="34">
        <f t="shared" si="22"/>
        <v>-506498.79573497502</v>
      </c>
      <c r="I31" s="34">
        <f t="shared" si="22"/>
        <v>-506498.79573497502</v>
      </c>
      <c r="J31" s="34">
        <f t="shared" si="22"/>
        <v>-506498.79573497502</v>
      </c>
      <c r="K31" s="34">
        <f t="shared" si="22"/>
        <v>-506498.79573497502</v>
      </c>
      <c r="L31" s="34">
        <f t="shared" si="22"/>
        <v>-506498.79573497456</v>
      </c>
      <c r="M31" s="34">
        <f t="shared" si="22"/>
        <v>-506498.79573497456</v>
      </c>
      <c r="N31" s="34">
        <f t="shared" si="22"/>
        <v>-506498.79573497456</v>
      </c>
      <c r="O31" s="34">
        <f t="shared" si="22"/>
        <v>453344.48027831409</v>
      </c>
      <c r="P31" s="34">
        <f t="shared" si="22"/>
        <v>453344.48027831409</v>
      </c>
      <c r="Q31" s="34">
        <f t="shared" si="22"/>
        <v>453344.48027831409</v>
      </c>
      <c r="R31" s="34">
        <f t="shared" si="22"/>
        <v>453344.48027831409</v>
      </c>
      <c r="S31" s="34">
        <f t="shared" si="22"/>
        <v>453344.48027831409</v>
      </c>
      <c r="T31" s="34">
        <f t="shared" si="22"/>
        <v>453344.48027831409</v>
      </c>
      <c r="U31" s="34">
        <f t="shared" si="22"/>
        <v>453344.48027831409</v>
      </c>
      <c r="V31" s="34">
        <f t="shared" si="22"/>
        <v>453344.48027831409</v>
      </c>
      <c r="W31" s="34">
        <f t="shared" si="22"/>
        <v>453344.48027831432</v>
      </c>
      <c r="X31" s="34">
        <f t="shared" si="22"/>
        <v>453344.48027831432</v>
      </c>
      <c r="Y31" s="34">
        <f t="shared" si="22"/>
        <v>453344.48027831432</v>
      </c>
      <c r="Z31" s="34">
        <f t="shared" si="22"/>
        <v>453344.48027831427</v>
      </c>
      <c r="AA31" s="34">
        <f t="shared" si="22"/>
        <v>-4376.6099926068564</v>
      </c>
      <c r="AB31" s="34">
        <f t="shared" si="22"/>
        <v>-4376.6099926068564</v>
      </c>
      <c r="AC31" s="34">
        <f t="shared" si="22"/>
        <v>-4376.6099926068564</v>
      </c>
      <c r="AD31" s="34">
        <f t="shared" si="22"/>
        <v>-4376.6099926068564</v>
      </c>
      <c r="AE31" s="34">
        <f t="shared" si="22"/>
        <v>-4376.6099926068564</v>
      </c>
      <c r="AF31" s="34">
        <f t="shared" si="22"/>
        <v>-4376.6099926068564</v>
      </c>
      <c r="AG31" s="34">
        <f t="shared" si="22"/>
        <v>-4376.6099926068564</v>
      </c>
      <c r="AH31" s="34">
        <f t="shared" si="22"/>
        <v>-4376.6099926068564</v>
      </c>
      <c r="AI31" s="34">
        <f t="shared" si="22"/>
        <v>-4376.6099926068564</v>
      </c>
      <c r="AJ31" s="34">
        <f t="shared" si="22"/>
        <v>-4376.6099926068564</v>
      </c>
      <c r="AK31" s="34">
        <f t="shared" si="22"/>
        <v>-4376.6099926068564</v>
      </c>
      <c r="AL31" s="34">
        <f t="shared" si="22"/>
        <v>-4376.6099926071474</v>
      </c>
    </row>
    <row r="32" spans="1:38" s="6" customFormat="1" ht="13.8" x14ac:dyDescent="0.25">
      <c r="C32" s="34">
        <f t="shared" ref="C32:AL32" si="23">+C26-B26</f>
        <v>-1182502.72936083</v>
      </c>
      <c r="D32" s="34">
        <f t="shared" si="23"/>
        <v>-1182502.72936083</v>
      </c>
      <c r="E32" s="34">
        <f t="shared" si="23"/>
        <v>-1182502.72936083</v>
      </c>
      <c r="F32" s="34">
        <f t="shared" si="23"/>
        <v>-1182502.72936083</v>
      </c>
      <c r="G32" s="34">
        <f t="shared" si="23"/>
        <v>-1182502.7293608338</v>
      </c>
      <c r="H32" s="34">
        <f t="shared" si="23"/>
        <v>-1182502.72936083</v>
      </c>
      <c r="I32" s="34">
        <f t="shared" si="23"/>
        <v>-1182502.72936083</v>
      </c>
      <c r="J32" s="34">
        <f t="shared" si="23"/>
        <v>-1182502.7293608338</v>
      </c>
      <c r="K32" s="34">
        <f t="shared" si="23"/>
        <v>-1182502.7293608263</v>
      </c>
      <c r="L32" s="34">
        <f t="shared" si="23"/>
        <v>-1182502.72936083</v>
      </c>
      <c r="M32" s="34">
        <f t="shared" si="23"/>
        <v>-1182502.72936083</v>
      </c>
      <c r="N32" s="34">
        <f t="shared" si="23"/>
        <v>-1182502.7293608338</v>
      </c>
      <c r="O32" s="34">
        <f t="shared" si="23"/>
        <v>-536529.43181028217</v>
      </c>
      <c r="P32" s="34">
        <f t="shared" si="23"/>
        <v>-536529.43181028217</v>
      </c>
      <c r="Q32" s="34">
        <f t="shared" si="23"/>
        <v>-536529.4318102859</v>
      </c>
      <c r="R32" s="34">
        <f t="shared" si="23"/>
        <v>-536529.4318102859</v>
      </c>
      <c r="S32" s="34">
        <f t="shared" si="23"/>
        <v>-536529.43181028217</v>
      </c>
      <c r="T32" s="34">
        <f t="shared" si="23"/>
        <v>-536529.43181028217</v>
      </c>
      <c r="U32" s="34">
        <f t="shared" si="23"/>
        <v>-536529.43181028962</v>
      </c>
      <c r="V32" s="34">
        <f t="shared" si="23"/>
        <v>-536529.43181027472</v>
      </c>
      <c r="W32" s="34">
        <f t="shared" si="23"/>
        <v>-536529.43181028962</v>
      </c>
      <c r="X32" s="34">
        <f t="shared" si="23"/>
        <v>-536529.43181028217</v>
      </c>
      <c r="Y32" s="34">
        <f t="shared" si="23"/>
        <v>-536529.43181028962</v>
      </c>
      <c r="Z32" s="34">
        <f t="shared" si="23"/>
        <v>-536529.43181027472</v>
      </c>
      <c r="AA32" s="34">
        <f t="shared" si="23"/>
        <v>-1111051.0635332465</v>
      </c>
      <c r="AB32" s="34">
        <f t="shared" si="23"/>
        <v>-1111051.0635332391</v>
      </c>
      <c r="AC32" s="34">
        <f t="shared" si="23"/>
        <v>-1111051.0635332391</v>
      </c>
      <c r="AD32" s="34">
        <f t="shared" si="23"/>
        <v>-1111051.0635332391</v>
      </c>
      <c r="AE32" s="34">
        <f t="shared" si="23"/>
        <v>-1111051.0635332465</v>
      </c>
      <c r="AF32" s="34">
        <f t="shared" si="23"/>
        <v>-1111051.0635332316</v>
      </c>
      <c r="AG32" s="34">
        <f t="shared" si="23"/>
        <v>-1111051.0635332391</v>
      </c>
      <c r="AH32" s="34">
        <f t="shared" si="23"/>
        <v>-1111051.0635332391</v>
      </c>
      <c r="AI32" s="34">
        <f t="shared" si="23"/>
        <v>-1111051.0635332465</v>
      </c>
      <c r="AJ32" s="34">
        <f t="shared" si="23"/>
        <v>-1111051.0635332465</v>
      </c>
      <c r="AK32" s="34">
        <f t="shared" si="23"/>
        <v>-1111051.0635332316</v>
      </c>
      <c r="AL32" s="34">
        <f t="shared" si="23"/>
        <v>-1111051.0635332465</v>
      </c>
    </row>
    <row r="33" spans="1:38" s="6" customFormat="1" thickBot="1" x14ac:dyDescent="0.3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38" s="6" customFormat="1" ht="13.8" x14ac:dyDescent="0.25">
      <c r="M34" s="102"/>
      <c r="N34" s="101"/>
    </row>
    <row r="35" spans="1:38" s="6" customFormat="1" ht="13.8" x14ac:dyDescent="0.25">
      <c r="M35" s="97"/>
      <c r="N35" s="83">
        <f t="shared" ref="N35:AK35" si="24">N21</f>
        <v>44531</v>
      </c>
      <c r="O35" s="90">
        <f t="shared" si="24"/>
        <v>44562</v>
      </c>
      <c r="P35" s="90">
        <f t="shared" si="24"/>
        <v>44593</v>
      </c>
      <c r="Q35" s="90">
        <f t="shared" si="24"/>
        <v>44621</v>
      </c>
      <c r="R35" s="90">
        <f t="shared" si="24"/>
        <v>44652</v>
      </c>
      <c r="S35" s="90">
        <f t="shared" si="24"/>
        <v>44682</v>
      </c>
      <c r="T35" s="90">
        <f t="shared" si="24"/>
        <v>44713</v>
      </c>
      <c r="U35" s="90">
        <f t="shared" si="24"/>
        <v>44743</v>
      </c>
      <c r="V35" s="90">
        <f t="shared" si="24"/>
        <v>44774</v>
      </c>
      <c r="W35" s="90">
        <f t="shared" si="24"/>
        <v>44805</v>
      </c>
      <c r="X35" s="90">
        <f t="shared" si="24"/>
        <v>44835</v>
      </c>
      <c r="Y35" s="90">
        <f t="shared" si="24"/>
        <v>44866</v>
      </c>
      <c r="Z35" s="90">
        <f t="shared" si="24"/>
        <v>44896</v>
      </c>
      <c r="AA35" s="90">
        <f t="shared" si="24"/>
        <v>44927</v>
      </c>
      <c r="AB35" s="90">
        <f t="shared" si="24"/>
        <v>44958</v>
      </c>
      <c r="AC35" s="90">
        <f t="shared" si="24"/>
        <v>44986</v>
      </c>
      <c r="AD35" s="90">
        <f t="shared" si="24"/>
        <v>45017</v>
      </c>
      <c r="AE35" s="90">
        <f t="shared" si="24"/>
        <v>45047</v>
      </c>
      <c r="AF35" s="90">
        <f t="shared" si="24"/>
        <v>45078</v>
      </c>
      <c r="AG35" s="90">
        <f t="shared" si="24"/>
        <v>45108</v>
      </c>
      <c r="AH35" s="90">
        <f t="shared" si="24"/>
        <v>45139</v>
      </c>
      <c r="AI35" s="90">
        <f t="shared" si="24"/>
        <v>45170</v>
      </c>
      <c r="AJ35" s="90">
        <f t="shared" si="24"/>
        <v>45200</v>
      </c>
      <c r="AK35" s="90">
        <f t="shared" si="24"/>
        <v>45231</v>
      </c>
      <c r="AL35" s="40">
        <v>45261</v>
      </c>
    </row>
    <row r="36" spans="1:38" s="6" customFormat="1" ht="13.8" x14ac:dyDescent="0.25">
      <c r="M36" s="100" t="s">
        <v>70</v>
      </c>
      <c r="N36" s="99" t="s">
        <v>29</v>
      </c>
      <c r="O36" s="98" t="s">
        <v>29</v>
      </c>
      <c r="P36" s="98" t="s">
        <v>29</v>
      </c>
      <c r="Q36" s="98" t="s">
        <v>29</v>
      </c>
      <c r="R36" s="98" t="s">
        <v>29</v>
      </c>
      <c r="S36" s="98" t="s">
        <v>29</v>
      </c>
      <c r="T36" s="98" t="s">
        <v>29</v>
      </c>
      <c r="U36" s="98" t="s">
        <v>29</v>
      </c>
      <c r="V36" s="98" t="s">
        <v>29</v>
      </c>
      <c r="W36" s="98" t="s">
        <v>29</v>
      </c>
      <c r="X36" s="98" t="s">
        <v>29</v>
      </c>
      <c r="Y36" s="98" t="s">
        <v>29</v>
      </c>
      <c r="Z36" s="98" t="s">
        <v>29</v>
      </c>
      <c r="AA36" s="98" t="s">
        <v>29</v>
      </c>
      <c r="AB36" s="98" t="s">
        <v>29</v>
      </c>
      <c r="AC36" s="98" t="s">
        <v>29</v>
      </c>
      <c r="AD36" s="98" t="s">
        <v>29</v>
      </c>
      <c r="AE36" s="98" t="s">
        <v>29</v>
      </c>
      <c r="AF36" s="98" t="s">
        <v>29</v>
      </c>
      <c r="AG36" s="98" t="s">
        <v>29</v>
      </c>
      <c r="AH36" s="98" t="s">
        <v>29</v>
      </c>
      <c r="AI36" s="98" t="s">
        <v>29</v>
      </c>
      <c r="AJ36" s="98" t="s">
        <v>29</v>
      </c>
      <c r="AK36" s="98" t="s">
        <v>29</v>
      </c>
      <c r="AL36" s="98" t="s">
        <v>29</v>
      </c>
    </row>
    <row r="37" spans="1:38" s="6" customFormat="1" ht="13.8" x14ac:dyDescent="0.25">
      <c r="M37" s="97" t="s">
        <v>21</v>
      </c>
      <c r="N37" s="78">
        <f t="shared" ref="N37:W40" si="25">((B22+N22)+(2*(SUM(C22:M22))))/24</f>
        <v>-14378490.743185105</v>
      </c>
      <c r="O37" s="80">
        <f t="shared" si="25"/>
        <v>-14801638.135333093</v>
      </c>
      <c r="P37" s="80">
        <f t="shared" si="25"/>
        <v>-15224943.705736399</v>
      </c>
      <c r="Q37" s="80">
        <f t="shared" si="25"/>
        <v>-15648407.454395026</v>
      </c>
      <c r="R37" s="80">
        <f t="shared" si="25"/>
        <v>-16072029.38130898</v>
      </c>
      <c r="S37" s="80">
        <f t="shared" si="25"/>
        <v>-16495809.486478252</v>
      </c>
      <c r="T37" s="80">
        <f t="shared" si="25"/>
        <v>-16919747.769902851</v>
      </c>
      <c r="U37" s="80">
        <f t="shared" si="25"/>
        <v>-17343844.231582768</v>
      </c>
      <c r="V37" s="80">
        <f t="shared" si="25"/>
        <v>-17768098.871518008</v>
      </c>
      <c r="W37" s="80">
        <f t="shared" si="25"/>
        <v>-18192511.689708576</v>
      </c>
      <c r="X37" s="80">
        <f t="shared" ref="X37:AG40" si="26">((L22+X22)+(2*(SUM(M22:W22))))/24</f>
        <v>-18617082.686154459</v>
      </c>
      <c r="Y37" s="80">
        <f t="shared" si="26"/>
        <v>-19041811.860855673</v>
      </c>
      <c r="Z37" s="80">
        <f t="shared" si="26"/>
        <v>-19466699.213812202</v>
      </c>
      <c r="AA37" s="80">
        <f t="shared" si="26"/>
        <v>-19902165.589076493</v>
      </c>
      <c r="AB37" s="80">
        <f t="shared" si="26"/>
        <v>-20358631.83070099</v>
      </c>
      <c r="AC37" s="80">
        <f t="shared" si="26"/>
        <v>-20836097.938685674</v>
      </c>
      <c r="AD37" s="80">
        <f t="shared" si="26"/>
        <v>-21334563.913030565</v>
      </c>
      <c r="AE37" s="80">
        <f t="shared" si="26"/>
        <v>-21854029.75373565</v>
      </c>
      <c r="AF37" s="80">
        <f t="shared" si="26"/>
        <v>-22394495.460800935</v>
      </c>
      <c r="AG37" s="80">
        <f t="shared" si="26"/>
        <v>-22955961.034226418</v>
      </c>
      <c r="AH37" s="80">
        <f t="shared" ref="AH37:AL40" si="27">((V22+AH22)+(2*(SUM(W22:AG22))))/24</f>
        <v>-23538426.474012107</v>
      </c>
      <c r="AI37" s="80">
        <f t="shared" si="27"/>
        <v>-24141891.780157987</v>
      </c>
      <c r="AJ37" s="80">
        <f t="shared" si="27"/>
        <v>-24766356.952664066</v>
      </c>
      <c r="AK37" s="80">
        <f t="shared" si="27"/>
        <v>-25411821.991530348</v>
      </c>
      <c r="AL37" s="80">
        <f t="shared" si="27"/>
        <v>-26078286.896756824</v>
      </c>
    </row>
    <row r="38" spans="1:38" s="6" customFormat="1" ht="13.8" x14ac:dyDescent="0.25">
      <c r="M38" s="97" t="s">
        <v>22</v>
      </c>
      <c r="N38" s="78">
        <f t="shared" si="25"/>
        <v>-5831427.1051827893</v>
      </c>
      <c r="O38" s="80">
        <f t="shared" si="25"/>
        <v>-6087999.8087402983</v>
      </c>
      <c r="P38" s="80">
        <f t="shared" si="25"/>
        <v>-6344494.1285268925</v>
      </c>
      <c r="Q38" s="80">
        <f t="shared" si="25"/>
        <v>-6600910.0645425702</v>
      </c>
      <c r="R38" s="80">
        <f t="shared" si="25"/>
        <v>-6857247.6167873302</v>
      </c>
      <c r="S38" s="80">
        <f t="shared" si="25"/>
        <v>-7113506.7852611765</v>
      </c>
      <c r="T38" s="80">
        <f t="shared" si="25"/>
        <v>-7369687.5699641043</v>
      </c>
      <c r="U38" s="80">
        <f t="shared" si="25"/>
        <v>-7625789.9708961174</v>
      </c>
      <c r="V38" s="80">
        <f t="shared" si="25"/>
        <v>-7881813.9880572148</v>
      </c>
      <c r="W38" s="80">
        <f t="shared" si="25"/>
        <v>-8137759.6214473965</v>
      </c>
      <c r="X38" s="80">
        <f t="shared" si="26"/>
        <v>-8393626.8710666616</v>
      </c>
      <c r="Y38" s="80">
        <f t="shared" si="26"/>
        <v>-8649415.7369150091</v>
      </c>
      <c r="Z38" s="80">
        <f t="shared" si="26"/>
        <v>-8905126.2189924438</v>
      </c>
      <c r="AA38" s="80">
        <f t="shared" si="26"/>
        <v>-9161783.2811084036</v>
      </c>
      <c r="AB38" s="80">
        <f t="shared" si="26"/>
        <v>-9420411.8870723285</v>
      </c>
      <c r="AC38" s="80">
        <f t="shared" si="26"/>
        <v>-9681012.0368842222</v>
      </c>
      <c r="AD38" s="80">
        <f t="shared" si="26"/>
        <v>-9943583.7305440828</v>
      </c>
      <c r="AE38" s="80">
        <f t="shared" si="26"/>
        <v>-10208126.968051912</v>
      </c>
      <c r="AF38" s="80">
        <f t="shared" si="26"/>
        <v>-10474641.749407711</v>
      </c>
      <c r="AG38" s="80">
        <f t="shared" si="26"/>
        <v>-10743128.074611476</v>
      </c>
      <c r="AH38" s="80">
        <f t="shared" si="27"/>
        <v>-11013585.943663208</v>
      </c>
      <c r="AI38" s="80">
        <f t="shared" si="27"/>
        <v>-11286015.356562907</v>
      </c>
      <c r="AJ38" s="80">
        <f t="shared" si="27"/>
        <v>-11560416.313310577</v>
      </c>
      <c r="AK38" s="80">
        <f t="shared" si="27"/>
        <v>-11836788.81390621</v>
      </c>
      <c r="AL38" s="80">
        <f t="shared" si="27"/>
        <v>-12115132.858349815</v>
      </c>
    </row>
    <row r="39" spans="1:38" s="6" customFormat="1" ht="13.8" x14ac:dyDescent="0.25">
      <c r="M39" s="97" t="s">
        <v>23</v>
      </c>
      <c r="N39" s="78">
        <f t="shared" si="25"/>
        <v>-1013612.8704968967</v>
      </c>
      <c r="O39" s="80">
        <f t="shared" si="25"/>
        <v>-1022974.62418654</v>
      </c>
      <c r="P39" s="80">
        <f t="shared" si="25"/>
        <v>-1058412.414930339</v>
      </c>
      <c r="Q39" s="80">
        <f t="shared" si="25"/>
        <v>-1119926.2427282932</v>
      </c>
      <c r="R39" s="80">
        <f t="shared" si="25"/>
        <v>-1207516.1075804031</v>
      </c>
      <c r="S39" s="80">
        <f t="shared" si="25"/>
        <v>-1321182.0094866678</v>
      </c>
      <c r="T39" s="80">
        <f t="shared" si="25"/>
        <v>-1460923.948447088</v>
      </c>
      <c r="U39" s="80">
        <f t="shared" si="25"/>
        <v>-1626741.9244616637</v>
      </c>
      <c r="V39" s="80">
        <f t="shared" si="25"/>
        <v>-1818635.9375303946</v>
      </c>
      <c r="W39" s="80">
        <f t="shared" si="25"/>
        <v>-2036605.9876532808</v>
      </c>
      <c r="X39" s="80">
        <f t="shared" si="26"/>
        <v>-2280652.0748303225</v>
      </c>
      <c r="Y39" s="80">
        <f t="shared" si="26"/>
        <v>-2550774.1990615199</v>
      </c>
      <c r="Z39" s="80">
        <f t="shared" si="26"/>
        <v>-2846972.3603468719</v>
      </c>
      <c r="AA39" s="80">
        <f t="shared" si="26"/>
        <v>-3149589.524282387</v>
      </c>
      <c r="AB39" s="80">
        <f t="shared" si="26"/>
        <v>-3438968.6564640719</v>
      </c>
      <c r="AC39" s="80">
        <f t="shared" si="26"/>
        <v>-3715109.7568919263</v>
      </c>
      <c r="AD39" s="80">
        <f t="shared" si="26"/>
        <v>-3978012.8255659509</v>
      </c>
      <c r="AE39" s="80">
        <f t="shared" si="26"/>
        <v>-4227677.8624861455</v>
      </c>
      <c r="AF39" s="80">
        <f t="shared" si="26"/>
        <v>-4464104.8676525094</v>
      </c>
      <c r="AG39" s="80">
        <f t="shared" si="26"/>
        <v>-4687293.8410650436</v>
      </c>
      <c r="AH39" s="80">
        <f t="shared" si="27"/>
        <v>-4897244.7827237481</v>
      </c>
      <c r="AI39" s="80">
        <f t="shared" si="27"/>
        <v>-5093957.6926286221</v>
      </c>
      <c r="AJ39" s="80">
        <f t="shared" si="27"/>
        <v>-5277432.5707796672</v>
      </c>
      <c r="AK39" s="80">
        <f t="shared" si="27"/>
        <v>-5447669.4171768809</v>
      </c>
      <c r="AL39" s="80">
        <f t="shared" si="27"/>
        <v>-5604668.2318202639</v>
      </c>
    </row>
    <row r="40" spans="1:38" s="6" customFormat="1" ht="13.8" x14ac:dyDescent="0.25">
      <c r="M40" s="97" t="s">
        <v>24</v>
      </c>
      <c r="N40" s="78">
        <f t="shared" si="25"/>
        <v>-2842286.2311244453</v>
      </c>
      <c r="O40" s="80">
        <f t="shared" si="25"/>
        <v>-3308791.5570255332</v>
      </c>
      <c r="P40" s="80">
        <f t="shared" si="25"/>
        <v>-3695309.9432588462</v>
      </c>
      <c r="Q40" s="80">
        <f t="shared" si="25"/>
        <v>-4001841.3898243862</v>
      </c>
      <c r="R40" s="80">
        <f t="shared" si="25"/>
        <v>-4228385.8967221519</v>
      </c>
      <c r="S40" s="80">
        <f t="shared" si="25"/>
        <v>-4374943.4639521437</v>
      </c>
      <c r="T40" s="80">
        <f t="shared" si="25"/>
        <v>-4441514.0915143611</v>
      </c>
      <c r="U40" s="80">
        <f t="shared" si="25"/>
        <v>-4428097.7794088041</v>
      </c>
      <c r="V40" s="80">
        <f t="shared" si="25"/>
        <v>-4334694.5276354747</v>
      </c>
      <c r="W40" s="80">
        <f t="shared" si="25"/>
        <v>-4161304.3361943685</v>
      </c>
      <c r="X40" s="80">
        <f t="shared" si="26"/>
        <v>-3907927.2050854894</v>
      </c>
      <c r="Y40" s="80">
        <f t="shared" si="26"/>
        <v>-3574563.1343088355</v>
      </c>
      <c r="Z40" s="80">
        <f t="shared" si="26"/>
        <v>-3161212.12386441</v>
      </c>
      <c r="AA40" s="80">
        <f t="shared" si="26"/>
        <v>-2726939.3556807172</v>
      </c>
      <c r="AB40" s="80">
        <f t="shared" si="26"/>
        <v>-2330810.0116862678</v>
      </c>
      <c r="AC40" s="80">
        <f t="shared" si="26"/>
        <v>-1972824.0918810621</v>
      </c>
      <c r="AD40" s="80">
        <f t="shared" si="26"/>
        <v>-1652981.5962651002</v>
      </c>
      <c r="AE40" s="80">
        <f t="shared" si="26"/>
        <v>-1371282.5248383812</v>
      </c>
      <c r="AF40" s="80">
        <f t="shared" si="26"/>
        <v>-1127726.877600906</v>
      </c>
      <c r="AG40" s="80">
        <f t="shared" si="26"/>
        <v>-922314.65455267392</v>
      </c>
      <c r="AH40" s="80">
        <f t="shared" si="27"/>
        <v>-755045.85569368524</v>
      </c>
      <c r="AI40" s="80">
        <f t="shared" si="27"/>
        <v>-625920.48102394014</v>
      </c>
      <c r="AJ40" s="80">
        <f t="shared" si="27"/>
        <v>-534938.53054343839</v>
      </c>
      <c r="AK40" s="80">
        <f t="shared" si="27"/>
        <v>-482100.00425217999</v>
      </c>
      <c r="AL40" s="80">
        <f t="shared" si="27"/>
        <v>-467404.90215016529</v>
      </c>
    </row>
    <row r="41" spans="1:38" s="6" customFormat="1" ht="13.8" x14ac:dyDescent="0.25">
      <c r="M41" s="96" t="s">
        <v>25</v>
      </c>
      <c r="N41" s="95">
        <f t="shared" ref="N41:AL41" si="28">SUM(N37:N40)</f>
        <v>-24065816.949989233</v>
      </c>
      <c r="O41" s="94">
        <f t="shared" si="28"/>
        <v>-25221404.125285465</v>
      </c>
      <c r="P41" s="94">
        <f t="shared" si="28"/>
        <v>-26323160.192452475</v>
      </c>
      <c r="Q41" s="94">
        <f t="shared" si="28"/>
        <v>-27371085.151490275</v>
      </c>
      <c r="R41" s="94">
        <f t="shared" si="28"/>
        <v>-28365179.002398867</v>
      </c>
      <c r="S41" s="94">
        <f t="shared" si="28"/>
        <v>-29305441.745178241</v>
      </c>
      <c r="T41" s="94">
        <f t="shared" si="28"/>
        <v>-30191873.379828405</v>
      </c>
      <c r="U41" s="94">
        <f t="shared" si="28"/>
        <v>-31024473.906349353</v>
      </c>
      <c r="V41" s="94">
        <f t="shared" si="28"/>
        <v>-31803243.324741092</v>
      </c>
      <c r="W41" s="94">
        <f t="shared" si="28"/>
        <v>-32528181.635003623</v>
      </c>
      <c r="X41" s="94">
        <f t="shared" si="28"/>
        <v>-33199288.837136935</v>
      </c>
      <c r="Y41" s="94">
        <f t="shared" si="28"/>
        <v>-33816564.931141041</v>
      </c>
      <c r="Z41" s="94">
        <f t="shared" si="28"/>
        <v>-34380009.917015925</v>
      </c>
      <c r="AA41" s="94">
        <f t="shared" si="28"/>
        <v>-34940477.750148006</v>
      </c>
      <c r="AB41" s="94">
        <f t="shared" si="28"/>
        <v>-35548822.385923654</v>
      </c>
      <c r="AC41" s="94">
        <f t="shared" si="28"/>
        <v>-36205043.824342884</v>
      </c>
      <c r="AD41" s="94">
        <f t="shared" si="28"/>
        <v>-36909142.065405697</v>
      </c>
      <c r="AE41" s="94">
        <f t="shared" si="28"/>
        <v>-37661117.109112091</v>
      </c>
      <c r="AF41" s="94">
        <f t="shared" si="28"/>
        <v>-38460968.955462068</v>
      </c>
      <c r="AG41" s="94">
        <f t="shared" si="28"/>
        <v>-39308697.604455613</v>
      </c>
      <c r="AH41" s="94">
        <f t="shared" si="28"/>
        <v>-40204303.056092747</v>
      </c>
      <c r="AI41" s="94">
        <f t="shared" si="28"/>
        <v>-41147785.310373455</v>
      </c>
      <c r="AJ41" s="94">
        <f t="shared" si="28"/>
        <v>-42139144.367297746</v>
      </c>
      <c r="AK41" s="94">
        <f t="shared" si="28"/>
        <v>-43178380.226865619</v>
      </c>
      <c r="AL41" s="94">
        <f t="shared" si="28"/>
        <v>-44265492.889077067</v>
      </c>
    </row>
    <row r="42" spans="1:38" s="6" customFormat="1" ht="13.8" x14ac:dyDescent="0.25">
      <c r="M42" s="93" t="s">
        <v>69</v>
      </c>
      <c r="N42" s="92">
        <f t="shared" ref="N42:Z42" si="29">+N37+SUM(N$39:N$40)*$D$2</f>
        <v>-16910274.093309678</v>
      </c>
      <c r="O42" s="91">
        <f t="shared" si="29"/>
        <v>-17645875.80991694</v>
      </c>
      <c r="P42" s="91">
        <f t="shared" si="29"/>
        <v>-18346237.806123417</v>
      </c>
      <c r="Q42" s="91">
        <f t="shared" si="29"/>
        <v>-19011360.081929114</v>
      </c>
      <c r="R42" s="91">
        <f t="shared" si="29"/>
        <v>-19641242.637334038</v>
      </c>
      <c r="S42" s="91">
        <f t="shared" si="29"/>
        <v>-20235885.472338177</v>
      </c>
      <c r="T42" s="91">
        <f t="shared" si="29"/>
        <v>-20795288.58694154</v>
      </c>
      <c r="U42" s="91">
        <f t="shared" si="29"/>
        <v>-21319451.981144115</v>
      </c>
      <c r="V42" s="91">
        <f t="shared" si="29"/>
        <v>-21808375.654945917</v>
      </c>
      <c r="W42" s="91">
        <f t="shared" si="29"/>
        <v>-22262059.608346943</v>
      </c>
      <c r="X42" s="91">
        <f t="shared" si="29"/>
        <v>-22680503.84134718</v>
      </c>
      <c r="Y42" s="91">
        <f t="shared" si="29"/>
        <v>-23063708.353946649</v>
      </c>
      <c r="Z42" s="91">
        <f t="shared" si="29"/>
        <v>-23411673.146145329</v>
      </c>
      <c r="AA42" s="149">
        <f t="shared" ref="AA42:AL42" si="30">+AA37+SUM(AA$39:AA$40)*$D$3</f>
        <v>-23754817.922780305</v>
      </c>
      <c r="AB42" s="149">
        <f t="shared" si="30"/>
        <v>-24141298.725540351</v>
      </c>
      <c r="AC42" s="149">
        <f t="shared" si="30"/>
        <v>-24565107.369941246</v>
      </c>
      <c r="AD42" s="149">
        <f t="shared" si="30"/>
        <v>-25026243.855983</v>
      </c>
      <c r="AE42" s="149">
        <f t="shared" si="30"/>
        <v>-25524708.183665611</v>
      </c>
      <c r="AF42" s="149">
        <f t="shared" si="30"/>
        <v>-26060500.352989074</v>
      </c>
      <c r="AG42" s="149">
        <f t="shared" si="30"/>
        <v>-26633620.363953393</v>
      </c>
      <c r="AH42" s="149">
        <f t="shared" si="30"/>
        <v>-27244068.216558576</v>
      </c>
      <c r="AI42" s="149">
        <f t="shared" si="30"/>
        <v>-27891843.910804607</v>
      </c>
      <c r="AJ42" s="149">
        <f t="shared" si="30"/>
        <v>-28576947.446691494</v>
      </c>
      <c r="AK42" s="149">
        <f t="shared" si="30"/>
        <v>-29299378.824219238</v>
      </c>
      <c r="AL42" s="149">
        <f t="shared" si="30"/>
        <v>-30059138.043387838</v>
      </c>
    </row>
    <row r="43" spans="1:38" s="6" customFormat="1" ht="13.8" x14ac:dyDescent="0.25">
      <c r="M43" s="93" t="s">
        <v>67</v>
      </c>
      <c r="N43" s="92">
        <f t="shared" ref="N43:Z43" si="31">+N38+SUM(N$39:N$40)*$E$2</f>
        <v>-7155542.8566795578</v>
      </c>
      <c r="O43" s="91">
        <f t="shared" si="31"/>
        <v>-7575528.3153685238</v>
      </c>
      <c r="P43" s="91">
        <f t="shared" si="31"/>
        <v>-7976922.3863290586</v>
      </c>
      <c r="Q43" s="91">
        <f t="shared" si="31"/>
        <v>-8359725.0695611602</v>
      </c>
      <c r="R43" s="91">
        <f t="shared" si="31"/>
        <v>-8723936.3650648277</v>
      </c>
      <c r="S43" s="91">
        <f t="shared" si="31"/>
        <v>-9069556.272840064</v>
      </c>
      <c r="T43" s="91">
        <f t="shared" si="31"/>
        <v>-9396584.7928868663</v>
      </c>
      <c r="U43" s="91">
        <f t="shared" si="31"/>
        <v>-9705021.9252052363</v>
      </c>
      <c r="V43" s="91">
        <f t="shared" si="31"/>
        <v>-9994867.6697951742</v>
      </c>
      <c r="W43" s="91">
        <f t="shared" si="31"/>
        <v>-10266122.02665668</v>
      </c>
      <c r="X43" s="91">
        <f t="shared" si="31"/>
        <v>-10518784.995789751</v>
      </c>
      <c r="Y43" s="91">
        <f t="shared" si="31"/>
        <v>-10752856.577194389</v>
      </c>
      <c r="Z43" s="91">
        <f t="shared" si="31"/>
        <v>-10968336.770870598</v>
      </c>
      <c r="AA43" s="149">
        <f t="shared" ref="AA43:AL43" si="32">+AA38+SUM(AA$39:AA$40)*$E$3</f>
        <v>-11185659.827367697</v>
      </c>
      <c r="AB43" s="149">
        <f t="shared" si="32"/>
        <v>-11407523.660383305</v>
      </c>
      <c r="AC43" s="149">
        <f t="shared" si="32"/>
        <v>-11639936.454401638</v>
      </c>
      <c r="AD43" s="149">
        <f t="shared" si="32"/>
        <v>-11882898.209422696</v>
      </c>
      <c r="AE43" s="149">
        <f t="shared" si="32"/>
        <v>-12136408.925446479</v>
      </c>
      <c r="AF43" s="149">
        <f t="shared" si="32"/>
        <v>-12400468.602472987</v>
      </c>
      <c r="AG43" s="149">
        <f t="shared" si="32"/>
        <v>-12675077.240502218</v>
      </c>
      <c r="AH43" s="149">
        <f t="shared" si="32"/>
        <v>-12960234.839534171</v>
      </c>
      <c r="AI43" s="149">
        <f t="shared" si="32"/>
        <v>-13255941.399568848</v>
      </c>
      <c r="AJ43" s="149">
        <f t="shared" si="32"/>
        <v>-13562196.920606254</v>
      </c>
      <c r="AK43" s="149">
        <f t="shared" si="32"/>
        <v>-13879001.402646378</v>
      </c>
      <c r="AL43" s="149">
        <f t="shared" si="32"/>
        <v>-14206354.845689232</v>
      </c>
    </row>
    <row r="44" spans="1:38" x14ac:dyDescent="0.3">
      <c r="A44" s="6"/>
      <c r="B44" s="6"/>
      <c r="C44" s="6"/>
      <c r="D44" s="6"/>
      <c r="E44" s="6"/>
      <c r="F44" s="6"/>
      <c r="J44" s="76"/>
      <c r="M44" s="87"/>
      <c r="N44" s="8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38" x14ac:dyDescent="0.3">
      <c r="A45" s="6"/>
      <c r="B45" s="6"/>
      <c r="C45" s="6"/>
      <c r="D45" s="6"/>
      <c r="E45" s="6"/>
      <c r="F45" s="6"/>
      <c r="J45" s="76"/>
      <c r="L45" s="51" t="s">
        <v>69</v>
      </c>
      <c r="M45" s="84" t="s">
        <v>44</v>
      </c>
      <c r="N45" s="83">
        <v>44531</v>
      </c>
      <c r="O45" s="90">
        <f t="shared" ref="O45:AL45" si="33">O21</f>
        <v>44562</v>
      </c>
      <c r="P45" s="90">
        <f t="shared" si="33"/>
        <v>44593</v>
      </c>
      <c r="Q45" s="90">
        <f t="shared" si="33"/>
        <v>44621</v>
      </c>
      <c r="R45" s="90">
        <f t="shared" si="33"/>
        <v>44652</v>
      </c>
      <c r="S45" s="90">
        <f t="shared" si="33"/>
        <v>44682</v>
      </c>
      <c r="T45" s="90">
        <f t="shared" si="33"/>
        <v>44713</v>
      </c>
      <c r="U45" s="90">
        <f t="shared" si="33"/>
        <v>44743</v>
      </c>
      <c r="V45" s="90">
        <f t="shared" si="33"/>
        <v>44774</v>
      </c>
      <c r="W45" s="90">
        <f t="shared" si="33"/>
        <v>44805</v>
      </c>
      <c r="X45" s="90">
        <f t="shared" si="33"/>
        <v>44835</v>
      </c>
      <c r="Y45" s="90">
        <f t="shared" si="33"/>
        <v>44866</v>
      </c>
      <c r="Z45" s="90">
        <f t="shared" si="33"/>
        <v>44896</v>
      </c>
      <c r="AA45" s="90">
        <f t="shared" si="33"/>
        <v>44927</v>
      </c>
      <c r="AB45" s="90">
        <f t="shared" si="33"/>
        <v>44958</v>
      </c>
      <c r="AC45" s="90">
        <f t="shared" si="33"/>
        <v>44986</v>
      </c>
      <c r="AD45" s="90">
        <f t="shared" si="33"/>
        <v>45017</v>
      </c>
      <c r="AE45" s="90">
        <f t="shared" si="33"/>
        <v>45047</v>
      </c>
      <c r="AF45" s="90">
        <f t="shared" si="33"/>
        <v>45078</v>
      </c>
      <c r="AG45" s="90">
        <f t="shared" si="33"/>
        <v>45108</v>
      </c>
      <c r="AH45" s="90">
        <f t="shared" si="33"/>
        <v>45139</v>
      </c>
      <c r="AI45" s="90">
        <f t="shared" si="33"/>
        <v>45170</v>
      </c>
      <c r="AJ45" s="90">
        <f t="shared" si="33"/>
        <v>45200</v>
      </c>
      <c r="AK45" s="90">
        <f t="shared" si="33"/>
        <v>45231</v>
      </c>
      <c r="AL45" s="90">
        <f t="shared" si="33"/>
        <v>45261</v>
      </c>
    </row>
    <row r="46" spans="1:38" x14ac:dyDescent="0.3">
      <c r="A46" s="6"/>
      <c r="B46" s="6"/>
      <c r="C46" s="6"/>
      <c r="D46" s="6"/>
      <c r="E46" s="6"/>
      <c r="F46" s="6"/>
      <c r="J46" s="82" t="s">
        <v>68</v>
      </c>
      <c r="L46" s="51" t="s">
        <v>69</v>
      </c>
      <c r="M46" s="81" t="s">
        <v>38</v>
      </c>
      <c r="N46" s="78">
        <v>180023261.47153881</v>
      </c>
      <c r="O46" s="80">
        <f>AMI!$C$95</f>
        <v>183578610.48878607</v>
      </c>
      <c r="P46" s="80">
        <f>AMI!$C$96</f>
        <v>187015215.55963832</v>
      </c>
      <c r="Q46" s="80">
        <f>AMI!$C$97</f>
        <v>190304161.10652968</v>
      </c>
      <c r="R46" s="80">
        <f>AMI!$C$98</f>
        <v>193397541.56306833</v>
      </c>
      <c r="S46" s="80">
        <f>AMI!$C$99</f>
        <v>196314439.33190611</v>
      </c>
      <c r="T46" s="80">
        <f>AMI!$C$100</f>
        <v>198617675.11124417</v>
      </c>
      <c r="U46" s="80">
        <f>AMI!$C$101</f>
        <v>201307759.13214126</v>
      </c>
      <c r="V46" s="80">
        <f>AMI!$C$102</f>
        <v>204987916.05907848</v>
      </c>
      <c r="W46" s="80">
        <f>AMI!$C$103</f>
        <v>208845478.18108198</v>
      </c>
      <c r="X46" s="80">
        <f>AMI!$C$104</f>
        <v>212665059.55486694</v>
      </c>
      <c r="Y46" s="80">
        <f>AMI!$C$105</f>
        <v>216493848.64170018</v>
      </c>
      <c r="Z46" s="80">
        <f>AMI!$C$106</f>
        <v>219430371.45025772</v>
      </c>
      <c r="AA46" s="80">
        <f>AMI!$C$107</f>
        <v>221353987.07676768</v>
      </c>
      <c r="AB46" s="80">
        <f>AMI!$C$108</f>
        <v>223317507.09514487</v>
      </c>
      <c r="AC46" s="80">
        <f>AMI!$C$109</f>
        <v>225258572.92111486</v>
      </c>
      <c r="AD46" s="80">
        <f>AMI!$C$110</f>
        <v>227376394.9347752</v>
      </c>
      <c r="AE46" s="80">
        <f>AMI!$C$111</f>
        <v>229769627.22883335</v>
      </c>
      <c r="AF46" s="80">
        <f>AMI!$C$112</f>
        <v>232458810.8311832</v>
      </c>
      <c r="AG46" s="80">
        <f>AMI!$C$113</f>
        <v>235258428.28597134</v>
      </c>
      <c r="AH46" s="80">
        <f>AMI!$C$114</f>
        <v>237814790.72170198</v>
      </c>
      <c r="AI46" s="80">
        <f>AMI!$C$115</f>
        <v>240032468.2647005</v>
      </c>
      <c r="AJ46" s="80">
        <f>AMI!$C$116</f>
        <v>242131399.32563818</v>
      </c>
      <c r="AK46" s="80">
        <f>AMI!$C$117</f>
        <v>244398060.77560568</v>
      </c>
      <c r="AL46" s="80">
        <f>AMI!$C$118</f>
        <v>246714212.26988548</v>
      </c>
    </row>
    <row r="47" spans="1:38" x14ac:dyDescent="0.3">
      <c r="A47" s="6"/>
      <c r="B47" s="6"/>
      <c r="C47" s="6"/>
      <c r="D47" s="6"/>
      <c r="E47" s="6"/>
      <c r="F47" s="6"/>
      <c r="J47" s="76"/>
      <c r="L47" s="51" t="s">
        <v>69</v>
      </c>
      <c r="M47" s="81" t="s">
        <v>39</v>
      </c>
      <c r="N47" s="78">
        <v>-28264357.629861902</v>
      </c>
      <c r="O47" s="80">
        <f>-AMI!$D$95</f>
        <v>-27975955.029887728</v>
      </c>
      <c r="P47" s="80">
        <f>-AMI!$D$96</f>
        <v>-27672838.969649971</v>
      </c>
      <c r="Q47" s="80">
        <f>-AMI!$D$97</f>
        <v>-27354624.060609266</v>
      </c>
      <c r="R47" s="80">
        <f>-AMI!$D$98</f>
        <v>-27020482.519177202</v>
      </c>
      <c r="S47" s="80">
        <f>-AMI!$D$99</f>
        <v>-26669482.876264483</v>
      </c>
      <c r="T47" s="80">
        <f>-AMI!$D$100</f>
        <v>-26306210.879119173</v>
      </c>
      <c r="U47" s="80">
        <f>-AMI!$D$101</f>
        <v>-26627091.783066921</v>
      </c>
      <c r="V47" s="80">
        <f>-AMI!$D$102</f>
        <v>-27645029.871917106</v>
      </c>
      <c r="W47" s="80">
        <f>-AMI!$D$103</f>
        <v>-28680215.82322824</v>
      </c>
      <c r="X47" s="80">
        <f>-AMI!$D$104</f>
        <v>-29732939.855645932</v>
      </c>
      <c r="Y47" s="80">
        <f>-AMI!$D$105</f>
        <v>-30804810.052518193</v>
      </c>
      <c r="Z47" s="80">
        <f>-AMI!$D$106</f>
        <v>-31844753.859865982</v>
      </c>
      <c r="AA47" s="80">
        <f>-AMI!$D$107</f>
        <v>-32767736.764184989</v>
      </c>
      <c r="AB47" s="80">
        <f>-AMI!$D$108</f>
        <v>-33642952.900529057</v>
      </c>
      <c r="AC47" s="80">
        <f>-AMI!$D$109</f>
        <v>-34522022.472326398</v>
      </c>
      <c r="AD47" s="80">
        <f>-AMI!$D$110</f>
        <v>-35409614.824948579</v>
      </c>
      <c r="AE47" s="80">
        <f>-AMI!$D$111</f>
        <v>-36306792.911023855</v>
      </c>
      <c r="AF47" s="80">
        <f>-AMI!$D$112</f>
        <v>-37171427.744867168</v>
      </c>
      <c r="AG47" s="80">
        <f>-AMI!$D$113</f>
        <v>-38022863.418524288</v>
      </c>
      <c r="AH47" s="80">
        <f>-AMI!$D$114</f>
        <v>-38903977.233220167</v>
      </c>
      <c r="AI47" s="80">
        <f>-AMI!$D$115</f>
        <v>-39796470.253220685</v>
      </c>
      <c r="AJ47" s="80">
        <f>-AMI!$D$116</f>
        <v>-40699312.136497766</v>
      </c>
      <c r="AK47" s="80">
        <f>-AMI!$D$117</f>
        <v>-41610926.134696245</v>
      </c>
      <c r="AL47" s="80">
        <f>-AMI!$D$118</f>
        <v>-42580571.605072275</v>
      </c>
    </row>
    <row r="48" spans="1:38" x14ac:dyDescent="0.3">
      <c r="A48" s="6"/>
      <c r="B48" s="6"/>
      <c r="C48" s="6"/>
      <c r="D48" s="6"/>
      <c r="E48" s="6"/>
      <c r="F48" s="6"/>
      <c r="J48" s="76"/>
      <c r="L48" s="51" t="s">
        <v>69</v>
      </c>
      <c r="M48" s="79" t="s">
        <v>40</v>
      </c>
      <c r="N48" s="78">
        <v>-16922612.970434867</v>
      </c>
      <c r="O48" s="77">
        <f t="shared" ref="O48:AL48" si="34">O42</f>
        <v>-17645875.80991694</v>
      </c>
      <c r="P48" s="77">
        <f t="shared" si="34"/>
        <v>-18346237.806123417</v>
      </c>
      <c r="Q48" s="77">
        <f t="shared" si="34"/>
        <v>-19011360.081929114</v>
      </c>
      <c r="R48" s="77">
        <f t="shared" si="34"/>
        <v>-19641242.637334038</v>
      </c>
      <c r="S48" s="77">
        <f t="shared" si="34"/>
        <v>-20235885.472338177</v>
      </c>
      <c r="T48" s="77">
        <f t="shared" si="34"/>
        <v>-20795288.58694154</v>
      </c>
      <c r="U48" s="77">
        <f t="shared" si="34"/>
        <v>-21319451.981144115</v>
      </c>
      <c r="V48" s="77">
        <f t="shared" si="34"/>
        <v>-21808375.654945917</v>
      </c>
      <c r="W48" s="77">
        <f t="shared" si="34"/>
        <v>-22262059.608346943</v>
      </c>
      <c r="X48" s="77">
        <f t="shared" si="34"/>
        <v>-22680503.84134718</v>
      </c>
      <c r="Y48" s="77">
        <f t="shared" si="34"/>
        <v>-23063708.353946649</v>
      </c>
      <c r="Z48" s="77">
        <f t="shared" si="34"/>
        <v>-23411673.146145329</v>
      </c>
      <c r="AA48" s="77">
        <f t="shared" si="34"/>
        <v>-23754817.922780305</v>
      </c>
      <c r="AB48" s="77">
        <f t="shared" si="34"/>
        <v>-24141298.725540351</v>
      </c>
      <c r="AC48" s="77">
        <f t="shared" si="34"/>
        <v>-24565107.369941246</v>
      </c>
      <c r="AD48" s="77">
        <f t="shared" si="34"/>
        <v>-25026243.855983</v>
      </c>
      <c r="AE48" s="77">
        <f t="shared" si="34"/>
        <v>-25524708.183665611</v>
      </c>
      <c r="AF48" s="77">
        <f t="shared" si="34"/>
        <v>-26060500.352989074</v>
      </c>
      <c r="AG48" s="77">
        <f t="shared" si="34"/>
        <v>-26633620.363953393</v>
      </c>
      <c r="AH48" s="77">
        <f t="shared" si="34"/>
        <v>-27244068.216558576</v>
      </c>
      <c r="AI48" s="77">
        <f t="shared" si="34"/>
        <v>-27891843.910804607</v>
      </c>
      <c r="AJ48" s="77">
        <f t="shared" si="34"/>
        <v>-28576947.446691494</v>
      </c>
      <c r="AK48" s="77">
        <f t="shared" si="34"/>
        <v>-29299378.824219238</v>
      </c>
      <c r="AL48" s="77">
        <f t="shared" si="34"/>
        <v>-30059138.043387838</v>
      </c>
    </row>
    <row r="49" spans="1:38" x14ac:dyDescent="0.3">
      <c r="A49" s="6"/>
      <c r="B49" s="6"/>
      <c r="C49" s="6"/>
      <c r="D49" s="6"/>
      <c r="E49" s="6"/>
      <c r="F49" s="6"/>
      <c r="J49" s="76"/>
      <c r="L49" s="51" t="s">
        <v>69</v>
      </c>
      <c r="M49" s="89" t="s">
        <v>45</v>
      </c>
      <c r="N49" s="88">
        <v>134836290.87124205</v>
      </c>
      <c r="O49" s="72">
        <f t="shared" ref="O49:AL49" si="35">SUM(O46:O48)</f>
        <v>137956779.64898139</v>
      </c>
      <c r="P49" s="72">
        <f t="shared" si="35"/>
        <v>140996138.78386495</v>
      </c>
      <c r="Q49" s="72">
        <f t="shared" si="35"/>
        <v>143938176.96399131</v>
      </c>
      <c r="R49" s="72">
        <f t="shared" si="35"/>
        <v>146735816.40655708</v>
      </c>
      <c r="S49" s="72">
        <f t="shared" si="35"/>
        <v>149409070.98330346</v>
      </c>
      <c r="T49" s="72">
        <f t="shared" si="35"/>
        <v>151516175.64518344</v>
      </c>
      <c r="U49" s="72">
        <f t="shared" si="35"/>
        <v>153361215.36793023</v>
      </c>
      <c r="V49" s="72">
        <f t="shared" si="35"/>
        <v>155534510.53221548</v>
      </c>
      <c r="W49" s="72">
        <f t="shared" si="35"/>
        <v>157903202.7495068</v>
      </c>
      <c r="X49" s="72">
        <f t="shared" si="35"/>
        <v>160251615.85787383</v>
      </c>
      <c r="Y49" s="72">
        <f t="shared" si="35"/>
        <v>162625330.23523533</v>
      </c>
      <c r="Z49" s="73">
        <f t="shared" si="35"/>
        <v>164173944.44424641</v>
      </c>
      <c r="AA49" s="72">
        <f t="shared" si="35"/>
        <v>164831432.3898024</v>
      </c>
      <c r="AB49" s="72">
        <f t="shared" si="35"/>
        <v>165533255.46907547</v>
      </c>
      <c r="AC49" s="72">
        <f t="shared" si="35"/>
        <v>166171443.07884723</v>
      </c>
      <c r="AD49" s="72">
        <f t="shared" si="35"/>
        <v>166940536.25384364</v>
      </c>
      <c r="AE49" s="71">
        <f t="shared" si="35"/>
        <v>167938126.13414389</v>
      </c>
      <c r="AF49" s="72">
        <f t="shared" si="35"/>
        <v>169226882.73332694</v>
      </c>
      <c r="AG49" s="72">
        <f t="shared" si="35"/>
        <v>170601944.50349367</v>
      </c>
      <c r="AH49" s="71">
        <f t="shared" si="35"/>
        <v>171666745.27192324</v>
      </c>
      <c r="AI49" s="72">
        <f t="shared" si="35"/>
        <v>172344154.10067523</v>
      </c>
      <c r="AJ49" s="72">
        <f t="shared" si="35"/>
        <v>172855139.74244893</v>
      </c>
      <c r="AK49" s="71">
        <f t="shared" si="35"/>
        <v>173487755.81669021</v>
      </c>
      <c r="AL49" s="71">
        <f t="shared" si="35"/>
        <v>174074502.62142539</v>
      </c>
    </row>
    <row r="50" spans="1:38" x14ac:dyDescent="0.3">
      <c r="A50" s="6"/>
      <c r="B50" s="6"/>
      <c r="C50" s="6"/>
      <c r="D50" s="6"/>
      <c r="E50" s="6"/>
      <c r="F50" s="6"/>
      <c r="J50" s="76"/>
      <c r="M50" s="87"/>
      <c r="N50" s="86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</row>
    <row r="51" spans="1:38" x14ac:dyDescent="0.3">
      <c r="A51" s="6"/>
      <c r="B51" s="6"/>
      <c r="C51" s="6"/>
      <c r="D51" s="6"/>
      <c r="E51" s="6"/>
      <c r="F51" s="6"/>
      <c r="J51" s="76"/>
      <c r="L51" s="51" t="s">
        <v>67</v>
      </c>
      <c r="M51" s="84" t="s">
        <v>44</v>
      </c>
      <c r="N51" s="83">
        <v>44531</v>
      </c>
      <c r="O51" s="56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8" x14ac:dyDescent="0.3">
      <c r="A52" s="6"/>
      <c r="B52" s="6"/>
      <c r="C52" s="6"/>
      <c r="D52" s="6"/>
      <c r="E52" s="6"/>
      <c r="F52" s="6"/>
      <c r="J52" s="82" t="s">
        <v>68</v>
      </c>
      <c r="L52" s="51" t="s">
        <v>67</v>
      </c>
      <c r="M52" s="81" t="s">
        <v>38</v>
      </c>
      <c r="N52" s="78">
        <v>81146177.148461148</v>
      </c>
      <c r="O52" s="80">
        <f>AMI!$F$95</f>
        <v>83555851.904130578</v>
      </c>
      <c r="P52" s="80">
        <f>AMI!$F$96</f>
        <v>85868223.492445007</v>
      </c>
      <c r="Q52" s="80">
        <f>AMI!$F$97</f>
        <v>87952720.142636985</v>
      </c>
      <c r="R52" s="80">
        <f>AMI!$F$98</f>
        <v>89871983.32693167</v>
      </c>
      <c r="S52" s="80">
        <f>AMI!$F$99</f>
        <v>91740539.753927246</v>
      </c>
      <c r="T52" s="80">
        <f>AMI!$F$100</f>
        <v>93384019.18208915</v>
      </c>
      <c r="U52" s="80">
        <f>AMI!$F$101</f>
        <v>95239155.311608732</v>
      </c>
      <c r="V52" s="80">
        <f>AMI!$F$102</f>
        <v>97413621.485504821</v>
      </c>
      <c r="W52" s="80">
        <f>AMI!$F$103</f>
        <v>99477389.20891799</v>
      </c>
      <c r="X52" s="80">
        <f>AMI!$F$104</f>
        <v>101319542.86013308</v>
      </c>
      <c r="Y52" s="80">
        <f>AMI!$F$105</f>
        <v>103009102.23913316</v>
      </c>
      <c r="Z52" s="80">
        <f>AMI!$F$106</f>
        <v>104292323.71140899</v>
      </c>
      <c r="AA52" s="80">
        <f>AMI!$F$107</f>
        <v>105152905.48781566</v>
      </c>
      <c r="AB52" s="80">
        <f>AMI!$F$108</f>
        <v>106057878.70110516</v>
      </c>
      <c r="AC52" s="80">
        <f>AMI!$F$109</f>
        <v>106960256.58721851</v>
      </c>
      <c r="AD52" s="80">
        <f>AMI!$F$110</f>
        <v>107766107.24814151</v>
      </c>
      <c r="AE52" s="80">
        <f>AMI!$F$111</f>
        <v>108643153.52116667</v>
      </c>
      <c r="AF52" s="80">
        <f>AMI!$F$112</f>
        <v>109600339.37881683</v>
      </c>
      <c r="AG52" s="80">
        <f>AMI!$F$113</f>
        <v>110525936.94527867</v>
      </c>
      <c r="AH52" s="80">
        <f>AMI!$F$114</f>
        <v>111315882.69871464</v>
      </c>
      <c r="AI52" s="80">
        <f>AMI!$F$115</f>
        <v>112058782.44154949</v>
      </c>
      <c r="AJ52" s="80">
        <f>AMI!$F$116</f>
        <v>112905488.86644515</v>
      </c>
      <c r="AK52" s="80">
        <f>AMI!$F$117</f>
        <v>113823560.67314433</v>
      </c>
      <c r="AL52" s="80">
        <f>AMI!$F$118</f>
        <v>114495478.68928115</v>
      </c>
    </row>
    <row r="53" spans="1:38" x14ac:dyDescent="0.3">
      <c r="A53" s="6"/>
      <c r="B53" s="6"/>
      <c r="C53" s="6"/>
      <c r="D53" s="6"/>
      <c r="E53" s="6"/>
      <c r="F53" s="6"/>
      <c r="J53" s="76"/>
      <c r="L53" s="51" t="s">
        <v>67</v>
      </c>
      <c r="M53" s="81" t="s">
        <v>39</v>
      </c>
      <c r="N53" s="78">
        <v>-11215043.25871814</v>
      </c>
      <c r="O53" s="80">
        <f>-AMI!$G$95</f>
        <v>-10878205.579928905</v>
      </c>
      <c r="P53" s="80">
        <f>-AMI!$G$96</f>
        <v>-10530569.023762871</v>
      </c>
      <c r="Q53" s="80">
        <f>-AMI!$G$97</f>
        <v>-10169496.213150807</v>
      </c>
      <c r="R53" s="80">
        <f>-AMI!$G$98</f>
        <v>-9798808.3414100744</v>
      </c>
      <c r="S53" s="80">
        <f>-AMI!$G$99</f>
        <v>-9421115.3369489554</v>
      </c>
      <c r="T53" s="80">
        <f>-AMI!$G$100</f>
        <v>-9037364.1484595835</v>
      </c>
      <c r="U53" s="80">
        <f>-AMI!$G$101</f>
        <v>-9006252.1504674517</v>
      </c>
      <c r="V53" s="80">
        <f>-AMI!$G$102</f>
        <v>-9332434.6419187896</v>
      </c>
      <c r="W53" s="80">
        <f>-AMI!$G$103</f>
        <v>-9663730.4317214713</v>
      </c>
      <c r="X53" s="80">
        <f>-AMI!$G$104</f>
        <v>-10005636.858842157</v>
      </c>
      <c r="Y53" s="80">
        <f>-AMI!$G$105</f>
        <v>-10360922.580988575</v>
      </c>
      <c r="Z53" s="80">
        <f>-AMI!$G$106</f>
        <v>-10713779.193823919</v>
      </c>
      <c r="AA53" s="80">
        <f>-AMI!$G$107</f>
        <v>-11040517.236048479</v>
      </c>
      <c r="AB53" s="80">
        <f>-AMI!$G$108</f>
        <v>-11333934.803415036</v>
      </c>
      <c r="AC53" s="80">
        <f>-AMI!$G$109</f>
        <v>-11634584.940150302</v>
      </c>
      <c r="AD53" s="80">
        <f>-AMI!$G$110</f>
        <v>-11937259.141609825</v>
      </c>
      <c r="AE53" s="80">
        <f>-AMI!$G$111</f>
        <v>-12247759.368332244</v>
      </c>
      <c r="AF53" s="80">
        <f>-AMI!$G$112</f>
        <v>-12550726.476295587</v>
      </c>
      <c r="AG53" s="80">
        <f>-AMI!$G$113</f>
        <v>-12851313.78675947</v>
      </c>
      <c r="AH53" s="80">
        <f>-AMI!$G$114</f>
        <v>-13169092.886867192</v>
      </c>
      <c r="AI53" s="80">
        <f>-AMI!$G$115</f>
        <v>-13504954.954060229</v>
      </c>
      <c r="AJ53" s="80">
        <f>-AMI!$G$116</f>
        <v>-13853381.267662741</v>
      </c>
      <c r="AK53" s="80">
        <f>-AMI!$G$117</f>
        <v>-14209109.946313597</v>
      </c>
      <c r="AL53" s="80">
        <f>-AMI!$G$118</f>
        <v>-14578074.675098633</v>
      </c>
    </row>
    <row r="54" spans="1:38" x14ac:dyDescent="0.3">
      <c r="A54" s="6"/>
      <c r="B54" s="6"/>
      <c r="C54" s="6"/>
      <c r="D54" s="6"/>
      <c r="E54" s="6"/>
      <c r="F54" s="6"/>
      <c r="J54" s="76"/>
      <c r="L54" s="51" t="s">
        <v>67</v>
      </c>
      <c r="M54" s="79" t="s">
        <v>40</v>
      </c>
      <c r="N54" s="78">
        <v>-7143203.97955437</v>
      </c>
      <c r="O54" s="77">
        <f t="shared" ref="O54:AL54" si="36">O43</f>
        <v>-7575528.3153685238</v>
      </c>
      <c r="P54" s="77">
        <f t="shared" si="36"/>
        <v>-7976922.3863290586</v>
      </c>
      <c r="Q54" s="77">
        <f t="shared" si="36"/>
        <v>-8359725.0695611602</v>
      </c>
      <c r="R54" s="77">
        <f t="shared" si="36"/>
        <v>-8723936.3650648277</v>
      </c>
      <c r="S54" s="77">
        <f t="shared" si="36"/>
        <v>-9069556.272840064</v>
      </c>
      <c r="T54" s="77">
        <f t="shared" si="36"/>
        <v>-9396584.7928868663</v>
      </c>
      <c r="U54" s="77">
        <f t="shared" si="36"/>
        <v>-9705021.9252052363</v>
      </c>
      <c r="V54" s="77">
        <f t="shared" si="36"/>
        <v>-9994867.6697951742</v>
      </c>
      <c r="W54" s="77">
        <f t="shared" si="36"/>
        <v>-10266122.02665668</v>
      </c>
      <c r="X54" s="77">
        <f t="shared" si="36"/>
        <v>-10518784.995789751</v>
      </c>
      <c r="Y54" s="77">
        <f t="shared" si="36"/>
        <v>-10752856.577194389</v>
      </c>
      <c r="Z54" s="77">
        <f t="shared" si="36"/>
        <v>-10968336.770870598</v>
      </c>
      <c r="AA54" s="77">
        <f t="shared" si="36"/>
        <v>-11185659.827367697</v>
      </c>
      <c r="AB54" s="77">
        <f t="shared" si="36"/>
        <v>-11407523.660383305</v>
      </c>
      <c r="AC54" s="77">
        <f t="shared" si="36"/>
        <v>-11639936.454401638</v>
      </c>
      <c r="AD54" s="77">
        <f t="shared" si="36"/>
        <v>-11882898.209422696</v>
      </c>
      <c r="AE54" s="77">
        <f t="shared" si="36"/>
        <v>-12136408.925446479</v>
      </c>
      <c r="AF54" s="77">
        <f t="shared" si="36"/>
        <v>-12400468.602472987</v>
      </c>
      <c r="AG54" s="77">
        <f t="shared" si="36"/>
        <v>-12675077.240502218</v>
      </c>
      <c r="AH54" s="77">
        <f t="shared" si="36"/>
        <v>-12960234.839534171</v>
      </c>
      <c r="AI54" s="77">
        <f t="shared" si="36"/>
        <v>-13255941.399568848</v>
      </c>
      <c r="AJ54" s="77">
        <f t="shared" si="36"/>
        <v>-13562196.920606254</v>
      </c>
      <c r="AK54" s="77">
        <f t="shared" si="36"/>
        <v>-13879001.402646378</v>
      </c>
      <c r="AL54" s="77">
        <f t="shared" si="36"/>
        <v>-14206354.845689232</v>
      </c>
    </row>
    <row r="55" spans="1:38" ht="15" thickBot="1" x14ac:dyDescent="0.35">
      <c r="A55" s="6"/>
      <c r="B55" s="6"/>
      <c r="C55" s="6"/>
      <c r="D55" s="6"/>
      <c r="E55" s="6"/>
      <c r="F55" s="6"/>
      <c r="J55" s="76"/>
      <c r="L55" s="51" t="s">
        <v>67</v>
      </c>
      <c r="M55" s="75" t="s">
        <v>45</v>
      </c>
      <c r="N55" s="74">
        <v>62787929.91018863</v>
      </c>
      <c r="O55" s="72">
        <f t="shared" ref="O55:AL55" si="37">SUM(O52:O54)</f>
        <v>65102118.008833148</v>
      </c>
      <c r="P55" s="72">
        <f t="shared" si="37"/>
        <v>67360732.082353085</v>
      </c>
      <c r="Q55" s="72">
        <f t="shared" si="37"/>
        <v>69423498.859925032</v>
      </c>
      <c r="R55" s="72">
        <f t="shared" si="37"/>
        <v>71349238.62045677</v>
      </c>
      <c r="S55" s="72">
        <f t="shared" si="37"/>
        <v>73249868.144138217</v>
      </c>
      <c r="T55" s="72">
        <f t="shared" si="37"/>
        <v>74950070.240742698</v>
      </c>
      <c r="U55" s="72">
        <f t="shared" si="37"/>
        <v>76527881.235936046</v>
      </c>
      <c r="V55" s="72">
        <f t="shared" si="37"/>
        <v>78086319.173790857</v>
      </c>
      <c r="W55" s="72">
        <f t="shared" si="37"/>
        <v>79547536.750539839</v>
      </c>
      <c r="X55" s="72">
        <f t="shared" si="37"/>
        <v>80795121.005501166</v>
      </c>
      <c r="Y55" s="72">
        <f t="shared" si="37"/>
        <v>81895323.080950201</v>
      </c>
      <c r="Z55" s="73">
        <f t="shared" si="37"/>
        <v>82610207.746714473</v>
      </c>
      <c r="AA55" s="72">
        <f t="shared" si="37"/>
        <v>82926728.424399495</v>
      </c>
      <c r="AB55" s="72">
        <f t="shared" si="37"/>
        <v>83316420.237306833</v>
      </c>
      <c r="AC55" s="72">
        <f t="shared" si="37"/>
        <v>83685735.19266656</v>
      </c>
      <c r="AD55" s="72">
        <f t="shared" si="37"/>
        <v>83945949.897108987</v>
      </c>
      <c r="AE55" s="71">
        <f t="shared" si="37"/>
        <v>84258985.227387935</v>
      </c>
      <c r="AF55" s="72">
        <f t="shared" si="37"/>
        <v>84649144.300048247</v>
      </c>
      <c r="AG55" s="72">
        <f t="shared" si="37"/>
        <v>84999545.918016985</v>
      </c>
      <c r="AH55" s="71">
        <f t="shared" si="37"/>
        <v>85186554.972313285</v>
      </c>
      <c r="AI55" s="72">
        <f t="shared" si="37"/>
        <v>85297886.087920427</v>
      </c>
      <c r="AJ55" s="72">
        <f t="shared" si="37"/>
        <v>85489910.678176165</v>
      </c>
      <c r="AK55" s="71">
        <f t="shared" si="37"/>
        <v>85735449.324184343</v>
      </c>
      <c r="AL55" s="71">
        <f t="shared" si="37"/>
        <v>85711049.168493286</v>
      </c>
    </row>
    <row r="56" spans="1:38" x14ac:dyDescent="0.3">
      <c r="A56" s="6"/>
      <c r="B56" s="6"/>
      <c r="C56" s="6"/>
      <c r="D56" s="6"/>
      <c r="E56" s="6"/>
      <c r="F56" s="6"/>
      <c r="R56" s="64"/>
      <c r="S56" s="64"/>
      <c r="T56" s="64"/>
      <c r="U56" s="64"/>
      <c r="V56" s="64"/>
      <c r="Z56" s="65" t="s">
        <v>66</v>
      </c>
    </row>
    <row r="57" spans="1:38" x14ac:dyDescent="0.3">
      <c r="A57" s="6"/>
      <c r="B57" s="6"/>
      <c r="C57" s="6"/>
      <c r="D57" s="6"/>
      <c r="E57" s="6"/>
      <c r="F57" s="6"/>
      <c r="O57" s="70"/>
      <c r="P57" s="70"/>
      <c r="Q57" s="70"/>
      <c r="R57" s="70"/>
      <c r="S57" s="70"/>
      <c r="T57" s="70"/>
      <c r="U57" s="70"/>
      <c r="V57" s="70"/>
      <c r="AG57" s="65" t="s">
        <v>27</v>
      </c>
      <c r="AH57" s="70">
        <f>SUM(AMI!$C114,AMI!$F114,-AMI!$D114,-AMI!$G114,AH41)-AH49-AH55</f>
        <v>0</v>
      </c>
      <c r="AK57" s="70">
        <f>SUM(AMI!$C117,AMI!$F117,-AMI!$D117,-AMI!$G117,AK41)-AK49-AK55</f>
        <v>0</v>
      </c>
      <c r="AL57" s="70">
        <f>SUM(AMI!$C118,AMI!$F118,-AMI!$D118,-AMI!$G118,AL41)-AL49-AL55</f>
        <v>0</v>
      </c>
    </row>
    <row r="58" spans="1:38" x14ac:dyDescent="0.3">
      <c r="A58" s="6"/>
      <c r="B58" s="6"/>
      <c r="C58" s="6"/>
      <c r="D58" s="6"/>
      <c r="E58" s="6"/>
      <c r="F58" s="6"/>
    </row>
    <row r="59" spans="1:38" x14ac:dyDescent="0.3">
      <c r="A59" s="6"/>
      <c r="B59" s="6"/>
      <c r="C59" s="6"/>
      <c r="D59" s="6"/>
      <c r="E59" s="6"/>
      <c r="F59" s="6"/>
    </row>
    <row r="60" spans="1:38" x14ac:dyDescent="0.3">
      <c r="A60" s="6"/>
      <c r="B60" s="6"/>
      <c r="C60" s="6"/>
      <c r="D60" s="6"/>
      <c r="E60" s="6"/>
      <c r="F60" s="6"/>
    </row>
    <row r="61" spans="1:38" x14ac:dyDescent="0.3">
      <c r="A61" s="6"/>
      <c r="B61" s="6"/>
      <c r="C61" s="6"/>
      <c r="D61" s="6"/>
      <c r="E61" s="6"/>
      <c r="F61" s="6"/>
    </row>
    <row r="62" spans="1:38" x14ac:dyDescent="0.3">
      <c r="A62" s="6"/>
      <c r="B62" s="6"/>
      <c r="C62" s="6"/>
      <c r="D62" s="6"/>
      <c r="E62" s="6"/>
      <c r="F62" s="6"/>
    </row>
    <row r="63" spans="1:38" x14ac:dyDescent="0.3">
      <c r="A63" s="6"/>
      <c r="B63" s="6"/>
      <c r="C63" s="6"/>
      <c r="D63" s="6"/>
      <c r="E63" s="6"/>
      <c r="F63" s="6"/>
    </row>
    <row r="64" spans="1:38" x14ac:dyDescent="0.3">
      <c r="A64" s="6"/>
      <c r="B64" s="6"/>
      <c r="C64" s="6"/>
      <c r="D64" s="6"/>
      <c r="E64" s="6"/>
      <c r="F64" s="6"/>
    </row>
    <row r="65" spans="1:6" x14ac:dyDescent="0.3">
      <c r="A65" s="6"/>
      <c r="B65" s="6"/>
      <c r="C65" s="6"/>
      <c r="D65" s="6"/>
      <c r="E65" s="6"/>
      <c r="F65" s="6"/>
    </row>
    <row r="66" spans="1:6" x14ac:dyDescent="0.3">
      <c r="A66" s="6"/>
      <c r="B66" s="6"/>
      <c r="C66" s="6"/>
      <c r="D66" s="6"/>
      <c r="E66" s="6"/>
      <c r="F66" s="6"/>
    </row>
    <row r="67" spans="1:6" x14ac:dyDescent="0.3">
      <c r="A67" s="6"/>
      <c r="B67" s="6"/>
      <c r="C67" s="6"/>
      <c r="D67" s="6"/>
      <c r="E67" s="6"/>
      <c r="F67" s="6"/>
    </row>
    <row r="68" spans="1:6" x14ac:dyDescent="0.3">
      <c r="A68" s="6"/>
      <c r="B68" s="6"/>
      <c r="C68" s="6"/>
      <c r="D68" s="6"/>
      <c r="E68" s="6"/>
      <c r="F68" s="6"/>
    </row>
    <row r="69" spans="1:6" x14ac:dyDescent="0.3">
      <c r="A69" s="6"/>
      <c r="B69" s="6"/>
      <c r="C69" s="6"/>
      <c r="D69" s="6"/>
      <c r="E69" s="6"/>
      <c r="F69" s="6"/>
    </row>
    <row r="70" spans="1:6" x14ac:dyDescent="0.3">
      <c r="A70" s="6"/>
      <c r="B70" s="6"/>
      <c r="C70" s="6"/>
      <c r="D70" s="6"/>
      <c r="E70" s="6"/>
      <c r="F70" s="6"/>
    </row>
    <row r="71" spans="1:6" x14ac:dyDescent="0.3">
      <c r="A71" s="6"/>
      <c r="B71" s="6"/>
      <c r="C71" s="6"/>
      <c r="D71" s="6"/>
      <c r="E71" s="6"/>
      <c r="F71" s="6"/>
    </row>
    <row r="72" spans="1:6" x14ac:dyDescent="0.3">
      <c r="A72" s="6"/>
      <c r="B72" s="6"/>
      <c r="C72" s="6"/>
      <c r="D72" s="6"/>
      <c r="E72" s="6"/>
      <c r="F72" s="6"/>
    </row>
    <row r="73" spans="1:6" x14ac:dyDescent="0.3">
      <c r="A73" s="6"/>
      <c r="B73" s="6"/>
      <c r="C73" s="6"/>
      <c r="D73" s="6"/>
      <c r="E73" s="6"/>
      <c r="F73" s="6"/>
    </row>
    <row r="74" spans="1:6" x14ac:dyDescent="0.3">
      <c r="A74" s="6"/>
      <c r="B74" s="6"/>
      <c r="C74" s="6"/>
      <c r="D74" s="6"/>
      <c r="E74" s="6"/>
      <c r="F74" s="6"/>
    </row>
    <row r="75" spans="1:6" x14ac:dyDescent="0.3">
      <c r="A75" s="6"/>
      <c r="B75" s="6"/>
      <c r="C75" s="6"/>
      <c r="D75" s="6"/>
      <c r="E75" s="6"/>
      <c r="F75" s="6"/>
    </row>
    <row r="76" spans="1:6" x14ac:dyDescent="0.3">
      <c r="A76" s="6"/>
      <c r="B76" s="6"/>
      <c r="C76" s="6"/>
      <c r="D76" s="6"/>
      <c r="E76" s="6"/>
      <c r="F76" s="6"/>
    </row>
    <row r="77" spans="1:6" x14ac:dyDescent="0.3">
      <c r="A77" s="6"/>
      <c r="B77" s="6"/>
      <c r="C77" s="6"/>
      <c r="D77" s="6"/>
      <c r="E77" s="6"/>
      <c r="F77" s="6"/>
    </row>
    <row r="78" spans="1:6" x14ac:dyDescent="0.3">
      <c r="A78" s="6"/>
      <c r="B78" s="6"/>
      <c r="C78" s="6"/>
      <c r="D78" s="6"/>
      <c r="E78" s="6"/>
      <c r="F78" s="6"/>
    </row>
    <row r="79" spans="1:6" x14ac:dyDescent="0.3">
      <c r="A79" s="6"/>
      <c r="B79" s="6"/>
      <c r="C79" s="6"/>
      <c r="D79" s="6"/>
      <c r="E79" s="6"/>
      <c r="F79" s="6"/>
    </row>
    <row r="80" spans="1:6" x14ac:dyDescent="0.3">
      <c r="A80" s="6"/>
      <c r="B80" s="6"/>
      <c r="C80" s="6"/>
      <c r="D80" s="6"/>
      <c r="E80" s="6"/>
      <c r="F80" s="6"/>
    </row>
    <row r="81" spans="1:6" x14ac:dyDescent="0.3">
      <c r="A81" s="6"/>
      <c r="B81" s="6"/>
      <c r="C81" s="6"/>
      <c r="D81" s="6"/>
      <c r="E81" s="6"/>
      <c r="F81" s="6"/>
    </row>
    <row r="82" spans="1:6" x14ac:dyDescent="0.3">
      <c r="A82" s="6"/>
      <c r="B82" s="6"/>
      <c r="C82" s="6"/>
      <c r="D82" s="6"/>
      <c r="E82" s="6"/>
      <c r="F82" s="6"/>
    </row>
    <row r="83" spans="1:6" x14ac:dyDescent="0.3">
      <c r="A83" s="6"/>
      <c r="B83" s="6"/>
      <c r="C83" s="6"/>
      <c r="D83" s="6"/>
      <c r="E83" s="6"/>
      <c r="F83" s="6"/>
    </row>
    <row r="84" spans="1:6" x14ac:dyDescent="0.3">
      <c r="A84" s="6"/>
      <c r="B84" s="6"/>
      <c r="C84" s="6"/>
      <c r="D84" s="6"/>
      <c r="E84" s="6"/>
      <c r="F84" s="6"/>
    </row>
    <row r="85" spans="1:6" x14ac:dyDescent="0.3">
      <c r="A85" s="6"/>
      <c r="B85" s="6"/>
      <c r="C85" s="6"/>
      <c r="D85" s="6"/>
      <c r="E85" s="6"/>
      <c r="F85" s="6"/>
    </row>
    <row r="86" spans="1:6" x14ac:dyDescent="0.3">
      <c r="A86" s="6"/>
      <c r="B86" s="6"/>
      <c r="C86" s="6"/>
      <c r="D86" s="6"/>
      <c r="E86" s="6"/>
      <c r="F86" s="6"/>
    </row>
    <row r="87" spans="1:6" x14ac:dyDescent="0.3">
      <c r="A87" s="6"/>
      <c r="B87" s="6"/>
      <c r="C87" s="6"/>
      <c r="D87" s="6"/>
      <c r="E87" s="6"/>
      <c r="F87" s="6"/>
    </row>
    <row r="88" spans="1:6" x14ac:dyDescent="0.3">
      <c r="A88" s="6"/>
      <c r="B88" s="6"/>
      <c r="C88" s="6"/>
      <c r="D88" s="6"/>
      <c r="E88" s="6"/>
      <c r="F88" s="6"/>
    </row>
    <row r="89" spans="1:6" x14ac:dyDescent="0.3">
      <c r="A89" s="6"/>
      <c r="B89" s="6"/>
      <c r="C89" s="6"/>
      <c r="D89" s="6"/>
      <c r="E89" s="6"/>
      <c r="F89" s="6"/>
    </row>
  </sheetData>
  <mergeCells count="4">
    <mergeCell ref="AF7:AG7"/>
    <mergeCell ref="AI7:AJ7"/>
    <mergeCell ref="AF8:AG8"/>
    <mergeCell ref="AI8:AJ8"/>
  </mergeCells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B15" sqref="B15"/>
    </sheetView>
  </sheetViews>
  <sheetFormatPr defaultColWidth="9.109375" defaultRowHeight="14.4" x14ac:dyDescent="0.3"/>
  <cols>
    <col min="1" max="1" width="44.109375" style="1" bestFit="1" customWidth="1"/>
    <col min="2" max="2" width="14" style="1" bestFit="1" customWidth="1"/>
    <col min="3" max="14" width="9.6640625" style="1" bestFit="1" customWidth="1"/>
    <col min="15" max="16384" width="9.109375" style="1"/>
  </cols>
  <sheetData>
    <row r="1" spans="1:15" x14ac:dyDescent="0.3">
      <c r="A1" s="1" t="s">
        <v>54</v>
      </c>
    </row>
    <row r="2" spans="1:15" x14ac:dyDescent="0.3">
      <c r="A2" s="1" t="s">
        <v>153</v>
      </c>
    </row>
    <row r="3" spans="1:15" x14ac:dyDescent="0.3">
      <c r="A3" s="1" t="s">
        <v>53</v>
      </c>
    </row>
    <row r="12" spans="1:15" x14ac:dyDescent="0.3">
      <c r="A12" s="1" t="s">
        <v>154</v>
      </c>
      <c r="B12" s="1" t="s">
        <v>155</v>
      </c>
      <c r="C12" s="2">
        <v>45261</v>
      </c>
      <c r="D12" s="2">
        <v>45231</v>
      </c>
      <c r="E12" s="2">
        <v>45200</v>
      </c>
      <c r="F12" s="2">
        <v>45170</v>
      </c>
      <c r="G12" s="2">
        <v>45139</v>
      </c>
      <c r="H12" s="2">
        <v>45108</v>
      </c>
      <c r="I12" s="2">
        <v>45078</v>
      </c>
      <c r="J12" s="2">
        <v>45047</v>
      </c>
      <c r="K12" s="2">
        <v>45017</v>
      </c>
      <c r="L12" s="2">
        <v>44986</v>
      </c>
      <c r="M12" s="2">
        <v>44958</v>
      </c>
      <c r="N12" s="2">
        <v>44927</v>
      </c>
    </row>
    <row r="13" spans="1:15" x14ac:dyDescent="0.3">
      <c r="A13" s="1" t="s">
        <v>156</v>
      </c>
      <c r="B13" s="69">
        <v>-8733913</v>
      </c>
      <c r="C13" s="69">
        <v>-702530</v>
      </c>
      <c r="D13" s="69">
        <v>-709834</v>
      </c>
      <c r="E13" s="69">
        <v>-717138</v>
      </c>
      <c r="F13" s="69">
        <v>-724442</v>
      </c>
      <c r="G13" s="69">
        <v>-731746</v>
      </c>
      <c r="H13" s="69">
        <v>-739050</v>
      </c>
      <c r="I13" s="69">
        <v>-746354</v>
      </c>
      <c r="J13" s="69">
        <v>-753658</v>
      </c>
      <c r="K13" s="69">
        <v>-760962</v>
      </c>
      <c r="L13" s="69">
        <v>-768266</v>
      </c>
      <c r="M13" s="69">
        <v>-775570</v>
      </c>
      <c r="N13" s="69">
        <v>-604363</v>
      </c>
      <c r="O13" s="69"/>
    </row>
    <row r="14" spans="1:15" x14ac:dyDescent="0.3">
      <c r="A14" s="1" t="s">
        <v>52</v>
      </c>
      <c r="B14" s="69">
        <v>-8733913</v>
      </c>
      <c r="C14" s="69">
        <v>-702530</v>
      </c>
      <c r="D14" s="69">
        <v>-709834</v>
      </c>
      <c r="E14" s="69">
        <v>-717138</v>
      </c>
      <c r="F14" s="69">
        <v>-724442</v>
      </c>
      <c r="G14" s="69">
        <v>-731746</v>
      </c>
      <c r="H14" s="69">
        <v>-739050</v>
      </c>
      <c r="I14" s="69">
        <v>-746354</v>
      </c>
      <c r="J14" s="69">
        <v>-753658</v>
      </c>
      <c r="K14" s="69">
        <v>-760962</v>
      </c>
      <c r="L14" s="69">
        <v>-768266</v>
      </c>
      <c r="M14" s="69">
        <v>-775570</v>
      </c>
      <c r="N14" s="69">
        <v>-604363</v>
      </c>
      <c r="O14" s="69"/>
    </row>
    <row r="15" spans="1:15" x14ac:dyDescent="0.3">
      <c r="A15" s="1" t="s">
        <v>51</v>
      </c>
      <c r="B15" s="69">
        <v>-8733913</v>
      </c>
      <c r="C15" s="69">
        <v>-702530</v>
      </c>
      <c r="D15" s="69">
        <v>-709834</v>
      </c>
      <c r="E15" s="69">
        <v>-717138</v>
      </c>
      <c r="F15" s="69">
        <v>-724442</v>
      </c>
      <c r="G15" s="69">
        <v>-731746</v>
      </c>
      <c r="H15" s="69">
        <v>-739050</v>
      </c>
      <c r="I15" s="69">
        <v>-746354</v>
      </c>
      <c r="J15" s="69">
        <v>-753658</v>
      </c>
      <c r="K15" s="69">
        <v>-760962</v>
      </c>
      <c r="L15" s="69">
        <v>-768266</v>
      </c>
      <c r="M15" s="69">
        <v>-775570</v>
      </c>
      <c r="N15" s="69">
        <v>-604363</v>
      </c>
      <c r="O15" s="69"/>
    </row>
    <row r="16" spans="1:15" x14ac:dyDescent="0.3">
      <c r="B16" s="3"/>
    </row>
    <row r="17" spans="2:2" x14ac:dyDescent="0.3">
      <c r="B17" s="3"/>
    </row>
    <row r="18" spans="2:2" x14ac:dyDescent="0.3">
      <c r="B18" s="3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15" sqref="B15"/>
    </sheetView>
  </sheetViews>
  <sheetFormatPr defaultColWidth="9.109375" defaultRowHeight="14.4" x14ac:dyDescent="0.3"/>
  <cols>
    <col min="1" max="1" width="44.109375" style="1" bestFit="1" customWidth="1"/>
    <col min="2" max="2" width="14" style="1" bestFit="1" customWidth="1"/>
    <col min="3" max="14" width="12.33203125" style="1" bestFit="1" customWidth="1"/>
    <col min="15" max="16384" width="9.109375" style="1"/>
  </cols>
  <sheetData>
    <row r="1" spans="1:15" x14ac:dyDescent="0.3">
      <c r="A1" s="1" t="s">
        <v>54</v>
      </c>
    </row>
    <row r="2" spans="1:15" x14ac:dyDescent="0.3">
      <c r="A2" s="1" t="s">
        <v>153</v>
      </c>
    </row>
    <row r="3" spans="1:15" x14ac:dyDescent="0.3">
      <c r="A3" s="1" t="s">
        <v>53</v>
      </c>
    </row>
    <row r="12" spans="1:15" x14ac:dyDescent="0.3">
      <c r="A12" s="1" t="s">
        <v>154</v>
      </c>
      <c r="B12" s="1" t="s">
        <v>155</v>
      </c>
      <c r="C12" s="2">
        <v>45261</v>
      </c>
      <c r="D12" s="2">
        <v>45231</v>
      </c>
      <c r="E12" s="2">
        <v>45200</v>
      </c>
      <c r="F12" s="2">
        <v>45170</v>
      </c>
      <c r="G12" s="2">
        <v>45139</v>
      </c>
      <c r="H12" s="2">
        <v>45108</v>
      </c>
      <c r="I12" s="2">
        <v>45078</v>
      </c>
      <c r="J12" s="2">
        <v>45047</v>
      </c>
      <c r="K12" s="2">
        <v>45017</v>
      </c>
      <c r="L12" s="2">
        <v>44986</v>
      </c>
      <c r="M12" s="2">
        <v>44958</v>
      </c>
      <c r="N12" s="2">
        <v>44927</v>
      </c>
    </row>
    <row r="13" spans="1:15" x14ac:dyDescent="0.3">
      <c r="A13" s="1" t="s">
        <v>157</v>
      </c>
      <c r="B13" s="69">
        <v>-4662048</v>
      </c>
      <c r="C13" s="69">
        <v>-372402</v>
      </c>
      <c r="D13" s="69">
        <v>-376232</v>
      </c>
      <c r="E13" s="69">
        <v>-380062</v>
      </c>
      <c r="F13" s="69">
        <v>-383891</v>
      </c>
      <c r="G13" s="69">
        <v>-387721</v>
      </c>
      <c r="H13" s="69">
        <v>-391551</v>
      </c>
      <c r="I13" s="69">
        <v>-395380</v>
      </c>
      <c r="J13" s="69">
        <v>-399210</v>
      </c>
      <c r="K13" s="69">
        <v>-403040</v>
      </c>
      <c r="L13" s="69">
        <v>-406869</v>
      </c>
      <c r="M13" s="69">
        <v>-410699</v>
      </c>
      <c r="N13" s="69">
        <v>-354991</v>
      </c>
      <c r="O13" s="69"/>
    </row>
    <row r="14" spans="1:15" x14ac:dyDescent="0.3">
      <c r="A14" s="1" t="s">
        <v>52</v>
      </c>
      <c r="B14" s="69">
        <v>-4662048</v>
      </c>
      <c r="C14" s="69">
        <v>-372402</v>
      </c>
      <c r="D14" s="69">
        <v>-376232</v>
      </c>
      <c r="E14" s="69">
        <v>-380062</v>
      </c>
      <c r="F14" s="69">
        <v>-383891</v>
      </c>
      <c r="G14" s="69">
        <v>-387721</v>
      </c>
      <c r="H14" s="69">
        <v>-391551</v>
      </c>
      <c r="I14" s="69">
        <v>-395380</v>
      </c>
      <c r="J14" s="69">
        <v>-399210</v>
      </c>
      <c r="K14" s="69">
        <v>-403040</v>
      </c>
      <c r="L14" s="69">
        <v>-406869</v>
      </c>
      <c r="M14" s="69">
        <v>-410699</v>
      </c>
      <c r="N14" s="69">
        <v>-354991</v>
      </c>
      <c r="O14" s="69"/>
    </row>
    <row r="15" spans="1:15" x14ac:dyDescent="0.3">
      <c r="A15" s="1" t="s">
        <v>51</v>
      </c>
      <c r="B15" s="69">
        <v>-4662048</v>
      </c>
      <c r="C15" s="69">
        <v>-372402</v>
      </c>
      <c r="D15" s="69">
        <v>-376232</v>
      </c>
      <c r="E15" s="69">
        <v>-380062</v>
      </c>
      <c r="F15" s="69">
        <v>-383891</v>
      </c>
      <c r="G15" s="69">
        <v>-387721</v>
      </c>
      <c r="H15" s="69">
        <v>-391551</v>
      </c>
      <c r="I15" s="69">
        <v>-395380</v>
      </c>
      <c r="J15" s="69">
        <v>-399210</v>
      </c>
      <c r="K15" s="69">
        <v>-403040</v>
      </c>
      <c r="L15" s="69">
        <v>-406869</v>
      </c>
      <c r="M15" s="69">
        <v>-410699</v>
      </c>
      <c r="N15" s="69">
        <v>-354991</v>
      </c>
      <c r="O15" s="69"/>
    </row>
    <row r="16" spans="1:15" x14ac:dyDescent="0.3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</sheetData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22" sqref="E22"/>
    </sheetView>
  </sheetViews>
  <sheetFormatPr defaultColWidth="9.109375" defaultRowHeight="14.4" x14ac:dyDescent="0.3"/>
  <cols>
    <col min="1" max="1" width="41.6640625" style="1" bestFit="1" customWidth="1"/>
    <col min="2" max="2" width="6.44140625" style="1" bestFit="1" customWidth="1"/>
    <col min="3" max="3" width="5.5546875" style="1" bestFit="1" customWidth="1"/>
    <col min="4" max="4" width="8.5546875" style="1" bestFit="1" customWidth="1"/>
    <col min="5" max="5" width="10" style="1" bestFit="1" customWidth="1"/>
    <col min="6" max="6" width="60.33203125" style="1" bestFit="1" customWidth="1"/>
    <col min="7" max="7" width="8.109375" style="1" bestFit="1" customWidth="1"/>
    <col min="8" max="8" width="10.109375" style="1" bestFit="1" customWidth="1"/>
    <col min="9" max="9" width="16.6640625" style="1" bestFit="1" customWidth="1"/>
    <col min="10" max="10" width="16" style="1" bestFit="1" customWidth="1"/>
    <col min="11" max="13" width="14.44140625" style="1" bestFit="1" customWidth="1"/>
    <col min="14" max="14" width="6.5546875" style="1" bestFit="1" customWidth="1"/>
    <col min="15" max="15" width="6" style="1" bestFit="1" customWidth="1"/>
    <col min="16" max="16" width="7.33203125" style="1" bestFit="1" customWidth="1"/>
    <col min="17" max="18" width="6.88671875" style="1" bestFit="1" customWidth="1"/>
    <col min="19" max="20" width="7.33203125" style="1" bestFit="1" customWidth="1"/>
    <col min="21" max="16384" width="9.109375" style="1"/>
  </cols>
  <sheetData>
    <row r="1" spans="1:11" x14ac:dyDescent="0.3">
      <c r="I1" s="40" t="s">
        <v>160</v>
      </c>
      <c r="J1" s="40" t="s">
        <v>161</v>
      </c>
    </row>
    <row r="2" spans="1:11" x14ac:dyDescent="0.3">
      <c r="A2" s="182" t="s">
        <v>177</v>
      </c>
      <c r="B2" s="183"/>
      <c r="C2" s="183"/>
      <c r="D2" s="184"/>
      <c r="I2" s="40" t="s">
        <v>178</v>
      </c>
      <c r="J2" s="40" t="s">
        <v>178</v>
      </c>
    </row>
    <row r="3" spans="1:11" x14ac:dyDescent="0.3">
      <c r="A3" s="185" t="s">
        <v>162</v>
      </c>
      <c r="B3" s="186">
        <v>0.51</v>
      </c>
      <c r="C3" s="186">
        <v>0.05</v>
      </c>
      <c r="D3" s="187">
        <v>2.5499999999999998E-2</v>
      </c>
      <c r="H3" s="1" t="s">
        <v>163</v>
      </c>
      <c r="I3" s="64">
        <f>+Electric!D17</f>
        <v>174074502.62142539</v>
      </c>
      <c r="J3" s="64">
        <f>+Gas!D17</f>
        <v>85711049.168493286</v>
      </c>
    </row>
    <row r="4" spans="1:11" x14ac:dyDescent="0.3">
      <c r="A4" s="185" t="s">
        <v>164</v>
      </c>
      <c r="B4" s="186">
        <v>0.49</v>
      </c>
      <c r="C4" s="186">
        <v>9.4E-2</v>
      </c>
      <c r="D4" s="187">
        <v>4.6100000000000002E-2</v>
      </c>
      <c r="I4" s="64"/>
      <c r="J4" s="64"/>
    </row>
    <row r="5" spans="1:11" ht="21.6" x14ac:dyDescent="0.3">
      <c r="A5" s="185" t="s">
        <v>165</v>
      </c>
      <c r="B5" s="188">
        <v>1</v>
      </c>
      <c r="C5" s="183"/>
      <c r="D5" s="189">
        <v>7.1599999999999997E-2</v>
      </c>
      <c r="H5" s="170" t="s">
        <v>166</v>
      </c>
      <c r="I5" s="171">
        <f>+Electric!F17+I6</f>
        <v>0</v>
      </c>
      <c r="J5" s="172">
        <f>+Gas!F17+J6</f>
        <v>0</v>
      </c>
      <c r="K5" s="173" t="s">
        <v>167</v>
      </c>
    </row>
    <row r="6" spans="1:11" x14ac:dyDescent="0.3">
      <c r="A6" s="185"/>
      <c r="B6" s="190"/>
      <c r="C6" s="190"/>
      <c r="D6" s="191"/>
      <c r="F6" s="1" t="s">
        <v>168</v>
      </c>
      <c r="G6" s="174">
        <f>+D4</f>
        <v>4.6100000000000002E-2</v>
      </c>
      <c r="H6" s="175">
        <f>G6/G9</f>
        <v>0.64385474860335201</v>
      </c>
      <c r="I6" s="176">
        <f>I3*$H$6</f>
        <v>112078695.12357138</v>
      </c>
      <c r="J6" s="176">
        <f>J3*$H$6</f>
        <v>55185466.014909789</v>
      </c>
    </row>
    <row r="7" spans="1:11" x14ac:dyDescent="0.3">
      <c r="A7" s="185" t="s">
        <v>169</v>
      </c>
      <c r="B7" s="186">
        <v>0.51</v>
      </c>
      <c r="C7" s="186">
        <v>3.9500000000000007E-2</v>
      </c>
      <c r="D7" s="187">
        <v>2.01E-2</v>
      </c>
      <c r="G7" s="177"/>
      <c r="H7" s="175"/>
      <c r="I7" s="69"/>
      <c r="J7" s="69"/>
    </row>
    <row r="8" spans="1:11" x14ac:dyDescent="0.3">
      <c r="A8" s="185" t="s">
        <v>164</v>
      </c>
      <c r="B8" s="186">
        <v>0.49</v>
      </c>
      <c r="C8" s="186">
        <v>9.4E-2</v>
      </c>
      <c r="D8" s="187">
        <v>4.6100000000000002E-2</v>
      </c>
      <c r="F8" s="1" t="s">
        <v>170</v>
      </c>
      <c r="G8" s="178">
        <f>+D3</f>
        <v>2.5499999999999998E-2</v>
      </c>
      <c r="H8" s="179">
        <f>G8/G9</f>
        <v>0.35614525139664804</v>
      </c>
      <c r="I8" s="180">
        <f>I3*$H$8</f>
        <v>61995807.497854017</v>
      </c>
      <c r="J8" s="180">
        <f>J3*$H$8</f>
        <v>30525583.153583504</v>
      </c>
    </row>
    <row r="9" spans="1:11" x14ac:dyDescent="0.3">
      <c r="A9" s="192" t="s">
        <v>171</v>
      </c>
      <c r="B9" s="193">
        <v>1</v>
      </c>
      <c r="C9" s="194"/>
      <c r="D9" s="195">
        <v>6.6200000000000009E-2</v>
      </c>
      <c r="F9" s="1" t="s">
        <v>172</v>
      </c>
      <c r="G9" s="141">
        <f>SUM(G6:G8)</f>
        <v>7.1599999999999997E-2</v>
      </c>
      <c r="H9" s="175">
        <f>SUM(H6:H8)</f>
        <v>1</v>
      </c>
      <c r="I9" s="69">
        <f>SUM(I6:I8)</f>
        <v>174074502.62142539</v>
      </c>
      <c r="J9" s="69">
        <f>SUM(J6:J8)</f>
        <v>85711049.168493301</v>
      </c>
    </row>
    <row r="10" spans="1:11" x14ac:dyDescent="0.3">
      <c r="H10" s="181"/>
    </row>
    <row r="11" spans="1:11" x14ac:dyDescent="0.3">
      <c r="F11" s="1" t="s">
        <v>173</v>
      </c>
      <c r="H11" s="181"/>
    </row>
    <row r="12" spans="1:11" x14ac:dyDescent="0.3">
      <c r="F12" s="1" t="s">
        <v>174</v>
      </c>
      <c r="G12" s="141">
        <f>G9</f>
        <v>7.1599999999999997E-2</v>
      </c>
      <c r="I12" s="68">
        <f>I8*$G$12</f>
        <v>4438899.8168463474</v>
      </c>
      <c r="J12" s="68">
        <f>J8*$G$12</f>
        <v>2185631.7537965789</v>
      </c>
    </row>
    <row r="13" spans="1:11" x14ac:dyDescent="0.3">
      <c r="F13" s="1" t="s">
        <v>175</v>
      </c>
      <c r="G13" s="141">
        <f>+D3</f>
        <v>2.5499999999999998E-2</v>
      </c>
      <c r="I13" s="69">
        <f>I3*$G$13</f>
        <v>4438899.8168463474</v>
      </c>
      <c r="J13" s="69">
        <f>J3*$G$13</f>
        <v>2185631.7537965789</v>
      </c>
    </row>
    <row r="14" spans="1:11" x14ac:dyDescent="0.3">
      <c r="F14" s="1" t="s">
        <v>176</v>
      </c>
      <c r="G14" s="141">
        <f>+D4</f>
        <v>4.6100000000000002E-2</v>
      </c>
      <c r="I14" s="69">
        <f>+I3*G14</f>
        <v>8024834.5708477106</v>
      </c>
      <c r="J14" s="69">
        <f>+J3*G14</f>
        <v>3951279.3666675407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6F005D-79C6-4E88-B1D2-B4A54EF39B11}"/>
</file>

<file path=customXml/itemProps2.xml><?xml version="1.0" encoding="utf-8"?>
<ds:datastoreItem xmlns:ds="http://schemas.openxmlformats.org/officeDocument/2006/customXml" ds:itemID="{13A6A455-3B46-47E3-A131-1A8228299231}"/>
</file>

<file path=customXml/itemProps3.xml><?xml version="1.0" encoding="utf-8"?>
<ds:datastoreItem xmlns:ds="http://schemas.openxmlformats.org/officeDocument/2006/customXml" ds:itemID="{D0F5BC6B-14D2-4E29-BA03-E3FF20B0845F}"/>
</file>

<file path=customXml/itemProps4.xml><?xml version="1.0" encoding="utf-8"?>
<ds:datastoreItem xmlns:ds="http://schemas.openxmlformats.org/officeDocument/2006/customXml" ds:itemID="{E8D7050A-5BEB-4F71-B922-88F9022103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Electric</vt:lpstr>
      <vt:lpstr>Gas</vt:lpstr>
      <vt:lpstr>2023 AMI in  Ratebase</vt:lpstr>
      <vt:lpstr>AMI</vt:lpstr>
      <vt:lpstr>AMI DFIT</vt:lpstr>
      <vt:lpstr>45600155</vt:lpstr>
      <vt:lpstr>49500071</vt:lpstr>
      <vt:lpstr>AMI Debt Return proof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Oliver</dc:creator>
  <cp:lastModifiedBy>Marina</cp:lastModifiedBy>
  <cp:lastPrinted>2021-02-03T23:52:48Z</cp:lastPrinted>
  <dcterms:created xsi:type="dcterms:W3CDTF">2019-03-25T22:33:27Z</dcterms:created>
  <dcterms:modified xsi:type="dcterms:W3CDTF">2024-03-26T22:13:23Z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