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69C22027-3B8A-41BB-BB5B-89747636B2FE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4" r:id="rId2"/>
    <sheet name="Unknown Re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C19" i="4"/>
  <c r="C5" i="4"/>
  <c r="C6" i="4"/>
  <c r="C7" i="4"/>
  <c r="C8" i="4"/>
  <c r="C4" i="4"/>
  <c r="D19" i="4"/>
  <c r="D8" i="4"/>
  <c r="D7" i="4"/>
  <c r="D6" i="4"/>
  <c r="D5" i="4"/>
  <c r="D4" i="4"/>
  <c r="B10" i="4"/>
  <c r="B11" i="4"/>
  <c r="B12" i="4"/>
  <c r="B13" i="4"/>
  <c r="B14" i="4"/>
  <c r="B15" i="4"/>
  <c r="B16" i="4"/>
  <c r="B17" i="4"/>
  <c r="B18" i="4"/>
  <c r="B9" i="4"/>
  <c r="B8" i="4"/>
  <c r="B7" i="4"/>
  <c r="B6" i="4"/>
  <c r="V8" i="4"/>
  <c r="V7" i="4"/>
  <c r="V6" i="4"/>
  <c r="V5" i="4"/>
  <c r="AA63" i="4"/>
  <c r="AA62" i="4"/>
  <c r="AA61" i="4"/>
  <c r="AA60" i="4"/>
  <c r="AA59" i="4"/>
  <c r="AA58" i="4"/>
  <c r="AA57" i="4"/>
  <c r="AA56" i="4"/>
  <c r="AA55" i="4"/>
  <c r="AA54" i="4"/>
  <c r="V4" i="4"/>
  <c r="V3" i="4"/>
  <c r="U7" i="4"/>
  <c r="U6" i="4"/>
  <c r="U4" i="4"/>
  <c r="U5" i="4"/>
  <c r="U8" i="4"/>
  <c r="U3" i="4"/>
  <c r="B67" i="3"/>
  <c r="G23" i="1" l="1"/>
  <c r="G29" i="1"/>
  <c r="G30" i="1"/>
  <c r="G28" i="1"/>
  <c r="B19" i="4" l="1"/>
  <c r="B5" i="4"/>
  <c r="B4" i="4"/>
  <c r="E67" i="3" l="1"/>
  <c r="F6" i="3" l="1"/>
  <c r="G6" i="3" s="1"/>
  <c r="F5" i="3"/>
  <c r="F7" i="3" l="1"/>
  <c r="F8" i="3"/>
  <c r="G8" i="3" s="1"/>
  <c r="F9" i="3"/>
  <c r="F10" i="3"/>
  <c r="F11" i="3"/>
  <c r="F12" i="3"/>
  <c r="F13" i="3"/>
  <c r="F14" i="3"/>
  <c r="F15" i="3"/>
  <c r="F16" i="3"/>
  <c r="F17" i="3"/>
  <c r="G17" i="3" s="1"/>
  <c r="F18" i="3"/>
  <c r="F19" i="3"/>
  <c r="F20" i="3"/>
  <c r="F21" i="3"/>
  <c r="F22" i="3"/>
  <c r="G22" i="3" s="1"/>
  <c r="F23" i="3"/>
  <c r="F24" i="3"/>
  <c r="F25" i="3"/>
  <c r="G25" i="3" s="1"/>
  <c r="F26" i="3"/>
  <c r="F27" i="3"/>
  <c r="G27" i="3" s="1"/>
  <c r="F28" i="3"/>
  <c r="F29" i="3"/>
  <c r="G29" i="3" s="1"/>
  <c r="F30" i="3"/>
  <c r="F31" i="3"/>
  <c r="F32" i="3"/>
  <c r="G32" i="3" s="1"/>
  <c r="F33" i="3"/>
  <c r="G33" i="3" s="1"/>
  <c r="F34" i="3"/>
  <c r="F35" i="3"/>
  <c r="F36" i="3"/>
  <c r="F37" i="3"/>
  <c r="F38" i="3"/>
  <c r="G38" i="3" s="1"/>
  <c r="F39" i="3"/>
  <c r="G39" i="3" s="1"/>
  <c r="F40" i="3"/>
  <c r="F41" i="3"/>
  <c r="F42" i="3"/>
  <c r="F43" i="3"/>
  <c r="F44" i="3"/>
  <c r="F45" i="3"/>
  <c r="G45" i="3" s="1"/>
  <c r="F46" i="3"/>
  <c r="F47" i="3"/>
  <c r="G47" i="3" s="1"/>
  <c r="F48" i="3"/>
  <c r="G48" i="3" s="1"/>
  <c r="F49" i="3"/>
  <c r="F50" i="3"/>
  <c r="F51" i="3"/>
  <c r="F52" i="3"/>
  <c r="F53" i="3"/>
  <c r="G53" i="3" s="1"/>
  <c r="F54" i="3"/>
  <c r="F55" i="3"/>
  <c r="F56" i="3"/>
  <c r="F57" i="3"/>
  <c r="G57" i="3" s="1"/>
  <c r="F58" i="3"/>
  <c r="F59" i="3"/>
  <c r="G59" i="3" s="1"/>
  <c r="F60" i="3"/>
  <c r="G60" i="3" s="1"/>
  <c r="F61" i="3"/>
  <c r="G61" i="3" s="1"/>
  <c r="F62" i="3"/>
  <c r="G62" i="3" s="1"/>
  <c r="F63" i="3"/>
  <c r="F64" i="3"/>
  <c r="F65" i="3"/>
  <c r="F67" i="3" l="1"/>
  <c r="G7" i="3"/>
  <c r="D20" i="1"/>
  <c r="B29" i="4"/>
  <c r="P32" i="4" l="1"/>
  <c r="V32" i="4" s="1"/>
  <c r="W32" i="4" s="1"/>
  <c r="P31" i="4"/>
  <c r="V31" i="4" s="1"/>
  <c r="W31" i="4" s="1"/>
  <c r="V30" i="4"/>
  <c r="W30" i="4" s="1"/>
  <c r="P30" i="4"/>
  <c r="P29" i="4"/>
  <c r="V29" i="4" s="1"/>
  <c r="W29" i="4" s="1"/>
  <c r="P28" i="4"/>
  <c r="V28" i="4" s="1"/>
  <c r="W28" i="4" s="1"/>
  <c r="M27" i="4"/>
  <c r="P27" i="4" s="1"/>
  <c r="V27" i="4" s="1"/>
  <c r="W27" i="4" s="1"/>
  <c r="G27" i="4"/>
  <c r="G28" i="4" s="1"/>
  <c r="G29" i="4" s="1"/>
  <c r="G30" i="4" s="1"/>
  <c r="G31" i="4" s="1"/>
  <c r="G32" i="4" s="1"/>
  <c r="P26" i="4"/>
  <c r="V26" i="4" s="1"/>
  <c r="W26" i="4" s="1"/>
  <c r="P24" i="4"/>
  <c r="V24" i="4" s="1"/>
  <c r="W24" i="4" s="1"/>
  <c r="B1" i="4" l="1"/>
  <c r="C2" i="4"/>
  <c r="B3" i="4"/>
  <c r="D21" i="1"/>
  <c r="G11" i="1"/>
  <c r="G10" i="1"/>
  <c r="D13" i="1"/>
  <c r="D5" i="1" s="1"/>
  <c r="E10" i="1" l="1"/>
  <c r="E12" i="1"/>
  <c r="E11" i="1"/>
  <c r="B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8" i="1" l="1"/>
  <c r="E18" i="1" s="1"/>
  <c r="D41" i="4"/>
  <c r="E20" i="1" l="1"/>
  <c r="F18" i="1"/>
  <c r="G3" i="3"/>
  <c r="G15" i="3" l="1"/>
  <c r="G23" i="3"/>
  <c r="G31" i="3"/>
  <c r="G55" i="3"/>
  <c r="G63" i="3"/>
  <c r="G16" i="3"/>
  <c r="G24" i="3"/>
  <c r="G40" i="3"/>
  <c r="G56" i="3"/>
  <c r="G64" i="3"/>
  <c r="G9" i="3"/>
  <c r="G41" i="3"/>
  <c r="G49" i="3"/>
  <c r="G65" i="3"/>
  <c r="G10" i="3"/>
  <c r="G18" i="3"/>
  <c r="G26" i="3"/>
  <c r="G34" i="3"/>
  <c r="G42" i="3"/>
  <c r="G50" i="3"/>
  <c r="G58" i="3"/>
  <c r="G5" i="3"/>
  <c r="G11" i="3"/>
  <c r="G19" i="3"/>
  <c r="G35" i="3"/>
  <c r="G43" i="3"/>
  <c r="G51" i="3"/>
  <c r="G12" i="3"/>
  <c r="G20" i="3"/>
  <c r="G28" i="3"/>
  <c r="G36" i="3"/>
  <c r="G44" i="3"/>
  <c r="G52" i="3"/>
  <c r="G13" i="3"/>
  <c r="G21" i="3"/>
  <c r="G37" i="3"/>
  <c r="G14" i="3"/>
  <c r="G30" i="3"/>
  <c r="G46" i="3"/>
  <c r="G54" i="3"/>
  <c r="G67" i="3" l="1"/>
  <c r="F20" i="1" s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V3" authorId="0" shapeId="0" xr:uid="{E41268FF-59AA-4BC6-8364-64C80DB01C6B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Rathdrum to Rathdrum Unit 1</t>
        </r>
      </text>
    </comment>
    <comment ref="U6" authorId="0" shapeId="0" xr:uid="{7F6D5F9E-71DF-47C7-90D0-428A079B0D7E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V6" authorId="0" shapeId="0" xr:uid="{5E1EE411-3C14-45BF-B1DD-C334EAF2C095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Colstrip to Unit 3</t>
        </r>
      </text>
    </comment>
    <comment ref="U7" authorId="0" shapeId="0" xr:uid="{87C16180-57D0-4157-92D5-8F23C2306815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J8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request from UTC.</t>
        </r>
      </text>
    </comment>
    <comment ref="K22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M22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2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2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<sst xmlns="http://schemas.openxmlformats.org/spreadsheetml/2006/main" count="504" uniqueCount="264">
  <si>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</si>
  <si>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</si>
  <si>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</si>
  <si>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</si>
  <si>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</si>
  <si>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</si>
  <si>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</si>
  <si>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</si>
  <si>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</si>
  <si>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</si>
  <si>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</si>
  <si>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</si>
  <si>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</si>
  <si>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</si>
  <si>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</si>
  <si>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</si>
  <si>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</si>
  <si>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</si>
  <si>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</si>
  <si>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</si>
  <si>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</si>
  <si>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</si>
  <si>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</si>
  <si>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</si>
  <si>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</si>
  <si>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</si>
  <si>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</si>
  <si>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</si>
  <si>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</si>
  <si>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</si>
  <si>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</si>
  <si>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</si>
  <si>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</si>
  <si>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</si>
  <si>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</si>
  <si>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</si>
  <si>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</si>
  <si>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</si>
  <si>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</si>
  <si>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</si>
  <si>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</si>
  <si>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</si>
  <si>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</si>
  <si>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</si>
  <si>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</si>
  <si>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BP Energy Co.</t>
  </si>
  <si>
    <t>Brookfield Energy Marketing</t>
  </si>
  <si>
    <t>Calpine Energy Services L.P.</t>
  </si>
  <si>
    <t>Cargill Inc.</t>
  </si>
  <si>
    <t>Chelan County PUD No. 1</t>
  </si>
  <si>
    <t>Citigroup Energy Inc.</t>
  </si>
  <si>
    <t>Clark County PUD No. 1</t>
  </si>
  <si>
    <t>Clatskanie Peoples Util Dist</t>
  </si>
  <si>
    <t>DB Energy Trading</t>
  </si>
  <si>
    <t>EDF Trading Ltd.</t>
  </si>
  <si>
    <t>Engy Authrty</t>
  </si>
  <si>
    <t>Exelon Generation Company</t>
  </si>
  <si>
    <t>Iberdrola Renewables LLC</t>
  </si>
  <si>
    <t>Idaho Cnty L&amp;P Coop Assn Inc</t>
  </si>
  <si>
    <t>Idaho Power Co.</t>
  </si>
  <si>
    <t>Inland Power &amp; Light Co.</t>
  </si>
  <si>
    <t>J P Morgan Ventures Energy LLC</t>
  </si>
  <si>
    <t>Kootenai Electric Cooperative</t>
  </si>
  <si>
    <t>Macquarie Energy LLC</t>
  </si>
  <si>
    <t>Modesto Irrigation District</t>
  </si>
  <si>
    <t>Morgan Stanley Capital Group</t>
  </si>
  <si>
    <t>NextEra Energy Power Marketing</t>
  </si>
  <si>
    <t>Noble America's Gas and Power</t>
  </si>
  <si>
    <t>NorthWestern Corp.</t>
  </si>
  <si>
    <t>PacifiCorp</t>
  </si>
  <si>
    <t>Portland General Electric Co.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</si>
  <si>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</si>
  <si>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</si>
  <si>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</si>
  <si>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</si>
  <si>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</si>
  <si>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</si>
  <si>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</si>
  <si>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Lancaster</t>
  </si>
  <si>
    <t>San Diego Gas &amp; Electric Co.</t>
  </si>
  <si>
    <t>Seattle City Light</t>
  </si>
  <si>
    <t>Shell Energy North America US</t>
  </si>
  <si>
    <t>Sierra Pacific Power Co.</t>
  </si>
  <si>
    <t>SMUD</t>
  </si>
  <si>
    <t>Southern California Edison Co.</t>
  </si>
  <si>
    <t>Sovereign Power</t>
  </si>
  <si>
    <t>Tacoma Public Utilities</t>
  </si>
  <si>
    <t>Talen Energy Marketing, LLC</t>
  </si>
  <si>
    <t>Tenaska Power Services Co.</t>
  </si>
  <si>
    <t>TransAlta Energy Marketing (US</t>
  </si>
  <si>
    <t>Tri-State G &amp; T Assn Inc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</si>
  <si>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</si>
  <si>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</si>
  <si>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</si>
  <si>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</si>
  <si>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</si>
  <si>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</si>
  <si>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</si>
  <si>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</si>
  <si>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</si>
  <si>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</si>
  <si>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</si>
  <si>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</si>
  <si>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</si>
  <si>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</si>
  <si>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</si>
  <si>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</si>
  <si>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</si>
  <si>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</si>
  <si>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</si>
  <si>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</si>
  <si>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</si>
  <si>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</si>
  <si>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</si>
  <si>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</si>
  <si>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</si>
  <si>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</si>
  <si>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</si>
  <si>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</si>
  <si>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</si>
  <si>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</si>
  <si>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</si>
  <si>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</si>
  <si>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</si>
  <si>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</si>
  <si>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</si>
  <si>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</si>
  <si>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</si>
  <si>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</si>
  <si>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</si>
  <si>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</si>
  <si>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</si>
  <si>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</si>
  <si>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</si>
  <si>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</si>
  <si>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</si>
  <si>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</si>
  <si>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</si>
  <si>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</si>
  <si>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</si>
  <si>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</si>
  <si>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</si>
  <si>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</si>
  <si>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</si>
  <si>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</si>
  <si>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</si>
  <si>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</si>
  <si>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</si>
  <si>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</si>
  <si>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</si>
  <si>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</si>
  <si>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</si>
  <si>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</si>
  <si>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</si>
  <si>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</si>
  <si>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</si>
  <si>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</si>
  <si>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</si>
  <si>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</si>
  <si>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</si>
  <si>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</si>
  <si>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</si>
  <si>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</si>
  <si>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</si>
  <si>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</si>
  <si>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</si>
  <si>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</si>
  <si>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</si>
  <si>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</si>
  <si>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</si>
  <si>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</si>
  <si>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</si>
  <si>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</si>
  <si>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</si>
  <si>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</si>
  <si>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</si>
  <si>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</si>
  <si>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</si>
  <si>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</si>
  <si>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Power, LLC</t>
  </si>
  <si>
    <t>CTGEN1</t>
  </si>
  <si>
    <t>ARP</t>
  </si>
  <si>
    <t>Bonneville Power Admin (Known)</t>
  </si>
  <si>
    <t>Chelan County PUD No. 1 (Rocky Reach Hydro)</t>
  </si>
  <si>
    <t>Ford Electronics (PURPA Hydro)</t>
  </si>
  <si>
    <t>Grant County Public Utilty (Priest Rapids Hydro)</t>
  </si>
  <si>
    <t>Hydro Technology Systems (PURPA Hydro)</t>
  </si>
  <si>
    <t>JP Morgan Ventures LLC (PPM Energy Stateline Wind)</t>
  </si>
  <si>
    <t>Jim White (PURPA Hydro)</t>
  </si>
  <si>
    <t>Palouse Wind Holdings (Wind PPA)</t>
  </si>
  <si>
    <t>Phillips Ranch (PURPA Hydro)</t>
  </si>
  <si>
    <t>PUD No 1 of Douglas County (Wells Hydro)</t>
  </si>
  <si>
    <t>Sheep Creek Hydro Inc (PURPA Hydro)</t>
  </si>
  <si>
    <t>Spokane City of (PURPA Upriver Hydro)</t>
  </si>
  <si>
    <t>Spokane County (PURPA Digester)</t>
  </si>
  <si>
    <t>Stimson Lumber (PURPA Biomass)</t>
  </si>
  <si>
    <t xml:space="preserve">Multiplied Busbar MWh and Short Tons CO2 for Known and Unknown Resources by 65% to show </t>
  </si>
  <si>
    <t>Washington share.</t>
  </si>
  <si>
    <t>Counter-Party</t>
  </si>
  <si>
    <t>Energy
Purchased
(MWh)</t>
  </si>
  <si>
    <t>Energy
Sold
(MWh)</t>
  </si>
  <si>
    <t>Barclays Bank Plc</t>
  </si>
  <si>
    <t>Black Hills Power Inc.</t>
  </si>
  <si>
    <t>Bonneville Power Admin</t>
  </si>
  <si>
    <t>British Columbia Hydro and Power Author</t>
  </si>
  <si>
    <t>Burbank (CA)</t>
  </si>
  <si>
    <t>Constellation Energy</t>
  </si>
  <si>
    <t>ConocoPhillips Co.</t>
  </si>
  <si>
    <t>EDF Trading North America LLC</t>
  </si>
  <si>
    <t>Eugene City of</t>
  </si>
  <si>
    <t>Grant County Public Utility</t>
  </si>
  <si>
    <t>IntraCompany Generation Services</t>
  </si>
  <si>
    <t>J. Aron &amp; Co.</t>
  </si>
  <si>
    <t>JP Morgan Ventures Energy Corp</t>
  </si>
  <si>
    <t>NaturEner Power Watch LLC</t>
  </si>
  <si>
    <t>Redding City of</t>
  </si>
  <si>
    <t>Spokane City of</t>
  </si>
  <si>
    <t>Turlock Irrigation District</t>
  </si>
  <si>
    <t>Net Purchase</t>
  </si>
  <si>
    <t>Potlatch Corp. (only serves ID)</t>
  </si>
  <si>
    <t>AVA</t>
  </si>
  <si>
    <t>Lbs CO2 from Purchases</t>
  </si>
  <si>
    <t>Was missing Grant County Public Utility 26,030 MWh and Redding City of 43 MWh in the 2016 report.</t>
  </si>
  <si>
    <t xml:space="preserve"> Gross Load (MW-h)</t>
  </si>
  <si>
    <t>Rathdrum Combustion Turbine Project</t>
  </si>
  <si>
    <t>MT</t>
  </si>
  <si>
    <t>Colstrip</t>
  </si>
  <si>
    <t>OR</t>
  </si>
  <si>
    <t>Coyote Springs</t>
  </si>
  <si>
    <t>CTG2</t>
  </si>
  <si>
    <t>Unknown Resources for Washington Customers</t>
  </si>
  <si>
    <t>User must ensure that units and basis of heating values are consistent and properly cancel across Steps!</t>
  </si>
  <si>
    <t>Calculation Based Methodology</t>
  </si>
  <si>
    <t>N</t>
  </si>
  <si>
    <t>Units for 
J</t>
  </si>
  <si>
    <t>Total MT, CO2e</t>
  </si>
  <si>
    <t>M = F * H * L</t>
  </si>
  <si>
    <t>N = F * J * L</t>
  </si>
  <si>
    <t>Description, equity/control, and Step 1 &amp; 2 cells are taken from CO2 worksheet.</t>
  </si>
  <si>
    <t>kg/Mmbtu</t>
  </si>
  <si>
    <t>CH4 Emission factor</t>
  </si>
  <si>
    <t>N2O Emission factor</t>
  </si>
  <si>
    <t>CH4 emissions in kg</t>
  </si>
  <si>
    <t xml:space="preserve">N2O emissions in kg </t>
  </si>
  <si>
    <t>kg CH4/GJ</t>
  </si>
  <si>
    <t>kg N2O/GJ</t>
  </si>
  <si>
    <t>Known Resources Serving WA - EPA</t>
  </si>
  <si>
    <t>Known Resources Serving WA - EIA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</si>
  <si>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</si>
  <si>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Metric Tons CO</t>
    </r>
    <r>
      <rPr>
        <vertAlign val="subscript"/>
        <sz val="11"/>
        <color theme="1"/>
        <rFont val="Calibri"/>
        <family val="2"/>
        <scheme val="minor"/>
      </rPr>
      <t>2e</t>
    </r>
  </si>
  <si>
    <t>Metric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</si>
  <si>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</si>
  <si>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Department of Ecology Unknown Resource Deafult Rate =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</si>
  <si>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</si>
  <si>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CO2 Metric Tons</t>
  </si>
  <si>
    <t>CO2e Metric Tons</t>
  </si>
  <si>
    <t>Metric Tons of CO2</t>
  </si>
  <si>
    <t>CO2</t>
  </si>
  <si>
    <t>CH4 &amp; N2O</t>
  </si>
  <si>
    <t>Ratio</t>
  </si>
  <si>
    <t>Avg Ratio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</si>
  <si>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</si>
  <si>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t xml:space="preserve">Kettle Falls (Biomass)  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</si>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</sst>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.000;\(###,##0.000\)"/>
    <numFmt numFmtId="169" formatCode="###,##0;\(###,##0\)"/>
    <numFmt numFmtId="170" formatCode="###,##0.00;\(###,##0.00\)"/>
    <numFmt numFmtId="171" formatCode="0.0"/>
    <numFmt numFmtId="172" formatCode="0.000"/>
    <numFmt numFmtId="173" formatCode="#,##0.000"/>
    <numFmt numFmtId="174" formatCode="#,##0.0"/>
    <numFmt numFmtId="175" formatCode="_(* #,##0.000_);_(* \(#,##0.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/>
    <xf numFmtId="0" fontId="11" fillId="0" borderId="0"/>
  </cellStyleXfs>
  <cellXfs count="172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169" fontId="11" fillId="0" borderId="0" xfId="4" applyNumberFormat="1" applyAlignment="1">
      <alignment horizontal="right"/>
    </xf>
    <xf numFmtId="170" fontId="11" fillId="0" borderId="0" xfId="4" applyNumberFormat="1" applyAlignment="1">
      <alignment horizontal="right"/>
    </xf>
    <xf numFmtId="0" fontId="0" fillId="3" borderId="2" xfId="0" applyFill="1" applyBorder="1" applyAlignment="1" applyProtection="1">
      <alignment horizontal="center" vertical="center"/>
      <protection locked="0"/>
    </xf>
    <xf numFmtId="171" fontId="13" fillId="3" borderId="2" xfId="0" applyNumberFormat="1" applyFont="1" applyFill="1" applyBorder="1" applyAlignment="1" applyProtection="1">
      <alignment horizontal="center" vertical="center"/>
      <protection locked="0"/>
    </xf>
    <xf numFmtId="3" fontId="0" fillId="4" borderId="2" xfId="1" applyNumberFormat="1" applyFont="1" applyFill="1" applyBorder="1" applyAlignment="1" applyProtection="1">
      <alignment horizontal="center" vertical="center"/>
      <protection locked="0"/>
    </xf>
    <xf numFmtId="3" fontId="0" fillId="4" borderId="2" xfId="1" quotePrefix="1" applyNumberFormat="1" applyFont="1" applyFill="1" applyBorder="1" applyAlignment="1" applyProtection="1">
      <alignment horizontal="center" vertical="center"/>
      <protection locked="0"/>
    </xf>
    <xf numFmtId="171" fontId="13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2" fillId="0" borderId="8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2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4" fillId="5" borderId="2" xfId="2" applyFont="1" applyFill="1" applyBorder="1" applyAlignment="1" applyProtection="1">
      <alignment horizontal="center" vertical="center" wrapText="1"/>
      <protection locked="0"/>
    </xf>
    <xf numFmtId="2" fontId="14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/>
      <protection locked="0"/>
    </xf>
    <xf numFmtId="2" fontId="20" fillId="6" borderId="0" xfId="0" applyNumberFormat="1" applyFont="1" applyFill="1" applyBorder="1" applyAlignment="1" applyProtection="1">
      <alignment horizontal="center" vertical="center"/>
      <protection locked="0"/>
    </xf>
    <xf numFmtId="4" fontId="21" fillId="6" borderId="2" xfId="0" applyNumberFormat="1" applyFont="1" applyFill="1" applyBorder="1" applyAlignment="1" applyProtection="1">
      <alignment horizontal="center" vertical="center"/>
      <protection locked="0"/>
    </xf>
    <xf numFmtId="2" fontId="2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 applyProtection="1">
      <alignment horizontal="center" vertical="center" wrapText="1"/>
      <protection locked="0"/>
    </xf>
    <xf numFmtId="0" fontId="21" fillId="6" borderId="3" xfId="0" applyFont="1" applyFill="1" applyBorder="1" applyAlignment="1" applyProtection="1">
      <alignment horizontal="center" vertical="center" wrapText="1"/>
      <protection locked="0"/>
    </xf>
    <xf numFmtId="2" fontId="21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9" fontId="14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3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4" fontId="0" fillId="4" borderId="2" xfId="0" applyNumberForma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0" fontId="11" fillId="0" borderId="0" xfId="4"/>
    <xf numFmtId="0" fontId="22" fillId="0" borderId="0" xfId="4" applyFont="1" applyAlignment="1">
      <alignment horizontal="left"/>
    </xf>
    <xf numFmtId="0" fontId="12" fillId="0" borderId="0" xfId="6" applyFont="1" applyAlignment="1">
      <alignment horizontal="left"/>
    </xf>
    <xf numFmtId="0" fontId="11" fillId="0" borderId="0" xfId="6" applyAlignment="1">
      <alignment horizontal="left"/>
    </xf>
    <xf numFmtId="169" fontId="11" fillId="0" borderId="0" xfId="6" applyNumberFormat="1" applyAlignment="1">
      <alignment horizontal="right"/>
    </xf>
    <xf numFmtId="169" fontId="0" fillId="0" borderId="0" xfId="0" applyNumberFormat="1"/>
    <xf numFmtId="0" fontId="11" fillId="11" borderId="0" xfId="4" applyFill="1" applyAlignment="1">
      <alignment horizontal="left"/>
    </xf>
    <xf numFmtId="169" fontId="11" fillId="11" borderId="0" xfId="4" applyNumberFormat="1" applyFill="1" applyAlignment="1">
      <alignment horizontal="right"/>
    </xf>
    <xf numFmtId="165" fontId="0" fillId="0" borderId="0" xfId="1" applyNumberFormat="1" applyFont="1"/>
    <xf numFmtId="165" fontId="2" fillId="0" borderId="0" xfId="1" applyNumberFormat="1" applyFont="1" applyAlignment="1">
      <alignment horizontal="center" wrapText="1"/>
    </xf>
    <xf numFmtId="43" fontId="0" fillId="0" borderId="0" xfId="0" applyNumberFormat="1"/>
    <xf numFmtId="11" fontId="0" fillId="0" borderId="0" xfId="0" applyNumberFormat="1"/>
    <xf numFmtId="0" fontId="25" fillId="0" borderId="0" xfId="0" applyFont="1"/>
    <xf numFmtId="165" fontId="0" fillId="0" borderId="8" xfId="1" applyNumberFormat="1" applyFont="1" applyBorder="1"/>
    <xf numFmtId="175" fontId="0" fillId="2" borderId="10" xfId="1" applyNumberFormat="1" applyFont="1" applyFill="1" applyBorder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169" fontId="11" fillId="0" borderId="0" xfId="4" applyNumberFormat="1" applyFill="1" applyAlignment="1">
      <alignment horizontal="right"/>
    </xf>
    <xf numFmtId="43" fontId="0" fillId="0" borderId="0" xfId="1" applyFont="1"/>
    <xf numFmtId="0" fontId="0" fillId="10" borderId="0" xfId="0" applyFill="1"/>
    <xf numFmtId="175" fontId="0" fillId="10" borderId="0" xfId="0" applyNumberFormat="1" applyFill="1"/>
  </cellXfs>
  <cellStyles count="7">
    <cellStyle name="Comma" xfId="1" builtinId="3"/>
    <cellStyle name="Normal" xfId="0" builtinId="0"/>
    <cellStyle name="Normal 2" xfId="4" xr:uid="{00000000-0005-0000-0000-000003000000}"/>
    <cellStyle name="Normal 3" xfId="6" xr:uid="{00000000-0005-0000-0000-000004000000}"/>
    <cellStyle name="Percent" xfId="2" builtinId="5"/>
    <cellStyle name="Style 22" xfId="3" xr:uid="{00000000-0005-0000-0000-000006000000}"/>
    <cellStyle name="Style 22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D20" sqref="D20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5.140625" bestFit="1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4</v>
      </c>
    </row>
    <row r="2" spans="1:7" ht="15.75" thickBot="1" x14ac:dyDescent="0.3"/>
    <row r="3" spans="1:7" x14ac:dyDescent="0.25">
      <c r="A3" s="54"/>
      <c r="B3" s="55" t="s">
        <v>8</v>
      </c>
      <c r="C3" s="56" t="s">
        <v>16</v>
      </c>
      <c r="D3" s="61"/>
      <c r="E3" s="59"/>
    </row>
    <row r="4" spans="1:7" x14ac:dyDescent="0.25">
      <c r="A4" s="157" t="s">
        <v>9</v>
      </c>
      <c r="B4" s="159"/>
      <c r="C4" s="32">
        <v>2012</v>
      </c>
      <c r="D4" s="64" t="s">
        <v>29</v>
      </c>
      <c r="E4" s="60"/>
    </row>
    <row r="5" spans="1:7" ht="15.75" thickBot="1" x14ac:dyDescent="0.3">
      <c r="A5" s="160" t="s">
        <v>14</v>
      </c>
      <c r="B5" s="161"/>
      <c r="C5" s="57">
        <v>514677</v>
      </c>
      <c r="D5" s="58">
        <f>+D13/C5</f>
        <v>10.67975254382846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2" t="s">
        <v>26</v>
      </c>
      <c r="C7" s="16"/>
      <c r="E7" s="15"/>
    </row>
    <row r="8" spans="1:7" x14ac:dyDescent="0.25">
      <c r="A8" s="34"/>
      <c r="B8" s="35"/>
      <c r="C8" s="35"/>
      <c r="D8" s="35"/>
      <c r="E8" s="35"/>
      <c r="F8" s="36" t="s">
        <v>13</v>
      </c>
      <c r="G8" s="47" t="s">
        <v>30</v>
      </c>
    </row>
    <row r="9" spans="1:7" x14ac:dyDescent="0.25">
      <c r="A9" s="37"/>
      <c r="B9" s="11"/>
      <c r="C9" s="11"/>
      <c r="D9" s="13" t="s">
        <v>7</v>
      </c>
      <c r="E9" s="25" t="s">
        <v>20</v>
      </c>
      <c r="F9" s="18" t="s">
        <v>25</v>
      </c>
      <c r="G9" s="48" t="s">
        <v>13</v>
      </c>
    </row>
    <row r="10" spans="1:7" x14ac:dyDescent="0.25">
      <c r="A10" s="157" t="s">
        <v>5</v>
      </c>
      <c r="B10" s="158"/>
      <c r="C10" s="159"/>
      <c r="D10" s="62">
        <v>2454617</v>
      </c>
      <c r="E10" s="12">
        <f>+D10/D13</f>
        <v>0.44656819287042243</v>
      </c>
      <c r="F10" s="33">
        <v>212164</v>
      </c>
      <c r="G10" s="49">
        <f>+D10/F10</f>
        <v>11.56943213740314</v>
      </c>
    </row>
    <row r="11" spans="1:7" x14ac:dyDescent="0.25">
      <c r="A11" s="157" t="s">
        <v>10</v>
      </c>
      <c r="B11" s="158"/>
      <c r="C11" s="159"/>
      <c r="D11" s="62">
        <v>2129945</v>
      </c>
      <c r="E11" s="12">
        <f>+D11/D13</f>
        <v>0.38750065267346878</v>
      </c>
      <c r="F11" s="27">
        <v>23142</v>
      </c>
      <c r="G11" s="49">
        <f>+D11/F11</f>
        <v>92.038069311209057</v>
      </c>
    </row>
    <row r="12" spans="1:7" x14ac:dyDescent="0.25">
      <c r="A12" s="157" t="s">
        <v>11</v>
      </c>
      <c r="B12" s="158"/>
      <c r="C12" s="159"/>
      <c r="D12" s="62">
        <v>912061</v>
      </c>
      <c r="E12" s="12">
        <f>+D12/D13</f>
        <v>0.16593115445610879</v>
      </c>
      <c r="F12" s="5"/>
      <c r="G12" s="38"/>
    </row>
    <row r="13" spans="1:7" ht="15.75" thickBot="1" x14ac:dyDescent="0.3">
      <c r="A13" s="39"/>
      <c r="B13" s="162" t="s">
        <v>6</v>
      </c>
      <c r="C13" s="161"/>
      <c r="D13" s="63">
        <f>SUM(D10:D12)</f>
        <v>5496623</v>
      </c>
      <c r="E13" s="40"/>
      <c r="F13" s="41"/>
      <c r="G13" s="42"/>
    </row>
    <row r="15" spans="1:7" ht="19.5" thickBot="1" x14ac:dyDescent="0.35">
      <c r="B15" s="53" t="s">
        <v>27</v>
      </c>
    </row>
    <row r="16" spans="1:7" x14ac:dyDescent="0.25">
      <c r="A16" s="34"/>
      <c r="B16" s="35"/>
      <c r="C16" s="35"/>
      <c r="D16" s="35"/>
      <c r="E16" s="36" t="s">
        <v>21</v>
      </c>
      <c r="F16" s="43" t="s">
        <v>250</v>
      </c>
      <c r="G16" s="44"/>
    </row>
    <row r="17" spans="1:8" ht="18" x14ac:dyDescent="0.35">
      <c r="A17" s="45"/>
      <c r="B17" s="5"/>
      <c r="C17" s="5"/>
      <c r="D17" s="25" t="s">
        <v>12</v>
      </c>
      <c r="E17" s="18" t="s">
        <v>22</v>
      </c>
      <c r="F17" s="14" t="s">
        <v>263</v>
      </c>
      <c r="G17" s="38"/>
    </row>
    <row r="18" spans="1:8" x14ac:dyDescent="0.25">
      <c r="A18" s="157" t="s">
        <v>246</v>
      </c>
      <c r="B18" s="158"/>
      <c r="C18" s="159"/>
      <c r="D18" s="6">
        <f>+'Known Resources'!B41*0.65</f>
        <v>6217285.9826999996</v>
      </c>
      <c r="E18" s="12">
        <f>+D18/(D18+D20)</f>
        <v>1.0380281838915133</v>
      </c>
      <c r="F18" s="6">
        <f>+'Known Resources'!D41*0.65</f>
        <v>1600049.4559886262</v>
      </c>
      <c r="G18" s="38"/>
    </row>
    <row r="19" spans="1:8" ht="15.75" thickBot="1" x14ac:dyDescent="0.3">
      <c r="A19" s="157" t="s">
        <v>247</v>
      </c>
      <c r="B19" s="158"/>
      <c r="C19" s="159"/>
      <c r="D19" s="6"/>
      <c r="E19" s="12"/>
      <c r="F19" s="155"/>
      <c r="G19" s="38"/>
    </row>
    <row r="20" spans="1:8" ht="18" x14ac:dyDescent="0.35">
      <c r="A20" s="157" t="s">
        <v>24</v>
      </c>
      <c r="B20" s="158"/>
      <c r="C20" s="159"/>
      <c r="D20" s="50">
        <f>+'Unknown Resources'!F67*0.65</f>
        <v>-227770.4</v>
      </c>
      <c r="E20" s="51">
        <f>+D20/(D18+D20)</f>
        <v>-3.8028183891513301E-2</v>
      </c>
      <c r="F20" s="66">
        <f>+'Unknown Resources'!G67*0.65</f>
        <v>105.23495905156554</v>
      </c>
      <c r="G20" s="68" t="s">
        <v>28</v>
      </c>
    </row>
    <row r="21" spans="1:8" ht="18.75" thickBot="1" x14ac:dyDescent="0.4">
      <c r="A21" s="39"/>
      <c r="B21" s="41"/>
      <c r="C21" s="41"/>
      <c r="D21" s="65">
        <f>+C4</f>
        <v>2012</v>
      </c>
      <c r="E21" s="46" t="s">
        <v>249</v>
      </c>
      <c r="F21" s="67">
        <f>SUM(F18:F20)</f>
        <v>1600154.6909476777</v>
      </c>
      <c r="G21" s="69">
        <f>+F21/G23</f>
        <v>1.5582310245279858</v>
      </c>
    </row>
    <row r="22" spans="1:8" x14ac:dyDescent="0.25">
      <c r="A22" t="s">
        <v>196</v>
      </c>
    </row>
    <row r="23" spans="1:8" ht="18" x14ac:dyDescent="0.35">
      <c r="A23" t="s">
        <v>197</v>
      </c>
      <c r="F23" s="17" t="s">
        <v>248</v>
      </c>
      <c r="G23" s="27">
        <f>G28</f>
        <v>1026904.6539054703</v>
      </c>
      <c r="H23" s="24"/>
    </row>
    <row r="25" spans="1:8" x14ac:dyDescent="0.25">
      <c r="C25" s="24" t="s">
        <v>15</v>
      </c>
      <c r="F25" s="19"/>
      <c r="G25" s="19"/>
    </row>
    <row r="26" spans="1:8" x14ac:dyDescent="0.25">
      <c r="E26" s="19"/>
      <c r="F26" s="19"/>
      <c r="G26" s="22" t="s">
        <v>19</v>
      </c>
    </row>
    <row r="27" spans="1:8" ht="18" x14ac:dyDescent="0.35">
      <c r="E27" s="19"/>
      <c r="F27" s="19"/>
      <c r="G27" s="23" t="s">
        <v>251</v>
      </c>
      <c r="H27" s="23" t="s">
        <v>1</v>
      </c>
    </row>
    <row r="28" spans="1:8" x14ac:dyDescent="0.25">
      <c r="E28" s="19"/>
      <c r="F28" s="20" t="s">
        <v>16</v>
      </c>
      <c r="G28" s="21">
        <f>H28/1.1023</f>
        <v>1026904.6539054703</v>
      </c>
      <c r="H28" s="21">
        <v>1131957</v>
      </c>
    </row>
    <row r="29" spans="1:8" x14ac:dyDescent="0.25">
      <c r="E29" s="19"/>
      <c r="F29" s="20" t="s">
        <v>17</v>
      </c>
      <c r="G29" s="21">
        <f t="shared" ref="G29:G30" si="0">H29/1.1023</f>
        <v>2176429.2842238955</v>
      </c>
      <c r="H29" s="21">
        <v>2399078</v>
      </c>
    </row>
    <row r="30" spans="1:8" x14ac:dyDescent="0.25">
      <c r="E30" s="19"/>
      <c r="F30" s="20" t="s">
        <v>18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3"/>
  <sheetViews>
    <sheetView topLeftCell="A28" workbookViewId="0">
      <selection activeCell="C41" sqref="C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7" max="7" width="25" bestFit="1" customWidth="1"/>
    <col min="8" max="8" width="10.5703125" customWidth="1"/>
    <col min="9" max="9" width="10.85546875" bestFit="1" customWidth="1"/>
    <col min="21" max="21" width="19" bestFit="1" customWidth="1"/>
    <col min="22" max="22" width="16.5703125" bestFit="1" customWidth="1"/>
  </cols>
  <sheetData>
    <row r="1" spans="1:23" ht="18.75" x14ac:dyDescent="0.3">
      <c r="A1" s="3" t="s">
        <v>3</v>
      </c>
      <c r="B1" s="31">
        <f>+Summary!C4</f>
        <v>2012</v>
      </c>
    </row>
    <row r="2" spans="1:23" ht="18.75" x14ac:dyDescent="0.3">
      <c r="A2" s="3"/>
      <c r="B2" s="7" t="s">
        <v>23</v>
      </c>
      <c r="C2" s="7">
        <f>+Summary!C4</f>
        <v>2012</v>
      </c>
      <c r="D2" s="7" t="s">
        <v>250</v>
      </c>
      <c r="L2" t="s">
        <v>169</v>
      </c>
      <c r="M2" t="s">
        <v>170</v>
      </c>
      <c r="N2" t="s">
        <v>171</v>
      </c>
      <c r="O2" t="s">
        <v>172</v>
      </c>
      <c r="P2" t="s">
        <v>173</v>
      </c>
      <c r="Q2" t="s">
        <v>174</v>
      </c>
      <c r="R2" t="s">
        <v>175</v>
      </c>
      <c r="S2" t="s">
        <v>223</v>
      </c>
      <c r="T2" t="s">
        <v>176</v>
      </c>
      <c r="U2" t="s">
        <v>254</v>
      </c>
      <c r="V2" t="s">
        <v>255</v>
      </c>
      <c r="W2" t="s">
        <v>177</v>
      </c>
    </row>
    <row r="3" spans="1:23" ht="19.5" x14ac:dyDescent="0.35">
      <c r="A3" s="4" t="s">
        <v>0</v>
      </c>
      <c r="B3" s="8">
        <f>+Summary!C4</f>
        <v>2012</v>
      </c>
      <c r="C3" s="8" t="s">
        <v>261</v>
      </c>
      <c r="D3" s="8" t="s">
        <v>2</v>
      </c>
      <c r="E3" s="2"/>
      <c r="G3" s="75" t="s">
        <v>91</v>
      </c>
      <c r="H3" s="76">
        <v>222</v>
      </c>
      <c r="I3" s="75" t="s">
        <v>92</v>
      </c>
      <c r="J3" s="77">
        <v>1498987</v>
      </c>
      <c r="L3" t="s">
        <v>178</v>
      </c>
      <c r="M3" t="s">
        <v>224</v>
      </c>
      <c r="N3">
        <v>7456</v>
      </c>
      <c r="O3">
        <v>1</v>
      </c>
      <c r="Q3">
        <v>2012</v>
      </c>
      <c r="R3" t="s">
        <v>181</v>
      </c>
      <c r="S3">
        <v>4376.66</v>
      </c>
      <c r="T3">
        <v>2630.942</v>
      </c>
      <c r="U3" s="169">
        <f>T3/1.1023</f>
        <v>2386.774925156491</v>
      </c>
      <c r="V3" s="169">
        <f>U3+AA46</f>
        <v>2391.7217433964911</v>
      </c>
      <c r="W3">
        <v>44265.13</v>
      </c>
    </row>
    <row r="4" spans="1:23" x14ac:dyDescent="0.25">
      <c r="A4" s="26" t="s">
        <v>31</v>
      </c>
      <c r="B4" s="27">
        <f>0.15*(S6+S7)</f>
        <v>1590909.888</v>
      </c>
      <c r="C4" s="141">
        <f>D4/B4</f>
        <v>0.98413612144306628</v>
      </c>
      <c r="D4" s="6">
        <f>V6+V7</f>
        <v>1565671.886741743</v>
      </c>
      <c r="G4" s="75" t="s">
        <v>93</v>
      </c>
      <c r="H4" s="76">
        <v>149</v>
      </c>
      <c r="I4" s="75" t="s">
        <v>94</v>
      </c>
      <c r="J4" s="77">
        <v>6943</v>
      </c>
      <c r="L4" t="s">
        <v>178</v>
      </c>
      <c r="M4" t="s">
        <v>224</v>
      </c>
      <c r="N4">
        <v>7456</v>
      </c>
      <c r="O4">
        <v>2</v>
      </c>
      <c r="Q4">
        <v>2012</v>
      </c>
      <c r="R4" t="s">
        <v>181</v>
      </c>
      <c r="S4">
        <v>3402.51</v>
      </c>
      <c r="T4">
        <v>2051.0259999999998</v>
      </c>
      <c r="U4" s="169">
        <f t="shared" ref="U4:U8" si="0">T4/1.1023</f>
        <v>1860.6785811485074</v>
      </c>
      <c r="V4" s="169">
        <f>U4</f>
        <v>1860.6785811485074</v>
      </c>
      <c r="W4">
        <v>34511.373</v>
      </c>
    </row>
    <row r="5" spans="1:23" x14ac:dyDescent="0.25">
      <c r="A5" s="28" t="s">
        <v>32</v>
      </c>
      <c r="B5" s="27">
        <f>S3+S4</f>
        <v>7779.17</v>
      </c>
      <c r="C5" s="141">
        <f t="shared" ref="C5:C8" si="1">D5/B5</f>
        <v>0.54663933614318727</v>
      </c>
      <c r="D5" s="6">
        <f>V3+V4</f>
        <v>4252.4003245449985</v>
      </c>
      <c r="G5" s="75" t="s">
        <v>95</v>
      </c>
      <c r="H5" s="76">
        <v>61.2</v>
      </c>
      <c r="I5" s="75" t="s">
        <v>94</v>
      </c>
      <c r="J5" s="77">
        <v>181</v>
      </c>
      <c r="L5" t="s">
        <v>178</v>
      </c>
      <c r="M5" t="s">
        <v>179</v>
      </c>
      <c r="N5">
        <v>55179</v>
      </c>
      <c r="O5" t="s">
        <v>180</v>
      </c>
      <c r="Q5">
        <v>2012</v>
      </c>
      <c r="R5" t="s">
        <v>181</v>
      </c>
      <c r="S5">
        <v>1233616.1200000001</v>
      </c>
      <c r="T5">
        <v>506599.54100000003</v>
      </c>
      <c r="U5" s="169">
        <f t="shared" si="0"/>
        <v>459584.08872357797</v>
      </c>
      <c r="V5" s="169">
        <f>U5+AA63</f>
        <v>460056.97211653454</v>
      </c>
      <c r="W5">
        <v>8524452.4130000006</v>
      </c>
    </row>
    <row r="6" spans="1:23" x14ac:dyDescent="0.25">
      <c r="A6" s="28" t="s">
        <v>33</v>
      </c>
      <c r="B6" s="27">
        <f>J5</f>
        <v>181</v>
      </c>
      <c r="C6" s="141">
        <f t="shared" si="1"/>
        <v>0.82777879133701648</v>
      </c>
      <c r="D6" s="6">
        <f>W29+AA47</f>
        <v>149.82796123199998</v>
      </c>
      <c r="G6" s="75" t="s">
        <v>96</v>
      </c>
      <c r="H6" s="76">
        <v>24</v>
      </c>
      <c r="I6" s="75" t="s">
        <v>94</v>
      </c>
      <c r="J6" s="77">
        <v>5577</v>
      </c>
      <c r="L6" t="s">
        <v>225</v>
      </c>
      <c r="M6" t="s">
        <v>226</v>
      </c>
      <c r="N6">
        <v>6076</v>
      </c>
      <c r="O6">
        <v>3</v>
      </c>
      <c r="Q6">
        <v>2012</v>
      </c>
      <c r="R6" t="s">
        <v>181</v>
      </c>
      <c r="S6">
        <v>5169460.7</v>
      </c>
      <c r="T6">
        <v>5564140.585</v>
      </c>
      <c r="U6" s="169">
        <f>(0.15*T6)/1.1023</f>
        <v>757163.28381565807</v>
      </c>
      <c r="V6" s="169">
        <f>U6+AA44+AA45</f>
        <v>768917.29756456811</v>
      </c>
      <c r="W6" s="153">
        <v>53052468.254000001</v>
      </c>
    </row>
    <row r="7" spans="1:23" x14ac:dyDescent="0.25">
      <c r="A7" s="28" t="s">
        <v>34</v>
      </c>
      <c r="B7" s="27">
        <f>J6</f>
        <v>5577</v>
      </c>
      <c r="C7" s="141">
        <f t="shared" si="1"/>
        <v>0.47578893806993011</v>
      </c>
      <c r="D7" s="6">
        <f>W30+AA48</f>
        <v>2653.4749076160001</v>
      </c>
      <c r="G7" s="75" t="s">
        <v>97</v>
      </c>
      <c r="H7" s="76">
        <v>278.3</v>
      </c>
      <c r="I7" s="75" t="s">
        <v>94</v>
      </c>
      <c r="J7" s="77">
        <v>1142118</v>
      </c>
      <c r="L7" t="s">
        <v>225</v>
      </c>
      <c r="M7" t="s">
        <v>226</v>
      </c>
      <c r="N7">
        <v>6076</v>
      </c>
      <c r="O7">
        <v>4</v>
      </c>
      <c r="Q7">
        <v>2012</v>
      </c>
      <c r="R7" t="s">
        <v>181</v>
      </c>
      <c r="S7">
        <v>5436605.2199999997</v>
      </c>
      <c r="T7">
        <v>5855083.8909999998</v>
      </c>
      <c r="U7" s="169">
        <f>(0.15*T7)/1.1023</f>
        <v>796754.58917717484</v>
      </c>
      <c r="V7" s="169">
        <f>U7</f>
        <v>796754.58917717484</v>
      </c>
      <c r="W7" s="153">
        <v>55826531.557999998</v>
      </c>
    </row>
    <row r="8" spans="1:23" x14ac:dyDescent="0.25">
      <c r="A8" s="28" t="s">
        <v>35</v>
      </c>
      <c r="B8" s="27">
        <f>S8</f>
        <v>1154058.18</v>
      </c>
      <c r="C8" s="141">
        <f t="shared" si="1"/>
        <v>0.37158437334861155</v>
      </c>
      <c r="D8" s="6">
        <f>V8</f>
        <v>428829.98562313913</v>
      </c>
      <c r="G8" s="75" t="s">
        <v>98</v>
      </c>
      <c r="H8" s="76">
        <v>6.9</v>
      </c>
      <c r="I8" s="75" t="s">
        <v>94</v>
      </c>
      <c r="J8" s="78">
        <v>0</v>
      </c>
      <c r="L8" t="s">
        <v>227</v>
      </c>
      <c r="M8" t="s">
        <v>228</v>
      </c>
      <c r="N8">
        <v>7350</v>
      </c>
      <c r="O8" t="s">
        <v>229</v>
      </c>
      <c r="Q8">
        <v>2012</v>
      </c>
      <c r="R8" t="s">
        <v>181</v>
      </c>
      <c r="S8">
        <v>1154058.18</v>
      </c>
      <c r="T8">
        <v>472240.62800000003</v>
      </c>
      <c r="U8" s="169">
        <f t="shared" si="0"/>
        <v>428413.88732649916</v>
      </c>
      <c r="V8" s="169">
        <f>U8+AA49</f>
        <v>428829.98562313913</v>
      </c>
      <c r="W8">
        <v>7946313.2659999998</v>
      </c>
    </row>
    <row r="9" spans="1:23" x14ac:dyDescent="0.25">
      <c r="A9" s="28" t="s">
        <v>36</v>
      </c>
      <c r="B9" s="27">
        <f>J8</f>
        <v>0</v>
      </c>
      <c r="C9" s="27">
        <v>0</v>
      </c>
      <c r="D9" s="6">
        <v>0</v>
      </c>
      <c r="G9" s="75" t="s">
        <v>99</v>
      </c>
      <c r="H9" s="79">
        <v>50</v>
      </c>
      <c r="I9" s="75" t="s">
        <v>100</v>
      </c>
      <c r="J9" s="77">
        <v>209169</v>
      </c>
    </row>
    <row r="10" spans="1:23" x14ac:dyDescent="0.25">
      <c r="A10" s="28" t="s">
        <v>262</v>
      </c>
      <c r="B10" s="27">
        <f t="shared" ref="B10:B18" si="2">J9</f>
        <v>209169</v>
      </c>
      <c r="C10" s="27">
        <v>0</v>
      </c>
      <c r="D10" s="6">
        <v>0</v>
      </c>
      <c r="G10" s="75" t="s">
        <v>101</v>
      </c>
      <c r="H10" s="76">
        <v>15</v>
      </c>
      <c r="I10" s="75" t="s">
        <v>102</v>
      </c>
      <c r="J10" s="77">
        <v>102158</v>
      </c>
    </row>
    <row r="11" spans="1:23" x14ac:dyDescent="0.25">
      <c r="A11" s="28" t="s">
        <v>37</v>
      </c>
      <c r="B11" s="27">
        <f t="shared" si="2"/>
        <v>102158</v>
      </c>
      <c r="C11" s="27">
        <v>0</v>
      </c>
      <c r="D11" s="6">
        <v>0</v>
      </c>
      <c r="G11" s="75" t="s">
        <v>103</v>
      </c>
      <c r="H11" s="76">
        <v>18</v>
      </c>
      <c r="I11" s="75" t="s">
        <v>102</v>
      </c>
      <c r="J11" s="77">
        <v>82967</v>
      </c>
    </row>
    <row r="12" spans="1:23" x14ac:dyDescent="0.25">
      <c r="A12" s="28" t="s">
        <v>38</v>
      </c>
      <c r="B12" s="27">
        <f t="shared" si="2"/>
        <v>82967</v>
      </c>
      <c r="C12" s="27">
        <v>0</v>
      </c>
      <c r="D12" s="6">
        <v>0</v>
      </c>
      <c r="G12" s="75" t="s">
        <v>104</v>
      </c>
      <c r="H12" s="76">
        <v>17.600000000000001</v>
      </c>
      <c r="I12" s="75" t="s">
        <v>102</v>
      </c>
      <c r="J12" s="77">
        <v>106194</v>
      </c>
    </row>
    <row r="13" spans="1:23" x14ac:dyDescent="0.25">
      <c r="A13" s="28" t="s">
        <v>39</v>
      </c>
      <c r="B13" s="27">
        <f t="shared" si="2"/>
        <v>106194</v>
      </c>
      <c r="C13" s="27">
        <v>0</v>
      </c>
      <c r="D13" s="6">
        <v>0</v>
      </c>
      <c r="G13" s="75" t="s">
        <v>105</v>
      </c>
      <c r="H13" s="76">
        <v>34.6</v>
      </c>
      <c r="I13" s="75" t="s">
        <v>102</v>
      </c>
      <c r="J13" s="77">
        <v>201982</v>
      </c>
    </row>
    <row r="14" spans="1:23" x14ac:dyDescent="0.25">
      <c r="A14" s="28" t="s">
        <v>40</v>
      </c>
      <c r="B14" s="27">
        <f t="shared" si="2"/>
        <v>201982</v>
      </c>
      <c r="C14" s="27">
        <v>0</v>
      </c>
      <c r="D14" s="6">
        <v>0</v>
      </c>
      <c r="G14" s="75" t="s">
        <v>106</v>
      </c>
      <c r="H14" s="76">
        <v>87</v>
      </c>
      <c r="I14" s="75" t="s">
        <v>102</v>
      </c>
      <c r="J14" s="77">
        <v>513474</v>
      </c>
    </row>
    <row r="15" spans="1:23" x14ac:dyDescent="0.25">
      <c r="A15" s="28" t="s">
        <v>41</v>
      </c>
      <c r="B15" s="27">
        <f t="shared" si="2"/>
        <v>513474</v>
      </c>
      <c r="C15" s="27">
        <v>0</v>
      </c>
      <c r="D15" s="6">
        <v>0</v>
      </c>
      <c r="G15" s="75" t="s">
        <v>107</v>
      </c>
      <c r="H15" s="76">
        <v>10.199999999999999</v>
      </c>
      <c r="I15" s="75" t="s">
        <v>102</v>
      </c>
      <c r="J15" s="77">
        <v>59630</v>
      </c>
    </row>
    <row r="16" spans="1:23" x14ac:dyDescent="0.25">
      <c r="A16" s="28" t="s">
        <v>42</v>
      </c>
      <c r="B16" s="27">
        <f t="shared" si="2"/>
        <v>59630</v>
      </c>
      <c r="C16" s="27">
        <v>0</v>
      </c>
      <c r="D16" s="6">
        <v>0</v>
      </c>
      <c r="G16" s="75" t="s">
        <v>108</v>
      </c>
      <c r="H16" s="76">
        <v>254.6</v>
      </c>
      <c r="I16" s="75" t="s">
        <v>102</v>
      </c>
      <c r="J16" s="77">
        <v>1198885</v>
      </c>
    </row>
    <row r="17" spans="1:23" x14ac:dyDescent="0.25">
      <c r="A17" s="28" t="s">
        <v>43</v>
      </c>
      <c r="B17" s="27">
        <f t="shared" si="2"/>
        <v>1198885</v>
      </c>
      <c r="C17" s="27">
        <v>0</v>
      </c>
      <c r="D17" s="6">
        <v>0</v>
      </c>
      <c r="G17" s="75" t="s">
        <v>109</v>
      </c>
      <c r="H17" s="76">
        <v>562.4</v>
      </c>
      <c r="I17" s="75" t="s">
        <v>102</v>
      </c>
      <c r="J17" s="77">
        <v>1822999</v>
      </c>
    </row>
    <row r="18" spans="1:23" x14ac:dyDescent="0.25">
      <c r="A18" s="28" t="s">
        <v>44</v>
      </c>
      <c r="B18" s="27">
        <f t="shared" si="2"/>
        <v>1822999</v>
      </c>
      <c r="C18" s="27">
        <v>0</v>
      </c>
      <c r="D18" s="6">
        <v>0</v>
      </c>
    </row>
    <row r="19" spans="1:23" x14ac:dyDescent="0.25">
      <c r="A19" s="28" t="s">
        <v>78</v>
      </c>
      <c r="B19" s="27">
        <f>S5</f>
        <v>1233616.1200000001</v>
      </c>
      <c r="C19" s="141">
        <f>D19/B19</f>
        <v>0.37293365793285393</v>
      </c>
      <c r="D19" s="6">
        <f>V5</f>
        <v>460056.97211653454</v>
      </c>
    </row>
    <row r="20" spans="1:23" ht="15.75" x14ac:dyDescent="0.25">
      <c r="A20" s="28" t="s">
        <v>182</v>
      </c>
      <c r="B20" s="27">
        <v>0</v>
      </c>
      <c r="C20" s="27">
        <v>0</v>
      </c>
      <c r="D20" s="6">
        <f t="shared" ref="D11:D40" si="3">(+B20*C20)/2000</f>
        <v>0</v>
      </c>
      <c r="G20" s="80" t="s">
        <v>110</v>
      </c>
      <c r="H20" s="81"/>
      <c r="I20" s="82"/>
      <c r="J20" s="82"/>
      <c r="K20" s="163" t="s">
        <v>111</v>
      </c>
      <c r="L20" s="164"/>
      <c r="M20" s="163" t="s">
        <v>112</v>
      </c>
      <c r="N20" s="165"/>
      <c r="O20" s="165"/>
      <c r="P20" s="165"/>
      <c r="Q20" s="164"/>
      <c r="R20" s="163" t="s">
        <v>113</v>
      </c>
      <c r="S20" s="165"/>
      <c r="T20" s="83" t="s">
        <v>114</v>
      </c>
      <c r="U20" s="83" t="s">
        <v>115</v>
      </c>
      <c r="V20" s="163" t="s">
        <v>116</v>
      </c>
      <c r="W20" s="164"/>
    </row>
    <row r="21" spans="1:23" ht="15.75" x14ac:dyDescent="0.25">
      <c r="A21" s="28" t="s">
        <v>183</v>
      </c>
      <c r="B21" s="27">
        <v>317919</v>
      </c>
      <c r="C21" s="27">
        <v>0</v>
      </c>
      <c r="D21" s="6">
        <f t="shared" si="3"/>
        <v>0</v>
      </c>
      <c r="G21" s="84" t="s">
        <v>117</v>
      </c>
      <c r="H21" s="85">
        <v>2012</v>
      </c>
      <c r="I21" s="82"/>
      <c r="J21" s="86"/>
      <c r="K21" s="87" t="s">
        <v>118</v>
      </c>
      <c r="L21" s="87" t="s">
        <v>119</v>
      </c>
      <c r="M21" s="88" t="s">
        <v>120</v>
      </c>
      <c r="N21" s="89" t="s">
        <v>121</v>
      </c>
      <c r="O21" s="88" t="s">
        <v>122</v>
      </c>
      <c r="P21" s="88" t="s">
        <v>123</v>
      </c>
      <c r="Q21" s="88" t="s">
        <v>124</v>
      </c>
      <c r="R21" s="89" t="s">
        <v>125</v>
      </c>
      <c r="S21" s="89" t="s">
        <v>126</v>
      </c>
      <c r="T21" s="90" t="s">
        <v>127</v>
      </c>
      <c r="U21" s="90" t="s">
        <v>128</v>
      </c>
      <c r="V21" s="90" t="s">
        <v>129</v>
      </c>
      <c r="W21" s="91" t="s">
        <v>130</v>
      </c>
    </row>
    <row r="22" spans="1:23" ht="75.75" x14ac:dyDescent="0.25">
      <c r="A22" s="28" t="s">
        <v>184</v>
      </c>
      <c r="B22" s="27">
        <v>3239</v>
      </c>
      <c r="C22" s="27">
        <v>0</v>
      </c>
      <c r="D22" s="6">
        <f t="shared" si="3"/>
        <v>0</v>
      </c>
      <c r="G22" s="92"/>
      <c r="H22" s="93"/>
      <c r="I22" s="94"/>
      <c r="J22" s="95"/>
      <c r="K22" s="96" t="s">
        <v>131</v>
      </c>
      <c r="L22" s="96" t="s">
        <v>132</v>
      </c>
      <c r="M22" s="96" t="s">
        <v>133</v>
      </c>
      <c r="N22" s="96" t="s">
        <v>134</v>
      </c>
      <c r="O22" s="96" t="s">
        <v>135</v>
      </c>
      <c r="P22" s="96" t="s">
        <v>136</v>
      </c>
      <c r="Q22" s="96" t="s">
        <v>137</v>
      </c>
      <c r="R22" s="97" t="s">
        <v>138</v>
      </c>
      <c r="S22" s="97" t="s">
        <v>139</v>
      </c>
      <c r="T22" s="97" t="s">
        <v>140</v>
      </c>
      <c r="U22" s="97" t="s">
        <v>141</v>
      </c>
      <c r="V22" s="97" t="s">
        <v>142</v>
      </c>
      <c r="W22" s="98" t="s">
        <v>143</v>
      </c>
    </row>
    <row r="23" spans="1:23" ht="45" x14ac:dyDescent="0.25">
      <c r="A23" s="28" t="s">
        <v>185</v>
      </c>
      <c r="B23" s="27">
        <v>332137</v>
      </c>
      <c r="C23" s="27">
        <v>0</v>
      </c>
      <c r="D23" s="6">
        <f t="shared" si="3"/>
        <v>0</v>
      </c>
      <c r="G23" s="99"/>
      <c r="H23" s="81"/>
      <c r="I23" s="100"/>
      <c r="J23" s="86"/>
      <c r="K23" s="101"/>
      <c r="L23" s="101"/>
      <c r="M23" s="101"/>
      <c r="N23" s="101"/>
      <c r="O23" s="102" t="s">
        <v>144</v>
      </c>
      <c r="P23" s="102" t="s">
        <v>145</v>
      </c>
      <c r="Q23" s="102"/>
      <c r="R23" s="103"/>
      <c r="S23" s="103"/>
      <c r="T23" s="104"/>
      <c r="U23" s="104"/>
      <c r="V23" s="98" t="s">
        <v>146</v>
      </c>
      <c r="W23" s="105" t="s">
        <v>147</v>
      </c>
    </row>
    <row r="24" spans="1:23" x14ac:dyDescent="0.25">
      <c r="A24" s="28" t="s">
        <v>186</v>
      </c>
      <c r="B24" s="27">
        <v>11140</v>
      </c>
      <c r="C24" s="27">
        <v>0</v>
      </c>
      <c r="D24" s="6">
        <f t="shared" si="3"/>
        <v>0</v>
      </c>
      <c r="G24" s="106">
        <v>0</v>
      </c>
      <c r="H24" s="107" t="s">
        <v>148</v>
      </c>
      <c r="I24" s="108" t="s">
        <v>94</v>
      </c>
      <c r="J24" s="109">
        <v>0.5</v>
      </c>
      <c r="K24" s="110">
        <v>1000</v>
      </c>
      <c r="L24" s="111" t="s">
        <v>149</v>
      </c>
      <c r="M24" s="112">
        <v>5.0999999999999997E-2</v>
      </c>
      <c r="N24" s="113" t="s">
        <v>150</v>
      </c>
      <c r="O24" s="111" t="s">
        <v>151</v>
      </c>
      <c r="P24" s="110">
        <f>K24*M24</f>
        <v>51</v>
      </c>
      <c r="Q24" s="114" t="s">
        <v>152</v>
      </c>
      <c r="R24" s="115">
        <v>14</v>
      </c>
      <c r="S24" s="111" t="s">
        <v>153</v>
      </c>
      <c r="T24" s="116">
        <v>1</v>
      </c>
      <c r="U24" s="117">
        <v>1</v>
      </c>
      <c r="V24" s="118">
        <f>+P24*R24*T24*U24*3.66666666666667</f>
        <v>2618.0000000000023</v>
      </c>
      <c r="W24" s="119">
        <f>V24/1000</f>
        <v>2.6180000000000021</v>
      </c>
    </row>
    <row r="25" spans="1:23" x14ac:dyDescent="0.25">
      <c r="A25" s="28" t="s">
        <v>187</v>
      </c>
      <c r="B25" s="27">
        <v>80350</v>
      </c>
      <c r="C25" s="27">
        <v>0</v>
      </c>
      <c r="D25" s="6">
        <f t="shared" si="3"/>
        <v>0</v>
      </c>
      <c r="G25" s="120" t="s">
        <v>154</v>
      </c>
      <c r="H25" s="120" t="s">
        <v>155</v>
      </c>
      <c r="I25" s="121" t="s">
        <v>156</v>
      </c>
      <c r="J25" s="121" t="s">
        <v>157</v>
      </c>
      <c r="K25" s="122"/>
      <c r="L25" s="123"/>
      <c r="M25" s="123"/>
      <c r="N25" s="123"/>
      <c r="O25" s="123"/>
      <c r="P25" s="123"/>
      <c r="Q25" s="123"/>
      <c r="R25" s="124"/>
      <c r="S25" s="125"/>
      <c r="T25" s="126"/>
      <c r="U25" s="126"/>
      <c r="V25" s="126"/>
      <c r="W25" s="123"/>
    </row>
    <row r="26" spans="1:23" ht="30" x14ac:dyDescent="0.25">
      <c r="A26" s="28" t="s">
        <v>188</v>
      </c>
      <c r="B26" s="27">
        <v>1142</v>
      </c>
      <c r="C26" s="27">
        <v>0</v>
      </c>
      <c r="D26" s="6">
        <f t="shared" si="3"/>
        <v>0</v>
      </c>
      <c r="G26" s="127">
        <v>1</v>
      </c>
      <c r="H26" s="75" t="s">
        <v>31</v>
      </c>
      <c r="I26" s="75" t="s">
        <v>92</v>
      </c>
      <c r="J26" s="128">
        <v>0.15</v>
      </c>
      <c r="K26" s="129">
        <v>949474</v>
      </c>
      <c r="L26" s="130" t="s">
        <v>158</v>
      </c>
      <c r="M26" s="131">
        <v>17.024999999999999</v>
      </c>
      <c r="N26" s="130" t="s">
        <v>159</v>
      </c>
      <c r="O26" s="130" t="s">
        <v>151</v>
      </c>
      <c r="P26" s="132">
        <f>K26*M26</f>
        <v>16164794.849999998</v>
      </c>
      <c r="Q26" s="133" t="s">
        <v>160</v>
      </c>
      <c r="R26" s="134">
        <v>93.4</v>
      </c>
      <c r="S26" s="133" t="s">
        <v>161</v>
      </c>
      <c r="T26" s="135">
        <v>0.98</v>
      </c>
      <c r="U26" s="136">
        <v>1</v>
      </c>
      <c r="V26" s="137">
        <f t="shared" ref="V26:V32" si="4">+P26*R26*T26*U26</f>
        <v>1479596002.2101998</v>
      </c>
      <c r="W26" s="137">
        <f t="shared" ref="W26:W32" si="5">V26/1000</f>
        <v>1479596.0022101998</v>
      </c>
    </row>
    <row r="27" spans="1:23" ht="25.5" x14ac:dyDescent="0.25">
      <c r="A27" s="28" t="s">
        <v>189</v>
      </c>
      <c r="B27" s="27">
        <v>61450</v>
      </c>
      <c r="C27" s="27">
        <v>0</v>
      </c>
      <c r="D27" s="6">
        <f t="shared" si="3"/>
        <v>0</v>
      </c>
      <c r="G27" s="127">
        <f t="shared" ref="G27:G32" si="6">G26+1</f>
        <v>2</v>
      </c>
      <c r="H27" s="75" t="s">
        <v>31</v>
      </c>
      <c r="I27" s="75" t="s">
        <v>162</v>
      </c>
      <c r="J27" s="138">
        <v>0.15</v>
      </c>
      <c r="K27" s="129">
        <v>1508</v>
      </c>
      <c r="L27" s="130" t="s">
        <v>163</v>
      </c>
      <c r="M27" s="134">
        <f>140000*42/1000000</f>
        <v>5.88</v>
      </c>
      <c r="N27" s="139" t="s">
        <v>164</v>
      </c>
      <c r="O27" s="130" t="s">
        <v>151</v>
      </c>
      <c r="P27" s="132">
        <f>(K27*M27)</f>
        <v>8867.0399999999991</v>
      </c>
      <c r="Q27" s="133" t="s">
        <v>160</v>
      </c>
      <c r="R27" s="134">
        <v>73.959999999999994</v>
      </c>
      <c r="S27" s="133" t="s">
        <v>161</v>
      </c>
      <c r="T27" s="135">
        <v>0.99</v>
      </c>
      <c r="U27" s="136">
        <v>1</v>
      </c>
      <c r="V27" s="137">
        <f t="shared" si="4"/>
        <v>649248.21561599988</v>
      </c>
      <c r="W27" s="137">
        <f t="shared" si="5"/>
        <v>649.24821561599992</v>
      </c>
    </row>
    <row r="28" spans="1:23" x14ac:dyDescent="0.25">
      <c r="A28" s="28" t="s">
        <v>190</v>
      </c>
      <c r="B28" s="27">
        <v>47</v>
      </c>
      <c r="C28" s="27">
        <v>0</v>
      </c>
      <c r="D28" s="6">
        <f t="shared" si="3"/>
        <v>0</v>
      </c>
      <c r="G28" s="127">
        <f t="shared" si="6"/>
        <v>3</v>
      </c>
      <c r="H28" s="75" t="s">
        <v>165</v>
      </c>
      <c r="I28" s="75" t="s">
        <v>94</v>
      </c>
      <c r="J28" s="138">
        <v>1</v>
      </c>
      <c r="K28" s="134">
        <v>92.54</v>
      </c>
      <c r="L28" s="130" t="s">
        <v>166</v>
      </c>
      <c r="M28" s="140">
        <v>1028</v>
      </c>
      <c r="N28" s="130" t="s">
        <v>167</v>
      </c>
      <c r="O28" s="130" t="s">
        <v>151</v>
      </c>
      <c r="P28" s="132">
        <f t="shared" ref="P28:P32" si="7">K28*M28</f>
        <v>95131.12000000001</v>
      </c>
      <c r="Q28" s="133" t="s">
        <v>160</v>
      </c>
      <c r="R28" s="134">
        <v>53.02</v>
      </c>
      <c r="S28" s="133" t="s">
        <v>161</v>
      </c>
      <c r="T28" s="135">
        <v>0.995</v>
      </c>
      <c r="U28" s="136">
        <v>1</v>
      </c>
      <c r="V28" s="137">
        <f t="shared" si="4"/>
        <v>5018632.722488001</v>
      </c>
      <c r="W28" s="137">
        <f t="shared" si="5"/>
        <v>5018.6327224880006</v>
      </c>
    </row>
    <row r="29" spans="1:23" x14ac:dyDescent="0.25">
      <c r="A29" s="28" t="s">
        <v>191</v>
      </c>
      <c r="B29" s="27">
        <f>188173+139650+44507</f>
        <v>372330</v>
      </c>
      <c r="C29" s="27">
        <v>0</v>
      </c>
      <c r="D29" s="6">
        <f t="shared" si="3"/>
        <v>0</v>
      </c>
      <c r="G29" s="127">
        <f t="shared" si="6"/>
        <v>4</v>
      </c>
      <c r="H29" s="75" t="s">
        <v>168</v>
      </c>
      <c r="I29" s="75" t="s">
        <v>94</v>
      </c>
      <c r="J29" s="138">
        <v>1</v>
      </c>
      <c r="K29" s="134">
        <v>2.76</v>
      </c>
      <c r="L29" s="130" t="s">
        <v>166</v>
      </c>
      <c r="M29" s="140">
        <v>1028</v>
      </c>
      <c r="N29" s="130" t="s">
        <v>167</v>
      </c>
      <c r="O29" s="130" t="s">
        <v>151</v>
      </c>
      <c r="P29" s="132">
        <f t="shared" si="7"/>
        <v>2837.2799999999997</v>
      </c>
      <c r="Q29" s="133" t="s">
        <v>160</v>
      </c>
      <c r="R29" s="134">
        <v>53.02</v>
      </c>
      <c r="S29" s="133" t="s">
        <v>161</v>
      </c>
      <c r="T29" s="135">
        <v>0.995</v>
      </c>
      <c r="U29" s="136">
        <v>1</v>
      </c>
      <c r="V29" s="137">
        <f t="shared" si="4"/>
        <v>149680.42267199999</v>
      </c>
      <c r="W29" s="137">
        <f t="shared" si="5"/>
        <v>149.68042267199999</v>
      </c>
    </row>
    <row r="30" spans="1:23" x14ac:dyDescent="0.25">
      <c r="A30" s="28" t="s">
        <v>192</v>
      </c>
      <c r="B30" s="27">
        <v>7249</v>
      </c>
      <c r="C30" s="27">
        <v>0</v>
      </c>
      <c r="D30" s="6">
        <f t="shared" si="3"/>
        <v>0</v>
      </c>
      <c r="G30" s="127">
        <f t="shared" si="6"/>
        <v>5</v>
      </c>
      <c r="H30" s="75" t="s">
        <v>34</v>
      </c>
      <c r="I30" s="75" t="s">
        <v>94</v>
      </c>
      <c r="J30" s="138">
        <v>1</v>
      </c>
      <c r="K30" s="134">
        <v>48.88</v>
      </c>
      <c r="L30" s="130" t="s">
        <v>166</v>
      </c>
      <c r="M30" s="140">
        <v>1028</v>
      </c>
      <c r="N30" s="130" t="s">
        <v>167</v>
      </c>
      <c r="O30" s="130" t="s">
        <v>151</v>
      </c>
      <c r="P30" s="132">
        <f t="shared" si="7"/>
        <v>50248.639999999999</v>
      </c>
      <c r="Q30" s="133" t="s">
        <v>160</v>
      </c>
      <c r="R30" s="134">
        <v>53.02</v>
      </c>
      <c r="S30" s="133" t="s">
        <v>161</v>
      </c>
      <c r="T30" s="135">
        <v>0.995</v>
      </c>
      <c r="U30" s="136">
        <v>1</v>
      </c>
      <c r="V30" s="137">
        <f t="shared" si="4"/>
        <v>2650861.9783359999</v>
      </c>
      <c r="W30" s="137">
        <f t="shared" si="5"/>
        <v>2650.861978336</v>
      </c>
    </row>
    <row r="31" spans="1:23" x14ac:dyDescent="0.25">
      <c r="A31" s="28" t="s">
        <v>193</v>
      </c>
      <c r="B31" s="27">
        <v>51735</v>
      </c>
      <c r="C31" s="27"/>
      <c r="D31" s="6">
        <f t="shared" si="3"/>
        <v>0</v>
      </c>
      <c r="G31" s="127">
        <f t="shared" si="6"/>
        <v>6</v>
      </c>
      <c r="H31" s="75" t="s">
        <v>35</v>
      </c>
      <c r="I31" s="75" t="s">
        <v>94</v>
      </c>
      <c r="J31" s="138">
        <v>1</v>
      </c>
      <c r="K31" s="134">
        <v>7783.94</v>
      </c>
      <c r="L31" s="130" t="s">
        <v>166</v>
      </c>
      <c r="M31" s="140">
        <v>1028</v>
      </c>
      <c r="N31" s="130" t="s">
        <v>167</v>
      </c>
      <c r="O31" s="130" t="s">
        <v>151</v>
      </c>
      <c r="P31" s="132">
        <f t="shared" si="7"/>
        <v>8001890.3199999994</v>
      </c>
      <c r="Q31" s="133" t="s">
        <v>160</v>
      </c>
      <c r="R31" s="134">
        <v>53.02</v>
      </c>
      <c r="S31" s="133" t="s">
        <v>161</v>
      </c>
      <c r="T31" s="135">
        <v>0.995</v>
      </c>
      <c r="U31" s="136">
        <v>1</v>
      </c>
      <c r="V31" s="137">
        <f t="shared" si="4"/>
        <v>422138923.64256799</v>
      </c>
      <c r="W31" s="137">
        <f t="shared" si="5"/>
        <v>422138.923642568</v>
      </c>
    </row>
    <row r="32" spans="1:23" x14ac:dyDescent="0.25">
      <c r="A32" s="28" t="s">
        <v>194</v>
      </c>
      <c r="B32" s="27">
        <v>1355</v>
      </c>
      <c r="C32" s="27"/>
      <c r="D32" s="6">
        <f t="shared" si="3"/>
        <v>0</v>
      </c>
      <c r="G32" s="127">
        <f t="shared" si="6"/>
        <v>7</v>
      </c>
      <c r="H32" s="75" t="s">
        <v>36</v>
      </c>
      <c r="I32" s="75" t="s">
        <v>94</v>
      </c>
      <c r="J32" s="138">
        <v>1</v>
      </c>
      <c r="K32" s="134">
        <v>3.62</v>
      </c>
      <c r="L32" s="130" t="s">
        <v>166</v>
      </c>
      <c r="M32" s="140">
        <v>1028</v>
      </c>
      <c r="N32" s="130" t="s">
        <v>167</v>
      </c>
      <c r="O32" s="130" t="s">
        <v>151</v>
      </c>
      <c r="P32" s="132">
        <f t="shared" si="7"/>
        <v>3721.36</v>
      </c>
      <c r="Q32" s="133" t="s">
        <v>160</v>
      </c>
      <c r="R32" s="134">
        <v>53.02</v>
      </c>
      <c r="S32" s="133" t="s">
        <v>161</v>
      </c>
      <c r="T32" s="135">
        <v>0.995</v>
      </c>
      <c r="U32" s="136">
        <v>1</v>
      </c>
      <c r="V32" s="137">
        <f t="shared" si="4"/>
        <v>196319.97466400001</v>
      </c>
      <c r="W32" s="137">
        <f t="shared" si="5"/>
        <v>196.319974664</v>
      </c>
    </row>
    <row r="33" spans="1:28" x14ac:dyDescent="0.25">
      <c r="A33" s="28" t="s">
        <v>195</v>
      </c>
      <c r="B33" s="27">
        <v>35383</v>
      </c>
      <c r="C33" s="27"/>
      <c r="D33" s="6">
        <f t="shared" si="3"/>
        <v>0</v>
      </c>
    </row>
    <row r="34" spans="1:28" x14ac:dyDescent="0.25">
      <c r="A34" s="28"/>
      <c r="B34" s="27"/>
      <c r="C34" s="27"/>
      <c r="D34" s="6">
        <f t="shared" si="3"/>
        <v>0</v>
      </c>
      <c r="G34" t="s">
        <v>169</v>
      </c>
      <c r="H34" t="s">
        <v>170</v>
      </c>
      <c r="I34" t="s">
        <v>171</v>
      </c>
      <c r="J34" t="s">
        <v>172</v>
      </c>
      <c r="K34" t="s">
        <v>173</v>
      </c>
      <c r="L34" t="s">
        <v>174</v>
      </c>
      <c r="M34" t="s">
        <v>175</v>
      </c>
      <c r="N34" t="s">
        <v>176</v>
      </c>
      <c r="O34" t="s">
        <v>177</v>
      </c>
    </row>
    <row r="35" spans="1:28" x14ac:dyDescent="0.25">
      <c r="A35" s="28"/>
      <c r="B35" s="27"/>
      <c r="C35" s="27"/>
      <c r="D35" s="6">
        <f t="shared" si="3"/>
        <v>0</v>
      </c>
      <c r="G35" t="s">
        <v>178</v>
      </c>
      <c r="H35" t="s">
        <v>179</v>
      </c>
      <c r="I35">
        <v>55179</v>
      </c>
      <c r="J35" t="s">
        <v>180</v>
      </c>
      <c r="L35">
        <v>2012</v>
      </c>
      <c r="M35" t="s">
        <v>181</v>
      </c>
      <c r="N35">
        <v>506599.54100000003</v>
      </c>
      <c r="O35">
        <v>8524452.4130000006</v>
      </c>
    </row>
    <row r="36" spans="1:28" x14ac:dyDescent="0.25">
      <c r="A36" s="28"/>
      <c r="B36" s="27"/>
      <c r="C36" s="27"/>
      <c r="D36" s="6">
        <f t="shared" si="3"/>
        <v>0</v>
      </c>
    </row>
    <row r="37" spans="1:28" x14ac:dyDescent="0.25">
      <c r="A37" s="28"/>
      <c r="B37" s="27"/>
      <c r="C37" s="27"/>
      <c r="D37" s="6">
        <f t="shared" si="3"/>
        <v>0</v>
      </c>
      <c r="F37" s="70"/>
      <c r="G37" s="70"/>
      <c r="H37" s="70"/>
      <c r="I37" s="71"/>
      <c r="J37" s="72"/>
      <c r="K37" s="72"/>
      <c r="L37" s="73" t="s">
        <v>231</v>
      </c>
    </row>
    <row r="38" spans="1:28" x14ac:dyDescent="0.25">
      <c r="A38" s="28"/>
      <c r="B38" s="27"/>
      <c r="C38" s="27"/>
      <c r="D38" s="6">
        <f t="shared" si="3"/>
        <v>0</v>
      </c>
      <c r="F38" s="70"/>
      <c r="G38" s="70"/>
      <c r="H38" s="71" t="s">
        <v>232</v>
      </c>
      <c r="I38" s="72"/>
      <c r="J38" s="72"/>
      <c r="K38" s="73"/>
      <c r="L38" s="73" t="s">
        <v>111</v>
      </c>
      <c r="M38" s="73"/>
      <c r="N38" s="74" t="s">
        <v>112</v>
      </c>
      <c r="O38" s="74"/>
      <c r="P38" s="74"/>
      <c r="Q38" s="74"/>
      <c r="R38" s="74"/>
      <c r="S38" t="s">
        <v>113</v>
      </c>
      <c r="U38" t="s">
        <v>114</v>
      </c>
      <c r="W38" t="s">
        <v>115</v>
      </c>
      <c r="X38" t="s">
        <v>116</v>
      </c>
    </row>
    <row r="39" spans="1:28" x14ac:dyDescent="0.25">
      <c r="A39" s="28"/>
      <c r="B39" s="27"/>
      <c r="C39" s="27"/>
      <c r="D39" s="6">
        <f t="shared" si="3"/>
        <v>0</v>
      </c>
      <c r="F39" s="70"/>
      <c r="G39" s="70"/>
      <c r="H39" s="70" t="s">
        <v>117</v>
      </c>
      <c r="I39" s="71">
        <v>2012</v>
      </c>
      <c r="J39" s="72"/>
      <c r="K39" s="72"/>
      <c r="L39" s="73" t="s">
        <v>118</v>
      </c>
      <c r="M39" t="s">
        <v>119</v>
      </c>
      <c r="N39" t="s">
        <v>120</v>
      </c>
      <c r="O39" t="s">
        <v>121</v>
      </c>
      <c r="P39" t="s">
        <v>122</v>
      </c>
      <c r="Q39" t="s">
        <v>123</v>
      </c>
      <c r="R39" t="s">
        <v>124</v>
      </c>
      <c r="S39" t="s">
        <v>125</v>
      </c>
      <c r="T39" t="s">
        <v>126</v>
      </c>
      <c r="U39" t="s">
        <v>127</v>
      </c>
      <c r="V39" t="s">
        <v>128</v>
      </c>
      <c r="W39" t="s">
        <v>129</v>
      </c>
      <c r="X39" t="s">
        <v>130</v>
      </c>
      <c r="Y39" t="s">
        <v>233</v>
      </c>
    </row>
    <row r="40" spans="1:28" ht="15.75" thickBot="1" x14ac:dyDescent="0.3">
      <c r="A40" s="29"/>
      <c r="B40" s="30"/>
      <c r="C40" s="30"/>
      <c r="D40" s="9">
        <f t="shared" si="3"/>
        <v>0</v>
      </c>
      <c r="G40" s="70"/>
      <c r="H40" s="70"/>
      <c r="I40" s="71"/>
      <c r="J40" s="72"/>
      <c r="K40" s="72"/>
      <c r="L40" s="73" t="s">
        <v>131</v>
      </c>
      <c r="M40" t="s">
        <v>132</v>
      </c>
      <c r="N40" t="s">
        <v>133</v>
      </c>
      <c r="O40" t="s">
        <v>134</v>
      </c>
      <c r="P40" t="s">
        <v>135</v>
      </c>
      <c r="Q40" t="s">
        <v>136</v>
      </c>
      <c r="R40" t="s">
        <v>137</v>
      </c>
      <c r="S40" t="s">
        <v>240</v>
      </c>
      <c r="T40" t="s">
        <v>139</v>
      </c>
      <c r="U40" t="s">
        <v>241</v>
      </c>
      <c r="V40" t="s">
        <v>234</v>
      </c>
      <c r="W40" t="s">
        <v>141</v>
      </c>
      <c r="X40" t="s">
        <v>242</v>
      </c>
      <c r="Y40" t="s">
        <v>243</v>
      </c>
      <c r="AA40" t="s">
        <v>235</v>
      </c>
    </row>
    <row r="41" spans="1:28" ht="16.5" thickTop="1" thickBot="1" x14ac:dyDescent="0.3">
      <c r="A41" s="1"/>
      <c r="B41" s="10">
        <f>SUM(B4:B40)</f>
        <v>9565055.3579999991</v>
      </c>
      <c r="C41" s="171">
        <f>D41/B41</f>
        <v>0.2573549713558082</v>
      </c>
      <c r="D41" s="10">
        <f>SUM(D4:D40)</f>
        <v>2461614.5476748096</v>
      </c>
      <c r="G41" s="70"/>
      <c r="H41" s="70"/>
      <c r="I41" s="71"/>
      <c r="J41" s="72"/>
      <c r="K41" s="72"/>
      <c r="L41" s="73"/>
      <c r="P41" t="s">
        <v>144</v>
      </c>
      <c r="Q41" t="s">
        <v>145</v>
      </c>
      <c r="X41" t="s">
        <v>236</v>
      </c>
      <c r="Y41" t="s">
        <v>237</v>
      </c>
    </row>
    <row r="42" spans="1:28" x14ac:dyDescent="0.25">
      <c r="H42" t="s">
        <v>238</v>
      </c>
      <c r="L42">
        <v>1000</v>
      </c>
      <c r="M42" t="s">
        <v>149</v>
      </c>
      <c r="N42">
        <v>5.0999999999999997E-2</v>
      </c>
      <c r="O42" t="s">
        <v>150</v>
      </c>
      <c r="P42" t="s">
        <v>151</v>
      </c>
      <c r="Q42">
        <v>51</v>
      </c>
      <c r="R42" t="s">
        <v>152</v>
      </c>
      <c r="S42">
        <v>1E-3</v>
      </c>
      <c r="T42" t="s">
        <v>244</v>
      </c>
      <c r="U42">
        <v>2E-3</v>
      </c>
      <c r="V42" t="s">
        <v>245</v>
      </c>
      <c r="W42">
        <v>1</v>
      </c>
      <c r="X42">
        <v>5.1000000000000004E-2</v>
      </c>
      <c r="Y42">
        <v>0.10200000000000001</v>
      </c>
    </row>
    <row r="43" spans="1:28" x14ac:dyDescent="0.25">
      <c r="H43" t="s">
        <v>154</v>
      </c>
      <c r="I43" t="s">
        <v>155</v>
      </c>
      <c r="J43" t="s">
        <v>156</v>
      </c>
      <c r="K43" t="s">
        <v>157</v>
      </c>
      <c r="AB43" t="s">
        <v>155</v>
      </c>
    </row>
    <row r="44" spans="1:28" x14ac:dyDescent="0.25">
      <c r="H44">
        <v>1</v>
      </c>
      <c r="I44" t="s">
        <v>31</v>
      </c>
      <c r="J44" t="s">
        <v>92</v>
      </c>
      <c r="K44">
        <v>0.15</v>
      </c>
      <c r="L44">
        <v>949474</v>
      </c>
      <c r="M44" t="s">
        <v>158</v>
      </c>
      <c r="N44">
        <v>17.024999999999999</v>
      </c>
      <c r="O44" t="s">
        <v>159</v>
      </c>
      <c r="P44" t="s">
        <v>151</v>
      </c>
      <c r="Q44">
        <v>16164794.849999998</v>
      </c>
      <c r="R44" t="s">
        <v>160</v>
      </c>
      <c r="S44">
        <v>1.0999999999999999E-2</v>
      </c>
      <c r="T44" t="s">
        <v>239</v>
      </c>
      <c r="U44">
        <v>1.6000000000000001E-3</v>
      </c>
      <c r="V44" t="s">
        <v>239</v>
      </c>
      <c r="W44">
        <v>1</v>
      </c>
      <c r="X44">
        <v>177812.74334999998</v>
      </c>
      <c r="Y44">
        <v>25863.671759999997</v>
      </c>
      <c r="AA44" s="170">
        <v>11751.805855949999</v>
      </c>
      <c r="AB44" t="s">
        <v>31</v>
      </c>
    </row>
    <row r="45" spans="1:28" x14ac:dyDescent="0.25">
      <c r="H45">
        <v>2</v>
      </c>
      <c r="I45" t="s">
        <v>31</v>
      </c>
      <c r="J45" t="s">
        <v>162</v>
      </c>
      <c r="K45">
        <v>0.15</v>
      </c>
      <c r="L45">
        <v>1508</v>
      </c>
      <c r="M45" t="s">
        <v>163</v>
      </c>
      <c r="N45">
        <v>5.88</v>
      </c>
      <c r="O45" t="s">
        <v>164</v>
      </c>
      <c r="P45" t="s">
        <v>151</v>
      </c>
      <c r="Q45">
        <v>8867.0399999999991</v>
      </c>
      <c r="R45" t="s">
        <v>160</v>
      </c>
      <c r="S45">
        <v>3.0000000000000001E-3</v>
      </c>
      <c r="T45" t="s">
        <v>239</v>
      </c>
      <c r="U45">
        <v>5.9999999999999995E-4</v>
      </c>
      <c r="V45" t="s">
        <v>239</v>
      </c>
      <c r="W45">
        <v>1</v>
      </c>
      <c r="X45">
        <v>26.601119999999998</v>
      </c>
      <c r="Y45">
        <v>5.3202239999999987</v>
      </c>
      <c r="AA45" s="170">
        <v>2.2078929599999997</v>
      </c>
      <c r="AB45" t="s">
        <v>31</v>
      </c>
    </row>
    <row r="46" spans="1:28" x14ac:dyDescent="0.25">
      <c r="H46">
        <v>3</v>
      </c>
      <c r="I46" t="s">
        <v>165</v>
      </c>
      <c r="J46" t="s">
        <v>94</v>
      </c>
      <c r="K46">
        <v>1</v>
      </c>
      <c r="L46">
        <v>92.54</v>
      </c>
      <c r="M46" t="s">
        <v>166</v>
      </c>
      <c r="N46">
        <v>1028</v>
      </c>
      <c r="O46" t="s">
        <v>167</v>
      </c>
      <c r="P46" t="s">
        <v>151</v>
      </c>
      <c r="Q46">
        <v>95131.12000000001</v>
      </c>
      <c r="R46" t="s">
        <v>160</v>
      </c>
      <c r="S46">
        <v>1E-3</v>
      </c>
      <c r="T46" t="s">
        <v>239</v>
      </c>
      <c r="U46">
        <v>1E-4</v>
      </c>
      <c r="V46" t="s">
        <v>239</v>
      </c>
      <c r="W46">
        <v>1</v>
      </c>
      <c r="X46">
        <v>95.13112000000001</v>
      </c>
      <c r="Y46">
        <v>9.5131120000000013</v>
      </c>
      <c r="AA46" s="170">
        <v>4.9468182400000007</v>
      </c>
      <c r="AB46" t="s">
        <v>165</v>
      </c>
    </row>
    <row r="47" spans="1:28" x14ac:dyDescent="0.25">
      <c r="H47">
        <v>4</v>
      </c>
      <c r="I47" t="s">
        <v>168</v>
      </c>
      <c r="J47" t="s">
        <v>94</v>
      </c>
      <c r="K47">
        <v>1</v>
      </c>
      <c r="L47">
        <v>2.76</v>
      </c>
      <c r="M47" t="s">
        <v>166</v>
      </c>
      <c r="N47">
        <v>1028</v>
      </c>
      <c r="O47" t="s">
        <v>167</v>
      </c>
      <c r="P47" t="s">
        <v>151</v>
      </c>
      <c r="Q47">
        <v>2837.2799999999997</v>
      </c>
      <c r="R47" t="s">
        <v>160</v>
      </c>
      <c r="S47">
        <v>1E-3</v>
      </c>
      <c r="T47" t="s">
        <v>239</v>
      </c>
      <c r="U47">
        <v>1E-4</v>
      </c>
      <c r="V47" t="s">
        <v>239</v>
      </c>
      <c r="W47">
        <v>1</v>
      </c>
      <c r="X47">
        <v>2.8372799999999998</v>
      </c>
      <c r="Y47">
        <v>0.28372799999999998</v>
      </c>
      <c r="AA47" s="170">
        <v>0.14753855999999999</v>
      </c>
      <c r="AB47" t="s">
        <v>168</v>
      </c>
    </row>
    <row r="48" spans="1:28" x14ac:dyDescent="0.25">
      <c r="H48">
        <v>5</v>
      </c>
      <c r="I48" t="s">
        <v>34</v>
      </c>
      <c r="J48" t="s">
        <v>94</v>
      </c>
      <c r="K48">
        <v>1</v>
      </c>
      <c r="L48">
        <v>48.88</v>
      </c>
      <c r="M48" t="s">
        <v>166</v>
      </c>
      <c r="N48">
        <v>1028</v>
      </c>
      <c r="O48" t="s">
        <v>167</v>
      </c>
      <c r="P48" t="s">
        <v>151</v>
      </c>
      <c r="Q48">
        <v>50248.639999999999</v>
      </c>
      <c r="R48" t="s">
        <v>160</v>
      </c>
      <c r="S48">
        <v>1E-3</v>
      </c>
      <c r="T48" t="s">
        <v>239</v>
      </c>
      <c r="U48">
        <v>1E-4</v>
      </c>
      <c r="V48" t="s">
        <v>239</v>
      </c>
      <c r="W48">
        <v>1</v>
      </c>
      <c r="X48">
        <v>50.248640000000002</v>
      </c>
      <c r="Y48">
        <v>5.024864</v>
      </c>
      <c r="AA48" s="170">
        <v>2.6129292800000004</v>
      </c>
      <c r="AB48" t="s">
        <v>34</v>
      </c>
    </row>
    <row r="49" spans="8:28" x14ac:dyDescent="0.25">
      <c r="H49">
        <v>6</v>
      </c>
      <c r="I49" t="s">
        <v>35</v>
      </c>
      <c r="J49" t="s">
        <v>94</v>
      </c>
      <c r="K49">
        <v>1</v>
      </c>
      <c r="L49">
        <v>7783.94</v>
      </c>
      <c r="M49" t="s">
        <v>166</v>
      </c>
      <c r="N49">
        <v>1028</v>
      </c>
      <c r="O49" t="s">
        <v>167</v>
      </c>
      <c r="P49" t="s">
        <v>151</v>
      </c>
      <c r="Q49">
        <v>8001890.3199999994</v>
      </c>
      <c r="R49" t="s">
        <v>160</v>
      </c>
      <c r="S49">
        <v>1E-3</v>
      </c>
      <c r="T49" t="s">
        <v>239</v>
      </c>
      <c r="U49">
        <v>1E-4</v>
      </c>
      <c r="V49" t="s">
        <v>239</v>
      </c>
      <c r="W49">
        <v>1</v>
      </c>
      <c r="X49">
        <v>8001.8903199999995</v>
      </c>
      <c r="Y49">
        <v>800.189032</v>
      </c>
      <c r="AA49" s="170">
        <v>416.09829663999994</v>
      </c>
      <c r="AB49" t="s">
        <v>35</v>
      </c>
    </row>
    <row r="50" spans="8:28" x14ac:dyDescent="0.25">
      <c r="H50">
        <v>7</v>
      </c>
      <c r="I50" t="s">
        <v>36</v>
      </c>
      <c r="J50" t="s">
        <v>94</v>
      </c>
      <c r="K50">
        <v>1</v>
      </c>
      <c r="L50">
        <v>3.62</v>
      </c>
      <c r="M50" t="s">
        <v>166</v>
      </c>
      <c r="N50">
        <v>1028</v>
      </c>
      <c r="O50" t="s">
        <v>167</v>
      </c>
      <c r="P50" t="s">
        <v>151</v>
      </c>
      <c r="Q50">
        <v>3721.36</v>
      </c>
      <c r="R50" t="s">
        <v>160</v>
      </c>
      <c r="S50">
        <v>1E-3</v>
      </c>
      <c r="T50" t="s">
        <v>239</v>
      </c>
      <c r="U50">
        <v>1E-4</v>
      </c>
      <c r="V50" t="s">
        <v>239</v>
      </c>
      <c r="W50">
        <v>1</v>
      </c>
      <c r="X50">
        <v>3.7213600000000002</v>
      </c>
      <c r="Y50">
        <v>0.37213600000000002</v>
      </c>
      <c r="AA50" s="170">
        <v>0.19351072</v>
      </c>
      <c r="AB50" t="s">
        <v>36</v>
      </c>
    </row>
    <row r="53" spans="8:28" x14ac:dyDescent="0.25">
      <c r="X53" t="s">
        <v>78</v>
      </c>
      <c r="Y53" t="s">
        <v>257</v>
      </c>
      <c r="Z53" t="s">
        <v>258</v>
      </c>
      <c r="AA53" t="s">
        <v>259</v>
      </c>
    </row>
    <row r="54" spans="8:28" x14ac:dyDescent="0.25">
      <c r="X54">
        <v>2013</v>
      </c>
      <c r="Y54" s="169">
        <v>628469.4</v>
      </c>
      <c r="Z54" s="169">
        <v>613.61270000000002</v>
      </c>
      <c r="AA54">
        <f>Z54/Y54</f>
        <v>9.7636050378904684E-4</v>
      </c>
    </row>
    <row r="55" spans="8:28" x14ac:dyDescent="0.25">
      <c r="X55">
        <v>2014</v>
      </c>
      <c r="Y55" s="169">
        <v>459808.25</v>
      </c>
      <c r="Z55" s="169">
        <v>613.61270000000002</v>
      </c>
      <c r="AA55">
        <f t="shared" ref="AA55:AA61" si="8">Z55/Y55</f>
        <v>1.3344969343199041E-3</v>
      </c>
    </row>
    <row r="56" spans="8:28" x14ac:dyDescent="0.25">
      <c r="X56">
        <v>2015</v>
      </c>
      <c r="Y56" s="169">
        <v>584065.37</v>
      </c>
      <c r="Z56" s="169">
        <v>612.41890000000001</v>
      </c>
      <c r="AA56">
        <f t="shared" si="8"/>
        <v>1.0485451311725603E-3</v>
      </c>
    </row>
    <row r="57" spans="8:28" x14ac:dyDescent="0.25">
      <c r="X57">
        <v>2016</v>
      </c>
      <c r="Y57" s="169">
        <v>501464.96</v>
      </c>
      <c r="Z57" s="169">
        <v>483.63589999999999</v>
      </c>
      <c r="AA57">
        <f t="shared" si="8"/>
        <v>9.6444605022851437E-4</v>
      </c>
    </row>
    <row r="58" spans="8:28" x14ac:dyDescent="0.25">
      <c r="X58">
        <v>2017</v>
      </c>
      <c r="Y58" s="169">
        <v>562897</v>
      </c>
      <c r="Z58" s="169">
        <v>492.53500000000003</v>
      </c>
      <c r="AA58">
        <f t="shared" si="8"/>
        <v>8.750002220654934E-4</v>
      </c>
    </row>
    <row r="59" spans="8:28" x14ac:dyDescent="0.25">
      <c r="X59">
        <v>2018</v>
      </c>
      <c r="Y59" s="169">
        <v>606870.49</v>
      </c>
      <c r="Z59" s="169">
        <v>613.47940000000006</v>
      </c>
      <c r="AA59">
        <f t="shared" si="8"/>
        <v>1.0108901489014569E-3</v>
      </c>
    </row>
    <row r="60" spans="8:28" x14ac:dyDescent="0.25">
      <c r="X60">
        <v>2019</v>
      </c>
      <c r="Y60" s="169">
        <v>643487.30000000005</v>
      </c>
      <c r="Z60" s="169">
        <v>650.48789999999997</v>
      </c>
      <c r="AA60">
        <f t="shared" si="8"/>
        <v>1.010879157988044E-3</v>
      </c>
    </row>
    <row r="61" spans="8:28" x14ac:dyDescent="0.25">
      <c r="X61">
        <v>2020</v>
      </c>
      <c r="Y61" s="169">
        <v>682805.15</v>
      </c>
      <c r="Z61" s="169">
        <v>690.2364</v>
      </c>
      <c r="AA61">
        <f t="shared" si="8"/>
        <v>1.0108834123468459E-3</v>
      </c>
    </row>
    <row r="62" spans="8:28" x14ac:dyDescent="0.25">
      <c r="AA62">
        <f>AVERAGE(AA54:AA61)</f>
        <v>1.0289376951014833E-3</v>
      </c>
      <c r="AB62" t="s">
        <v>260</v>
      </c>
    </row>
    <row r="63" spans="8:28" x14ac:dyDescent="0.25">
      <c r="AA63" s="152">
        <f>AA62*U5</f>
        <v>472.88339295655391</v>
      </c>
      <c r="AB63">
        <v>2012</v>
      </c>
    </row>
  </sheetData>
  <mergeCells count="4">
    <mergeCell ref="K20:L20"/>
    <mergeCell ref="M20:Q20"/>
    <mergeCell ref="R20:S20"/>
    <mergeCell ref="V20:W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workbookViewId="0">
      <selection activeCell="G3" sqref="G3"/>
    </sheetView>
  </sheetViews>
  <sheetFormatPr defaultRowHeight="15" x14ac:dyDescent="0.25"/>
  <cols>
    <col min="1" max="1" width="48.85546875" bestFit="1" customWidth="1"/>
    <col min="2" max="2" width="10.42578125" customWidth="1"/>
    <col min="4" max="4" width="50" bestFit="1" customWidth="1"/>
    <col min="7" max="8" width="14.28515625" bestFit="1" customWidth="1"/>
  </cols>
  <sheetData>
    <row r="1" spans="1:8" ht="15.75" x14ac:dyDescent="0.25">
      <c r="A1" s="154" t="s">
        <v>230</v>
      </c>
      <c r="B1" s="154">
        <v>2012</v>
      </c>
    </row>
    <row r="2" spans="1:8" ht="18" x14ac:dyDescent="0.35">
      <c r="D2" s="166" t="s">
        <v>252</v>
      </c>
      <c r="E2" s="166"/>
      <c r="F2" s="167"/>
      <c r="G2" s="156">
        <v>0.437</v>
      </c>
      <c r="H2" t="s">
        <v>253</v>
      </c>
    </row>
    <row r="3" spans="1:8" ht="18" x14ac:dyDescent="0.35">
      <c r="A3" s="143"/>
      <c r="B3" s="142"/>
      <c r="D3" s="144"/>
      <c r="F3" t="s">
        <v>220</v>
      </c>
      <c r="G3" s="150">
        <f>'Known Resources'!C41</f>
        <v>0.2573549713558082</v>
      </c>
      <c r="H3" t="s">
        <v>253</v>
      </c>
    </row>
    <row r="4" spans="1:8" ht="45" x14ac:dyDescent="0.25">
      <c r="A4" s="151" t="s">
        <v>198</v>
      </c>
      <c r="B4" s="151" t="s">
        <v>199</v>
      </c>
      <c r="C4" s="151"/>
      <c r="D4" s="151" t="s">
        <v>198</v>
      </c>
      <c r="E4" s="151" t="s">
        <v>200</v>
      </c>
      <c r="F4" s="151" t="s">
        <v>218</v>
      </c>
      <c r="G4" s="151" t="s">
        <v>221</v>
      </c>
      <c r="H4" s="151"/>
    </row>
    <row r="5" spans="1:8" x14ac:dyDescent="0.25">
      <c r="A5" s="70" t="s">
        <v>201</v>
      </c>
      <c r="B5" s="73">
        <v>0</v>
      </c>
      <c r="D5" s="145" t="s">
        <v>201</v>
      </c>
      <c r="E5" s="146">
        <v>3000</v>
      </c>
      <c r="F5" s="147">
        <f>B5-E5</f>
        <v>-3000</v>
      </c>
      <c r="G5" s="150">
        <f>IF(F5&gt;0,F5*$G$2,F5*$G$3)</f>
        <v>-772.06491406742464</v>
      </c>
      <c r="H5" s="150"/>
    </row>
    <row r="6" spans="1:8" x14ac:dyDescent="0.25">
      <c r="A6" s="70" t="s">
        <v>202</v>
      </c>
      <c r="B6" s="73">
        <v>10075</v>
      </c>
      <c r="D6" s="145" t="s">
        <v>202</v>
      </c>
      <c r="E6" s="146">
        <v>5232</v>
      </c>
      <c r="F6" s="147">
        <f t="shared" ref="F6" si="0">B6-E6</f>
        <v>4843</v>
      </c>
      <c r="G6" s="150">
        <f t="shared" ref="G6:G65" si="1">IF(F6&gt;0,F6*$G$2,F6*$G$3)</f>
        <v>2116.3910000000001</v>
      </c>
      <c r="H6" s="150"/>
    </row>
    <row r="7" spans="1:8" x14ac:dyDescent="0.25">
      <c r="A7" s="70" t="s">
        <v>203</v>
      </c>
      <c r="B7" s="73">
        <v>652014</v>
      </c>
      <c r="C7" s="73"/>
      <c r="D7" s="145" t="s">
        <v>203</v>
      </c>
      <c r="E7" s="146">
        <v>185561</v>
      </c>
      <c r="F7" s="147">
        <f t="shared" ref="F7:F65" si="2">B7-E7</f>
        <v>466453</v>
      </c>
      <c r="G7" s="150">
        <f t="shared" si="1"/>
        <v>203839.96100000001</v>
      </c>
      <c r="H7" s="150"/>
    </row>
    <row r="8" spans="1:8" x14ac:dyDescent="0.25">
      <c r="A8" s="70" t="s">
        <v>45</v>
      </c>
      <c r="B8" s="73">
        <v>219559</v>
      </c>
      <c r="C8" s="73"/>
      <c r="D8" s="145" t="s">
        <v>45</v>
      </c>
      <c r="E8" s="146">
        <v>113231</v>
      </c>
      <c r="F8" s="147">
        <f t="shared" si="2"/>
        <v>106328</v>
      </c>
      <c r="G8" s="150">
        <f t="shared" si="1"/>
        <v>46465.336000000003</v>
      </c>
      <c r="H8" s="150"/>
    </row>
    <row r="9" spans="1:8" x14ac:dyDescent="0.25">
      <c r="A9" s="145" t="s">
        <v>204</v>
      </c>
      <c r="B9" s="73"/>
      <c r="C9" s="73"/>
      <c r="D9" s="145" t="s">
        <v>204</v>
      </c>
      <c r="E9" s="146">
        <v>42</v>
      </c>
      <c r="F9" s="147">
        <f t="shared" si="2"/>
        <v>-42</v>
      </c>
      <c r="G9" s="150">
        <f t="shared" si="1"/>
        <v>-10.808908796943944</v>
      </c>
      <c r="H9" s="150"/>
    </row>
    <row r="10" spans="1:8" x14ac:dyDescent="0.25">
      <c r="A10" s="70" t="s">
        <v>46</v>
      </c>
      <c r="B10" s="73">
        <v>1200</v>
      </c>
      <c r="C10" s="73"/>
      <c r="D10" s="145" t="s">
        <v>46</v>
      </c>
      <c r="E10" s="146">
        <v>1800</v>
      </c>
      <c r="F10" s="147">
        <f t="shared" si="2"/>
        <v>-600</v>
      </c>
      <c r="G10" s="150">
        <f t="shared" si="1"/>
        <v>-154.41298281348492</v>
      </c>
      <c r="H10" s="150"/>
    </row>
    <row r="11" spans="1:8" x14ac:dyDescent="0.25">
      <c r="A11" s="145" t="s">
        <v>205</v>
      </c>
      <c r="B11" s="73">
        <v>0</v>
      </c>
      <c r="C11" s="73"/>
      <c r="D11" s="145" t="s">
        <v>205</v>
      </c>
      <c r="E11" s="146">
        <v>800</v>
      </c>
      <c r="F11" s="147">
        <f t="shared" si="2"/>
        <v>-800</v>
      </c>
      <c r="G11" s="150">
        <f t="shared" si="1"/>
        <v>-205.88397708464657</v>
      </c>
      <c r="H11" s="150"/>
    </row>
    <row r="12" spans="1:8" x14ac:dyDescent="0.25">
      <c r="A12" s="70" t="s">
        <v>47</v>
      </c>
      <c r="B12" s="73">
        <v>217577</v>
      </c>
      <c r="D12" s="145" t="s">
        <v>47</v>
      </c>
      <c r="E12" s="146">
        <v>256448</v>
      </c>
      <c r="F12" s="147">
        <f t="shared" si="2"/>
        <v>-38871</v>
      </c>
      <c r="G12" s="150">
        <f t="shared" si="1"/>
        <v>-10003.645091571621</v>
      </c>
      <c r="H12" s="150"/>
    </row>
    <row r="13" spans="1:8" x14ac:dyDescent="0.25">
      <c r="A13" s="70" t="s">
        <v>48</v>
      </c>
      <c r="B13" s="73">
        <v>118032</v>
      </c>
      <c r="D13" s="145" t="s">
        <v>48</v>
      </c>
      <c r="E13" s="146">
        <v>475617</v>
      </c>
      <c r="F13" s="147">
        <f t="shared" si="2"/>
        <v>-357585</v>
      </c>
      <c r="G13" s="150">
        <f t="shared" si="1"/>
        <v>-92026.277432266681</v>
      </c>
      <c r="H13" s="150"/>
    </row>
    <row r="14" spans="1:8" x14ac:dyDescent="0.25">
      <c r="A14" s="70" t="s">
        <v>49</v>
      </c>
      <c r="B14" s="73">
        <v>5824</v>
      </c>
      <c r="D14" s="145" t="s">
        <v>49</v>
      </c>
      <c r="E14" s="146">
        <v>13022</v>
      </c>
      <c r="F14" s="147">
        <f t="shared" si="2"/>
        <v>-7198</v>
      </c>
      <c r="G14" s="150">
        <f t="shared" si="1"/>
        <v>-1852.4410838191075</v>
      </c>
      <c r="H14" s="150"/>
    </row>
    <row r="15" spans="1:8" x14ac:dyDescent="0.25">
      <c r="A15" s="70" t="s">
        <v>50</v>
      </c>
      <c r="B15" s="73">
        <v>147159</v>
      </c>
      <c r="D15" s="145" t="s">
        <v>50</v>
      </c>
      <c r="E15" s="146">
        <v>151169</v>
      </c>
      <c r="F15" s="147">
        <f t="shared" si="2"/>
        <v>-4010</v>
      </c>
      <c r="G15" s="150">
        <f t="shared" si="1"/>
        <v>-1031.9934351367908</v>
      </c>
      <c r="H15" s="150"/>
    </row>
    <row r="16" spans="1:8" x14ac:dyDescent="0.25">
      <c r="A16" s="70" t="s">
        <v>51</v>
      </c>
      <c r="B16" s="73">
        <v>10745</v>
      </c>
      <c r="D16" s="145" t="s">
        <v>51</v>
      </c>
      <c r="E16" s="146">
        <v>12283</v>
      </c>
      <c r="F16" s="147">
        <f t="shared" si="2"/>
        <v>-1538</v>
      </c>
      <c r="G16" s="150">
        <f t="shared" si="1"/>
        <v>-395.81194594523299</v>
      </c>
      <c r="H16" s="150"/>
    </row>
    <row r="17" spans="1:8" x14ac:dyDescent="0.25">
      <c r="A17" s="70" t="s">
        <v>52</v>
      </c>
      <c r="B17" s="73">
        <v>7990</v>
      </c>
      <c r="D17" s="145" t="s">
        <v>52</v>
      </c>
      <c r="E17" s="146">
        <v>4429</v>
      </c>
      <c r="F17" s="147">
        <f t="shared" si="2"/>
        <v>3561</v>
      </c>
      <c r="G17" s="150">
        <f t="shared" si="1"/>
        <v>1556.1569999999999</v>
      </c>
      <c r="H17" s="150"/>
    </row>
    <row r="18" spans="1:8" x14ac:dyDescent="0.25">
      <c r="A18" s="145" t="s">
        <v>207</v>
      </c>
      <c r="B18" s="73">
        <v>0</v>
      </c>
      <c r="D18" s="145" t="s">
        <v>207</v>
      </c>
      <c r="E18" s="146">
        <v>3</v>
      </c>
      <c r="F18" s="147">
        <f t="shared" si="2"/>
        <v>-3</v>
      </c>
      <c r="G18" s="150">
        <f t="shared" si="1"/>
        <v>-0.77206491406742461</v>
      </c>
      <c r="H18" s="150"/>
    </row>
    <row r="19" spans="1:8" x14ac:dyDescent="0.25">
      <c r="A19" s="70" t="s">
        <v>206</v>
      </c>
      <c r="B19" s="73">
        <v>4150</v>
      </c>
      <c r="D19" s="145" t="s">
        <v>206</v>
      </c>
      <c r="E19" s="146">
        <v>45200</v>
      </c>
      <c r="F19" s="147">
        <f t="shared" si="2"/>
        <v>-41050</v>
      </c>
      <c r="G19" s="150">
        <f t="shared" si="1"/>
        <v>-10564.421574155927</v>
      </c>
      <c r="H19" s="150"/>
    </row>
    <row r="20" spans="1:8" x14ac:dyDescent="0.25">
      <c r="A20" s="70" t="s">
        <v>53</v>
      </c>
      <c r="B20" s="73">
        <v>79375</v>
      </c>
      <c r="D20" s="145" t="s">
        <v>53</v>
      </c>
      <c r="E20" s="146">
        <v>117600</v>
      </c>
      <c r="F20" s="147">
        <f t="shared" si="2"/>
        <v>-38225</v>
      </c>
      <c r="G20" s="150">
        <f t="shared" si="1"/>
        <v>-9837.3937800757685</v>
      </c>
      <c r="H20" s="150"/>
    </row>
    <row r="21" spans="1:8" x14ac:dyDescent="0.25">
      <c r="A21" s="70" t="s">
        <v>54</v>
      </c>
      <c r="B21" s="73">
        <v>194544</v>
      </c>
      <c r="D21" s="145" t="s">
        <v>208</v>
      </c>
      <c r="E21" s="146">
        <v>227272</v>
      </c>
      <c r="F21" s="147">
        <f t="shared" si="2"/>
        <v>-32728</v>
      </c>
      <c r="G21" s="150">
        <f t="shared" si="1"/>
        <v>-8422.7135025328917</v>
      </c>
      <c r="H21" s="150"/>
    </row>
    <row r="22" spans="1:8" x14ac:dyDescent="0.25">
      <c r="A22" s="70" t="s">
        <v>55</v>
      </c>
      <c r="B22" s="73">
        <v>37948</v>
      </c>
      <c r="D22" s="145" t="s">
        <v>55</v>
      </c>
      <c r="E22" s="146">
        <v>29338</v>
      </c>
      <c r="F22" s="147">
        <f t="shared" si="2"/>
        <v>8610</v>
      </c>
      <c r="G22" s="150">
        <f t="shared" si="1"/>
        <v>3762.57</v>
      </c>
      <c r="H22" s="150"/>
    </row>
    <row r="23" spans="1:8" x14ac:dyDescent="0.25">
      <c r="A23" s="70" t="s">
        <v>209</v>
      </c>
      <c r="B23" s="73">
        <v>9044</v>
      </c>
      <c r="D23" s="145" t="s">
        <v>209</v>
      </c>
      <c r="E23" s="146">
        <v>15010</v>
      </c>
      <c r="F23" s="147">
        <f t="shared" si="2"/>
        <v>-5966</v>
      </c>
      <c r="G23" s="150">
        <f t="shared" si="1"/>
        <v>-1535.3797591087518</v>
      </c>
      <c r="H23" s="150"/>
    </row>
    <row r="24" spans="1:8" x14ac:dyDescent="0.25">
      <c r="A24" s="70" t="s">
        <v>56</v>
      </c>
      <c r="B24" s="73">
        <v>400</v>
      </c>
      <c r="D24" s="145" t="s">
        <v>56</v>
      </c>
      <c r="E24" s="146">
        <v>3600</v>
      </c>
      <c r="F24" s="147">
        <f t="shared" si="2"/>
        <v>-3200</v>
      </c>
      <c r="G24" s="150">
        <f t="shared" si="1"/>
        <v>-823.5359083385863</v>
      </c>
      <c r="H24" s="150"/>
    </row>
    <row r="25" spans="1:8" x14ac:dyDescent="0.25">
      <c r="A25" s="148" t="s">
        <v>210</v>
      </c>
      <c r="B25" s="149">
        <v>26030</v>
      </c>
      <c r="D25" s="145" t="s">
        <v>210</v>
      </c>
      <c r="E25" s="146">
        <v>13684</v>
      </c>
      <c r="F25" s="147">
        <f t="shared" si="2"/>
        <v>12346</v>
      </c>
      <c r="G25" s="150">
        <f t="shared" si="1"/>
        <v>5395.2020000000002</v>
      </c>
      <c r="H25" s="150"/>
    </row>
    <row r="26" spans="1:8" x14ac:dyDescent="0.25">
      <c r="A26" s="70" t="s">
        <v>57</v>
      </c>
      <c r="B26" s="73">
        <v>368848</v>
      </c>
      <c r="D26" s="145" t="s">
        <v>57</v>
      </c>
      <c r="E26" s="146">
        <v>649215</v>
      </c>
      <c r="F26" s="147">
        <f t="shared" si="2"/>
        <v>-280367</v>
      </c>
      <c r="G26" s="150">
        <f t="shared" si="1"/>
        <v>-72153.841254113882</v>
      </c>
      <c r="H26" s="150"/>
    </row>
    <row r="27" spans="1:8" x14ac:dyDescent="0.25">
      <c r="A27" s="70" t="s">
        <v>58</v>
      </c>
      <c r="B27" s="73">
        <v>2224</v>
      </c>
      <c r="D27" s="70" t="s">
        <v>58</v>
      </c>
      <c r="E27" s="146">
        <v>0</v>
      </c>
      <c r="F27" s="147">
        <f t="shared" si="2"/>
        <v>2224</v>
      </c>
      <c r="G27" s="150">
        <f t="shared" si="1"/>
        <v>971.88800000000003</v>
      </c>
      <c r="H27" s="150"/>
    </row>
    <row r="28" spans="1:8" x14ac:dyDescent="0.25">
      <c r="A28" s="70" t="s">
        <v>59</v>
      </c>
      <c r="B28" s="73">
        <v>33296</v>
      </c>
      <c r="D28" s="145" t="s">
        <v>59</v>
      </c>
      <c r="E28" s="146">
        <v>142040</v>
      </c>
      <c r="F28" s="147">
        <f t="shared" si="2"/>
        <v>-108744</v>
      </c>
      <c r="G28" s="150">
        <f t="shared" si="1"/>
        <v>-27985.809005116007</v>
      </c>
      <c r="H28" s="150"/>
    </row>
    <row r="29" spans="1:8" x14ac:dyDescent="0.25">
      <c r="A29" s="70" t="s">
        <v>60</v>
      </c>
      <c r="B29" s="73">
        <v>92</v>
      </c>
      <c r="D29" s="70" t="s">
        <v>60</v>
      </c>
      <c r="E29" s="146">
        <v>0</v>
      </c>
      <c r="F29" s="147">
        <f t="shared" si="2"/>
        <v>92</v>
      </c>
      <c r="G29" s="150">
        <f t="shared" si="1"/>
        <v>40.204000000000001</v>
      </c>
      <c r="H29" s="150"/>
    </row>
    <row r="30" spans="1:8" x14ac:dyDescent="0.25">
      <c r="A30" s="70" t="s">
        <v>211</v>
      </c>
      <c r="B30" s="73">
        <v>0</v>
      </c>
      <c r="D30" s="70" t="s">
        <v>211</v>
      </c>
      <c r="E30" s="146">
        <v>0</v>
      </c>
      <c r="F30" s="147">
        <f t="shared" si="2"/>
        <v>0</v>
      </c>
      <c r="G30" s="150">
        <f t="shared" si="1"/>
        <v>0</v>
      </c>
      <c r="H30" s="150"/>
    </row>
    <row r="31" spans="1:8" x14ac:dyDescent="0.25">
      <c r="A31" s="145" t="s">
        <v>212</v>
      </c>
      <c r="B31" s="73">
        <v>0</v>
      </c>
      <c r="D31" s="145" t="s">
        <v>212</v>
      </c>
      <c r="E31" s="146">
        <v>2600</v>
      </c>
      <c r="F31" s="147">
        <f t="shared" si="2"/>
        <v>-2600</v>
      </c>
      <c r="G31" s="150">
        <f t="shared" si="1"/>
        <v>-669.12292552510132</v>
      </c>
      <c r="H31" s="150"/>
    </row>
    <row r="32" spans="1:8" x14ac:dyDescent="0.25">
      <c r="A32" s="70" t="s">
        <v>61</v>
      </c>
      <c r="B32" s="73">
        <v>488936</v>
      </c>
      <c r="D32" s="145" t="s">
        <v>213</v>
      </c>
      <c r="E32" s="146">
        <v>73235</v>
      </c>
      <c r="F32" s="147">
        <f t="shared" si="2"/>
        <v>415701</v>
      </c>
      <c r="G32" s="150">
        <f t="shared" si="1"/>
        <v>181661.337</v>
      </c>
      <c r="H32" s="150"/>
    </row>
    <row r="33" spans="1:8" x14ac:dyDescent="0.25">
      <c r="A33" s="70" t="s">
        <v>62</v>
      </c>
      <c r="B33" s="73">
        <v>9535</v>
      </c>
      <c r="D33" s="70" t="s">
        <v>62</v>
      </c>
      <c r="E33" s="146">
        <v>0</v>
      </c>
      <c r="F33" s="147">
        <f t="shared" si="2"/>
        <v>9535</v>
      </c>
      <c r="G33" s="150">
        <f t="shared" si="1"/>
        <v>4166.7950000000001</v>
      </c>
      <c r="H33" s="150"/>
    </row>
    <row r="34" spans="1:8" x14ac:dyDescent="0.25">
      <c r="A34" s="70" t="s">
        <v>63</v>
      </c>
      <c r="B34" s="73">
        <v>136564</v>
      </c>
      <c r="D34" s="145" t="s">
        <v>63</v>
      </c>
      <c r="E34" s="146">
        <v>217256</v>
      </c>
      <c r="F34" s="147">
        <f t="shared" si="2"/>
        <v>-80692</v>
      </c>
      <c r="G34" s="150">
        <f t="shared" si="1"/>
        <v>-20766.487348642877</v>
      </c>
      <c r="H34" s="150"/>
    </row>
    <row r="35" spans="1:8" x14ac:dyDescent="0.25">
      <c r="A35" s="70" t="s">
        <v>64</v>
      </c>
      <c r="B35" s="73">
        <v>45</v>
      </c>
      <c r="D35" s="145" t="s">
        <v>64</v>
      </c>
      <c r="E35" s="146">
        <v>144</v>
      </c>
      <c r="F35" s="147">
        <f t="shared" si="2"/>
        <v>-99</v>
      </c>
      <c r="G35" s="150">
        <f t="shared" si="1"/>
        <v>-25.478142164225012</v>
      </c>
      <c r="H35" s="150"/>
    </row>
    <row r="36" spans="1:8" x14ac:dyDescent="0.25">
      <c r="A36" s="70" t="s">
        <v>65</v>
      </c>
      <c r="B36" s="73">
        <v>264761</v>
      </c>
      <c r="D36" s="145" t="s">
        <v>65</v>
      </c>
      <c r="E36" s="146">
        <v>303760</v>
      </c>
      <c r="F36" s="147">
        <f t="shared" si="2"/>
        <v>-38999</v>
      </c>
      <c r="G36" s="150">
        <f t="shared" si="1"/>
        <v>-10036.586527905165</v>
      </c>
      <c r="H36" s="150"/>
    </row>
    <row r="37" spans="1:8" x14ac:dyDescent="0.25">
      <c r="A37" s="145" t="s">
        <v>214</v>
      </c>
      <c r="B37" s="73">
        <v>0</v>
      </c>
      <c r="D37" s="145" t="s">
        <v>214</v>
      </c>
      <c r="E37" s="146">
        <v>5859</v>
      </c>
      <c r="F37" s="147">
        <f t="shared" si="2"/>
        <v>-5859</v>
      </c>
      <c r="G37" s="150">
        <f t="shared" si="1"/>
        <v>-1507.8427771736804</v>
      </c>
      <c r="H37" s="150"/>
    </row>
    <row r="38" spans="1:8" x14ac:dyDescent="0.25">
      <c r="A38" s="70" t="s">
        <v>66</v>
      </c>
      <c r="B38" s="73">
        <v>1640</v>
      </c>
      <c r="D38" s="145" t="s">
        <v>66</v>
      </c>
      <c r="E38" s="146">
        <v>400</v>
      </c>
      <c r="F38" s="147">
        <f t="shared" si="2"/>
        <v>1240</v>
      </c>
      <c r="G38" s="150">
        <f t="shared" si="1"/>
        <v>541.88</v>
      </c>
      <c r="H38" s="150"/>
    </row>
    <row r="39" spans="1:8" x14ac:dyDescent="0.25">
      <c r="A39" s="70" t="s">
        <v>67</v>
      </c>
      <c r="B39" s="73">
        <v>6200</v>
      </c>
      <c r="D39" s="145" t="s">
        <v>67</v>
      </c>
      <c r="E39" s="146">
        <v>2800</v>
      </c>
      <c r="F39" s="147">
        <f t="shared" si="2"/>
        <v>3400</v>
      </c>
      <c r="G39" s="150">
        <f t="shared" si="1"/>
        <v>1485.8</v>
      </c>
      <c r="H39" s="150"/>
    </row>
    <row r="40" spans="1:8" x14ac:dyDescent="0.25">
      <c r="A40" s="70" t="s">
        <v>68</v>
      </c>
      <c r="B40" s="73">
        <v>95133</v>
      </c>
      <c r="D40" s="145" t="s">
        <v>68</v>
      </c>
      <c r="E40" s="146">
        <v>118605</v>
      </c>
      <c r="F40" s="147">
        <f t="shared" si="2"/>
        <v>-23472</v>
      </c>
      <c r="G40" s="150">
        <f t="shared" si="1"/>
        <v>-6040.6358876635304</v>
      </c>
      <c r="H40" s="150"/>
    </row>
    <row r="41" spans="1:8" x14ac:dyDescent="0.25">
      <c r="A41" s="70" t="s">
        <v>69</v>
      </c>
      <c r="B41" s="73">
        <v>57264</v>
      </c>
      <c r="D41" s="145" t="s">
        <v>69</v>
      </c>
      <c r="E41" s="146">
        <v>76096</v>
      </c>
      <c r="F41" s="147">
        <f t="shared" si="2"/>
        <v>-18832</v>
      </c>
      <c r="G41" s="150">
        <f t="shared" si="1"/>
        <v>-4846.5088205725797</v>
      </c>
      <c r="H41" s="150"/>
    </row>
    <row r="42" spans="1:8" x14ac:dyDescent="0.25">
      <c r="A42" s="70" t="s">
        <v>70</v>
      </c>
      <c r="B42" s="73">
        <v>16707</v>
      </c>
      <c r="D42" s="145" t="s">
        <v>70</v>
      </c>
      <c r="E42" s="146">
        <v>230038</v>
      </c>
      <c r="F42" s="147">
        <f t="shared" si="2"/>
        <v>-213331</v>
      </c>
      <c r="G42" s="150">
        <f t="shared" si="1"/>
        <v>-54901.793394305918</v>
      </c>
      <c r="H42" s="150"/>
    </row>
    <row r="43" spans="1:8" x14ac:dyDescent="0.25">
      <c r="A43" s="70" t="s">
        <v>219</v>
      </c>
      <c r="B43" s="73">
        <v>0</v>
      </c>
      <c r="D43" s="70" t="s">
        <v>219</v>
      </c>
      <c r="E43" s="146">
        <v>0</v>
      </c>
      <c r="F43" s="147">
        <f t="shared" si="2"/>
        <v>0</v>
      </c>
      <c r="G43" s="150">
        <f t="shared" si="1"/>
        <v>0</v>
      </c>
      <c r="H43" s="150"/>
    </row>
    <row r="44" spans="1:8" x14ac:dyDescent="0.25">
      <c r="A44" s="70" t="s">
        <v>71</v>
      </c>
      <c r="B44" s="73">
        <v>39424</v>
      </c>
      <c r="D44" s="145" t="s">
        <v>71</v>
      </c>
      <c r="E44" s="146">
        <v>232936</v>
      </c>
      <c r="F44" s="147">
        <f t="shared" si="2"/>
        <v>-193512</v>
      </c>
      <c r="G44" s="150">
        <f t="shared" si="1"/>
        <v>-49801.275217005161</v>
      </c>
      <c r="H44" s="150"/>
    </row>
    <row r="45" spans="1:8" x14ac:dyDescent="0.25">
      <c r="A45" s="70" t="s">
        <v>72</v>
      </c>
      <c r="B45" s="73">
        <v>17458</v>
      </c>
      <c r="D45" s="145" t="s">
        <v>72</v>
      </c>
      <c r="E45" s="146">
        <v>10440</v>
      </c>
      <c r="F45" s="147">
        <f t="shared" si="2"/>
        <v>7018</v>
      </c>
      <c r="G45" s="150">
        <f t="shared" si="1"/>
        <v>3066.866</v>
      </c>
      <c r="H45" s="150"/>
    </row>
    <row r="46" spans="1:8" x14ac:dyDescent="0.25">
      <c r="A46" s="70" t="s">
        <v>73</v>
      </c>
      <c r="B46" s="73">
        <v>3250</v>
      </c>
      <c r="D46" s="145" t="s">
        <v>73</v>
      </c>
      <c r="E46" s="146">
        <v>4010</v>
      </c>
      <c r="F46" s="147">
        <f t="shared" si="2"/>
        <v>-760</v>
      </c>
      <c r="G46" s="150">
        <f t="shared" si="1"/>
        <v>-195.58977823041423</v>
      </c>
      <c r="H46" s="150"/>
    </row>
    <row r="47" spans="1:8" x14ac:dyDescent="0.25">
      <c r="A47" s="70" t="s">
        <v>74</v>
      </c>
      <c r="B47" s="73">
        <v>127180</v>
      </c>
      <c r="C47" s="73"/>
      <c r="D47" s="145" t="s">
        <v>74</v>
      </c>
      <c r="E47" s="146">
        <v>85600</v>
      </c>
      <c r="F47" s="147">
        <f t="shared" si="2"/>
        <v>41580</v>
      </c>
      <c r="G47" s="150">
        <f t="shared" si="1"/>
        <v>18170.46</v>
      </c>
      <c r="H47" s="150"/>
    </row>
    <row r="48" spans="1:8" x14ac:dyDescent="0.25">
      <c r="A48" s="70" t="s">
        <v>75</v>
      </c>
      <c r="B48" s="73">
        <v>31567</v>
      </c>
      <c r="C48" s="73"/>
      <c r="D48" s="145" t="s">
        <v>75</v>
      </c>
      <c r="E48" s="146">
        <v>5997</v>
      </c>
      <c r="F48" s="147">
        <f t="shared" si="2"/>
        <v>25570</v>
      </c>
      <c r="G48" s="150">
        <f t="shared" si="1"/>
        <v>11174.09</v>
      </c>
      <c r="H48" s="150"/>
    </row>
    <row r="49" spans="1:8" x14ac:dyDescent="0.25">
      <c r="A49" s="70" t="s">
        <v>76</v>
      </c>
      <c r="B49" s="73">
        <v>37126</v>
      </c>
      <c r="D49" s="145" t="s">
        <v>76</v>
      </c>
      <c r="E49" s="146">
        <v>123423</v>
      </c>
      <c r="F49" s="147">
        <f t="shared" si="2"/>
        <v>-86297</v>
      </c>
      <c r="G49" s="150">
        <f t="shared" si="1"/>
        <v>-22208.961963092181</v>
      </c>
      <c r="H49" s="150"/>
    </row>
    <row r="50" spans="1:8" x14ac:dyDescent="0.25">
      <c r="A50" s="70" t="s">
        <v>77</v>
      </c>
      <c r="B50" s="73">
        <v>29939</v>
      </c>
      <c r="D50" s="145" t="s">
        <v>77</v>
      </c>
      <c r="E50" s="146">
        <v>128301</v>
      </c>
      <c r="F50" s="147">
        <f t="shared" si="2"/>
        <v>-98362</v>
      </c>
      <c r="G50" s="150">
        <f t="shared" si="1"/>
        <v>-25313.949692500006</v>
      </c>
      <c r="H50" s="150"/>
    </row>
    <row r="51" spans="1:8" x14ac:dyDescent="0.25">
      <c r="A51" s="70" t="s">
        <v>215</v>
      </c>
      <c r="B51" s="73">
        <v>43</v>
      </c>
      <c r="D51" s="145" t="s">
        <v>215</v>
      </c>
      <c r="E51" s="146">
        <v>1520</v>
      </c>
      <c r="F51" s="147">
        <f t="shared" si="2"/>
        <v>-1477</v>
      </c>
      <c r="G51" s="150">
        <f t="shared" si="1"/>
        <v>-380.11329269252872</v>
      </c>
      <c r="H51" s="150"/>
    </row>
    <row r="52" spans="1:8" x14ac:dyDescent="0.25">
      <c r="A52" s="70" t="s">
        <v>79</v>
      </c>
      <c r="B52" s="73">
        <v>492</v>
      </c>
      <c r="D52" s="145" t="s">
        <v>79</v>
      </c>
      <c r="E52" s="146">
        <v>11972</v>
      </c>
      <c r="F52" s="147">
        <f t="shared" si="2"/>
        <v>-11480</v>
      </c>
      <c r="G52" s="150">
        <f t="shared" si="1"/>
        <v>-2954.435071164678</v>
      </c>
      <c r="H52" s="150"/>
    </row>
    <row r="53" spans="1:8" x14ac:dyDescent="0.25">
      <c r="A53" s="70" t="s">
        <v>80</v>
      </c>
      <c r="B53" s="73">
        <v>49798</v>
      </c>
      <c r="D53" s="145" t="s">
        <v>80</v>
      </c>
      <c r="E53" s="146">
        <v>14307</v>
      </c>
      <c r="F53" s="147">
        <f t="shared" si="2"/>
        <v>35491</v>
      </c>
      <c r="G53" s="150">
        <f t="shared" si="1"/>
        <v>15509.566999999999</v>
      </c>
      <c r="H53" s="150"/>
    </row>
    <row r="54" spans="1:8" x14ac:dyDescent="0.25">
      <c r="A54" s="70" t="s">
        <v>81</v>
      </c>
      <c r="B54" s="73">
        <v>321879</v>
      </c>
      <c r="D54" s="145" t="s">
        <v>81</v>
      </c>
      <c r="E54" s="146">
        <v>476337</v>
      </c>
      <c r="F54" s="147">
        <f t="shared" si="2"/>
        <v>-154458</v>
      </c>
      <c r="G54" s="150">
        <f t="shared" si="1"/>
        <v>-39750.534165675424</v>
      </c>
      <c r="H54" s="150"/>
    </row>
    <row r="55" spans="1:8" x14ac:dyDescent="0.25">
      <c r="A55" s="70" t="s">
        <v>82</v>
      </c>
      <c r="B55" s="73">
        <v>623</v>
      </c>
      <c r="D55" s="145" t="s">
        <v>82</v>
      </c>
      <c r="E55" s="146">
        <v>20718</v>
      </c>
      <c r="F55" s="147">
        <f t="shared" si="2"/>
        <v>-20095</v>
      </c>
      <c r="G55" s="150">
        <f t="shared" si="1"/>
        <v>-5171.5481493949655</v>
      </c>
      <c r="H55" s="150"/>
    </row>
    <row r="56" spans="1:8" x14ac:dyDescent="0.25">
      <c r="A56" s="70" t="s">
        <v>83</v>
      </c>
      <c r="B56" s="73">
        <v>1400</v>
      </c>
      <c r="D56" s="145" t="s">
        <v>83</v>
      </c>
      <c r="E56" s="146">
        <v>591029</v>
      </c>
      <c r="F56" s="147">
        <f t="shared" si="2"/>
        <v>-589629</v>
      </c>
      <c r="G56" s="150">
        <f t="shared" si="1"/>
        <v>-151743.95440555384</v>
      </c>
      <c r="H56" s="150"/>
    </row>
    <row r="57" spans="1:8" x14ac:dyDescent="0.25">
      <c r="A57" s="70" t="s">
        <v>84</v>
      </c>
      <c r="B57" s="73">
        <v>8</v>
      </c>
      <c r="D57" s="145" t="s">
        <v>84</v>
      </c>
      <c r="E57" s="146">
        <v>4</v>
      </c>
      <c r="F57" s="147">
        <f t="shared" si="2"/>
        <v>4</v>
      </c>
      <c r="G57" s="150">
        <f t="shared" si="1"/>
        <v>1.748</v>
      </c>
      <c r="H57" s="150"/>
    </row>
    <row r="58" spans="1:8" x14ac:dyDescent="0.25">
      <c r="A58" s="70" t="s">
        <v>85</v>
      </c>
      <c r="B58" s="73">
        <v>7293</v>
      </c>
      <c r="D58" s="145" t="s">
        <v>85</v>
      </c>
      <c r="E58" s="146">
        <v>13957</v>
      </c>
      <c r="F58" s="147">
        <f t="shared" si="2"/>
        <v>-6664</v>
      </c>
      <c r="G58" s="150">
        <f t="shared" si="1"/>
        <v>-1715.0135291151059</v>
      </c>
      <c r="H58" s="150"/>
    </row>
    <row r="59" spans="1:8" x14ac:dyDescent="0.25">
      <c r="A59" s="70" t="s">
        <v>216</v>
      </c>
      <c r="B59" s="73">
        <v>140300</v>
      </c>
      <c r="D59" s="70" t="s">
        <v>216</v>
      </c>
      <c r="E59" s="146">
        <v>0</v>
      </c>
      <c r="F59" s="147">
        <f t="shared" si="2"/>
        <v>140300</v>
      </c>
      <c r="G59" s="150">
        <f t="shared" si="1"/>
        <v>61311.1</v>
      </c>
      <c r="H59" s="150"/>
    </row>
    <row r="60" spans="1:8" x14ac:dyDescent="0.25">
      <c r="A60" s="70" t="s">
        <v>86</v>
      </c>
      <c r="B60" s="73">
        <v>79578</v>
      </c>
      <c r="D60" s="145" t="s">
        <v>86</v>
      </c>
      <c r="E60" s="146">
        <v>8928</v>
      </c>
      <c r="F60" s="147">
        <f t="shared" si="2"/>
        <v>70650</v>
      </c>
      <c r="G60" s="150">
        <f t="shared" si="1"/>
        <v>30874.05</v>
      </c>
      <c r="H60" s="150"/>
    </row>
    <row r="61" spans="1:8" x14ac:dyDescent="0.25">
      <c r="A61" s="70" t="s">
        <v>87</v>
      </c>
      <c r="B61" s="73">
        <v>1034365</v>
      </c>
      <c r="D61" s="145" t="s">
        <v>87</v>
      </c>
      <c r="E61" s="146">
        <v>91525</v>
      </c>
      <c r="F61" s="147">
        <f t="shared" si="2"/>
        <v>942840</v>
      </c>
      <c r="G61" s="150">
        <f t="shared" si="1"/>
        <v>412021.08</v>
      </c>
      <c r="H61" s="150"/>
    </row>
    <row r="62" spans="1:8" x14ac:dyDescent="0.25">
      <c r="A62" s="70" t="s">
        <v>88</v>
      </c>
      <c r="B62" s="73">
        <v>10640</v>
      </c>
      <c r="D62" s="145" t="s">
        <v>88</v>
      </c>
      <c r="E62" s="146">
        <v>2267</v>
      </c>
      <c r="F62" s="147">
        <f t="shared" si="2"/>
        <v>8373</v>
      </c>
      <c r="G62" s="150">
        <f t="shared" si="1"/>
        <v>3659.0010000000002</v>
      </c>
      <c r="H62" s="150"/>
    </row>
    <row r="63" spans="1:8" x14ac:dyDescent="0.25">
      <c r="A63" s="70" t="s">
        <v>89</v>
      </c>
      <c r="B63" s="73">
        <v>125421</v>
      </c>
      <c r="D63" s="145" t="s">
        <v>89</v>
      </c>
      <c r="E63" s="146">
        <v>268795</v>
      </c>
      <c r="F63" s="147">
        <f t="shared" si="2"/>
        <v>-143374</v>
      </c>
      <c r="G63" s="150">
        <f t="shared" si="1"/>
        <v>-36898.011663167643</v>
      </c>
      <c r="H63" s="150"/>
    </row>
    <row r="64" spans="1:8" x14ac:dyDescent="0.25">
      <c r="A64" s="70" t="s">
        <v>90</v>
      </c>
      <c r="B64" s="73">
        <v>2090</v>
      </c>
      <c r="D64" s="145" t="s">
        <v>90</v>
      </c>
      <c r="E64" s="146">
        <v>44746</v>
      </c>
      <c r="F64" s="147">
        <f t="shared" si="2"/>
        <v>-42656</v>
      </c>
      <c r="G64" s="150">
        <f t="shared" si="1"/>
        <v>-10977.733658153355</v>
      </c>
      <c r="H64" s="150"/>
    </row>
    <row r="65" spans="1:9" x14ac:dyDescent="0.25">
      <c r="A65" s="145" t="s">
        <v>217</v>
      </c>
      <c r="B65" s="168">
        <v>0</v>
      </c>
      <c r="D65" s="145" t="s">
        <v>217</v>
      </c>
      <c r="E65" s="146">
        <v>1200</v>
      </c>
      <c r="F65" s="147">
        <f t="shared" si="2"/>
        <v>-1200</v>
      </c>
      <c r="G65" s="150">
        <f t="shared" si="1"/>
        <v>-308.82596562696983</v>
      </c>
      <c r="H65" s="150"/>
    </row>
    <row r="66" spans="1:9" x14ac:dyDescent="0.25">
      <c r="E66" s="147"/>
    </row>
    <row r="67" spans="1:9" x14ac:dyDescent="0.25">
      <c r="B67" s="147">
        <f>SUM(B5:B65)</f>
        <v>5282785</v>
      </c>
      <c r="C67" s="147"/>
      <c r="D67" s="147"/>
      <c r="E67" s="147">
        <f t="shared" ref="E67:F67" si="3">SUM(E5:E64)</f>
        <v>5633201</v>
      </c>
      <c r="F67" s="147">
        <f t="shared" si="3"/>
        <v>-350416</v>
      </c>
      <c r="G67" s="152">
        <f>SUM(G5:G65)/2000</f>
        <v>161.89993700240851</v>
      </c>
      <c r="H67" s="152"/>
      <c r="I67" t="s">
        <v>256</v>
      </c>
    </row>
    <row r="68" spans="1:9" x14ac:dyDescent="0.25">
      <c r="A68" t="s">
        <v>222</v>
      </c>
    </row>
    <row r="69" spans="1:9" x14ac:dyDescent="0.25">
      <c r="H69" s="152"/>
    </row>
    <row r="70" spans="1:9" x14ac:dyDescent="0.25">
      <c r="E70" s="147"/>
    </row>
  </sheetData>
  <mergeCells count="1">
    <mergeCell ref="D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2022-05-31T07:00:00+00:00</OpenedDate>
    <Date1 xmlns="dc463f71-b30c-4ab2-9473-d307f9d35888">2022-05-31T07:00:00+00:00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220395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FC8D93B885BC4F896C3A3D4E58C1D3" ma:contentTypeVersion="28" ma:contentTypeDescription="" ma:contentTypeScope="" ma:versionID="d27732ad638b01e1bb803726393e36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27CE4B-7372-42C7-A93F-4C8DF3926C86}"/>
</file>

<file path=customXml/itemProps3.xml><?xml version="1.0" encoding="utf-8"?>
<ds:datastoreItem xmlns:ds="http://schemas.openxmlformats.org/officeDocument/2006/customXml" ds:itemID="{57BE1F28-303A-4833-8A05-0A33588D1988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c463f71-b30c-4ab2-9473-d307f9d35888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9A79838-0B3E-4BCE-9EC6-6EBF866666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dcterms:created xsi:type="dcterms:W3CDTF">2016-02-08T23:38:12Z</dcterms:created>
  <dcterms:modified xsi:type="dcterms:W3CDTF">2021-05-28T16:35:06Z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0x0101006E56B4D1795A2E4DB2F0B01679ED314A003BFC8D93B885BC4F896C3A3D4E58C1D3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