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2021 07-01 Commodity - IN PROCESS - -\"/>
    </mc:Choice>
  </mc:AlternateContent>
  <bookViews>
    <workbookView xWindow="0" yWindow="45" windowWidth="15570" windowHeight="11820" activeTab="1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Multi'!$A$1:$J$51</definedName>
    <definedName name="_xlnm.Print_Area" localSheetId="0">'G-14 Residential'!$A$1:$J$52</definedName>
  </definedNames>
  <calcPr calcId="162913"/>
</workbook>
</file>

<file path=xl/calcChain.xml><?xml version="1.0" encoding="utf-8"?>
<calcChain xmlns="http://schemas.openxmlformats.org/spreadsheetml/2006/main">
  <c r="E18" i="5" l="1"/>
  <c r="E14" i="5"/>
  <c r="J52" i="1" l="1"/>
  <c r="H46" i="1"/>
  <c r="J46" i="1"/>
  <c r="H43" i="1"/>
  <c r="H36" i="1"/>
  <c r="J18" i="6" l="1"/>
  <c r="E18" i="6"/>
  <c r="E16" i="6"/>
  <c r="E14" i="6"/>
  <c r="E16" i="5"/>
  <c r="O8" i="5"/>
  <c r="D8" i="5"/>
  <c r="J14" i="5"/>
  <c r="F12" i="6" l="1"/>
  <c r="H12" i="6"/>
  <c r="F12" i="5"/>
  <c r="G12" i="5"/>
  <c r="H12" i="5"/>
  <c r="F10" i="6"/>
  <c r="H8" i="6"/>
  <c r="H10" i="6"/>
  <c r="F10" i="5"/>
  <c r="G10" i="5"/>
  <c r="H10" i="5"/>
  <c r="F8" i="6"/>
  <c r="F8" i="5"/>
  <c r="G8" i="5"/>
  <c r="H8" i="5"/>
  <c r="B10" i="6" l="1"/>
  <c r="B12" i="5" l="1"/>
  <c r="C12" i="5"/>
  <c r="D12" i="5"/>
  <c r="J12" i="5"/>
  <c r="O12" i="5"/>
  <c r="O14" i="5"/>
  <c r="J16" i="5"/>
  <c r="O16" i="5"/>
  <c r="O18" i="5"/>
  <c r="J18" i="5" l="1"/>
  <c r="D12" i="6" l="1"/>
  <c r="B12" i="6"/>
  <c r="J14" i="6"/>
  <c r="J12" i="6"/>
  <c r="J10" i="6"/>
  <c r="J8" i="6"/>
  <c r="D10" i="6"/>
  <c r="D8" i="6"/>
  <c r="B8" i="6"/>
  <c r="J16" i="6" l="1"/>
  <c r="C10" i="5" l="1"/>
  <c r="D10" i="5"/>
  <c r="B10" i="5"/>
  <c r="C8" i="5"/>
  <c r="B8" i="5"/>
  <c r="I21" i="6" l="1"/>
  <c r="H21" i="6"/>
  <c r="G21" i="6"/>
  <c r="F21" i="6"/>
  <c r="J21" i="6"/>
  <c r="I21" i="5"/>
  <c r="H21" i="5"/>
  <c r="G21" i="5"/>
  <c r="F21" i="5"/>
  <c r="J10" i="5"/>
  <c r="J8" i="5"/>
  <c r="O14" i="6" l="1"/>
  <c r="E14" i="2" s="1"/>
  <c r="M21" i="6"/>
  <c r="O12" i="6"/>
  <c r="E13" i="2" s="1"/>
  <c r="O18" i="6"/>
  <c r="E16" i="2" s="1"/>
  <c r="K21" i="6"/>
  <c r="O16" i="6"/>
  <c r="E15" i="2" s="1"/>
  <c r="E13" i="1"/>
  <c r="N21" i="5"/>
  <c r="E15" i="1"/>
  <c r="M21" i="5"/>
  <c r="O10" i="5"/>
  <c r="E16" i="1"/>
  <c r="E14" i="1"/>
  <c r="L21" i="5"/>
  <c r="K21" i="5"/>
  <c r="E8" i="1"/>
  <c r="G8" i="1" s="1"/>
  <c r="J21" i="5"/>
  <c r="E9" i="1" l="1"/>
  <c r="O21" i="5"/>
  <c r="C18" i="2" l="1"/>
  <c r="G32" i="2" s="1"/>
  <c r="G33" i="2" s="1"/>
  <c r="G16" i="2" l="1"/>
  <c r="G15" i="2"/>
  <c r="G14" i="2"/>
  <c r="G13" i="2"/>
  <c r="C11" i="2"/>
  <c r="C20" i="2" s="1"/>
  <c r="H42" i="2" s="1"/>
  <c r="E19" i="1" l="1"/>
  <c r="C19" i="1"/>
  <c r="G33" i="1" s="1"/>
  <c r="G16" i="1"/>
  <c r="G15" i="1"/>
  <c r="G14" i="1"/>
  <c r="G13" i="1"/>
  <c r="E11" i="1"/>
  <c r="C11" i="1"/>
  <c r="G9" i="1"/>
  <c r="C21" i="1" l="1"/>
  <c r="E21" i="1"/>
  <c r="G21" i="1" l="1"/>
  <c r="H49" i="1" s="1"/>
  <c r="H25" i="1"/>
  <c r="J49" i="1" l="1"/>
  <c r="G34" i="1"/>
  <c r="G27" i="2" l="1"/>
  <c r="G28" i="2" s="1"/>
  <c r="H33" i="2" s="1"/>
  <c r="G28" i="1"/>
  <c r="G29" i="1" s="1"/>
  <c r="H34" i="1" s="1"/>
  <c r="N21" i="6"/>
  <c r="H44" i="1" l="1"/>
  <c r="E18" i="2"/>
  <c r="O8" i="6" l="1"/>
  <c r="E8" i="2" s="1"/>
  <c r="G8" i="2" s="1"/>
  <c r="L21" i="6"/>
  <c r="O10" i="6"/>
  <c r="E9" i="2" s="1"/>
  <c r="E11" i="2" l="1"/>
  <c r="E20" i="2" s="1"/>
  <c r="G20" i="2" s="1"/>
  <c r="O21" i="6"/>
  <c r="G9" i="2"/>
  <c r="H48" i="2" l="1"/>
  <c r="J48" i="2" s="1"/>
  <c r="H24" i="2"/>
  <c r="H35" i="2" l="1"/>
  <c r="H43" i="2" s="1"/>
  <c r="H45" i="2" s="1"/>
  <c r="J45" i="2" s="1"/>
  <c r="J51" i="2" s="1"/>
  <c r="J54" i="2" l="1"/>
  <c r="J53" i="2"/>
</calcChain>
</file>

<file path=xl/comments1.xml><?xml version="1.0" encoding="utf-8"?>
<comments xmlns="http://schemas.openxmlformats.org/spreadsheetml/2006/main">
  <authors>
    <author>Sara Campbell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G32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G21
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G31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G20</t>
        </r>
      </text>
    </comment>
  </commentList>
</comments>
</file>

<file path=xl/comments3.xml><?xml version="1.0" encoding="utf-8"?>
<comments xmlns="http://schemas.openxmlformats.org/spreadsheetml/2006/main">
  <authors>
    <author>Sara Campbell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NWR Prices for reasonableness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NWR = negative number (loss) here</t>
        </r>
      </text>
    </comment>
  </commentList>
</comments>
</file>

<file path=xl/sharedStrings.xml><?xml version="1.0" encoding="utf-8"?>
<sst xmlns="http://schemas.openxmlformats.org/spreadsheetml/2006/main" count="130" uniqueCount="59">
  <si>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</si>
  <si>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</si>
  <si>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</si>
  <si>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</si>
  <si>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</si>
  <si>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</si>
  <si>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</si>
  <si>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</si>
  <si>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</si>
  <si>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</si>
  <si>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</si>
  <si>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</si>
  <si>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</si>
  <si>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</si>
  <si>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</si>
  <si>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Glass/Cans</t>
  </si>
  <si>
    <t>Cardboard</t>
  </si>
  <si>
    <t>Mixed 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</si>
  <si>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</si>
  <si>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</si>
  <si>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</si>
  <si>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</si>
  <si>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</si>
  <si>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</si>
  <si>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</si>
  <si>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</si>
  <si>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6 month running average BASE CREDIT</t>
  </si>
  <si>
    <t>Total Customers</t>
  </si>
  <si>
    <t>Total Yards</t>
  </si>
  <si>
    <t xml:space="preserve"> </t>
  </si>
  <si>
    <t>2021 Projected Credit</t>
  </si>
  <si>
    <t>per 32 G</t>
  </si>
  <si>
    <t>per yard</t>
  </si>
  <si>
    <t>per Yard MF</t>
  </si>
  <si>
    <t>For the 6 months ending April 30, 2021</t>
  </si>
  <si>
    <t>November</t>
  </si>
  <si>
    <t>December</t>
  </si>
  <si>
    <t>January</t>
  </si>
  <si>
    <t>February</t>
  </si>
  <si>
    <t>March</t>
  </si>
  <si>
    <t>April</t>
  </si>
  <si>
    <t>November -December 2020</t>
  </si>
  <si>
    <t>January - April 2021</t>
  </si>
  <si>
    <t>Customers from 11/2020 - 12/2020</t>
  </si>
  <si>
    <t>Customers from 01/2021 - 04/2021</t>
  </si>
  <si>
    <t>July 1, 2021 Commodity Price Adjustment</t>
  </si>
  <si>
    <t>2020-2021 True-up Calculation</t>
  </si>
  <si>
    <t>2020-2021 monthly True-up Charge</t>
  </si>
  <si>
    <t>Yards from 11/2020 - 12/2020</t>
  </si>
  <si>
    <t>Yards from 01/2021 - 04/2021</t>
  </si>
  <si>
    <t>July 1, 2021  Commodity Price Adjustment</t>
  </si>
  <si>
    <t>November 2020 - April 2021</t>
  </si>
  <si>
    <t>November 2020</t>
  </si>
  <si>
    <t>December 2020</t>
  </si>
  <si>
    <t>January 2021</t>
  </si>
  <si>
    <t>February 2021</t>
  </si>
  <si>
    <t>March 2021</t>
  </si>
  <si>
    <t>April 2021</t>
  </si>
  <si>
    <t>Curbside 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</si>
</sst>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2" fontId="0" fillId="0" borderId="0" xfId="0" applyNumberFormat="1"/>
    <xf numFmtId="0" fontId="7" fillId="0" borderId="0" xfId="1"/>
    <xf numFmtId="2" fontId="7" fillId="0" borderId="0" xfId="1" applyNumberFormat="1"/>
    <xf numFmtId="0" fontId="5" fillId="0" borderId="0" xfId="4" applyFill="1"/>
    <xf numFmtId="0" fontId="7" fillId="0" borderId="0" xfId="1" applyFont="1"/>
    <xf numFmtId="43" fontId="5" fillId="0" borderId="0" xfId="4" applyNumberFormat="1" applyFill="1"/>
    <xf numFmtId="0" fontId="8" fillId="0" borderId="1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5" fillId="0" borderId="0" xfId="4" applyNumberFormat="1" applyFill="1"/>
    <xf numFmtId="0" fontId="6" fillId="0" borderId="0" xfId="2" applyFill="1"/>
    <xf numFmtId="0" fontId="0" fillId="0" borderId="0" xfId="0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7" fillId="0" borderId="0" xfId="0" applyFont="1"/>
    <xf numFmtId="41" fontId="7" fillId="0" borderId="0" xfId="1" applyNumberFormat="1"/>
    <xf numFmtId="2" fontId="0" fillId="0" borderId="0" xfId="0" applyNumberFormat="1" applyFill="1"/>
    <xf numFmtId="0" fontId="3" fillId="0" borderId="0" xfId="4" applyFont="1" applyFill="1"/>
    <xf numFmtId="0" fontId="9" fillId="0" borderId="0" xfId="0" applyFont="1" applyFill="1"/>
    <xf numFmtId="2" fontId="9" fillId="0" borderId="0" xfId="0" applyNumberFormat="1" applyFont="1" applyFill="1"/>
    <xf numFmtId="0" fontId="7" fillId="0" borderId="0" xfId="1" applyFill="1"/>
    <xf numFmtId="2" fontId="7" fillId="0" borderId="0" xfId="1" applyNumberFormat="1" applyFill="1"/>
    <xf numFmtId="0" fontId="7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7" fillId="0" borderId="0" xfId="9" applyFont="1"/>
    <xf numFmtId="164" fontId="7" fillId="0" borderId="0" xfId="9" applyNumberFormat="1" applyFont="1"/>
    <xf numFmtId="0" fontId="11" fillId="0" borderId="0" xfId="4" applyFont="1" applyFill="1"/>
    <xf numFmtId="0" fontId="0" fillId="0" borderId="8" xfId="0" applyFill="1" applyBorder="1" applyAlignment="1">
      <alignment horizontal="center"/>
    </xf>
    <xf numFmtId="0" fontId="2" fillId="0" borderId="0" xfId="4" applyFont="1" applyFill="1"/>
    <xf numFmtId="0" fontId="0" fillId="0" borderId="0" xfId="0" applyAlignment="1">
      <alignment horizontal="center"/>
    </xf>
    <xf numFmtId="0" fontId="14" fillId="0" borderId="0" xfId="4" applyFont="1" applyFill="1"/>
    <xf numFmtId="0" fontId="0" fillId="0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1" applyBorder="1" applyAlignment="1">
      <alignment horizontal="center"/>
    </xf>
    <xf numFmtId="43" fontId="0" fillId="2" borderId="0" xfId="6" applyFont="1" applyFill="1"/>
    <xf numFmtId="43" fontId="7" fillId="2" borderId="0" xfId="6" applyFont="1" applyFill="1"/>
    <xf numFmtId="49" fontId="1" fillId="0" borderId="0" xfId="4" applyNumberFormat="1" applyFont="1" applyFill="1"/>
    <xf numFmtId="0" fontId="1" fillId="0" borderId="0" xfId="4" applyFont="1" applyFill="1"/>
    <xf numFmtId="43" fontId="0" fillId="2" borderId="11" xfId="5" applyFont="1" applyFill="1" applyBorder="1"/>
    <xf numFmtId="43" fontId="0" fillId="2" borderId="10" xfId="5" applyFont="1" applyFill="1" applyBorder="1"/>
    <xf numFmtId="43" fontId="0" fillId="2" borderId="5" xfId="5" applyFont="1" applyFill="1" applyBorder="1"/>
    <xf numFmtId="43" fontId="0" fillId="2" borderId="0" xfId="5" applyFont="1" applyFill="1" applyBorder="1"/>
    <xf numFmtId="164" fontId="0" fillId="0" borderId="14" xfId="9" applyNumberFormat="1" applyFont="1" applyFill="1" applyBorder="1"/>
    <xf numFmtId="0" fontId="0" fillId="0" borderId="14" xfId="0" applyFill="1" applyBorder="1"/>
    <xf numFmtId="0" fontId="0" fillId="0" borderId="14" xfId="0" applyBorder="1"/>
    <xf numFmtId="43" fontId="0" fillId="0" borderId="14" xfId="9" applyFont="1" applyBorder="1"/>
    <xf numFmtId="164" fontId="0" fillId="2" borderId="0" xfId="9" applyNumberFormat="1" applyFont="1" applyFill="1"/>
    <xf numFmtId="164" fontId="4" fillId="2" borderId="0" xfId="9" applyNumberFormat="1" applyFont="1" applyFill="1"/>
    <xf numFmtId="41" fontId="7" fillId="3" borderId="0" xfId="1" applyNumberFormat="1" applyFill="1"/>
    <xf numFmtId="165" fontId="0" fillId="0" borderId="0" xfId="9" applyNumberFormat="1" applyFont="1"/>
    <xf numFmtId="165" fontId="0" fillId="0" borderId="0" xfId="0" applyNumberFormat="1"/>
    <xf numFmtId="43" fontId="0" fillId="4" borderId="1" xfId="9" applyFont="1" applyFill="1" applyBorder="1"/>
    <xf numFmtId="43" fontId="7" fillId="4" borderId="0" xfId="9" applyFont="1" applyFill="1"/>
    <xf numFmtId="0" fontId="0" fillId="0" borderId="0" xfId="0" applyAlignment="1">
      <alignment horizontal="center"/>
    </xf>
    <xf numFmtId="0" fontId="8" fillId="0" borderId="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</cellXfs>
  <cellStyles count="10">
    <cellStyle name="Comma" xfId="9" builtinId="3"/>
    <cellStyle name="Comma 2" xfId="3"/>
    <cellStyle name="Comma 2 2" xfId="5"/>
    <cellStyle name="Comma 2 2 2" xfId="8"/>
    <cellStyle name="Comma 3" xfId="6"/>
    <cellStyle name="Normal" xfId="0" builtinId="0"/>
    <cellStyle name="Normal 2" xfId="1"/>
    <cellStyle name="Normal 3" xfId="2"/>
    <cellStyle name="Normal 3 2" xfId="4"/>
    <cellStyle name="Normal 3 2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opLeftCell="A19" workbookViewId="0">
      <selection activeCell="J52" sqref="J52"/>
    </sheetView>
  </sheetViews>
  <sheetFormatPr defaultRowHeight="12.75" x14ac:dyDescent="0.2"/>
  <cols>
    <col min="2" max="2" width="13.85546875" customWidth="1"/>
    <col min="3" max="3" width="11.28515625" bestFit="1" customWidth="1"/>
    <col min="5" max="5" width="11.85546875" bestFit="1" customWidth="1"/>
    <col min="7" max="8" width="14.28515625" bestFit="1" customWidth="1"/>
    <col min="9" max="9" width="6" customWidth="1"/>
    <col min="10" max="10" width="9.28515625" bestFit="1" customWidth="1"/>
  </cols>
  <sheetData>
    <row r="1" spans="1:11" x14ac:dyDescent="0.2">
      <c r="A1" t="s">
        <v>0</v>
      </c>
    </row>
    <row r="2" spans="1:11" x14ac:dyDescent="0.2">
      <c r="A2" s="31" t="s">
        <v>34</v>
      </c>
    </row>
    <row r="3" spans="1:11" x14ac:dyDescent="0.2">
      <c r="A3" t="s">
        <v>24</v>
      </c>
    </row>
    <row r="4" spans="1:11" x14ac:dyDescent="0.2">
      <c r="B4" s="64"/>
      <c r="C4" s="64"/>
      <c r="D4" s="64"/>
      <c r="E4" s="64"/>
      <c r="F4" s="64"/>
      <c r="G4" s="64"/>
    </row>
    <row r="5" spans="1:11" x14ac:dyDescent="0.2">
      <c r="G5" s="40" t="s">
        <v>3</v>
      </c>
    </row>
    <row r="6" spans="1:11" x14ac:dyDescent="0.2">
      <c r="A6" s="19"/>
      <c r="B6" s="19"/>
      <c r="C6" s="19"/>
      <c r="D6" s="19"/>
      <c r="E6" s="42" t="s">
        <v>3</v>
      </c>
      <c r="G6" s="40" t="s">
        <v>4</v>
      </c>
    </row>
    <row r="7" spans="1:11" x14ac:dyDescent="0.2">
      <c r="A7" s="19"/>
      <c r="B7" s="19"/>
      <c r="C7" s="38" t="s">
        <v>5</v>
      </c>
      <c r="D7" s="19"/>
      <c r="E7" s="38" t="s">
        <v>4</v>
      </c>
      <c r="G7" s="43" t="s">
        <v>6</v>
      </c>
    </row>
    <row r="8" spans="1:11" ht="15" x14ac:dyDescent="0.25">
      <c r="A8" s="19" t="s">
        <v>7</v>
      </c>
      <c r="B8" s="19" t="s">
        <v>35</v>
      </c>
      <c r="C8" s="58">
        <v>23456</v>
      </c>
      <c r="D8" s="19"/>
      <c r="E8" s="32">
        <f>'Single Family Commodities'!O8</f>
        <v>-35246.839999999997</v>
      </c>
      <c r="G8" s="33">
        <f>+E8/C8</f>
        <v>-1.5026790586630285</v>
      </c>
      <c r="H8" s="33"/>
      <c r="I8" s="1"/>
      <c r="J8" s="1"/>
    </row>
    <row r="9" spans="1:11" x14ac:dyDescent="0.2">
      <c r="A9" s="19"/>
      <c r="B9" s="19" t="s">
        <v>36</v>
      </c>
      <c r="C9" s="57">
        <v>23457</v>
      </c>
      <c r="D9" s="19"/>
      <c r="E9" s="32">
        <f>'Single Family Commodities'!O10</f>
        <v>-36926.19</v>
      </c>
      <c r="G9" s="33">
        <f>+E9/C9</f>
        <v>-1.5742076991942704</v>
      </c>
      <c r="H9" s="33"/>
      <c r="I9" s="1"/>
      <c r="J9" s="1"/>
    </row>
    <row r="10" spans="1:11" x14ac:dyDescent="0.2">
      <c r="A10" s="19"/>
      <c r="B10" s="19"/>
      <c r="C10" s="32"/>
      <c r="D10" s="19"/>
      <c r="E10" s="32"/>
      <c r="G10" s="33"/>
      <c r="H10" s="33"/>
      <c r="I10" s="1"/>
      <c r="J10" s="1"/>
    </row>
    <row r="11" spans="1:11" x14ac:dyDescent="0.2">
      <c r="A11" s="31" t="s">
        <v>41</v>
      </c>
      <c r="B11" s="19"/>
      <c r="C11" s="32">
        <f>+C9+C8</f>
        <v>46913</v>
      </c>
      <c r="D11" s="19"/>
      <c r="E11" s="32">
        <f>+E9+E8</f>
        <v>-72173.03</v>
      </c>
      <c r="G11" s="33"/>
      <c r="H11" s="33"/>
      <c r="I11" s="1"/>
      <c r="J11" s="1"/>
    </row>
    <row r="12" spans="1:11" x14ac:dyDescent="0.2">
      <c r="A12" s="19"/>
      <c r="B12" s="19"/>
      <c r="C12" s="32"/>
      <c r="D12" s="19"/>
      <c r="E12" s="32"/>
      <c r="G12" s="33"/>
      <c r="H12" s="33"/>
      <c r="I12" s="1"/>
      <c r="J12" s="1"/>
    </row>
    <row r="13" spans="1:11" x14ac:dyDescent="0.2">
      <c r="A13" s="19"/>
      <c r="B13" s="19" t="s">
        <v>37</v>
      </c>
      <c r="C13" s="57">
        <v>23494</v>
      </c>
      <c r="D13" s="19"/>
      <c r="E13" s="32">
        <f>'Single Family Commodities'!O12</f>
        <v>-33419.43</v>
      </c>
      <c r="G13" s="33">
        <f t="shared" ref="G13:G16" si="0">+E13/C13</f>
        <v>-1.4224665872137567</v>
      </c>
      <c r="H13" s="33"/>
      <c r="I13" s="1"/>
      <c r="J13" s="1"/>
    </row>
    <row r="14" spans="1:11" x14ac:dyDescent="0.2">
      <c r="A14" s="19"/>
      <c r="B14" s="19" t="s">
        <v>38</v>
      </c>
      <c r="C14" s="57">
        <v>23458</v>
      </c>
      <c r="D14" s="19"/>
      <c r="E14" s="32">
        <f>'Single Family Commodities'!O14</f>
        <v>-43200.18</v>
      </c>
      <c r="G14" s="33">
        <f t="shared" si="0"/>
        <v>-1.8415968965811238</v>
      </c>
      <c r="H14" s="33"/>
      <c r="I14" s="1"/>
      <c r="J14" s="1"/>
      <c r="K14" s="1"/>
    </row>
    <row r="15" spans="1:11" x14ac:dyDescent="0.2">
      <c r="A15" s="19"/>
      <c r="B15" s="19" t="s">
        <v>39</v>
      </c>
      <c r="C15" s="57">
        <v>23539</v>
      </c>
      <c r="D15" s="19"/>
      <c r="E15" s="32">
        <f>'Single Family Commodities'!O16</f>
        <v>-48363.94</v>
      </c>
      <c r="G15" s="33">
        <f t="shared" si="0"/>
        <v>-2.0546301881983093</v>
      </c>
      <c r="H15" s="33"/>
      <c r="I15" s="1"/>
      <c r="J15" s="1"/>
    </row>
    <row r="16" spans="1:11" x14ac:dyDescent="0.2">
      <c r="A16" s="19"/>
      <c r="B16" s="19" t="s">
        <v>40</v>
      </c>
      <c r="C16" s="57">
        <v>23689</v>
      </c>
      <c r="D16" s="19"/>
      <c r="E16" s="32">
        <f>'Single Family Commodities'!O18</f>
        <v>-47694.77</v>
      </c>
      <c r="G16" s="33">
        <f t="shared" si="0"/>
        <v>-2.0133720292118702</v>
      </c>
      <c r="H16" s="33"/>
      <c r="I16" s="1"/>
      <c r="J16" s="1"/>
    </row>
    <row r="17" spans="1:10" x14ac:dyDescent="0.2">
      <c r="A17" s="19"/>
      <c r="B17" s="19"/>
      <c r="C17" s="32"/>
      <c r="D17" s="19"/>
      <c r="E17" s="32"/>
      <c r="G17" s="33"/>
      <c r="H17" s="33"/>
      <c r="I17" s="1"/>
    </row>
    <row r="18" spans="1:10" x14ac:dyDescent="0.2">
      <c r="A18" s="19"/>
      <c r="B18" s="19"/>
      <c r="C18" s="32"/>
      <c r="D18" s="19"/>
      <c r="E18" s="32"/>
      <c r="G18" s="33"/>
      <c r="H18" s="33"/>
      <c r="I18" s="1"/>
      <c r="J18" s="1"/>
    </row>
    <row r="19" spans="1:10" x14ac:dyDescent="0.2">
      <c r="A19" s="31" t="s">
        <v>42</v>
      </c>
      <c r="B19" s="19"/>
      <c r="C19" s="32">
        <f>SUM(C13:C17)</f>
        <v>94180</v>
      </c>
      <c r="D19" s="19"/>
      <c r="E19" s="32">
        <f>SUM(E13:E17)</f>
        <v>-172678.32</v>
      </c>
      <c r="G19" s="33"/>
      <c r="H19" s="33"/>
      <c r="I19" s="1"/>
      <c r="J19" s="1"/>
    </row>
    <row r="20" spans="1:10" x14ac:dyDescent="0.2">
      <c r="A20" s="19"/>
      <c r="B20" s="19"/>
      <c r="C20" s="32"/>
      <c r="D20" s="19"/>
      <c r="E20" s="32"/>
      <c r="G20" s="33"/>
      <c r="H20" s="33"/>
      <c r="I20" s="1"/>
      <c r="J20" s="1"/>
    </row>
    <row r="21" spans="1:10" ht="13.5" thickBot="1" x14ac:dyDescent="0.25">
      <c r="A21" s="19" t="s">
        <v>2</v>
      </c>
      <c r="B21" s="19"/>
      <c r="C21" s="53">
        <f>+C19+C11</f>
        <v>141093</v>
      </c>
      <c r="D21" s="54"/>
      <c r="E21" s="53">
        <f>+E19+E11</f>
        <v>-244851.35</v>
      </c>
      <c r="F21" s="55"/>
      <c r="G21" s="56">
        <f>+E21/C21</f>
        <v>-1.7353897783731298</v>
      </c>
      <c r="H21" s="33"/>
      <c r="I21" s="1"/>
      <c r="J21" s="1"/>
    </row>
    <row r="22" spans="1:10" ht="13.5" thickTop="1" x14ac:dyDescent="0.2">
      <c r="A22" s="19"/>
      <c r="B22" s="19"/>
      <c r="C22" s="19"/>
      <c r="D22" s="19"/>
      <c r="E22" s="25"/>
      <c r="G22" s="33"/>
      <c r="H22" s="33"/>
      <c r="I22" s="1"/>
      <c r="J22" s="1"/>
    </row>
    <row r="23" spans="1:10" x14ac:dyDescent="0.2">
      <c r="A23" s="19"/>
      <c r="B23" s="19" t="s">
        <v>8</v>
      </c>
      <c r="C23" s="19"/>
      <c r="D23" s="19"/>
      <c r="E23" s="25"/>
      <c r="G23" s="33"/>
      <c r="H23" s="33"/>
      <c r="I23" s="1"/>
      <c r="J23" s="1"/>
    </row>
    <row r="24" spans="1:10" x14ac:dyDescent="0.2">
      <c r="A24" s="19"/>
      <c r="B24" s="19"/>
      <c r="C24" s="19"/>
      <c r="D24" s="19"/>
      <c r="E24" s="25"/>
      <c r="G24" s="33"/>
      <c r="H24" s="33"/>
      <c r="I24" s="1"/>
      <c r="J24" s="1"/>
    </row>
    <row r="25" spans="1:10" x14ac:dyDescent="0.2">
      <c r="A25" s="19"/>
      <c r="B25" s="19"/>
      <c r="C25" s="19"/>
      <c r="D25" s="19" t="s">
        <v>9</v>
      </c>
      <c r="E25" s="25"/>
      <c r="G25" s="33"/>
      <c r="H25" s="33">
        <f>+E21</f>
        <v>-244851.35</v>
      </c>
      <c r="I25" s="1"/>
      <c r="J25" s="1"/>
    </row>
    <row r="26" spans="1:10" x14ac:dyDescent="0.2">
      <c r="A26" s="19"/>
      <c r="B26" s="19"/>
      <c r="C26" s="19"/>
      <c r="D26" s="19"/>
      <c r="E26" s="25"/>
      <c r="G26" s="33"/>
      <c r="H26" s="33"/>
      <c r="I26" s="1"/>
      <c r="J26" s="1"/>
    </row>
    <row r="27" spans="1:10" x14ac:dyDescent="0.2">
      <c r="A27" s="19"/>
      <c r="B27" s="19" t="s">
        <v>10</v>
      </c>
      <c r="C27" s="19"/>
      <c r="D27" s="19"/>
      <c r="E27" s="25"/>
      <c r="G27" s="45">
        <v>-1.81</v>
      </c>
      <c r="H27" s="33"/>
      <c r="I27" s="1"/>
      <c r="J27" s="1"/>
    </row>
    <row r="28" spans="1:10" x14ac:dyDescent="0.2">
      <c r="A28" s="19"/>
      <c r="B28" s="19"/>
      <c r="C28" s="23" t="s">
        <v>43</v>
      </c>
      <c r="D28" s="19"/>
      <c r="E28" s="25"/>
      <c r="G28" s="34">
        <f>+C11</f>
        <v>46913</v>
      </c>
      <c r="H28" s="33"/>
      <c r="I28" s="1"/>
      <c r="J28" s="1"/>
    </row>
    <row r="29" spans="1:10" x14ac:dyDescent="0.2">
      <c r="A29" s="19"/>
      <c r="B29" s="19" t="s">
        <v>11</v>
      </c>
      <c r="C29" s="19"/>
      <c r="D29" s="19"/>
      <c r="E29" s="25"/>
      <c r="G29" s="33">
        <f>+G28*G27</f>
        <v>-84912.53</v>
      </c>
      <c r="H29" s="33"/>
      <c r="I29" s="1"/>
      <c r="J29" s="1"/>
    </row>
    <row r="30" spans="1:10" x14ac:dyDescent="0.2">
      <c r="A30" s="19"/>
      <c r="B30" s="19"/>
      <c r="C30" s="19"/>
      <c r="D30" s="19"/>
      <c r="E30" s="25"/>
      <c r="G30" s="33"/>
      <c r="H30" s="33"/>
      <c r="I30" s="1"/>
      <c r="J30" s="1"/>
    </row>
    <row r="31" spans="1:10" x14ac:dyDescent="0.2">
      <c r="A31" s="19"/>
      <c r="B31" s="19"/>
      <c r="C31" s="19"/>
      <c r="D31" s="19"/>
      <c r="E31" s="25"/>
      <c r="G31" s="33"/>
      <c r="H31" s="33"/>
      <c r="I31" s="1"/>
      <c r="J31" s="1"/>
    </row>
    <row r="32" spans="1:10" x14ac:dyDescent="0.2">
      <c r="A32" s="19"/>
      <c r="B32" s="19" t="s">
        <v>10</v>
      </c>
      <c r="C32" s="19"/>
      <c r="D32" s="19"/>
      <c r="E32" s="25"/>
      <c r="F32" s="19"/>
      <c r="G32" s="45">
        <v>-1.7</v>
      </c>
      <c r="H32" s="33"/>
      <c r="I32" s="1"/>
      <c r="J32" s="1"/>
    </row>
    <row r="33" spans="1:10" x14ac:dyDescent="0.2">
      <c r="A33" s="19"/>
      <c r="B33" s="19"/>
      <c r="C33" s="23" t="s">
        <v>44</v>
      </c>
      <c r="D33" s="19"/>
      <c r="E33" s="25"/>
      <c r="G33" s="34">
        <f>+C19</f>
        <v>94180</v>
      </c>
      <c r="H33" s="33"/>
      <c r="I33" s="1"/>
      <c r="J33" s="1"/>
    </row>
    <row r="34" spans="1:10" x14ac:dyDescent="0.2">
      <c r="B34" t="s">
        <v>11</v>
      </c>
      <c r="E34" s="1"/>
      <c r="G34" s="33">
        <f>+G33*G32</f>
        <v>-160106</v>
      </c>
      <c r="H34" s="33">
        <f>+G34+G29</f>
        <v>-245018.53</v>
      </c>
      <c r="I34" s="1"/>
      <c r="J34" s="1"/>
    </row>
    <row r="35" spans="1:10" x14ac:dyDescent="0.2">
      <c r="E35" s="1"/>
      <c r="G35" s="33"/>
      <c r="H35" s="33"/>
      <c r="I35" s="1"/>
      <c r="J35" s="1"/>
    </row>
    <row r="36" spans="1:10" x14ac:dyDescent="0.2">
      <c r="B36" t="s">
        <v>12</v>
      </c>
      <c r="E36" s="1"/>
      <c r="G36" s="33"/>
      <c r="H36" s="33">
        <f>+H25-H34</f>
        <v>167.17999999999302</v>
      </c>
      <c r="I36" s="1"/>
      <c r="J36" s="1"/>
    </row>
    <row r="37" spans="1:10" x14ac:dyDescent="0.2">
      <c r="E37" s="1"/>
      <c r="G37" s="33"/>
      <c r="H37" s="33"/>
      <c r="I37" s="1"/>
      <c r="J37" s="1"/>
    </row>
    <row r="38" spans="1:10" x14ac:dyDescent="0.2">
      <c r="E38" s="1"/>
      <c r="G38" s="33"/>
      <c r="H38" s="33"/>
      <c r="I38" s="1"/>
      <c r="J38" s="33"/>
    </row>
    <row r="39" spans="1:10" x14ac:dyDescent="0.2">
      <c r="B39" s="23" t="s">
        <v>45</v>
      </c>
      <c r="E39" s="1"/>
      <c r="G39" s="33"/>
      <c r="H39" s="33"/>
      <c r="I39" s="1"/>
      <c r="J39" s="33"/>
    </row>
    <row r="40" spans="1:10" x14ac:dyDescent="0.2">
      <c r="E40" s="1"/>
      <c r="G40" s="33"/>
      <c r="H40" s="33"/>
      <c r="I40" s="1"/>
      <c r="J40" s="33"/>
    </row>
    <row r="41" spans="1:10" x14ac:dyDescent="0.2">
      <c r="B41" s="23" t="s">
        <v>46</v>
      </c>
      <c r="E41" s="1"/>
      <c r="G41" s="33"/>
      <c r="H41" s="33"/>
      <c r="I41" s="1"/>
      <c r="J41" s="33"/>
    </row>
    <row r="42" spans="1:10" x14ac:dyDescent="0.2">
      <c r="E42" s="1"/>
      <c r="G42" s="33"/>
      <c r="H42" s="33"/>
      <c r="I42" s="1"/>
      <c r="J42" s="33"/>
    </row>
    <row r="43" spans="1:10" x14ac:dyDescent="0.2">
      <c r="D43" t="s">
        <v>27</v>
      </c>
      <c r="E43" s="1"/>
      <c r="G43" s="33"/>
      <c r="H43" s="34">
        <f>+C21</f>
        <v>141093</v>
      </c>
      <c r="I43" s="1"/>
      <c r="J43" s="33"/>
    </row>
    <row r="44" spans="1:10" x14ac:dyDescent="0.2">
      <c r="D44" t="s">
        <v>12</v>
      </c>
      <c r="E44" s="1"/>
      <c r="G44" s="33"/>
      <c r="H44" s="33">
        <f>+H36</f>
        <v>167.17999999999302</v>
      </c>
      <c r="I44" s="1"/>
      <c r="J44" s="33"/>
    </row>
    <row r="45" spans="1:10" x14ac:dyDescent="0.2">
      <c r="E45" s="1"/>
      <c r="G45" s="33"/>
      <c r="H45" s="33"/>
      <c r="I45" s="1"/>
      <c r="J45" s="33"/>
    </row>
    <row r="46" spans="1:10" x14ac:dyDescent="0.2">
      <c r="D46" s="23" t="s">
        <v>47</v>
      </c>
      <c r="E46" s="1"/>
      <c r="G46" s="33"/>
      <c r="H46" s="60">
        <f>+H44/H43</f>
        <v>1.184892234200088E-3</v>
      </c>
      <c r="I46" s="61"/>
      <c r="J46" s="60">
        <f>+H46</f>
        <v>1.184892234200088E-3</v>
      </c>
    </row>
    <row r="47" spans="1:10" x14ac:dyDescent="0.2">
      <c r="E47" s="1"/>
      <c r="G47" s="33"/>
      <c r="H47" s="33"/>
      <c r="I47" s="1"/>
      <c r="J47" s="33"/>
    </row>
    <row r="48" spans="1:10" x14ac:dyDescent="0.2">
      <c r="B48" s="23" t="s">
        <v>30</v>
      </c>
      <c r="E48" s="1"/>
      <c r="G48" s="33"/>
      <c r="H48" s="33"/>
      <c r="I48" s="1"/>
      <c r="J48" s="33"/>
    </row>
    <row r="49" spans="2:10" x14ac:dyDescent="0.2">
      <c r="B49" s="27" t="s">
        <v>26</v>
      </c>
      <c r="C49" s="27"/>
      <c r="D49" s="27"/>
      <c r="E49" s="28"/>
      <c r="G49" s="33"/>
      <c r="H49" s="33">
        <f>G21</f>
        <v>-1.7353897783731298</v>
      </c>
      <c r="I49" s="1"/>
      <c r="J49" s="33">
        <f>+H49</f>
        <v>-1.7353897783731298</v>
      </c>
    </row>
    <row r="50" spans="2:10" x14ac:dyDescent="0.2">
      <c r="C50" s="19"/>
      <c r="D50" s="19"/>
      <c r="E50" s="25"/>
      <c r="G50" s="33"/>
      <c r="H50" s="33"/>
      <c r="I50" s="1"/>
      <c r="J50" s="33"/>
    </row>
    <row r="51" spans="2:10" x14ac:dyDescent="0.2">
      <c r="E51" s="1"/>
      <c r="G51" s="33"/>
      <c r="H51" s="33"/>
      <c r="I51" s="1"/>
      <c r="J51" s="33"/>
    </row>
    <row r="52" spans="2:10" x14ac:dyDescent="0.2">
      <c r="B52" s="23" t="s">
        <v>45</v>
      </c>
      <c r="E52" s="1"/>
      <c r="G52" s="1"/>
      <c r="H52" s="1"/>
      <c r="I52" s="1"/>
      <c r="J52" s="62">
        <f>+J49+J46</f>
        <v>-1.7342048861389296</v>
      </c>
    </row>
    <row r="53" spans="2:10" x14ac:dyDescent="0.2">
      <c r="E53" s="1"/>
      <c r="G53" s="1"/>
      <c r="H53" s="1"/>
      <c r="I53" s="1"/>
      <c r="J53" s="33"/>
    </row>
    <row r="54" spans="2:10" x14ac:dyDescent="0.2">
      <c r="E54" s="1"/>
      <c r="G54" s="1"/>
      <c r="H54" s="1"/>
      <c r="I54" s="1"/>
      <c r="J54" s="33"/>
    </row>
    <row r="55" spans="2:10" x14ac:dyDescent="0.2">
      <c r="E55" s="1"/>
      <c r="G55" s="1"/>
      <c r="H55" s="1"/>
      <c r="I55" s="1"/>
      <c r="J55" s="33"/>
    </row>
    <row r="56" spans="2:10" x14ac:dyDescent="0.2">
      <c r="E56" s="1"/>
    </row>
    <row r="57" spans="2:10" x14ac:dyDescent="0.2">
      <c r="E57" s="1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</sheetData>
  <mergeCells count="1">
    <mergeCell ref="B4:G4"/>
  </mergeCells>
  <pageMargins left="0.75" right="0.75" top="1" bottom="1" header="0.5" footer="0.5"/>
  <pageSetup scale="84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4"/>
  <sheetViews>
    <sheetView tabSelected="1" topLeftCell="A22" workbookViewId="0">
      <selection activeCell="K55" sqref="K55"/>
    </sheetView>
  </sheetViews>
  <sheetFormatPr defaultColWidth="9.140625" defaultRowHeight="12.75" x14ac:dyDescent="0.2"/>
  <cols>
    <col min="1" max="1" width="8.7109375" style="2" customWidth="1"/>
    <col min="2" max="2" width="14.7109375" style="2" customWidth="1"/>
    <col min="3" max="3" width="11.5703125" style="2" customWidth="1"/>
    <col min="4" max="4" width="9.140625" style="2"/>
    <col min="5" max="5" width="10.85546875" style="2" bestFit="1" customWidth="1"/>
    <col min="6" max="6" width="9.140625" style="2"/>
    <col min="7" max="7" width="10.7109375" style="2" bestFit="1" customWidth="1"/>
    <col min="8" max="8" width="11.28515625" style="2" bestFit="1" customWidth="1"/>
    <col min="9" max="9" width="2.7109375" style="2" customWidth="1"/>
    <col min="10" max="10" width="9.42578125" style="2" bestFit="1" customWidth="1"/>
    <col min="11" max="16384" width="9.140625" style="2"/>
  </cols>
  <sheetData>
    <row r="1" spans="1:12" x14ac:dyDescent="0.2">
      <c r="A1" s="5" t="s">
        <v>0</v>
      </c>
    </row>
    <row r="2" spans="1:12" x14ac:dyDescent="0.2">
      <c r="A2" s="2" t="s">
        <v>34</v>
      </c>
    </row>
    <row r="3" spans="1:12" x14ac:dyDescent="0.2">
      <c r="A3" s="2" t="s">
        <v>25</v>
      </c>
    </row>
    <row r="5" spans="1:12" x14ac:dyDescent="0.2">
      <c r="G5" s="2" t="s">
        <v>3</v>
      </c>
    </row>
    <row r="6" spans="1:12" x14ac:dyDescent="0.2">
      <c r="E6" s="2" t="s">
        <v>3</v>
      </c>
      <c r="G6" s="2" t="s">
        <v>4</v>
      </c>
    </row>
    <row r="7" spans="1:12" x14ac:dyDescent="0.2">
      <c r="C7" s="44" t="s">
        <v>23</v>
      </c>
      <c r="E7" s="2" t="s">
        <v>4</v>
      </c>
      <c r="G7" s="2" t="s">
        <v>6</v>
      </c>
    </row>
    <row r="8" spans="1:12" x14ac:dyDescent="0.2">
      <c r="A8" s="2" t="s">
        <v>7</v>
      </c>
      <c r="B8" s="19" t="s">
        <v>35</v>
      </c>
      <c r="C8" s="59">
        <v>15896.61</v>
      </c>
      <c r="E8" s="35">
        <f>'Multi Family Commodities'!O8</f>
        <v>-12329.740000000002</v>
      </c>
      <c r="F8" s="3"/>
      <c r="G8" s="35">
        <f>+E8/C8</f>
        <v>-0.77562071410193756</v>
      </c>
      <c r="H8" s="35"/>
      <c r="I8" s="3"/>
      <c r="J8" s="3"/>
      <c r="K8" s="3"/>
      <c r="L8" s="3"/>
    </row>
    <row r="9" spans="1:12" x14ac:dyDescent="0.2">
      <c r="B9" s="19" t="s">
        <v>36</v>
      </c>
      <c r="C9" s="59">
        <v>16058.03</v>
      </c>
      <c r="E9" s="35">
        <f>'Multi Family Commodities'!O10</f>
        <v>-13842.29</v>
      </c>
      <c r="F9" s="3"/>
      <c r="G9" s="35">
        <f>+E9/C9</f>
        <v>-0.86201669818776028</v>
      </c>
      <c r="H9" s="35"/>
      <c r="I9" s="3"/>
      <c r="J9" s="3"/>
      <c r="K9" s="3"/>
      <c r="L9" s="3"/>
    </row>
    <row r="10" spans="1:12" x14ac:dyDescent="0.2">
      <c r="C10" s="24"/>
      <c r="E10" s="35"/>
      <c r="F10" s="3"/>
      <c r="G10" s="35"/>
      <c r="H10" s="35"/>
      <c r="I10" s="3"/>
      <c r="J10" s="3"/>
      <c r="K10" s="3"/>
      <c r="L10" s="3"/>
    </row>
    <row r="11" spans="1:12" x14ac:dyDescent="0.2">
      <c r="A11" s="31" t="s">
        <v>41</v>
      </c>
      <c r="C11" s="24">
        <f>+C9+C8</f>
        <v>31954.639999999999</v>
      </c>
      <c r="E11" s="35">
        <f>+E9+E8</f>
        <v>-26172.030000000002</v>
      </c>
      <c r="F11" s="3"/>
      <c r="G11" s="35"/>
      <c r="H11" s="35"/>
      <c r="I11" s="3"/>
      <c r="J11" s="3"/>
      <c r="K11" s="3"/>
      <c r="L11" s="3"/>
    </row>
    <row r="12" spans="1:12" x14ac:dyDescent="0.2">
      <c r="A12" s="19"/>
      <c r="C12" s="24"/>
      <c r="E12" s="35"/>
      <c r="F12" s="3"/>
      <c r="G12" s="35"/>
      <c r="H12" s="35"/>
      <c r="I12" s="3"/>
      <c r="J12" s="3"/>
      <c r="K12" s="3"/>
      <c r="L12" s="3"/>
    </row>
    <row r="13" spans="1:12" x14ac:dyDescent="0.2">
      <c r="A13" s="19"/>
      <c r="B13" s="19" t="s">
        <v>37</v>
      </c>
      <c r="C13" s="59">
        <v>16068.08</v>
      </c>
      <c r="E13" s="35">
        <f>'Multi Family Commodities'!O12</f>
        <v>-12824.939999999999</v>
      </c>
      <c r="F13" s="3"/>
      <c r="G13" s="35">
        <f t="shared" ref="G13:G16" si="0">+E13/C13</f>
        <v>-0.7981625682720026</v>
      </c>
      <c r="H13" s="35"/>
      <c r="I13" s="3"/>
      <c r="J13" s="3"/>
      <c r="K13" s="3"/>
      <c r="L13" s="3"/>
    </row>
    <row r="14" spans="1:12" x14ac:dyDescent="0.2">
      <c r="A14" s="19"/>
      <c r="B14" s="19" t="s">
        <v>38</v>
      </c>
      <c r="C14" s="59">
        <v>16096.55</v>
      </c>
      <c r="E14" s="35">
        <f>'Multi Family Commodities'!O14</f>
        <v>-11556.6</v>
      </c>
      <c r="F14" s="3"/>
      <c r="G14" s="35">
        <f t="shared" si="0"/>
        <v>-0.71795508975525812</v>
      </c>
      <c r="H14" s="35"/>
      <c r="I14" s="3"/>
      <c r="J14" s="3"/>
      <c r="K14" s="3"/>
      <c r="L14" s="3"/>
    </row>
    <row r="15" spans="1:12" x14ac:dyDescent="0.2">
      <c r="A15" s="19"/>
      <c r="B15" s="19" t="s">
        <v>39</v>
      </c>
      <c r="C15" s="59">
        <v>16079.89</v>
      </c>
      <c r="E15" s="35">
        <f>'Multi Family Commodities'!O16</f>
        <v>-12580.5</v>
      </c>
      <c r="F15" s="3"/>
      <c r="G15" s="35">
        <f t="shared" si="0"/>
        <v>-0.78237475505118503</v>
      </c>
      <c r="H15" s="35"/>
      <c r="I15" s="3"/>
      <c r="J15" s="3"/>
      <c r="K15" s="3"/>
      <c r="L15" s="3"/>
    </row>
    <row r="16" spans="1:12" x14ac:dyDescent="0.2">
      <c r="A16" s="19"/>
      <c r="B16" s="19" t="s">
        <v>40</v>
      </c>
      <c r="C16" s="59">
        <v>16393.28</v>
      </c>
      <c r="E16" s="35">
        <f>'Multi Family Commodities'!O18</f>
        <v>-10870.62</v>
      </c>
      <c r="F16" s="3"/>
      <c r="G16" s="35">
        <f t="shared" si="0"/>
        <v>-0.66311439809482919</v>
      </c>
      <c r="H16" s="35"/>
      <c r="I16" s="3"/>
      <c r="J16" s="3"/>
      <c r="K16" s="3"/>
      <c r="L16" s="3"/>
    </row>
    <row r="17" spans="1:12" x14ac:dyDescent="0.2">
      <c r="C17" s="24"/>
      <c r="E17" s="35"/>
      <c r="F17" s="3"/>
      <c r="G17" s="35"/>
      <c r="H17" s="35"/>
      <c r="I17" s="3"/>
      <c r="J17" s="3"/>
      <c r="K17" s="3"/>
      <c r="L17" s="3"/>
    </row>
    <row r="18" spans="1:12" x14ac:dyDescent="0.2">
      <c r="A18" s="31" t="s">
        <v>42</v>
      </c>
      <c r="C18" s="24">
        <f>SUM(C13:C17)</f>
        <v>64637.799999999996</v>
      </c>
      <c r="E18" s="35">
        <f>SUM(E13:E17)</f>
        <v>-47832.66</v>
      </c>
      <c r="F18" s="3"/>
      <c r="G18" s="35"/>
      <c r="H18" s="35"/>
      <c r="I18" s="3"/>
      <c r="J18" s="3"/>
      <c r="K18" s="3"/>
      <c r="L18" s="3"/>
    </row>
    <row r="19" spans="1:12" x14ac:dyDescent="0.2">
      <c r="C19" s="24"/>
      <c r="E19" s="35"/>
      <c r="F19" s="3"/>
      <c r="G19" s="35"/>
      <c r="H19" s="35"/>
      <c r="I19" s="3"/>
      <c r="J19" s="3"/>
      <c r="K19" s="3"/>
      <c r="L19" s="3"/>
    </row>
    <row r="20" spans="1:12" x14ac:dyDescent="0.2">
      <c r="A20" s="2" t="s">
        <v>2</v>
      </c>
      <c r="C20" s="24">
        <f>+C18+C11</f>
        <v>96592.44</v>
      </c>
      <c r="E20" s="35">
        <f>+E18+E11</f>
        <v>-74004.69</v>
      </c>
      <c r="F20" s="3"/>
      <c r="G20" s="35">
        <f>+E20/C20</f>
        <v>-0.76615405926178071</v>
      </c>
      <c r="H20" s="35"/>
      <c r="I20" s="3"/>
      <c r="J20" s="3"/>
      <c r="K20" s="3"/>
      <c r="L20" s="3"/>
    </row>
    <row r="21" spans="1:12" x14ac:dyDescent="0.2">
      <c r="E21" s="3"/>
      <c r="F21" s="3"/>
      <c r="G21" s="35"/>
      <c r="H21" s="35"/>
      <c r="I21" s="3"/>
      <c r="J21" s="3"/>
      <c r="K21" s="3"/>
      <c r="L21" s="3"/>
    </row>
    <row r="22" spans="1:12" x14ac:dyDescent="0.2">
      <c r="B22" s="2" t="s">
        <v>8</v>
      </c>
      <c r="E22" s="3"/>
      <c r="F22" s="3"/>
      <c r="G22" s="35"/>
      <c r="H22" s="35"/>
      <c r="I22" s="3"/>
      <c r="J22" s="3"/>
      <c r="K22" s="3"/>
      <c r="L22" s="3"/>
    </row>
    <row r="23" spans="1:12" x14ac:dyDescent="0.2">
      <c r="E23" s="3"/>
      <c r="F23" s="3"/>
      <c r="G23" s="35"/>
      <c r="H23" s="35"/>
      <c r="I23" s="3"/>
      <c r="J23" s="3"/>
      <c r="K23" s="3"/>
      <c r="L23" s="3"/>
    </row>
    <row r="24" spans="1:12" x14ac:dyDescent="0.2">
      <c r="D24" s="2" t="s">
        <v>9</v>
      </c>
      <c r="E24" s="3"/>
      <c r="F24" s="3"/>
      <c r="G24" s="35"/>
      <c r="H24" s="35">
        <f>+E20</f>
        <v>-74004.69</v>
      </c>
      <c r="I24" s="3"/>
      <c r="J24" s="3"/>
      <c r="K24" s="3"/>
      <c r="L24" s="3"/>
    </row>
    <row r="25" spans="1:12" x14ac:dyDescent="0.2">
      <c r="E25" s="3"/>
      <c r="F25" s="3"/>
      <c r="G25" s="35"/>
      <c r="H25" s="35"/>
      <c r="I25" s="3"/>
      <c r="J25" s="3"/>
      <c r="K25" s="3"/>
      <c r="L25" s="3"/>
    </row>
    <row r="26" spans="1:12" x14ac:dyDescent="0.2">
      <c r="B26" s="2" t="s">
        <v>13</v>
      </c>
      <c r="E26" s="3"/>
      <c r="F26" s="3"/>
      <c r="G26" s="46">
        <v>-0.61</v>
      </c>
      <c r="H26" s="35"/>
      <c r="I26" s="3"/>
      <c r="J26" s="3"/>
      <c r="K26" s="3"/>
      <c r="L26" s="3"/>
    </row>
    <row r="27" spans="1:12" x14ac:dyDescent="0.2">
      <c r="C27" s="2" t="s">
        <v>48</v>
      </c>
      <c r="E27" s="3"/>
      <c r="F27" s="3"/>
      <c r="G27" s="36">
        <f>+C11</f>
        <v>31954.639999999999</v>
      </c>
      <c r="H27" s="3"/>
      <c r="I27" s="3"/>
      <c r="J27" s="3"/>
      <c r="K27" s="3"/>
      <c r="L27" s="3"/>
    </row>
    <row r="28" spans="1:12" x14ac:dyDescent="0.2">
      <c r="B28" s="2" t="s">
        <v>11</v>
      </c>
      <c r="E28" s="3"/>
      <c r="F28" s="3"/>
      <c r="G28" s="35">
        <f>+G27*G26</f>
        <v>-19492.330399999999</v>
      </c>
      <c r="H28" s="3"/>
      <c r="I28" s="3"/>
      <c r="J28" s="3"/>
      <c r="K28" s="3"/>
      <c r="L28" s="3"/>
    </row>
    <row r="29" spans="1:12" x14ac:dyDescent="0.2">
      <c r="E29" s="3"/>
      <c r="F29" s="3"/>
      <c r="G29" s="3"/>
      <c r="H29" s="3"/>
      <c r="I29" s="3"/>
      <c r="J29" s="3"/>
      <c r="K29" s="3"/>
      <c r="L29" s="3"/>
    </row>
    <row r="30" spans="1:12" x14ac:dyDescent="0.2">
      <c r="E30" s="3"/>
      <c r="F30" s="3"/>
      <c r="G30" s="3"/>
      <c r="H30" s="3"/>
      <c r="I30" s="3"/>
      <c r="J30" s="3"/>
      <c r="K30" s="3"/>
      <c r="L30" s="3"/>
    </row>
    <row r="31" spans="1:12" x14ac:dyDescent="0.2">
      <c r="B31" s="29" t="s">
        <v>13</v>
      </c>
      <c r="C31" s="29"/>
      <c r="D31" s="29"/>
      <c r="E31" s="30"/>
      <c r="F31" s="30"/>
      <c r="G31" s="46">
        <v>-0.77</v>
      </c>
      <c r="H31" s="3"/>
      <c r="I31" s="3"/>
      <c r="J31" s="3"/>
      <c r="K31" s="3"/>
      <c r="L31" s="3"/>
    </row>
    <row r="32" spans="1:12" x14ac:dyDescent="0.2">
      <c r="C32" s="2" t="s">
        <v>49</v>
      </c>
      <c r="E32" s="3"/>
      <c r="F32" s="35"/>
      <c r="G32" s="35">
        <f>+C18</f>
        <v>64637.799999999996</v>
      </c>
      <c r="H32" s="35"/>
      <c r="I32" s="3"/>
      <c r="J32" s="3"/>
      <c r="K32" s="3"/>
      <c r="L32" s="3"/>
    </row>
    <row r="33" spans="2:12" x14ac:dyDescent="0.2">
      <c r="B33" s="2" t="s">
        <v>11</v>
      </c>
      <c r="E33" s="3"/>
      <c r="F33" s="35"/>
      <c r="G33" s="35">
        <f>+G32*G31</f>
        <v>-49771.106</v>
      </c>
      <c r="H33" s="35">
        <f>+G33+G28</f>
        <v>-69263.436400000006</v>
      </c>
      <c r="I33" s="3"/>
      <c r="J33" s="3"/>
      <c r="K33" s="3"/>
      <c r="L33" s="3"/>
    </row>
    <row r="34" spans="2:12" x14ac:dyDescent="0.2">
      <c r="E34" s="3"/>
      <c r="F34" s="35"/>
      <c r="G34" s="35"/>
      <c r="H34" s="35"/>
      <c r="I34" s="3"/>
      <c r="J34" s="3"/>
      <c r="K34" s="3"/>
      <c r="L34" s="3"/>
    </row>
    <row r="35" spans="2:12" x14ac:dyDescent="0.2">
      <c r="B35" s="2" t="s">
        <v>12</v>
      </c>
      <c r="E35" s="3"/>
      <c r="F35" s="35"/>
      <c r="G35" s="35"/>
      <c r="H35" s="35">
        <f>+H24-H33</f>
        <v>-4741.2535999999964</v>
      </c>
      <c r="I35" s="3"/>
      <c r="J35" s="3"/>
      <c r="K35" s="3"/>
      <c r="L35" s="3"/>
    </row>
    <row r="36" spans="2:12" x14ac:dyDescent="0.2">
      <c r="E36" s="3"/>
      <c r="F36" s="3"/>
      <c r="G36" s="3"/>
      <c r="H36" s="3"/>
      <c r="I36" s="3"/>
      <c r="J36" s="3"/>
      <c r="K36" s="3"/>
      <c r="L36" s="3"/>
    </row>
    <row r="37" spans="2:12" x14ac:dyDescent="0.2">
      <c r="E37" s="3"/>
      <c r="F37" s="3"/>
      <c r="G37" s="3"/>
      <c r="H37" s="3"/>
      <c r="I37" s="3"/>
      <c r="J37" s="3"/>
      <c r="K37" s="3"/>
      <c r="L37" s="3"/>
    </row>
    <row r="38" spans="2:12" x14ac:dyDescent="0.2">
      <c r="B38" s="2" t="s">
        <v>45</v>
      </c>
      <c r="E38" s="3"/>
      <c r="F38" s="3"/>
      <c r="G38" s="3"/>
      <c r="H38" s="3"/>
      <c r="I38" s="3"/>
      <c r="J38" s="3"/>
      <c r="K38" s="3"/>
      <c r="L38" s="3"/>
    </row>
    <row r="39" spans="2:12" x14ac:dyDescent="0.2">
      <c r="E39" s="3"/>
      <c r="F39" s="3"/>
      <c r="G39" s="3"/>
      <c r="H39" s="3"/>
      <c r="I39" s="3"/>
      <c r="J39" s="3"/>
      <c r="K39" s="3"/>
      <c r="L39" s="3"/>
    </row>
    <row r="40" spans="2:12" x14ac:dyDescent="0.2">
      <c r="B40" s="2" t="s">
        <v>46</v>
      </c>
      <c r="E40" s="3"/>
      <c r="F40" s="3"/>
      <c r="G40" s="3"/>
      <c r="H40" s="3"/>
      <c r="I40" s="3"/>
      <c r="J40" s="3"/>
      <c r="K40" s="3"/>
      <c r="L40" s="3"/>
    </row>
    <row r="41" spans="2:12" x14ac:dyDescent="0.2">
      <c r="E41" s="3"/>
      <c r="F41" s="3"/>
      <c r="G41" s="3"/>
      <c r="H41" s="3"/>
      <c r="I41" s="3"/>
      <c r="J41" s="3"/>
      <c r="K41" s="3"/>
      <c r="L41" s="3"/>
    </row>
    <row r="42" spans="2:12" x14ac:dyDescent="0.2">
      <c r="D42" s="2" t="s">
        <v>28</v>
      </c>
      <c r="E42" s="3"/>
      <c r="F42" s="3"/>
      <c r="G42" s="3"/>
      <c r="H42" s="35">
        <f>+C20</f>
        <v>96592.44</v>
      </c>
      <c r="I42" s="35"/>
      <c r="J42" s="35"/>
      <c r="K42" s="3"/>
      <c r="L42" s="3"/>
    </row>
    <row r="43" spans="2:12" x14ac:dyDescent="0.2">
      <c r="D43" s="2" t="s">
        <v>12</v>
      </c>
      <c r="E43" s="3"/>
      <c r="F43" s="3"/>
      <c r="G43" s="3"/>
      <c r="H43" s="35">
        <f>+H35</f>
        <v>-4741.2535999999964</v>
      </c>
      <c r="I43" s="35"/>
      <c r="J43" s="35"/>
      <c r="K43" s="3"/>
      <c r="L43" s="3"/>
    </row>
    <row r="44" spans="2:12" x14ac:dyDescent="0.2">
      <c r="E44" s="3"/>
      <c r="F44" s="3"/>
      <c r="G44" s="3"/>
      <c r="H44" s="35"/>
      <c r="I44" s="35"/>
      <c r="J44" s="35"/>
      <c r="K44" s="3"/>
      <c r="L44" s="3"/>
    </row>
    <row r="45" spans="2:12" x14ac:dyDescent="0.2">
      <c r="D45" s="2" t="s">
        <v>47</v>
      </c>
      <c r="E45" s="3"/>
      <c r="F45" s="3"/>
      <c r="G45" s="3"/>
      <c r="H45" s="35">
        <f>+H43/H42</f>
        <v>-4.9085141652907789E-2</v>
      </c>
      <c r="I45" s="35"/>
      <c r="J45" s="35">
        <f>+H45</f>
        <v>-4.9085141652907789E-2</v>
      </c>
      <c r="K45" s="3"/>
      <c r="L45" s="3"/>
    </row>
    <row r="46" spans="2:12" x14ac:dyDescent="0.2">
      <c r="E46" s="3"/>
      <c r="F46" s="3"/>
      <c r="G46" s="3"/>
      <c r="H46" s="35"/>
      <c r="I46" s="35"/>
      <c r="J46" s="35"/>
      <c r="K46" s="3"/>
      <c r="L46" s="3"/>
    </row>
    <row r="47" spans="2:12" x14ac:dyDescent="0.2">
      <c r="B47" s="2" t="s">
        <v>30</v>
      </c>
      <c r="E47" s="3"/>
      <c r="F47" s="3"/>
      <c r="G47" s="3"/>
      <c r="H47" s="35"/>
      <c r="I47" s="35"/>
      <c r="J47" s="35"/>
      <c r="K47" s="3"/>
      <c r="L47" s="3"/>
    </row>
    <row r="48" spans="2:12" x14ac:dyDescent="0.2">
      <c r="B48" s="27" t="s">
        <v>26</v>
      </c>
      <c r="C48" s="29"/>
      <c r="D48" s="29"/>
      <c r="E48" s="30"/>
      <c r="F48" s="3"/>
      <c r="G48" s="3"/>
      <c r="H48" s="35">
        <f>G20</f>
        <v>-0.76615405926178071</v>
      </c>
      <c r="I48" s="35"/>
      <c r="J48" s="35">
        <f>+H48</f>
        <v>-0.76615405926178071</v>
      </c>
      <c r="K48" s="3"/>
      <c r="L48" s="3"/>
    </row>
    <row r="49" spans="2:13" x14ac:dyDescent="0.2">
      <c r="E49" s="3"/>
      <c r="F49" s="3"/>
      <c r="G49" s="3"/>
      <c r="H49" s="35"/>
      <c r="I49" s="35"/>
      <c r="J49" s="35"/>
      <c r="K49" s="3"/>
      <c r="L49" s="3"/>
    </row>
    <row r="50" spans="2:13" x14ac:dyDescent="0.2">
      <c r="E50" s="3"/>
      <c r="F50" s="3"/>
      <c r="G50" s="3"/>
      <c r="H50" s="35"/>
      <c r="I50" s="35"/>
      <c r="J50" s="35"/>
      <c r="K50" s="3"/>
      <c r="L50" s="3"/>
    </row>
    <row r="51" spans="2:13" x14ac:dyDescent="0.2">
      <c r="B51" s="2" t="s">
        <v>50</v>
      </c>
      <c r="E51" s="3"/>
      <c r="F51" s="3"/>
      <c r="G51" s="3"/>
      <c r="H51" s="35"/>
      <c r="I51" s="35"/>
      <c r="J51" s="63">
        <f>+J48+J45</f>
        <v>-0.81523920091468849</v>
      </c>
      <c r="K51" s="2" t="s">
        <v>32</v>
      </c>
      <c r="M51" s="35"/>
    </row>
    <row r="52" spans="2:13" x14ac:dyDescent="0.2">
      <c r="E52" s="3"/>
      <c r="F52" s="3"/>
      <c r="G52" s="3"/>
      <c r="H52" s="35"/>
      <c r="I52" s="35"/>
      <c r="J52" s="35"/>
      <c r="M52" s="35"/>
    </row>
    <row r="53" spans="2:13" x14ac:dyDescent="0.2">
      <c r="E53" s="3"/>
      <c r="F53" s="3"/>
      <c r="G53" s="3"/>
      <c r="H53" s="35"/>
      <c r="I53" s="35"/>
      <c r="J53" s="35">
        <f>J51*0.22</f>
        <v>-0.17935262420123146</v>
      </c>
      <c r="K53" s="3" t="s">
        <v>31</v>
      </c>
    </row>
    <row r="54" spans="2:13" x14ac:dyDescent="0.2">
      <c r="E54" s="3"/>
      <c r="F54" s="3"/>
      <c r="G54" s="3"/>
      <c r="H54" s="35"/>
      <c r="I54" s="35"/>
      <c r="J54" s="35">
        <f>J51*2.75</f>
        <v>-2.2419078025153931</v>
      </c>
      <c r="K54" s="2" t="s">
        <v>33</v>
      </c>
    </row>
    <row r="55" spans="2:13" x14ac:dyDescent="0.2">
      <c r="E55" s="3"/>
      <c r="F55" s="3"/>
      <c r="G55" s="3"/>
      <c r="H55" s="3"/>
      <c r="I55" s="3"/>
      <c r="J55" s="3"/>
    </row>
    <row r="56" spans="2:13" x14ac:dyDescent="0.2">
      <c r="E56" s="3"/>
      <c r="F56" s="3"/>
      <c r="G56" s="3"/>
      <c r="H56" s="3"/>
      <c r="I56" s="3"/>
      <c r="J56" s="3"/>
    </row>
    <row r="57" spans="2:13" x14ac:dyDescent="0.2">
      <c r="E57" s="3"/>
      <c r="F57" s="3"/>
      <c r="G57" s="3"/>
      <c r="H57" s="3"/>
      <c r="I57" s="3"/>
      <c r="J57" s="3"/>
    </row>
    <row r="58" spans="2:13" x14ac:dyDescent="0.2">
      <c r="E58" s="3"/>
      <c r="F58" s="3"/>
      <c r="G58" s="3"/>
      <c r="H58" s="3"/>
      <c r="I58" s="3"/>
      <c r="J58" s="3"/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O30" sqref="O30"/>
    </sheetView>
  </sheetViews>
  <sheetFormatPr defaultColWidth="9.140625" defaultRowHeight="15" x14ac:dyDescent="0.25"/>
  <cols>
    <col min="1" max="1" width="17.42578125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5.140625" style="4" bestFit="1" customWidth="1"/>
    <col min="6" max="6" width="10.7109375" style="4" bestFit="1" customWidth="1"/>
    <col min="7" max="7" width="10.140625" style="4" bestFit="1" customWidth="1"/>
    <col min="8" max="8" width="12.28515625" style="4" bestFit="1" customWidth="1"/>
    <col min="9" max="9" width="15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4" width="15.140625" style="4" bestFit="1" customWidth="1"/>
    <col min="15" max="15" width="12.42578125" style="4" customWidth="1"/>
    <col min="16" max="16" width="9.7109375" style="4" bestFit="1" customWidth="1"/>
    <col min="17" max="16384" width="9.140625" style="4"/>
  </cols>
  <sheetData>
    <row r="1" spans="1:16" x14ac:dyDescent="0.25">
      <c r="A1" s="4" t="s">
        <v>14</v>
      </c>
    </row>
    <row r="2" spans="1:16" x14ac:dyDescent="0.25">
      <c r="A2" s="4" t="s">
        <v>1</v>
      </c>
    </row>
    <row r="3" spans="1:16" x14ac:dyDescent="0.25">
      <c r="A3" s="4" t="s">
        <v>22</v>
      </c>
      <c r="K3" s="41"/>
    </row>
    <row r="4" spans="1:16" x14ac:dyDescent="0.25">
      <c r="A4" s="48" t="s">
        <v>51</v>
      </c>
    </row>
    <row r="5" spans="1:16" x14ac:dyDescent="0.25">
      <c r="F5" s="37"/>
      <c r="K5" s="6"/>
    </row>
    <row r="6" spans="1:16" x14ac:dyDescent="0.25">
      <c r="B6" s="65" t="s">
        <v>19</v>
      </c>
      <c r="C6" s="66"/>
      <c r="D6" s="66"/>
      <c r="E6" s="67"/>
      <c r="F6" s="65" t="s">
        <v>20</v>
      </c>
      <c r="G6" s="66"/>
      <c r="H6" s="66"/>
      <c r="I6" s="66"/>
      <c r="J6" s="67"/>
      <c r="K6" s="65" t="s">
        <v>21</v>
      </c>
      <c r="L6" s="66"/>
      <c r="M6" s="66"/>
      <c r="N6" s="66"/>
      <c r="O6" s="67"/>
    </row>
    <row r="7" spans="1:16" x14ac:dyDescent="0.25">
      <c r="B7" s="7" t="s">
        <v>15</v>
      </c>
      <c r="C7" s="7" t="s">
        <v>16</v>
      </c>
      <c r="D7" s="7" t="s">
        <v>17</v>
      </c>
      <c r="E7" s="7" t="s">
        <v>58</v>
      </c>
      <c r="F7" s="7" t="s">
        <v>15</v>
      </c>
      <c r="G7" s="7" t="s">
        <v>16</v>
      </c>
      <c r="H7" s="7" t="s">
        <v>17</v>
      </c>
      <c r="I7" s="7" t="s">
        <v>58</v>
      </c>
      <c r="J7" s="7" t="s">
        <v>2</v>
      </c>
      <c r="K7" s="7" t="s">
        <v>15</v>
      </c>
      <c r="L7" s="7" t="s">
        <v>16</v>
      </c>
      <c r="M7" s="7" t="s">
        <v>17</v>
      </c>
      <c r="N7" s="7" t="s">
        <v>58</v>
      </c>
      <c r="O7" s="7" t="s">
        <v>2</v>
      </c>
    </row>
    <row r="8" spans="1:16" x14ac:dyDescent="0.25">
      <c r="A8" s="47" t="s">
        <v>52</v>
      </c>
      <c r="B8" s="20">
        <f>K8/F8</f>
        <v>-116</v>
      </c>
      <c r="C8" s="21">
        <f>L8/G8</f>
        <v>19</v>
      </c>
      <c r="D8" s="21">
        <f>M8/H8</f>
        <v>-60.678455716864939</v>
      </c>
      <c r="E8" s="21">
        <v>0</v>
      </c>
      <c r="F8" s="50">
        <f>401890/2000</f>
        <v>200.94499999999999</v>
      </c>
      <c r="G8" s="49">
        <f>34720/2000</f>
        <v>17.36</v>
      </c>
      <c r="H8" s="49">
        <f>404330/2000</f>
        <v>202.16499999999999</v>
      </c>
      <c r="I8" s="21">
        <v>0</v>
      </c>
      <c r="J8" s="22">
        <f>SUM(F8:I8)</f>
        <v>420.47</v>
      </c>
      <c r="K8" s="50">
        <v>-23309.62</v>
      </c>
      <c r="L8" s="49">
        <v>329.84</v>
      </c>
      <c r="M8" s="49">
        <v>-12267.06</v>
      </c>
      <c r="N8" s="21">
        <v>0</v>
      </c>
      <c r="O8" s="22">
        <f>SUM(K8:N8)</f>
        <v>-35246.839999999997</v>
      </c>
      <c r="P8" s="6"/>
    </row>
    <row r="9" spans="1:16" x14ac:dyDescent="0.25">
      <c r="B9" s="9"/>
      <c r="C9" s="10"/>
      <c r="D9" s="10"/>
      <c r="E9" s="11"/>
      <c r="F9" s="9"/>
      <c r="G9" s="10"/>
      <c r="H9" s="10"/>
      <c r="I9" s="10"/>
      <c r="J9" s="11"/>
      <c r="K9" s="9"/>
      <c r="L9" s="10"/>
      <c r="M9" s="10"/>
      <c r="N9" s="10"/>
      <c r="O9" s="11"/>
    </row>
    <row r="10" spans="1:16" x14ac:dyDescent="0.25">
      <c r="A10" s="47" t="s">
        <v>53</v>
      </c>
      <c r="B10" s="9">
        <f>K10/F10</f>
        <v>-112.60165901870809</v>
      </c>
      <c r="C10" s="10">
        <f>L10/G10</f>
        <v>29.007843137254898</v>
      </c>
      <c r="D10" s="10">
        <f>M10/H10</f>
        <v>-51.292381812707021</v>
      </c>
      <c r="E10" s="10">
        <v>0</v>
      </c>
      <c r="F10" s="51">
        <f>453280/2000</f>
        <v>226.64</v>
      </c>
      <c r="G10" s="52">
        <f>35700/2000</f>
        <v>17.850000000000001</v>
      </c>
      <c r="H10" s="52">
        <f>464940/2000</f>
        <v>232.47</v>
      </c>
      <c r="I10" s="10">
        <v>0</v>
      </c>
      <c r="J10" s="11">
        <f>SUM(F10:I10)</f>
        <v>476.96</v>
      </c>
      <c r="K10" s="51">
        <v>-25520.04</v>
      </c>
      <c r="L10" s="52">
        <v>517.79</v>
      </c>
      <c r="M10" s="52">
        <v>-11923.94</v>
      </c>
      <c r="N10" s="10">
        <v>0</v>
      </c>
      <c r="O10" s="11">
        <f>SUM(K10:N10)</f>
        <v>-36926.19</v>
      </c>
      <c r="P10" s="6"/>
    </row>
    <row r="11" spans="1:16" x14ac:dyDescent="0.25">
      <c r="B11" s="9"/>
      <c r="C11" s="10"/>
      <c r="D11" s="10"/>
      <c r="E11" s="10"/>
      <c r="F11" s="9"/>
      <c r="G11" s="10"/>
      <c r="H11" s="10"/>
      <c r="I11" s="10"/>
      <c r="J11" s="11"/>
      <c r="K11" s="9"/>
      <c r="L11" s="10"/>
      <c r="M11" s="10"/>
      <c r="N11" s="10"/>
      <c r="O11" s="11"/>
    </row>
    <row r="12" spans="1:16" x14ac:dyDescent="0.25">
      <c r="A12" s="47" t="s">
        <v>54</v>
      </c>
      <c r="B12" s="9">
        <f t="shared" ref="B12" si="0">K12/F12</f>
        <v>-111</v>
      </c>
      <c r="C12" s="10">
        <f t="shared" ref="C12" si="1">L12/G12</f>
        <v>33</v>
      </c>
      <c r="D12" s="10">
        <f t="shared" ref="D12:E16" si="2">M12/H12</f>
        <v>-48</v>
      </c>
      <c r="E12" s="10">
        <v>0</v>
      </c>
      <c r="F12" s="51">
        <f>432040/2000</f>
        <v>216.02</v>
      </c>
      <c r="G12" s="52">
        <f>44620/2000</f>
        <v>22.31</v>
      </c>
      <c r="H12" s="52">
        <f>424060/2000</f>
        <v>212.03</v>
      </c>
      <c r="I12" s="10">
        <v>0</v>
      </c>
      <c r="J12" s="11">
        <f t="shared" ref="J12:J18" si="3">SUM(F12:I12)</f>
        <v>450.36</v>
      </c>
      <c r="K12" s="51">
        <v>-23978.22</v>
      </c>
      <c r="L12" s="52">
        <v>736.23</v>
      </c>
      <c r="M12" s="52">
        <v>-10177.44</v>
      </c>
      <c r="N12" s="10">
        <v>0</v>
      </c>
      <c r="O12" s="11">
        <f t="shared" ref="O12:O18" si="4">SUM(K12:N12)</f>
        <v>-33419.43</v>
      </c>
      <c r="P12" s="6"/>
    </row>
    <row r="13" spans="1:16" x14ac:dyDescent="0.25">
      <c r="B13" s="9"/>
      <c r="C13" s="10"/>
      <c r="D13" s="10"/>
      <c r="E13" s="10"/>
      <c r="F13" s="9"/>
      <c r="G13" s="10"/>
      <c r="H13" s="10"/>
      <c r="I13" s="10"/>
      <c r="J13" s="11"/>
      <c r="K13" s="9"/>
      <c r="L13" s="10"/>
      <c r="M13" s="10"/>
      <c r="N13" s="10"/>
      <c r="O13" s="11"/>
    </row>
    <row r="14" spans="1:16" x14ac:dyDescent="0.25">
      <c r="A14" s="47" t="s">
        <v>55</v>
      </c>
      <c r="B14" s="9"/>
      <c r="C14" s="10"/>
      <c r="D14" s="10"/>
      <c r="E14" s="10">
        <f>N14/I14</f>
        <v>-123.59859235523004</v>
      </c>
      <c r="F14" s="9"/>
      <c r="G14" s="10"/>
      <c r="H14" s="10"/>
      <c r="I14" s="52">
        <v>349.52</v>
      </c>
      <c r="J14" s="11">
        <f>SUM(F14:I14)</f>
        <v>349.52</v>
      </c>
      <c r="K14" s="9"/>
      <c r="L14" s="10"/>
      <c r="M14" s="10"/>
      <c r="N14" s="52">
        <v>-43200.18</v>
      </c>
      <c r="O14" s="11">
        <f t="shared" si="4"/>
        <v>-43200.18</v>
      </c>
      <c r="P14" s="6"/>
    </row>
    <row r="15" spans="1:16" x14ac:dyDescent="0.25">
      <c r="B15" s="9"/>
      <c r="C15" s="10"/>
      <c r="D15" s="10"/>
      <c r="E15" s="10"/>
      <c r="F15" s="9"/>
      <c r="G15" s="10"/>
      <c r="H15" s="10"/>
      <c r="I15" s="10"/>
      <c r="J15" s="11"/>
      <c r="K15" s="9"/>
      <c r="L15" s="10"/>
      <c r="M15" s="10"/>
      <c r="N15" s="10"/>
      <c r="O15" s="11"/>
    </row>
    <row r="16" spans="1:16" x14ac:dyDescent="0.25">
      <c r="A16" s="47" t="s">
        <v>56</v>
      </c>
      <c r="B16" s="9"/>
      <c r="C16" s="10"/>
      <c r="D16" s="10"/>
      <c r="E16" s="10">
        <f t="shared" si="2"/>
        <v>-123.6012676020343</v>
      </c>
      <c r="F16" s="9"/>
      <c r="G16" s="10"/>
      <c r="H16" s="10"/>
      <c r="I16" s="52">
        <v>391.29</v>
      </c>
      <c r="J16" s="11">
        <f t="shared" si="3"/>
        <v>391.29</v>
      </c>
      <c r="K16" s="9"/>
      <c r="L16" s="10"/>
      <c r="M16" s="10"/>
      <c r="N16" s="52">
        <v>-48363.94</v>
      </c>
      <c r="O16" s="11">
        <f t="shared" si="4"/>
        <v>-48363.94</v>
      </c>
      <c r="P16" s="6"/>
    </row>
    <row r="17" spans="1:16" x14ac:dyDescent="0.25">
      <c r="B17" s="9"/>
      <c r="C17" s="10"/>
      <c r="D17" s="10"/>
      <c r="E17" s="10"/>
      <c r="F17" s="9"/>
      <c r="G17" s="10"/>
      <c r="H17" s="10"/>
      <c r="I17" s="10"/>
      <c r="J17" s="11"/>
      <c r="K17" s="9"/>
      <c r="L17" s="10"/>
      <c r="M17" s="10"/>
      <c r="N17" s="10"/>
      <c r="O17" s="11"/>
    </row>
    <row r="18" spans="1:16" x14ac:dyDescent="0.25">
      <c r="A18" s="47" t="s">
        <v>57</v>
      </c>
      <c r="B18" s="9"/>
      <c r="C18" s="10"/>
      <c r="D18" s="10"/>
      <c r="E18" s="10">
        <f>N18/I18</f>
        <v>-123.60000518295843</v>
      </c>
      <c r="F18" s="9"/>
      <c r="G18" s="10"/>
      <c r="H18" s="10"/>
      <c r="I18" s="52">
        <v>385.88</v>
      </c>
      <c r="J18" s="11">
        <f t="shared" si="3"/>
        <v>385.88</v>
      </c>
      <c r="K18" s="9"/>
      <c r="L18" s="10"/>
      <c r="M18" s="10"/>
      <c r="N18" s="52">
        <v>-47694.77</v>
      </c>
      <c r="O18" s="11">
        <f t="shared" si="4"/>
        <v>-47694.77</v>
      </c>
      <c r="P18" s="6"/>
    </row>
    <row r="19" spans="1:16" x14ac:dyDescent="0.25">
      <c r="A19" s="26"/>
      <c r="B19" s="12"/>
      <c r="C19" s="13"/>
      <c r="D19" s="13"/>
      <c r="E19" s="14"/>
      <c r="F19" s="12"/>
      <c r="G19" s="13"/>
      <c r="H19" s="13"/>
      <c r="I19" s="13"/>
      <c r="J19" s="14"/>
      <c r="K19" s="12"/>
      <c r="L19" s="13"/>
      <c r="M19" s="13"/>
      <c r="N19" s="13"/>
      <c r="O19" s="14"/>
      <c r="P19" s="6"/>
    </row>
    <row r="20" spans="1:1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 ht="15.75" thickBot="1" x14ac:dyDescent="0.3">
      <c r="B21" s="15"/>
      <c r="C21" s="15"/>
      <c r="D21" s="15"/>
      <c r="E21" s="15"/>
      <c r="F21" s="16">
        <f t="shared" ref="F21:N21" si="5">SUM(F8:F20)</f>
        <v>643.60500000000002</v>
      </c>
      <c r="G21" s="16">
        <f t="shared" si="5"/>
        <v>57.519999999999996</v>
      </c>
      <c r="H21" s="16">
        <f t="shared" si="5"/>
        <v>646.66499999999996</v>
      </c>
      <c r="I21" s="16">
        <f t="shared" si="5"/>
        <v>1126.69</v>
      </c>
      <c r="J21" s="16">
        <f t="shared" si="5"/>
        <v>2474.48</v>
      </c>
      <c r="K21" s="16">
        <f t="shared" si="5"/>
        <v>-72807.88</v>
      </c>
      <c r="L21" s="16">
        <f t="shared" si="5"/>
        <v>1583.86</v>
      </c>
      <c r="M21" s="16">
        <f t="shared" si="5"/>
        <v>-34368.44</v>
      </c>
      <c r="N21" s="16">
        <f t="shared" si="5"/>
        <v>-139258.88999999998</v>
      </c>
      <c r="O21" s="16">
        <f>SUM(O8:O19)</f>
        <v>-244851.34999999998</v>
      </c>
    </row>
    <row r="22" spans="1:16" ht="15.75" thickTop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O23" s="6"/>
    </row>
    <row r="24" spans="1:1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O25" s="17"/>
    </row>
    <row r="32" spans="1:16" x14ac:dyDescent="0.25">
      <c r="E32" s="39" t="s">
        <v>29</v>
      </c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115" zoomScaleNormal="115" workbookViewId="0">
      <selection activeCell="E22" sqref="E22"/>
    </sheetView>
  </sheetViews>
  <sheetFormatPr defaultColWidth="9.140625" defaultRowHeight="15" x14ac:dyDescent="0.25"/>
  <cols>
    <col min="1" max="1" width="17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5.140625" style="4" bestFit="1" customWidth="1"/>
    <col min="6" max="6" width="11.42578125" style="4" bestFit="1" customWidth="1"/>
    <col min="7" max="7" width="10.140625" style="4" bestFit="1" customWidth="1"/>
    <col min="8" max="8" width="12.28515625" style="4" bestFit="1" customWidth="1"/>
    <col min="9" max="9" width="15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4" width="15.140625" style="4" bestFit="1" customWidth="1"/>
    <col min="15" max="15" width="11.140625" style="4" bestFit="1" customWidth="1"/>
    <col min="16" max="16" width="9.7109375" style="4" bestFit="1" customWidth="1"/>
    <col min="17" max="16384" width="9.140625" style="4"/>
  </cols>
  <sheetData>
    <row r="1" spans="1:15" x14ac:dyDescent="0.25">
      <c r="A1" s="4" t="s">
        <v>14</v>
      </c>
    </row>
    <row r="2" spans="1:15" x14ac:dyDescent="0.25">
      <c r="A2" s="4" t="s">
        <v>1</v>
      </c>
    </row>
    <row r="3" spans="1:15" x14ac:dyDescent="0.25">
      <c r="A3" s="18" t="s">
        <v>18</v>
      </c>
    </row>
    <row r="4" spans="1:15" x14ac:dyDescent="0.25">
      <c r="A4" s="48" t="s">
        <v>51</v>
      </c>
    </row>
    <row r="5" spans="1:15" x14ac:dyDescent="0.25">
      <c r="K5" s="6"/>
    </row>
    <row r="6" spans="1:15" x14ac:dyDescent="0.25">
      <c r="B6" s="65" t="s">
        <v>19</v>
      </c>
      <c r="C6" s="66"/>
      <c r="D6" s="66"/>
      <c r="E6" s="67"/>
      <c r="F6" s="65" t="s">
        <v>20</v>
      </c>
      <c r="G6" s="66"/>
      <c r="H6" s="66"/>
      <c r="I6" s="66"/>
      <c r="J6" s="67"/>
      <c r="K6" s="65" t="s">
        <v>21</v>
      </c>
      <c r="L6" s="66"/>
      <c r="M6" s="66"/>
      <c r="N6" s="66"/>
      <c r="O6" s="67"/>
    </row>
    <row r="7" spans="1:15" x14ac:dyDescent="0.25">
      <c r="B7" s="7" t="s">
        <v>15</v>
      </c>
      <c r="C7" s="7" t="s">
        <v>16</v>
      </c>
      <c r="D7" s="7" t="s">
        <v>17</v>
      </c>
      <c r="E7" s="7" t="s">
        <v>58</v>
      </c>
      <c r="F7" s="8" t="s">
        <v>15</v>
      </c>
      <c r="G7" s="7" t="s">
        <v>16</v>
      </c>
      <c r="H7" s="7" t="s">
        <v>17</v>
      </c>
      <c r="I7" s="7" t="s">
        <v>58</v>
      </c>
      <c r="J7" s="7" t="s">
        <v>2</v>
      </c>
      <c r="K7" s="7" t="s">
        <v>15</v>
      </c>
      <c r="L7" s="7" t="s">
        <v>16</v>
      </c>
      <c r="M7" s="7" t="s">
        <v>17</v>
      </c>
      <c r="N7" s="7" t="s">
        <v>58</v>
      </c>
      <c r="O7" s="7" t="s">
        <v>2</v>
      </c>
    </row>
    <row r="8" spans="1:15" x14ac:dyDescent="0.25">
      <c r="A8" s="47" t="s">
        <v>52</v>
      </c>
      <c r="B8" s="9">
        <f>K8/F8</f>
        <v>-116.00000000000001</v>
      </c>
      <c r="C8" s="10">
        <v>0</v>
      </c>
      <c r="D8" s="10">
        <f t="shared" ref="D8" si="0">M8/H8</f>
        <v>-60.657517024620219</v>
      </c>
      <c r="E8" s="10">
        <v>0</v>
      </c>
      <c r="F8" s="50">
        <f>162670/2000</f>
        <v>81.334999999999994</v>
      </c>
      <c r="G8" s="49">
        <v>0</v>
      </c>
      <c r="H8" s="49">
        <f>95450/2000</f>
        <v>47.725000000000001</v>
      </c>
      <c r="I8" s="21">
        <v>0</v>
      </c>
      <c r="J8" s="22">
        <f>SUM(F8:I8)</f>
        <v>129.06</v>
      </c>
      <c r="K8" s="50">
        <v>-9434.86</v>
      </c>
      <c r="L8" s="49">
        <v>0</v>
      </c>
      <c r="M8" s="49">
        <v>-2894.88</v>
      </c>
      <c r="N8" s="21">
        <v>0</v>
      </c>
      <c r="O8" s="22">
        <f>SUM(K8:N8)</f>
        <v>-12329.740000000002</v>
      </c>
    </row>
    <row r="9" spans="1:15" x14ac:dyDescent="0.25">
      <c r="B9" s="9"/>
      <c r="C9" s="10"/>
      <c r="D9" s="10"/>
      <c r="E9" s="11"/>
      <c r="F9" s="9"/>
      <c r="G9" s="10"/>
      <c r="H9" s="10"/>
      <c r="I9" s="10"/>
      <c r="J9" s="11"/>
      <c r="K9" s="10"/>
      <c r="L9" s="10"/>
      <c r="M9" s="10"/>
      <c r="N9" s="10"/>
      <c r="O9" s="11"/>
    </row>
    <row r="10" spans="1:15" x14ac:dyDescent="0.25">
      <c r="A10" s="47" t="s">
        <v>53</v>
      </c>
      <c r="B10" s="9">
        <f>K10/F10</f>
        <v>-112.66838789631313</v>
      </c>
      <c r="C10" s="10">
        <v>0</v>
      </c>
      <c r="D10" s="10">
        <f t="shared" ref="D10" si="1">M10/H10</f>
        <v>-51.539718804920916</v>
      </c>
      <c r="E10" s="11">
        <v>0</v>
      </c>
      <c r="F10" s="51">
        <f>193660/2000</f>
        <v>96.83</v>
      </c>
      <c r="G10" s="52">
        <v>0</v>
      </c>
      <c r="H10" s="52">
        <f>113800/2000</f>
        <v>56.9</v>
      </c>
      <c r="I10" s="10">
        <v>0</v>
      </c>
      <c r="J10" s="11">
        <f>SUM(F10:I10)</f>
        <v>153.72999999999999</v>
      </c>
      <c r="K10" s="51">
        <v>-10909.68</v>
      </c>
      <c r="L10" s="52">
        <v>0</v>
      </c>
      <c r="M10" s="52">
        <v>-2932.61</v>
      </c>
      <c r="N10" s="10">
        <v>0</v>
      </c>
      <c r="O10" s="11">
        <f>SUM(K10:N10)</f>
        <v>-13842.29</v>
      </c>
    </row>
    <row r="11" spans="1:15" x14ac:dyDescent="0.25">
      <c r="B11" s="9"/>
      <c r="C11" s="10"/>
      <c r="D11" s="10"/>
      <c r="E11" s="11"/>
      <c r="F11" s="9"/>
      <c r="G11" s="10"/>
      <c r="H11" s="10"/>
      <c r="I11" s="10"/>
      <c r="J11" s="11"/>
      <c r="K11" s="9"/>
      <c r="L11" s="10"/>
      <c r="M11" s="10"/>
      <c r="N11" s="10"/>
      <c r="O11" s="11"/>
    </row>
    <row r="12" spans="1:15" x14ac:dyDescent="0.25">
      <c r="A12" s="47" t="s">
        <v>54</v>
      </c>
      <c r="B12" s="9">
        <f>K12/F12</f>
        <v>-110.99999999999999</v>
      </c>
      <c r="C12" s="10">
        <v>0</v>
      </c>
      <c r="D12" s="10">
        <f t="shared" ref="D12" si="2">M12/H12</f>
        <v>-48</v>
      </c>
      <c r="E12" s="11">
        <v>0</v>
      </c>
      <c r="F12" s="51">
        <f>183720/2000</f>
        <v>91.86</v>
      </c>
      <c r="G12" s="52">
        <v>0</v>
      </c>
      <c r="H12" s="52">
        <f>109520/2000</f>
        <v>54.76</v>
      </c>
      <c r="I12" s="10">
        <v>0</v>
      </c>
      <c r="J12" s="11">
        <f>SUM(F12:I12)</f>
        <v>146.62</v>
      </c>
      <c r="K12" s="51">
        <v>-10196.459999999999</v>
      </c>
      <c r="L12" s="52">
        <v>0</v>
      </c>
      <c r="M12" s="52">
        <v>-2628.48</v>
      </c>
      <c r="N12" s="10">
        <v>0</v>
      </c>
      <c r="O12" s="11">
        <f>SUM(K12:N12)</f>
        <v>-12824.939999999999</v>
      </c>
    </row>
    <row r="13" spans="1:15" x14ac:dyDescent="0.25">
      <c r="B13" s="9"/>
      <c r="C13" s="10"/>
      <c r="D13" s="10"/>
      <c r="E13" s="11"/>
      <c r="F13" s="9"/>
      <c r="G13" s="10"/>
      <c r="H13" s="10"/>
      <c r="I13" s="10"/>
      <c r="J13" s="11"/>
      <c r="K13" s="9"/>
      <c r="L13" s="10"/>
      <c r="M13" s="10"/>
      <c r="N13" s="10"/>
      <c r="O13" s="11"/>
    </row>
    <row r="14" spans="1:15" x14ac:dyDescent="0.25">
      <c r="A14" s="47" t="s">
        <v>55</v>
      </c>
      <c r="B14" s="9"/>
      <c r="C14" s="10"/>
      <c r="D14" s="10"/>
      <c r="E14" s="10">
        <f t="shared" ref="E14" si="3">N14/I14</f>
        <v>-123.60000000000001</v>
      </c>
      <c r="F14" s="9"/>
      <c r="G14" s="10"/>
      <c r="H14" s="10"/>
      <c r="I14" s="52">
        <v>93.5</v>
      </c>
      <c r="J14" s="11">
        <f>SUM(F14:I14)</f>
        <v>93.5</v>
      </c>
      <c r="K14" s="9"/>
      <c r="L14" s="10"/>
      <c r="M14" s="10"/>
      <c r="N14" s="52">
        <v>-11556.6</v>
      </c>
      <c r="O14" s="11">
        <f>SUM(K14:N14)</f>
        <v>-11556.6</v>
      </c>
    </row>
    <row r="15" spans="1:15" x14ac:dyDescent="0.25">
      <c r="B15" s="9"/>
      <c r="C15" s="10"/>
      <c r="D15" s="10"/>
      <c r="E15" s="11"/>
      <c r="F15" s="9"/>
      <c r="G15" s="10"/>
      <c r="H15" s="10"/>
      <c r="I15" s="10"/>
      <c r="J15" s="11"/>
      <c r="K15" s="9"/>
      <c r="L15" s="10"/>
      <c r="M15" s="10"/>
      <c r="N15" s="10"/>
      <c r="O15" s="11"/>
    </row>
    <row r="16" spans="1:15" x14ac:dyDescent="0.25">
      <c r="A16" s="47" t="s">
        <v>56</v>
      </c>
      <c r="B16" s="9"/>
      <c r="C16" s="10"/>
      <c r="D16" s="10"/>
      <c r="E16" s="10">
        <f t="shared" ref="E16" si="4">N16/I16</f>
        <v>-123.59997642065549</v>
      </c>
      <c r="F16" s="9"/>
      <c r="G16" s="10"/>
      <c r="H16" s="10"/>
      <c r="I16" s="52">
        <v>101.78400000000001</v>
      </c>
      <c r="J16" s="11">
        <f>SUM(F16:I16)</f>
        <v>101.78400000000001</v>
      </c>
      <c r="K16" s="9"/>
      <c r="L16" s="10"/>
      <c r="M16" s="10"/>
      <c r="N16" s="52">
        <v>-12580.5</v>
      </c>
      <c r="O16" s="11">
        <f>SUM(K16:N16)</f>
        <v>-12580.5</v>
      </c>
    </row>
    <row r="17" spans="1:15" x14ac:dyDescent="0.25">
      <c r="B17" s="9"/>
      <c r="C17" s="10"/>
      <c r="D17" s="10"/>
      <c r="E17" s="11"/>
      <c r="F17" s="9"/>
      <c r="G17" s="10"/>
      <c r="H17" s="10"/>
      <c r="I17" s="10"/>
      <c r="J17" s="11"/>
      <c r="K17" s="9"/>
      <c r="L17" s="10"/>
      <c r="M17" s="10"/>
      <c r="N17" s="10"/>
      <c r="O17" s="11"/>
    </row>
    <row r="18" spans="1:15" x14ac:dyDescent="0.25">
      <c r="A18" s="47" t="s">
        <v>57</v>
      </c>
      <c r="B18" s="9"/>
      <c r="C18" s="10"/>
      <c r="D18" s="10"/>
      <c r="E18" s="10">
        <f>N18/I18</f>
        <v>-123.60000000000001</v>
      </c>
      <c r="F18" s="9"/>
      <c r="G18" s="10"/>
      <c r="H18" s="10"/>
      <c r="I18" s="52">
        <v>87.95</v>
      </c>
      <c r="J18" s="11">
        <f>SUM(F18:I18)</f>
        <v>87.95</v>
      </c>
      <c r="K18" s="9"/>
      <c r="L18" s="10"/>
      <c r="M18" s="10"/>
      <c r="N18" s="52">
        <v>-10870.62</v>
      </c>
      <c r="O18" s="11">
        <f>SUM(K18:N18)</f>
        <v>-10870.62</v>
      </c>
    </row>
    <row r="19" spans="1:15" x14ac:dyDescent="0.25">
      <c r="A19" s="26"/>
      <c r="B19" s="12"/>
      <c r="C19" s="13"/>
      <c r="D19" s="13"/>
      <c r="E19" s="14"/>
      <c r="F19" s="12"/>
      <c r="G19" s="13"/>
      <c r="H19" s="13"/>
      <c r="I19" s="13"/>
      <c r="J19" s="14"/>
      <c r="K19" s="12"/>
      <c r="L19" s="13"/>
      <c r="M19" s="13"/>
      <c r="N19" s="13"/>
      <c r="O19" s="14"/>
    </row>
    <row r="20" spans="1:1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75" thickBot="1" x14ac:dyDescent="0.3">
      <c r="B21" s="15"/>
      <c r="C21" s="15"/>
      <c r="D21" s="15"/>
      <c r="E21" s="15"/>
      <c r="F21" s="16">
        <f t="shared" ref="F21:K21" si="5">SUM(F8:F20)</f>
        <v>270.02499999999998</v>
      </c>
      <c r="G21" s="16">
        <f t="shared" si="5"/>
        <v>0</v>
      </c>
      <c r="H21" s="16">
        <f t="shared" si="5"/>
        <v>159.38499999999999</v>
      </c>
      <c r="I21" s="16">
        <f t="shared" si="5"/>
        <v>283.23399999999998</v>
      </c>
      <c r="J21" s="16">
        <f t="shared" si="5"/>
        <v>712.64400000000001</v>
      </c>
      <c r="K21" s="16">
        <f t="shared" si="5"/>
        <v>-30541</v>
      </c>
      <c r="L21" s="16">
        <f t="shared" ref="L21:N21" si="6">SUM(L8:L20)</f>
        <v>0</v>
      </c>
      <c r="M21" s="16">
        <f t="shared" si="6"/>
        <v>-8455.9699999999993</v>
      </c>
      <c r="N21" s="16">
        <f t="shared" si="6"/>
        <v>-35007.72</v>
      </c>
      <c r="O21" s="16">
        <f>SUM(O8:O19)</f>
        <v>-74004.69</v>
      </c>
    </row>
    <row r="22" spans="1:15" ht="15.75" thickTop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O23" s="6"/>
    </row>
    <row r="24" spans="1:1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M24" s="6"/>
    </row>
    <row r="25" spans="1:1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O25" s="17"/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237B3B352CB4ABEB85AC1C117F4D2" ma:contentTypeVersion="44" ma:contentTypeDescription="" ma:contentTypeScope="" ma:versionID="daf05f8b2545ee2a6d729b3b4703b1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2021-05-13T07:00:00+00:00</OpenedDate>
    <SignificantOrder xmlns="dc463f71-b30c-4ab2-9473-d307f9d35888">false</SignificantOrder>
    <Date1 xmlns="dc463f71-b30c-4ab2-9473-d307f9d35888">2021-05-13T07:00:00+00:00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210344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F9FA94-3F45-4161-898C-0B2A6865A6F5}"/>
</file>

<file path=customXml/itemProps2.xml><?xml version="1.0" encoding="utf-8"?>
<ds:datastoreItem xmlns:ds="http://schemas.openxmlformats.org/officeDocument/2006/customXml" ds:itemID="{9932AFCB-15D9-40BE-8947-F1E15705214C}"/>
</file>

<file path=customXml/itemProps3.xml><?xml version="1.0" encoding="utf-8"?>
<ds:datastoreItem xmlns:ds="http://schemas.openxmlformats.org/officeDocument/2006/customXml" ds:itemID="{83A08FD3-2D27-46E7-9824-FA591D3E780D}"/>
</file>

<file path=customXml/itemProps4.xml><?xml version="1.0" encoding="utf-8"?>
<ds:datastoreItem xmlns:ds="http://schemas.openxmlformats.org/officeDocument/2006/customXml" ds:itemID="{C5895C94-5E70-49AF-B3D5-C61887108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2021-05-11T21:21:14Z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0x0101006E56B4D1795A2E4DB2F0B01679ED314A005D8237B3B352CB4ABEB85AC1C117F4D2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