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Accounting Petitions\EDIT PLR\"/>
    </mc:Choice>
  </mc:AlternateContent>
  <bookViews>
    <workbookView xWindow="120" yWindow="15" windowWidth="18960" windowHeight="11325" tabRatio="812" activeTab="1"/>
  </bookViews>
  <sheets>
    <sheet name="Rev Req Under Stay" sheetId="3" r:id="rId1"/>
    <sheet name="Electric" sheetId="1" r:id="rId2"/>
    <sheet name="Gas" sheetId="2" r:id="rId3"/>
    <sheet name="PSE ARAM Reversal" sheetId="4" r:id="rId4"/>
    <sheet name="141X&amp;141Z" sheetId="5" r:id="rId5"/>
    <sheet name="BR13 141X thru Jan" sheetId="11" r:id="rId6"/>
    <sheet name="BR13 141X thru May" sheetId="12" r:id="rId7"/>
    <sheet name="Exh. SEF-7E p. 7" sheetId="13" r:id="rId8"/>
  </sheets>
  <externalReferences>
    <externalReference r:id="rId9"/>
  </externalReferences>
  <definedNames>
    <definedName name="_________________ex1" localSheetId="7" hidden="1">{#N/A,#N/A,FALSE,"Summ";#N/A,#N/A,FALSE,"General"}</definedName>
    <definedName name="_________________ex1" hidden="1">{#N/A,#N/A,FALSE,"Summ";#N/A,#N/A,FALSE,"General"}</definedName>
    <definedName name="_________________new1" localSheetId="7" hidden="1">{#N/A,#N/A,FALSE,"Summ";#N/A,#N/A,FALSE,"General"}</definedName>
    <definedName name="_________________new1" hidden="1">{#N/A,#N/A,FALSE,"Summ";#N/A,#N/A,FALSE,"General"}</definedName>
    <definedName name="_________________six6" localSheetId="7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ex1" localSheetId="7" hidden="1">{#N/A,#N/A,FALSE,"Summ";#N/A,#N/A,FALSE,"General"}</definedName>
    <definedName name="________________ex1" hidden="1">{#N/A,#N/A,FALSE,"Summ";#N/A,#N/A,FALSE,"General"}</definedName>
    <definedName name="________________new1" localSheetId="7" hidden="1">{#N/A,#N/A,FALSE,"Summ";#N/A,#N/A,FALSE,"General"}</definedName>
    <definedName name="________________new1" hidden="1">{#N/A,#N/A,FALSE,"Summ";#N/A,#N/A,FALSE,"General"}</definedName>
    <definedName name="________________six6" localSheetId="7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ex1" localSheetId="7" hidden="1">{#N/A,#N/A,FALSE,"Summ";#N/A,#N/A,FALSE,"General"}</definedName>
    <definedName name="_______________ex1" hidden="1">{#N/A,#N/A,FALSE,"Summ";#N/A,#N/A,FALSE,"General"}</definedName>
    <definedName name="_______________new1" localSheetId="7" hidden="1">{#N/A,#N/A,FALSE,"Summ";#N/A,#N/A,FALSE,"General"}</definedName>
    <definedName name="_______________new1" hidden="1">{#N/A,#N/A,FALSE,"Summ";#N/A,#N/A,FALSE,"General"}</definedName>
    <definedName name="_______________six6" localSheetId="7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ex1" localSheetId="7" hidden="1">{#N/A,#N/A,FALSE,"Summ";#N/A,#N/A,FALSE,"General"}</definedName>
    <definedName name="______________ex1" hidden="1">{#N/A,#N/A,FALSE,"Summ";#N/A,#N/A,FALSE,"General"}</definedName>
    <definedName name="______________new1" localSheetId="7" hidden="1">{#N/A,#N/A,FALSE,"Summ";#N/A,#N/A,FALSE,"General"}</definedName>
    <definedName name="______________new1" hidden="1">{#N/A,#N/A,FALSE,"Summ";#N/A,#N/A,FALSE,"General"}</definedName>
    <definedName name="______________six6" localSheetId="7" hidden="1">{#N/A,#N/A,FALSE,"CRPT";#N/A,#N/A,FALSE,"TREND";#N/A,#N/A,FALSE,"%Curve"}</definedName>
    <definedName name="______________six6" hidden="1">{#N/A,#N/A,FALSE,"CRPT";#N/A,#N/A,FALSE,"TREND";#N/A,#N/A,FALSE,"%Curve"}</definedName>
    <definedName name="_____________ex1" localSheetId="7" hidden="1">{#N/A,#N/A,FALSE,"Summ";#N/A,#N/A,FALSE,"General"}</definedName>
    <definedName name="_____________ex1" hidden="1">{#N/A,#N/A,FALSE,"Summ";#N/A,#N/A,FALSE,"General"}</definedName>
    <definedName name="_____________new1" localSheetId="7" hidden="1">{#N/A,#N/A,FALSE,"Summ";#N/A,#N/A,FALSE,"General"}</definedName>
    <definedName name="_____________new1" hidden="1">{#N/A,#N/A,FALSE,"Summ";#N/A,#N/A,FALSE,"General"}</definedName>
    <definedName name="_____________six6" localSheetId="7" hidden="1">{#N/A,#N/A,FALSE,"CRPT";#N/A,#N/A,FALSE,"TREND";#N/A,#N/A,FALSE,"%Curve"}</definedName>
    <definedName name="_____________six6" hidden="1">{#N/A,#N/A,FALSE,"CRPT";#N/A,#N/A,FALSE,"TREND";#N/A,#N/A,FALSE,"%Curve"}</definedName>
    <definedName name="____________ex1" localSheetId="7" hidden="1">{#N/A,#N/A,FALSE,"Summ";#N/A,#N/A,FALSE,"General"}</definedName>
    <definedName name="____________ex1" hidden="1">{#N/A,#N/A,FALSE,"Summ";#N/A,#N/A,FALSE,"General"}</definedName>
    <definedName name="____________new1" localSheetId="7" hidden="1">{#N/A,#N/A,FALSE,"Summ";#N/A,#N/A,FALSE,"General"}</definedName>
    <definedName name="____________new1" hidden="1">{#N/A,#N/A,FALSE,"Summ";#N/A,#N/A,FALSE,"General"}</definedName>
    <definedName name="____________six6" localSheetId="7" hidden="1">{#N/A,#N/A,FALSE,"CRPT";#N/A,#N/A,FALSE,"TREND";#N/A,#N/A,FALSE,"%Curve"}</definedName>
    <definedName name="____________six6" hidden="1">{#N/A,#N/A,FALSE,"CRPT";#N/A,#N/A,FALSE,"TREND";#N/A,#N/A,FALSE,"%Curve"}</definedName>
    <definedName name="___________ex1" localSheetId="7" hidden="1">{#N/A,#N/A,FALSE,"Summ";#N/A,#N/A,FALSE,"General"}</definedName>
    <definedName name="___________ex1" hidden="1">{#N/A,#N/A,FALSE,"Summ";#N/A,#N/A,FALSE,"General"}</definedName>
    <definedName name="___________new1" localSheetId="7" hidden="1">{#N/A,#N/A,FALSE,"Summ";#N/A,#N/A,FALSE,"General"}</definedName>
    <definedName name="___________new1" hidden="1">{#N/A,#N/A,FALSE,"Summ";#N/A,#N/A,FALSE,"General"}</definedName>
    <definedName name="___________six6" localSheetId="7" hidden="1">{#N/A,#N/A,FALSE,"CRPT";#N/A,#N/A,FALSE,"TREND";#N/A,#N/A,FALSE,"%Curve"}</definedName>
    <definedName name="___________six6" hidden="1">{#N/A,#N/A,FALSE,"CRPT";#N/A,#N/A,FALSE,"TREND";#N/A,#N/A,FALSE,"%Curve"}</definedName>
    <definedName name="__________ex1" localSheetId="7" hidden="1">{#N/A,#N/A,FALSE,"Summ";#N/A,#N/A,FALSE,"General"}</definedName>
    <definedName name="__________ex1" hidden="1">{#N/A,#N/A,FALSE,"Summ";#N/A,#N/A,FALSE,"General"}</definedName>
    <definedName name="__________new1" localSheetId="7" hidden="1">{#N/A,#N/A,FALSE,"Summ";#N/A,#N/A,FALSE,"General"}</definedName>
    <definedName name="__________new1" hidden="1">{#N/A,#N/A,FALSE,"Summ";#N/A,#N/A,FALSE,"General"}</definedName>
    <definedName name="__________six6" localSheetId="7" hidden="1">{#N/A,#N/A,FALSE,"CRPT";#N/A,#N/A,FALSE,"TREND";#N/A,#N/A,FALSE,"%Curve"}</definedName>
    <definedName name="__________six6" hidden="1">{#N/A,#N/A,FALSE,"CRPT";#N/A,#N/A,FALSE,"TREND";#N/A,#N/A,FALSE,"%Curve"}</definedName>
    <definedName name="_________ex1" localSheetId="7" hidden="1">{#N/A,#N/A,FALSE,"Summ";#N/A,#N/A,FALSE,"General"}</definedName>
    <definedName name="_________ex1" hidden="1">{#N/A,#N/A,FALSE,"Summ";#N/A,#N/A,FALSE,"General"}</definedName>
    <definedName name="_________new1" localSheetId="7" hidden="1">{#N/A,#N/A,FALSE,"Summ";#N/A,#N/A,FALSE,"General"}</definedName>
    <definedName name="_________new1" hidden="1">{#N/A,#N/A,FALSE,"Summ";#N/A,#N/A,FALSE,"General"}</definedName>
    <definedName name="_________six6" localSheetId="7" hidden="1">{#N/A,#N/A,FALSE,"CRPT";#N/A,#N/A,FALSE,"TREND";#N/A,#N/A,FALSE,"%Curve"}</definedName>
    <definedName name="_________six6" hidden="1">{#N/A,#N/A,FALSE,"CRPT";#N/A,#N/A,FALSE,"TREND";#N/A,#N/A,FALSE,"%Curve"}</definedName>
    <definedName name="________ex1" localSheetId="7" hidden="1">{#N/A,#N/A,FALSE,"Summ";#N/A,#N/A,FALSE,"General"}</definedName>
    <definedName name="________ex1" hidden="1">{#N/A,#N/A,FALSE,"Summ";#N/A,#N/A,FALSE,"General"}</definedName>
    <definedName name="________new1" localSheetId="7" hidden="1">{#N/A,#N/A,FALSE,"Summ";#N/A,#N/A,FALSE,"General"}</definedName>
    <definedName name="________new1" hidden="1">{#N/A,#N/A,FALSE,"Summ";#N/A,#N/A,FALSE,"General"}</definedName>
    <definedName name="________six6" localSheetId="7" hidden="1">{#N/A,#N/A,FALSE,"CRPT";#N/A,#N/A,FALSE,"TREND";#N/A,#N/A,FALSE,"%Curve"}</definedName>
    <definedName name="________six6" hidden="1">{#N/A,#N/A,FALSE,"CRPT";#N/A,#N/A,FALSE,"TREND";#N/A,#N/A,FALSE,"%Curve"}</definedName>
    <definedName name="_______ex1" localSheetId="7" hidden="1">{#N/A,#N/A,FALSE,"Summ";#N/A,#N/A,FALSE,"General"}</definedName>
    <definedName name="_______ex1" hidden="1">{#N/A,#N/A,FALSE,"Summ";#N/A,#N/A,FALSE,"General"}</definedName>
    <definedName name="_______new1" localSheetId="7" hidden="1">{#N/A,#N/A,FALSE,"Summ";#N/A,#N/A,FALSE,"General"}</definedName>
    <definedName name="_______new1" hidden="1">{#N/A,#N/A,FALSE,"Summ";#N/A,#N/A,FALSE,"General"}</definedName>
    <definedName name="_______six6" localSheetId="7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7" hidden="1">{#N/A,#N/A,FALSE,"schA"}</definedName>
    <definedName name="_______www1" hidden="1">{#N/A,#N/A,FALSE,"schA"}</definedName>
    <definedName name="______ex1" localSheetId="7" hidden="1">{#N/A,#N/A,FALSE,"Summ";#N/A,#N/A,FALSE,"General"}</definedName>
    <definedName name="______ex1" hidden="1">{#N/A,#N/A,FALSE,"Summ";#N/A,#N/A,FALSE,"General"}</definedName>
    <definedName name="______new1" localSheetId="7" hidden="1">{#N/A,#N/A,FALSE,"Summ";#N/A,#N/A,FALSE,"General"}</definedName>
    <definedName name="______new1" hidden="1">{#N/A,#N/A,FALSE,"Summ";#N/A,#N/A,FALSE,"General"}</definedName>
    <definedName name="______six6" localSheetId="7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7" hidden="1">{#N/A,#N/A,FALSE,"schA"}</definedName>
    <definedName name="______www1" hidden="1">{#N/A,#N/A,FALSE,"schA"}</definedName>
    <definedName name="_____ex1" localSheetId="7" hidden="1">{#N/A,#N/A,FALSE,"Summ";#N/A,#N/A,FALSE,"General"}</definedName>
    <definedName name="_____ex1" hidden="1">{#N/A,#N/A,FALSE,"Summ";#N/A,#N/A,FALSE,"General"}</definedName>
    <definedName name="_____new1" localSheetId="7" hidden="1">{#N/A,#N/A,FALSE,"Summ";#N/A,#N/A,FALSE,"General"}</definedName>
    <definedName name="_____new1" hidden="1">{#N/A,#N/A,FALSE,"Summ";#N/A,#N/A,FALSE,"General"}</definedName>
    <definedName name="_____six6" localSheetId="7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7" hidden="1">{#N/A,#N/A,FALSE,"schA"}</definedName>
    <definedName name="_____www1" hidden="1">{#N/A,#N/A,FALSE,"schA"}</definedName>
    <definedName name="____ex1" localSheetId="7" hidden="1">{#N/A,#N/A,FALSE,"Summ";#N/A,#N/A,FALSE,"General"}</definedName>
    <definedName name="____ex1" hidden="1">{#N/A,#N/A,FALSE,"Summ";#N/A,#N/A,FALSE,"General"}</definedName>
    <definedName name="____new1" localSheetId="7" hidden="1">{#N/A,#N/A,FALSE,"Summ";#N/A,#N/A,FALSE,"General"}</definedName>
    <definedName name="____new1" hidden="1">{#N/A,#N/A,FALSE,"Summ";#N/A,#N/A,FALSE,"General"}</definedName>
    <definedName name="____six6" localSheetId="7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7" hidden="1">{#N/A,#N/A,FALSE,"schA"}</definedName>
    <definedName name="____www1" hidden="1">{#N/A,#N/A,FALSE,"schA"}</definedName>
    <definedName name="___ex1" localSheetId="7" hidden="1">{#N/A,#N/A,FALSE,"Summ";#N/A,#N/A,FALSE,"General"}</definedName>
    <definedName name="___ex1" hidden="1">{#N/A,#N/A,FALSE,"Summ";#N/A,#N/A,FALSE,"General"}</definedName>
    <definedName name="___new1" localSheetId="7" hidden="1">{#N/A,#N/A,FALSE,"Summ";#N/A,#N/A,FALSE,"General"}</definedName>
    <definedName name="___new1" hidden="1">{#N/A,#N/A,FALSE,"Summ";#N/A,#N/A,FALSE,"General"}</definedName>
    <definedName name="___six6" localSheetId="7" hidden="1">{#N/A,#N/A,FALSE,"CRPT";#N/A,#N/A,FALSE,"TREND";#N/A,#N/A,FALSE,"%Curve"}</definedName>
    <definedName name="___six6" hidden="1">{#N/A,#N/A,FALSE,"CRPT";#N/A,#N/A,FALSE,"TREND";#N/A,#N/A,FALSE,"%Curve"}</definedName>
    <definedName name="___www1" localSheetId="7" hidden="1">{#N/A,#N/A,FALSE,"schA"}</definedName>
    <definedName name="___www1" hidden="1">{#N/A,#N/A,FALSE,"schA"}</definedName>
    <definedName name="__123Graph_D" hidden="1">#REF!</definedName>
    <definedName name="__123Graph_ECURRENT" localSheetId="7" hidden="1">#N/A</definedName>
    <definedName name="__123Graph_ECURRENT" hidden="1">[1]ConsolidatingPL!#REF!</definedName>
    <definedName name="__ex1" localSheetId="7" hidden="1">{#N/A,#N/A,FALSE,"Summ";#N/A,#N/A,FALSE,"General"}</definedName>
    <definedName name="__ex1" hidden="1">{#N/A,#N/A,FALSE,"Summ";#N/A,#N/A,FALSE,"General"}</definedName>
    <definedName name="__new1" localSheetId="7" hidden="1">{#N/A,#N/A,FALSE,"Summ";#N/A,#N/A,FALSE,"General"}</definedName>
    <definedName name="__new1" hidden="1">{#N/A,#N/A,FALSE,"Summ";#N/A,#N/A,FALSE,"General"}</definedName>
    <definedName name="__six6" localSheetId="7" hidden="1">{#N/A,#N/A,FALSE,"CRPT";#N/A,#N/A,FALSE,"TREND";#N/A,#N/A,FALSE,"%Curve"}</definedName>
    <definedName name="__six6" hidden="1">{#N/A,#N/A,FALSE,"CRPT";#N/A,#N/A,FALSE,"TREND";#N/A,#N/A,FALSE,"%Curve"}</definedName>
    <definedName name="__www1" localSheetId="7" hidden="1">{#N/A,#N/A,FALSE,"schA"}</definedName>
    <definedName name="__www1" hidden="1">{#N/A,#N/A,FALSE,"schA"}</definedName>
    <definedName name="_ex1" localSheetId="7" hidden="1">{#N/A,#N/A,FALSE,"Summ";#N/A,#N/A,FALSE,"General"}</definedName>
    <definedName name="_ex1" hidden="1">{#N/A,#N/A,FALSE,"Summ";#N/A,#N/A,FALSE,"General"}</definedName>
    <definedName name="_Key1" hidden="1">#REF!</definedName>
    <definedName name="_Key2" hidden="1">#REF!</definedName>
    <definedName name="_new1" localSheetId="7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localSheetId="7" hidden="1">{#N/A,#N/A,FALSE,"schA"}</definedName>
    <definedName name="_www1" hidden="1">{#N/A,#N/A,FALSE,"schA"}</definedName>
    <definedName name="a" hidden="1">{#N/A,#N/A,FALSE,"Coversheet";#N/A,#N/A,FALSE,"QA"}</definedName>
    <definedName name="AAAAAAAAAAAAAA" localSheetId="7" hidden="1">{#N/A,#N/A,FALSE,"Coversheet";#N/A,#N/A,FALSE,"QA"}</definedName>
    <definedName name="AAAAAAAAAAAAAA" hidden="1">{#N/A,#N/A,FALSE,"Coversheet";#N/A,#N/A,FALSE,"QA"}</definedName>
    <definedName name="abc" hidden="1">{#N/A,#N/A,FALSE,"Coversheet";#N/A,#N/A,FALSE,"QA"}</definedName>
    <definedName name="AccessDatabase" hidden="1">"I:\COMTREL\FINICLE\TradeSummary.mdb"</definedName>
    <definedName name="b" localSheetId="7" hidden="1">{"Plat Summary",#N/A,FALSE,"PLAT DESIGN"}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7" hidden="1">{#N/A,#N/A,FALSE,"Coversheet";#N/A,#N/A,FALSE,"QA"}</definedName>
    <definedName name="DELETE01" hidden="1">{#N/A,#N/A,FALSE,"Coversheet";#N/A,#N/A,FALSE,"QA"}</definedName>
    <definedName name="DELETE02" localSheetId="7" hidden="1">{#N/A,#N/A,FALSE,"Schedule F";#N/A,#N/A,FALSE,"Schedule G"}</definedName>
    <definedName name="DELETE02" hidden="1">{#N/A,#N/A,FALSE,"Schedule F";#N/A,#N/A,FALSE,"Schedule G"}</definedName>
    <definedName name="Delete06" localSheetId="7" hidden="1">{#N/A,#N/A,FALSE,"Coversheet";#N/A,#N/A,FALSE,"QA"}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7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localSheetId="7" hidden="1">{#N/A,#N/A,FALSE,"Coversheet";#N/A,#N/A,FALSE,"QA"}</definedName>
    <definedName name="Delete21" hidden="1">{#N/A,#N/A,FALSE,"Coversheet";#N/A,#N/A,FALSE,"QA"}</definedName>
    <definedName name="DFIT" hidden="1">{#N/A,#N/A,FALSE,"Coversheet";#N/A,#N/A,FALSE,"QA"}</definedName>
    <definedName name="ee" localSheetId="7" hidden="1">{#N/A,#N/A,FALSE,"Month ";#N/A,#N/A,FALSE,"YTD";#N/A,#N/A,FALSE,"12 mo ended"}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7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7" hidden="1">{#N/A,#N/A,FALSE,"Coversheet";#N/A,#N/A,FALSE,"QA"}</definedName>
    <definedName name="ffff" hidden="1">{#N/A,#N/A,FALSE,"Coversheet";#N/A,#N/A,FALSE,"QA"}</definedName>
    <definedName name="fffgf" localSheetId="7" hidden="1">{#N/A,#N/A,FALSE,"Coversheet";#N/A,#N/A,FALSE,"QA"}</definedName>
    <definedName name="fffgf" hidden="1">{#N/A,#N/A,FALSE,"Coversheet";#N/A,#N/A,FALSE,"QA"}</definedName>
    <definedName name="helllo" localSheetId="7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7" hidden="1">{#N/A,#N/A,FALSE,"Coversheet";#N/A,#N/A,FALSE,"QA"}</definedName>
    <definedName name="HELP" hidden="1">{#N/A,#N/A,FALSE,"Coversheet";#N/A,#N/A,FALSE,"QA"}</definedName>
    <definedName name="income_satement_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7" hidden="1">{#N/A,#N/A,FALSE,"Summ";#N/A,#N/A,FALSE,"General"}</definedName>
    <definedName name="jfkljsdkljiejgr" hidden="1">{#N/A,#N/A,FALSE,"Summ";#N/A,#N/A,FALSE,"General"}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7" hidden="1">{#N/A,#N/A,FALSE,"Coversheet";#N/A,#N/A,FALSE,"QA"}</definedName>
    <definedName name="lookup" hidden="1">{#N/A,#N/A,FALSE,"Coversheet";#N/A,#N/A,FALSE,"QA"}</definedName>
    <definedName name="Miller" localSheetId="7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7" hidden="1">{#N/A,#N/A,FALSE,"Coversheet";#N/A,#N/A,FALSE,"QA"}</definedName>
    <definedName name="q" hidden="1">{#N/A,#N/A,FALSE,"Coversheet";#N/A,#N/A,FALSE,"QA"}</definedName>
    <definedName name="qqq" localSheetId="7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7" hidden="1">{#N/A,#N/A,FALSE,"Summ";#N/A,#N/A,FALSE,"General"}</definedName>
    <definedName name="sdlfhsdlhfkl" hidden="1">{#N/A,#N/A,FALSE,"Summ";#N/A,#N/A,FALSE,"General"}</definedName>
    <definedName name="seven" localSheetId="7" hidden="1">{#N/A,#N/A,FALSE,"CRPT";#N/A,#N/A,FALSE,"TREND";#N/A,#N/A,FALSE,"%Curve"}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ummary" localSheetId="7" hidden="1">{"Plat Summary",#N/A,FALSE,"PLAT DESIGN"}</definedName>
    <definedName name="summary" hidden="1">{"Plat Summary",#N/A,FALSE,"PLAT DESIGN"}</definedName>
    <definedName name="t" hidden="1">{#N/A,#N/A,FALSE,"CESTSUM";#N/A,#N/A,FALSE,"est sum A";#N/A,#N/A,FALSE,"est detail A"}</definedName>
    <definedName name="tem" localSheetId="7" hidden="1">{#N/A,#N/A,FALSE,"Summ";#N/A,#N/A,FALSE,"General"}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localSheetId="7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7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7" hidden="1">{#N/A,#N/A,FALSE,"Coversheet";#N/A,#N/A,FALSE,"QA"}</definedName>
    <definedName name="v" hidden="1">{#N/A,#N/A,FALSE,"Coversheet";#N/A,#N/A,FALSE,"QA"}</definedName>
    <definedName name="Value" localSheetId="7" hidden="1">{#N/A,#N/A,FALSE,"Summ";#N/A,#N/A,FALSE,"General"}</definedName>
    <definedName name="Value" hidden="1">{#N/A,#N/A,FALSE,"Summ";#N/A,#N/A,FALSE,"General"}</definedName>
    <definedName name="w" localSheetId="7" hidden="1">{#N/A,#N/A,FALSE,"Schedule F";#N/A,#N/A,FALSE,"Schedule G"}</definedName>
    <definedName name="w" hidden="1">{#N/A,#N/A,FALSE,"Schedule F";#N/A,#N/A,FALSE,"Schedule G"}</definedName>
    <definedName name="we" localSheetId="7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7" hidden="1">{#N/A,#N/A,FALSE,"Coversheet";#N/A,#N/A,FALSE,"QA"}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7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localSheetId="7" hidden="1">{#N/A,#N/A,FALSE,"schA"}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localSheetId="7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7" hidden="1">{#N/A,#N/A,FALSE,"Coversheet";#N/A,#N/A,FALSE,"QA"}</definedName>
    <definedName name="wrn.Incentive._.Overhead." hidden="1">{#N/A,#N/A,FALSE,"Coversheet";#N/A,#N/A,FALSE,"QA"}</definedName>
    <definedName name="wrn.limit_reports." localSheetId="7" hidden="1">{#N/A,#N/A,FALSE,"Schedule F";#N/A,#N/A,FALSE,"Schedule G"}</definedName>
    <definedName name="wrn.limit_reports." hidden="1">{#N/A,#N/A,FALSE,"Schedule F";#N/A,#N/A,FALSE,"Schedule G"}</definedName>
    <definedName name="wrn.MARGIN_WO_QTR." localSheetId="7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7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7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7" hidden="1">{#N/A,#N/A,FALSE,"schA"}</definedName>
    <definedName name="www" hidden="1">{#N/A,#N/A,FALSE,"schA"}</definedName>
    <definedName name="x" localSheetId="7" hidden="1">{#N/A,#N/A,FALSE,"Coversheet";#N/A,#N/A,FALSE,"QA"}</definedName>
    <definedName name="x" hidden="1">{#N/A,#N/A,FALSE,"Coversheet";#N/A,#N/A,FALSE,"QA"}</definedName>
    <definedName name="xx" localSheetId="7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localSheetId="7" hidden="1">{#N/A,#N/A,FALSE,"Summ";#N/A,#N/A,FALSE,"General"}</definedName>
    <definedName name="xxx" hidden="1">{#N/A,#N/A,FALSE,"Summ";#N/A,#N/A,FALSE,"General"}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7" hidden="1">{#N/A,#N/A,FALSE,"Summ";#N/A,#N/A,FALSE,"General"}</definedName>
    <definedName name="yuf" hidden="1">{#N/A,#N/A,FALSE,"Summ";#N/A,#N/A,FALSE,"General"}</definedName>
    <definedName name="z" localSheetId="7" hidden="1">{#N/A,#N/A,FALSE,"Coversheet";#N/A,#N/A,FALSE,"QA"}</definedName>
    <definedName name="z" hidden="1">{#N/A,#N/A,FALSE,"Coversheet";#N/A,#N/A,FALSE,"QA"}</definedName>
  </definedNames>
  <calcPr calcId="162913" iterate="1" calcOnSave="0"/>
</workbook>
</file>

<file path=xl/calcChain.xml><?xml version="1.0" encoding="utf-8"?>
<calcChain xmlns="http://schemas.openxmlformats.org/spreadsheetml/2006/main">
  <c r="E6" i="3" l="1"/>
  <c r="L15" i="4" l="1"/>
  <c r="N15" i="4" s="1"/>
  <c r="M16" i="4"/>
  <c r="G32" i="13"/>
  <c r="H32" i="13" s="1"/>
  <c r="E32" i="13"/>
  <c r="F32" i="13" s="1"/>
  <c r="D32" i="13"/>
  <c r="E31" i="13"/>
  <c r="G31" i="13" s="1"/>
  <c r="H30" i="13"/>
  <c r="G30" i="13"/>
  <c r="F30" i="13"/>
  <c r="E30" i="13"/>
  <c r="D30" i="13"/>
  <c r="H26" i="13"/>
  <c r="G26" i="13"/>
  <c r="F26" i="13"/>
  <c r="E26" i="13"/>
  <c r="D26" i="13"/>
  <c r="G25" i="13"/>
  <c r="H25" i="13" s="1"/>
  <c r="H27" i="13" s="1"/>
  <c r="E25" i="13"/>
  <c r="F25" i="13" s="1"/>
  <c r="F27" i="13" s="1"/>
  <c r="D25" i="13"/>
  <c r="D31" i="13" s="1"/>
  <c r="D33" i="13" s="1"/>
  <c r="C25" i="13"/>
  <c r="H24" i="13"/>
  <c r="F24" i="13"/>
  <c r="G19" i="13"/>
  <c r="E19" i="13"/>
  <c r="D19" i="13"/>
  <c r="H18" i="13"/>
  <c r="H19" i="13" s="1"/>
  <c r="G18" i="13"/>
  <c r="F18" i="13"/>
  <c r="H17" i="13"/>
  <c r="G17" i="13"/>
  <c r="F17" i="13"/>
  <c r="F19" i="13" s="1"/>
  <c r="E17" i="13"/>
  <c r="D17" i="13"/>
  <c r="H16" i="13"/>
  <c r="G16" i="13"/>
  <c r="F16" i="13"/>
  <c r="A16" i="13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15" i="13"/>
  <c r="A14" i="13"/>
  <c r="L16" i="4" l="1"/>
  <c r="H31" i="13"/>
  <c r="G33" i="13"/>
  <c r="H33" i="13"/>
  <c r="G27" i="13"/>
  <c r="E33" i="13"/>
  <c r="D27" i="13"/>
  <c r="F31" i="13"/>
  <c r="F33" i="13" s="1"/>
  <c r="E27" i="13"/>
  <c r="T7" i="12" l="1"/>
  <c r="A8" i="12"/>
  <c r="I8" i="12"/>
  <c r="K8" i="12"/>
  <c r="T8" i="12"/>
  <c r="A9" i="12"/>
  <c r="K9" i="12"/>
  <c r="T9" i="12"/>
  <c r="A10" i="12"/>
  <c r="K10" i="12"/>
  <c r="T10" i="12"/>
  <c r="A11" i="12"/>
  <c r="I11" i="12"/>
  <c r="K11" i="12"/>
  <c r="T11" i="12"/>
  <c r="A12" i="12"/>
  <c r="I12" i="12"/>
  <c r="K12" i="12"/>
  <c r="T12" i="12"/>
  <c r="A13" i="12"/>
  <c r="I13" i="12"/>
  <c r="K13" i="12"/>
  <c r="T13" i="12"/>
  <c r="A14" i="12"/>
  <c r="I14" i="12"/>
  <c r="K14" i="12"/>
  <c r="K15" i="12" s="1"/>
  <c r="K16" i="12" s="1"/>
  <c r="K17" i="12" s="1"/>
  <c r="K18" i="12" s="1"/>
  <c r="K19" i="12" s="1"/>
  <c r="K20" i="12" s="1"/>
  <c r="K21" i="12" s="1"/>
  <c r="T14" i="12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T15" i="12"/>
  <c r="T16" i="12"/>
  <c r="I17" i="12"/>
  <c r="T17" i="12"/>
  <c r="I18" i="12"/>
  <c r="T18" i="12"/>
  <c r="I19" i="12"/>
  <c r="T19" i="12"/>
  <c r="T20" i="12"/>
  <c r="O21" i="12"/>
  <c r="P21" i="12"/>
  <c r="Q21" i="12"/>
  <c r="R21" i="12"/>
  <c r="T21" i="12"/>
  <c r="I22" i="12"/>
  <c r="T23" i="12"/>
  <c r="I25" i="12"/>
  <c r="I26" i="12"/>
  <c r="I29" i="12"/>
  <c r="I32" i="12"/>
  <c r="I34" i="12"/>
  <c r="D36" i="12"/>
  <c r="E36" i="12"/>
  <c r="F36" i="12"/>
  <c r="G36" i="12"/>
  <c r="I36" i="12"/>
  <c r="I38" i="12"/>
  <c r="A8" i="11"/>
  <c r="P8" i="11"/>
  <c r="A9" i="11"/>
  <c r="A10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P11" i="11"/>
  <c r="P12" i="11"/>
  <c r="P13" i="11"/>
  <c r="P14" i="11"/>
  <c r="P17" i="11"/>
  <c r="P18" i="11"/>
  <c r="P19" i="11"/>
  <c r="P22" i="11"/>
  <c r="P25" i="11"/>
  <c r="P26" i="11"/>
  <c r="P29" i="11"/>
  <c r="P32" i="11"/>
  <c r="P34" i="11"/>
  <c r="D36" i="11"/>
  <c r="E36" i="11"/>
  <c r="F36" i="11"/>
  <c r="G36" i="11"/>
  <c r="H36" i="11"/>
  <c r="I36" i="11"/>
  <c r="J36" i="11"/>
  <c r="K36" i="11"/>
  <c r="L36" i="11"/>
  <c r="M36" i="11"/>
  <c r="N36" i="11"/>
  <c r="P36" i="11"/>
  <c r="Q36" i="11"/>
  <c r="R36" i="11"/>
  <c r="Q44" i="11"/>
  <c r="A45" i="11"/>
  <c r="Q45" i="11"/>
  <c r="A46" i="1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Q46" i="11"/>
  <c r="Q47" i="11"/>
  <c r="Q48" i="11"/>
  <c r="Q49" i="11"/>
  <c r="Q50" i="11"/>
  <c r="Q51" i="11"/>
  <c r="Q52" i="11"/>
  <c r="Q53" i="11"/>
  <c r="Q54" i="11"/>
  <c r="Q55" i="11"/>
  <c r="Q56" i="11"/>
  <c r="Q57" i="11"/>
  <c r="E58" i="11"/>
  <c r="F58" i="11"/>
  <c r="G58" i="11"/>
  <c r="H58" i="11"/>
  <c r="I58" i="11"/>
  <c r="J58" i="11"/>
  <c r="K58" i="11"/>
  <c r="L58" i="11"/>
  <c r="M58" i="11"/>
  <c r="N58" i="11"/>
  <c r="O58" i="11"/>
  <c r="Q58" i="11"/>
  <c r="S58" i="11" s="1"/>
  <c r="R58" i="11"/>
  <c r="K54" i="1" l="1"/>
  <c r="E69" i="5" l="1"/>
  <c r="E103" i="5"/>
  <c r="D103" i="5"/>
  <c r="E102" i="5"/>
  <c r="D102" i="5"/>
  <c r="H142" i="5"/>
  <c r="H144" i="5" s="1"/>
  <c r="G142" i="5"/>
  <c r="G144" i="5" s="1"/>
  <c r="E101" i="5" s="1"/>
  <c r="F140" i="5"/>
  <c r="F142" i="5" s="1"/>
  <c r="F144" i="5" s="1"/>
  <c r="G120" i="5"/>
  <c r="G122" i="5" s="1"/>
  <c r="D101" i="5" s="1"/>
  <c r="F118" i="5"/>
  <c r="F120" i="5" s="1"/>
  <c r="F122" i="5" s="1"/>
  <c r="F102" i="5" l="1"/>
  <c r="F101" i="5"/>
  <c r="E105" i="5"/>
  <c r="D11" i="5" s="1"/>
  <c r="D105" i="5"/>
  <c r="C11" i="5" s="1"/>
  <c r="F103" i="5"/>
  <c r="F105" i="5" s="1"/>
  <c r="H118" i="5"/>
  <c r="H120" i="5" s="1"/>
  <c r="H122" i="5" s="1"/>
  <c r="D73" i="5" l="1"/>
  <c r="G67" i="5"/>
  <c r="G70" i="5" s="1"/>
  <c r="E67" i="5"/>
  <c r="D67" i="5"/>
  <c r="D69" i="5" s="1"/>
  <c r="H66" i="5"/>
  <c r="H67" i="5" s="1"/>
  <c r="H70" i="5" s="1"/>
  <c r="F66" i="5"/>
  <c r="F67" i="5" s="1"/>
  <c r="F70" i="5" s="1"/>
  <c r="G63" i="5"/>
  <c r="D63" i="5"/>
  <c r="E62" i="5"/>
  <c r="F62" i="5" s="1"/>
  <c r="F63" i="5" s="1"/>
  <c r="D46" i="5"/>
  <c r="G40" i="5"/>
  <c r="G43" i="5" s="1"/>
  <c r="E40" i="5"/>
  <c r="E42" i="5" s="1"/>
  <c r="D40" i="5"/>
  <c r="H39" i="5"/>
  <c r="H40" i="5" s="1"/>
  <c r="H43" i="5" s="1"/>
  <c r="F39" i="5"/>
  <c r="F40" i="5" s="1"/>
  <c r="F43" i="5" s="1"/>
  <c r="G36" i="5"/>
  <c r="D36" i="5"/>
  <c r="E35" i="5"/>
  <c r="F35" i="5" s="1"/>
  <c r="F36" i="5" s="1"/>
  <c r="D6" i="5"/>
  <c r="C6" i="5"/>
  <c r="E11" i="5"/>
  <c r="D43" i="5" l="1"/>
  <c r="D42" i="5"/>
  <c r="F42" i="5" s="1"/>
  <c r="H62" i="5"/>
  <c r="H63" i="5" s="1"/>
  <c r="H35" i="5"/>
  <c r="H36" i="5" s="1"/>
  <c r="E6" i="5"/>
  <c r="F69" i="5"/>
  <c r="D70" i="5"/>
  <c r="E70" i="5"/>
  <c r="E63" i="5"/>
  <c r="E43" i="5"/>
  <c r="E36" i="5"/>
  <c r="M18" i="4" l="1"/>
  <c r="E7" i="3" s="1"/>
  <c r="N14" i="4"/>
  <c r="N16" i="4" s="1"/>
  <c r="G85" i="5" l="1"/>
  <c r="D74" i="5"/>
  <c r="D75" i="5" s="1"/>
  <c r="D8" i="5" s="1"/>
  <c r="D18" i="5" l="1"/>
  <c r="G91" i="5"/>
  <c r="H91" i="5" s="1"/>
  <c r="H85" i="5"/>
  <c r="H95" i="5" l="1"/>
  <c r="D10" i="5" s="1"/>
  <c r="D12" i="5" s="1"/>
  <c r="K63" i="2"/>
  <c r="J63" i="2"/>
  <c r="I63" i="2"/>
  <c r="K62" i="2"/>
  <c r="J62" i="2"/>
  <c r="I62" i="2"/>
  <c r="K60" i="2"/>
  <c r="J60" i="2"/>
  <c r="I60" i="2"/>
  <c r="K59" i="2"/>
  <c r="J59" i="2"/>
  <c r="I59" i="2"/>
  <c r="D57" i="2"/>
  <c r="D58" i="2" s="1"/>
  <c r="D61" i="2" s="1"/>
  <c r="D64" i="2" s="1"/>
  <c r="C57" i="2"/>
  <c r="C58" i="2" s="1"/>
  <c r="C61" i="2" s="1"/>
  <c r="C64" i="2" s="1"/>
  <c r="J56" i="2"/>
  <c r="I56" i="2"/>
  <c r="I55" i="2"/>
  <c r="J55" i="2"/>
  <c r="J54" i="2"/>
  <c r="I54" i="2"/>
  <c r="I53" i="2"/>
  <c r="J52" i="2"/>
  <c r="I52" i="2"/>
  <c r="I51" i="2"/>
  <c r="J50" i="2"/>
  <c r="I50" i="2"/>
  <c r="I49" i="2"/>
  <c r="J49" i="2"/>
  <c r="I48" i="2"/>
  <c r="J48" i="2"/>
  <c r="I47" i="2"/>
  <c r="I46" i="2"/>
  <c r="I45" i="2"/>
  <c r="J45" i="2"/>
  <c r="J44" i="2"/>
  <c r="I44" i="2"/>
  <c r="J43" i="2"/>
  <c r="I43" i="2"/>
  <c r="I42" i="2"/>
  <c r="J41" i="2"/>
  <c r="I41" i="2"/>
  <c r="I40" i="2"/>
  <c r="J39" i="2"/>
  <c r="I39" i="2"/>
  <c r="J38" i="2"/>
  <c r="I38" i="2"/>
  <c r="I37" i="2"/>
  <c r="J36" i="2"/>
  <c r="I36" i="2"/>
  <c r="J35" i="2"/>
  <c r="I35" i="2"/>
  <c r="I34" i="2"/>
  <c r="J31" i="2"/>
  <c r="I31" i="2"/>
  <c r="J30" i="2"/>
  <c r="I30" i="2"/>
  <c r="I29" i="2"/>
  <c r="J29" i="2"/>
  <c r="I28" i="2"/>
  <c r="I27" i="2"/>
  <c r="I26" i="2"/>
  <c r="I25" i="2"/>
  <c r="J25" i="2"/>
  <c r="I24" i="2"/>
  <c r="J23" i="2"/>
  <c r="I23" i="2"/>
  <c r="I22" i="2"/>
  <c r="J21" i="2"/>
  <c r="I21" i="2"/>
  <c r="J20" i="2"/>
  <c r="I20" i="2"/>
  <c r="J19" i="2"/>
  <c r="I19" i="2"/>
  <c r="I18" i="2"/>
  <c r="I17" i="2"/>
  <c r="I16" i="2"/>
  <c r="I15" i="2"/>
  <c r="I14" i="2"/>
  <c r="J13" i="2"/>
  <c r="I13" i="2"/>
  <c r="J12" i="2"/>
  <c r="I12" i="2"/>
  <c r="J11" i="2"/>
  <c r="I11" i="2"/>
  <c r="I10" i="2"/>
  <c r="I9" i="2"/>
  <c r="I8" i="2"/>
  <c r="E11" i="2"/>
  <c r="J7" i="2"/>
  <c r="I7" i="2"/>
  <c r="E7" i="2"/>
  <c r="K6" i="2"/>
  <c r="J6" i="2"/>
  <c r="I6" i="2"/>
  <c r="J4" i="2"/>
  <c r="I4" i="2"/>
  <c r="E4" i="2"/>
  <c r="K75" i="1"/>
  <c r="K74" i="1"/>
  <c r="K72" i="1"/>
  <c r="K71" i="1"/>
  <c r="C70" i="1"/>
  <c r="C73" i="1" s="1"/>
  <c r="C76" i="1" s="1"/>
  <c r="D69" i="1"/>
  <c r="D70" i="1" s="1"/>
  <c r="D73" i="1" s="1"/>
  <c r="D76" i="1" s="1"/>
  <c r="C69" i="1"/>
  <c r="J68" i="1"/>
  <c r="I68" i="1"/>
  <c r="J67" i="1"/>
  <c r="I67" i="1"/>
  <c r="J66" i="1"/>
  <c r="I66" i="1"/>
  <c r="I65" i="1"/>
  <c r="J65" i="1"/>
  <c r="J64" i="1"/>
  <c r="I64" i="1"/>
  <c r="I63" i="1"/>
  <c r="J62" i="1"/>
  <c r="I62" i="1"/>
  <c r="J61" i="1"/>
  <c r="I61" i="1"/>
  <c r="J60" i="1"/>
  <c r="I60" i="1"/>
  <c r="I59" i="1"/>
  <c r="I58" i="1"/>
  <c r="J58" i="1"/>
  <c r="I57" i="1"/>
  <c r="J57" i="1"/>
  <c r="J56" i="1"/>
  <c r="I56" i="1"/>
  <c r="J55" i="1"/>
  <c r="I55" i="1"/>
  <c r="I54" i="1"/>
  <c r="J54" i="1"/>
  <c r="J53" i="1"/>
  <c r="I53" i="1"/>
  <c r="J52" i="1"/>
  <c r="I52" i="1"/>
  <c r="J51" i="1"/>
  <c r="I51" i="1"/>
  <c r="J50" i="1"/>
  <c r="I50" i="1"/>
  <c r="J49" i="1"/>
  <c r="I49" i="1"/>
  <c r="J48" i="1"/>
  <c r="I48" i="1"/>
  <c r="I47" i="1"/>
  <c r="J46" i="1"/>
  <c r="I46" i="1"/>
  <c r="J45" i="1"/>
  <c r="I45" i="1"/>
  <c r="J44" i="1"/>
  <c r="I44" i="1"/>
  <c r="J43" i="1"/>
  <c r="I43" i="1"/>
  <c r="J42" i="1"/>
  <c r="I42" i="1"/>
  <c r="I41" i="1"/>
  <c r="J40" i="1"/>
  <c r="I40" i="1"/>
  <c r="J39" i="1"/>
  <c r="I39" i="1"/>
  <c r="J37" i="1"/>
  <c r="I37" i="1"/>
  <c r="I36" i="1"/>
  <c r="J36" i="1"/>
  <c r="J35" i="1"/>
  <c r="I35" i="1"/>
  <c r="J34" i="1"/>
  <c r="I34" i="1"/>
  <c r="J33" i="1"/>
  <c r="I33" i="1"/>
  <c r="I32" i="1"/>
  <c r="J31" i="1"/>
  <c r="I31" i="1"/>
  <c r="J30" i="1"/>
  <c r="I30" i="1"/>
  <c r="I29" i="1"/>
  <c r="I28" i="1"/>
  <c r="I27" i="1"/>
  <c r="J27" i="1"/>
  <c r="J26" i="1"/>
  <c r="I26" i="1"/>
  <c r="J25" i="1"/>
  <c r="I25" i="1"/>
  <c r="J24" i="1"/>
  <c r="I24" i="1"/>
  <c r="I23" i="1"/>
  <c r="J22" i="1"/>
  <c r="I22" i="1"/>
  <c r="J21" i="1"/>
  <c r="I21" i="1"/>
  <c r="J20" i="1"/>
  <c r="I20" i="1"/>
  <c r="J19" i="1"/>
  <c r="I19" i="1"/>
  <c r="I18" i="1"/>
  <c r="J17" i="1"/>
  <c r="I17" i="1"/>
  <c r="J16" i="1"/>
  <c r="I16" i="1"/>
  <c r="I15" i="1"/>
  <c r="I14" i="1"/>
  <c r="J13" i="1"/>
  <c r="I13" i="1"/>
  <c r="J12" i="1"/>
  <c r="I12" i="1"/>
  <c r="J11" i="1"/>
  <c r="I11" i="1"/>
  <c r="J10" i="1"/>
  <c r="I10" i="1"/>
  <c r="I9" i="1"/>
  <c r="J8" i="1"/>
  <c r="I8" i="1"/>
  <c r="E3" i="1"/>
  <c r="J7" i="1"/>
  <c r="I7" i="1"/>
  <c r="J6" i="1"/>
  <c r="I6" i="1"/>
  <c r="E6" i="1"/>
  <c r="J3" i="1"/>
  <c r="I3" i="1"/>
  <c r="H68" i="1" l="1"/>
  <c r="H9" i="1"/>
  <c r="H6" i="1"/>
  <c r="J9" i="1"/>
  <c r="H25" i="1"/>
  <c r="H9" i="2"/>
  <c r="H15" i="2"/>
  <c r="H53" i="2"/>
  <c r="E12" i="2"/>
  <c r="H41" i="2"/>
  <c r="H8" i="2"/>
  <c r="H54" i="2"/>
  <c r="J15" i="2"/>
  <c r="D14" i="5"/>
  <c r="D15" i="5" s="1"/>
  <c r="D19" i="5" s="1"/>
  <c r="H11" i="1"/>
  <c r="H18" i="1"/>
  <c r="E27" i="1"/>
  <c r="E34" i="1"/>
  <c r="H56" i="1"/>
  <c r="H58" i="1"/>
  <c r="H65" i="1"/>
  <c r="H13" i="1"/>
  <c r="K13" i="1" s="1"/>
  <c r="H27" i="1"/>
  <c r="K27" i="1" s="1"/>
  <c r="H35" i="1"/>
  <c r="H54" i="1"/>
  <c r="E40" i="1"/>
  <c r="E63" i="1"/>
  <c r="E10" i="1"/>
  <c r="H15" i="1"/>
  <c r="H26" i="1"/>
  <c r="H29" i="1"/>
  <c r="H39" i="1"/>
  <c r="K39" i="1" s="1"/>
  <c r="H43" i="1"/>
  <c r="H49" i="1"/>
  <c r="E53" i="1"/>
  <c r="E58" i="1"/>
  <c r="H63" i="1"/>
  <c r="E65" i="1"/>
  <c r="K65" i="1" s="1"/>
  <c r="E67" i="1"/>
  <c r="K67" i="1" s="1"/>
  <c r="H20" i="1"/>
  <c r="E24" i="1"/>
  <c r="H36" i="1"/>
  <c r="E62" i="1"/>
  <c r="E13" i="1"/>
  <c r="E20" i="1"/>
  <c r="K20" i="1" s="1"/>
  <c r="E22" i="1"/>
  <c r="E26" i="1"/>
  <c r="H32" i="1"/>
  <c r="E7" i="1"/>
  <c r="J15" i="1"/>
  <c r="E17" i="1"/>
  <c r="H23" i="1"/>
  <c r="J29" i="1"/>
  <c r="E31" i="1"/>
  <c r="E36" i="1"/>
  <c r="H41" i="1"/>
  <c r="E43" i="1"/>
  <c r="K43" i="1" s="1"/>
  <c r="E45" i="1"/>
  <c r="H47" i="1"/>
  <c r="E49" i="1"/>
  <c r="E51" i="1"/>
  <c r="E55" i="1"/>
  <c r="K55" i="1" s="1"/>
  <c r="H60" i="1"/>
  <c r="H66" i="1"/>
  <c r="E14" i="2"/>
  <c r="E15" i="2"/>
  <c r="K15" i="2" s="1"/>
  <c r="H16" i="2"/>
  <c r="H17" i="2"/>
  <c r="E20" i="2"/>
  <c r="H25" i="2"/>
  <c r="E30" i="2"/>
  <c r="K30" i="2" s="1"/>
  <c r="E31" i="2"/>
  <c r="E36" i="2"/>
  <c r="E41" i="2"/>
  <c r="K41" i="2" s="1"/>
  <c r="H42" i="2"/>
  <c r="H43" i="2"/>
  <c r="H45" i="2"/>
  <c r="E50" i="2"/>
  <c r="J53" i="2"/>
  <c r="H4" i="2"/>
  <c r="K4" i="2" s="1"/>
  <c r="J9" i="2"/>
  <c r="H11" i="2"/>
  <c r="J17" i="2"/>
  <c r="H19" i="2"/>
  <c r="K19" i="2" s="1"/>
  <c r="E25" i="2"/>
  <c r="H26" i="2"/>
  <c r="H27" i="2"/>
  <c r="H29" i="2"/>
  <c r="H30" i="2"/>
  <c r="H35" i="2"/>
  <c r="E45" i="2"/>
  <c r="K45" i="2" s="1"/>
  <c r="H46" i="2"/>
  <c r="K46" i="2" s="1"/>
  <c r="H47" i="2"/>
  <c r="H49" i="2"/>
  <c r="E54" i="2"/>
  <c r="K54" i="2" s="1"/>
  <c r="E55" i="2"/>
  <c r="H56" i="2"/>
  <c r="H7" i="2"/>
  <c r="E8" i="2"/>
  <c r="K8" i="2" s="1"/>
  <c r="J8" i="2"/>
  <c r="E10" i="2"/>
  <c r="H12" i="2"/>
  <c r="E16" i="2"/>
  <c r="K16" i="2" s="1"/>
  <c r="J16" i="2"/>
  <c r="E18" i="2"/>
  <c r="E19" i="2"/>
  <c r="H20" i="2"/>
  <c r="J27" i="2"/>
  <c r="E29" i="2"/>
  <c r="E35" i="2"/>
  <c r="K35" i="2" s="1"/>
  <c r="H36" i="2"/>
  <c r="K36" i="2" s="1"/>
  <c r="H37" i="2"/>
  <c r="E42" i="2"/>
  <c r="J42" i="2"/>
  <c r="J47" i="2"/>
  <c r="E49" i="2"/>
  <c r="H50" i="2"/>
  <c r="H51" i="2"/>
  <c r="H55" i="2"/>
  <c r="E56" i="2"/>
  <c r="K56" i="2" s="1"/>
  <c r="E23" i="2"/>
  <c r="E26" i="2"/>
  <c r="J26" i="2"/>
  <c r="J37" i="2"/>
  <c r="E46" i="2"/>
  <c r="J46" i="2"/>
  <c r="J51" i="2"/>
  <c r="E53" i="2"/>
  <c r="K53" i="2" s="1"/>
  <c r="J18" i="2"/>
  <c r="H18" i="2"/>
  <c r="K18" i="2" s="1"/>
  <c r="I57" i="2"/>
  <c r="I58" i="2" s="1"/>
  <c r="I61" i="2" s="1"/>
  <c r="I64" i="2" s="1"/>
  <c r="K11" i="2"/>
  <c r="H13" i="2"/>
  <c r="J14" i="2"/>
  <c r="H14" i="2"/>
  <c r="K14" i="2" s="1"/>
  <c r="K20" i="2"/>
  <c r="J24" i="2"/>
  <c r="H24" i="2"/>
  <c r="J34" i="2"/>
  <c r="H34" i="2"/>
  <c r="H39" i="2"/>
  <c r="K7" i="2"/>
  <c r="J10" i="2"/>
  <c r="H10" i="2"/>
  <c r="K10" i="2" s="1"/>
  <c r="G57" i="2"/>
  <c r="G58" i="2" s="1"/>
  <c r="G61" i="2" s="1"/>
  <c r="G64" i="2" s="1"/>
  <c r="J22" i="2"/>
  <c r="H22" i="2"/>
  <c r="K26" i="2"/>
  <c r="K50" i="2"/>
  <c r="J40" i="2"/>
  <c r="H40" i="2"/>
  <c r="F57" i="2"/>
  <c r="F58" i="2" s="1"/>
  <c r="F61" i="2" s="1"/>
  <c r="F64" i="2" s="1"/>
  <c r="H21" i="2"/>
  <c r="J28" i="2"/>
  <c r="H28" i="2"/>
  <c r="H44" i="2"/>
  <c r="H48" i="2"/>
  <c r="E22" i="2"/>
  <c r="H23" i="2"/>
  <c r="K23" i="2" s="1"/>
  <c r="E24" i="2"/>
  <c r="E28" i="2"/>
  <c r="H31" i="2"/>
  <c r="E34" i="2"/>
  <c r="E38" i="2"/>
  <c r="E40" i="2"/>
  <c r="K40" i="2" s="1"/>
  <c r="E44" i="2"/>
  <c r="E48" i="2"/>
  <c r="E52" i="2"/>
  <c r="H52" i="2"/>
  <c r="E9" i="2"/>
  <c r="K9" i="2" s="1"/>
  <c r="E13" i="2"/>
  <c r="E17" i="2"/>
  <c r="K17" i="2" s="1"/>
  <c r="E21" i="2"/>
  <c r="E27" i="2"/>
  <c r="E37" i="2"/>
  <c r="H38" i="2"/>
  <c r="E39" i="2"/>
  <c r="E43" i="2"/>
  <c r="E47" i="2"/>
  <c r="K47" i="2" s="1"/>
  <c r="E51" i="2"/>
  <c r="K51" i="2" s="1"/>
  <c r="I69" i="1"/>
  <c r="I70" i="1" s="1"/>
  <c r="I73" i="1" s="1"/>
  <c r="I76" i="1" s="1"/>
  <c r="H16" i="1"/>
  <c r="H28" i="1"/>
  <c r="H37" i="1"/>
  <c r="H52" i="1"/>
  <c r="K58" i="1"/>
  <c r="H59" i="1"/>
  <c r="F69" i="1"/>
  <c r="F70" i="1" s="1"/>
  <c r="F73" i="1" s="1"/>
  <c r="F76" i="1" s="1"/>
  <c r="E9" i="1"/>
  <c r="K9" i="1" s="1"/>
  <c r="H10" i="1"/>
  <c r="K10" i="1" s="1"/>
  <c r="E16" i="1"/>
  <c r="E18" i="1"/>
  <c r="K18" i="1" s="1"/>
  <c r="J18" i="1"/>
  <c r="H19" i="1"/>
  <c r="J23" i="1"/>
  <c r="E25" i="1"/>
  <c r="K25" i="1" s="1"/>
  <c r="E30" i="1"/>
  <c r="E32" i="1"/>
  <c r="K32" i="1" s="1"/>
  <c r="J32" i="1"/>
  <c r="H33" i="1"/>
  <c r="E37" i="1"/>
  <c r="K37" i="1" s="1"/>
  <c r="E41" i="1"/>
  <c r="K41" i="1" s="1"/>
  <c r="J41" i="1"/>
  <c r="H42" i="1"/>
  <c r="H44" i="1"/>
  <c r="E47" i="1"/>
  <c r="J47" i="1"/>
  <c r="H48" i="1"/>
  <c r="H50" i="1"/>
  <c r="E54" i="1"/>
  <c r="H55" i="1"/>
  <c r="H57" i="1"/>
  <c r="E61" i="1"/>
  <c r="J63" i="1"/>
  <c r="H64" i="1"/>
  <c r="G69" i="1"/>
  <c r="G70" i="1" s="1"/>
  <c r="G73" i="1" s="1"/>
  <c r="G76" i="1" s="1"/>
  <c r="K40" i="1"/>
  <c r="K6" i="1"/>
  <c r="H14" i="1"/>
  <c r="H30" i="1"/>
  <c r="H61" i="1"/>
  <c r="H3" i="1"/>
  <c r="K3" i="1" s="1"/>
  <c r="H8" i="1"/>
  <c r="H12" i="1"/>
  <c r="H21" i="1"/>
  <c r="E68" i="1"/>
  <c r="K68" i="1" s="1"/>
  <c r="H67" i="1"/>
  <c r="E64" i="1"/>
  <c r="K64" i="1" s="1"/>
  <c r="E60" i="1"/>
  <c r="K60" i="1" s="1"/>
  <c r="E56" i="1"/>
  <c r="E52" i="1"/>
  <c r="E48" i="1"/>
  <c r="K48" i="1" s="1"/>
  <c r="E46" i="1"/>
  <c r="E42" i="1"/>
  <c r="E35" i="1"/>
  <c r="K35" i="1" s="1"/>
  <c r="H34" i="1"/>
  <c r="K34" i="1" s="1"/>
  <c r="E33" i="1"/>
  <c r="K33" i="1" s="1"/>
  <c r="E29" i="1"/>
  <c r="E23" i="1"/>
  <c r="K23" i="1" s="1"/>
  <c r="E19" i="1"/>
  <c r="E15" i="1"/>
  <c r="K15" i="1" s="1"/>
  <c r="E11" i="1"/>
  <c r="H7" i="1"/>
  <c r="E8" i="1"/>
  <c r="E12" i="1"/>
  <c r="E14" i="1"/>
  <c r="J14" i="1"/>
  <c r="H17" i="1"/>
  <c r="E21" i="1"/>
  <c r="H22" i="1"/>
  <c r="H24" i="1"/>
  <c r="K24" i="1" s="1"/>
  <c r="E28" i="1"/>
  <c r="J28" i="1"/>
  <c r="H31" i="1"/>
  <c r="H40" i="1"/>
  <c r="E44" i="1"/>
  <c r="H45" i="1"/>
  <c r="H46" i="1"/>
  <c r="E50" i="1"/>
  <c r="H51" i="1"/>
  <c r="K51" i="1" s="1"/>
  <c r="H53" i="1"/>
  <c r="K53" i="1" s="1"/>
  <c r="E57" i="1"/>
  <c r="E59" i="1"/>
  <c r="J59" i="1"/>
  <c r="H62" i="1"/>
  <c r="K62" i="1" s="1"/>
  <c r="E66" i="1"/>
  <c r="K66" i="1" s="1"/>
  <c r="K17" i="1" l="1"/>
  <c r="K57" i="1"/>
  <c r="K14" i="1"/>
  <c r="K11" i="1"/>
  <c r="K29" i="1"/>
  <c r="K42" i="1"/>
  <c r="K56" i="1"/>
  <c r="K47" i="1"/>
  <c r="K37" i="2"/>
  <c r="K27" i="2"/>
  <c r="K12" i="2"/>
  <c r="K13" i="2"/>
  <c r="K55" i="2"/>
  <c r="K43" i="2"/>
  <c r="K34" i="2"/>
  <c r="K39" i="2"/>
  <c r="K21" i="2"/>
  <c r="K44" i="2"/>
  <c r="K31" i="2"/>
  <c r="K22" i="2"/>
  <c r="K42" i="2"/>
  <c r="K29" i="2"/>
  <c r="H69" i="1"/>
  <c r="K7" i="1"/>
  <c r="K61" i="1"/>
  <c r="K31" i="1"/>
  <c r="K22" i="1"/>
  <c r="K49" i="1"/>
  <c r="K45" i="1"/>
  <c r="J69" i="1"/>
  <c r="J70" i="1" s="1"/>
  <c r="J73" i="1" s="1"/>
  <c r="J76" i="1" s="1"/>
  <c r="K21" i="1"/>
  <c r="K12" i="1"/>
  <c r="K36" i="1"/>
  <c r="K26" i="1"/>
  <c r="K63" i="1"/>
  <c r="K25" i="2"/>
  <c r="K48" i="2"/>
  <c r="J57" i="2"/>
  <c r="J58" i="2" s="1"/>
  <c r="J61" i="2" s="1"/>
  <c r="J64" i="2" s="1"/>
  <c r="K49" i="2"/>
  <c r="H57" i="2"/>
  <c r="H58" i="2" s="1"/>
  <c r="H61" i="2" s="1"/>
  <c r="H64" i="2" s="1"/>
  <c r="E57" i="2"/>
  <c r="E58" i="2" s="1"/>
  <c r="E61" i="2" s="1"/>
  <c r="E64" i="2" s="1"/>
  <c r="K28" i="2"/>
  <c r="K52" i="2"/>
  <c r="K38" i="2"/>
  <c r="K24" i="2"/>
  <c r="K46" i="1"/>
  <c r="K30" i="1"/>
  <c r="K28" i="1"/>
  <c r="K44" i="1"/>
  <c r="K8" i="1"/>
  <c r="K19" i="1"/>
  <c r="H70" i="1"/>
  <c r="H73" i="1" s="1"/>
  <c r="H76" i="1" s="1"/>
  <c r="K59" i="1"/>
  <c r="K50" i="1"/>
  <c r="K52" i="1"/>
  <c r="K16" i="1"/>
  <c r="E69" i="1"/>
  <c r="E70" i="1" s="1"/>
  <c r="E73" i="1" s="1"/>
  <c r="E76" i="1" s="1"/>
  <c r="K69" i="1" l="1"/>
  <c r="K70" i="1" s="1"/>
  <c r="K73" i="1" s="1"/>
  <c r="K76" i="1" s="1"/>
  <c r="E8" i="3"/>
  <c r="K57" i="2"/>
  <c r="K58" i="2" s="1"/>
  <c r="K61" i="2" s="1"/>
  <c r="K64" i="2" s="1"/>
  <c r="L18" i="4" l="1"/>
  <c r="D7" i="3" l="1"/>
  <c r="N18" i="4"/>
  <c r="G84" i="5"/>
  <c r="D47" i="5"/>
  <c r="D48" i="5" s="1"/>
  <c r="C8" i="5" s="1"/>
  <c r="C18" i="5" l="1"/>
  <c r="E8" i="5"/>
  <c r="H84" i="5"/>
  <c r="G90" i="5"/>
  <c r="H90" i="5" s="1"/>
  <c r="H94" i="5" s="1"/>
  <c r="C10" i="5" s="1"/>
  <c r="C12" i="5" l="1"/>
  <c r="E10" i="5"/>
  <c r="E12" i="5" s="1"/>
  <c r="E14" i="5" l="1"/>
  <c r="E15" i="5" s="1"/>
  <c r="C14" i="5"/>
  <c r="C15" i="5" s="1"/>
  <c r="C19" i="5" s="1"/>
  <c r="D6" i="3" s="1"/>
  <c r="F6" i="3" l="1"/>
  <c r="N17" i="4" l="1"/>
  <c r="F7" i="3" l="1"/>
  <c r="F8" i="3" l="1"/>
  <c r="D8" i="3" l="1"/>
</calcChain>
</file>

<file path=xl/sharedStrings.xml><?xml version="1.0" encoding="utf-8"?>
<sst xmlns="http://schemas.openxmlformats.org/spreadsheetml/2006/main" count="494" uniqueCount="242">
  <si>
    <t>Adj. No.</t>
  </si>
  <si>
    <t>Adjustment</t>
  </si>
  <si>
    <t>NOI</t>
  </si>
  <si>
    <t>Rate Base</t>
  </si>
  <si>
    <t>Revenue Requirement</t>
  </si>
  <si>
    <t>Actual Results of Operation</t>
  </si>
  <si>
    <t>Uncontested Adjustments</t>
  </si>
  <si>
    <t>Restating Adjustments</t>
  </si>
  <si>
    <t>Revenues and Expenses</t>
  </si>
  <si>
    <t>Temperature Normalization</t>
  </si>
  <si>
    <t>Tax Benefit of Interest</t>
  </si>
  <si>
    <t>Pass‐Through Revenues and Expenses</t>
  </si>
  <si>
    <t>Normalize Injuries and Damages</t>
  </si>
  <si>
    <t>Bad Debts</t>
  </si>
  <si>
    <t>Excise Tax &amp; Filing Fee</t>
  </si>
  <si>
    <t>Directors &amp; Officers Insurance</t>
  </si>
  <si>
    <t>Interest on Customer Deposits</t>
  </si>
  <si>
    <t>Rate Case Expenses</t>
  </si>
  <si>
    <t>Pension Plan</t>
  </si>
  <si>
    <t>Property &amp; Liability Insurance</t>
  </si>
  <si>
    <t>Wage Increase</t>
  </si>
  <si>
    <t>Investment Plan</t>
  </si>
  <si>
    <t>Employee Insurance</t>
  </si>
  <si>
    <t>Rent Expense</t>
  </si>
  <si>
    <t>Montana Electric Energy Tax</t>
  </si>
  <si>
    <t>Wild Horse Solar</t>
  </si>
  <si>
    <t>ASC 815</t>
  </si>
  <si>
    <t>Storm Damage</t>
  </si>
  <si>
    <t>Pro Forma Adjustments</t>
  </si>
  <si>
    <t>Energy Imbalance Market (EIM)</t>
  </si>
  <si>
    <t>Other Party Adjustments</t>
  </si>
  <si>
    <t>Remove Colstrip Outage (Staff)</t>
  </si>
  <si>
    <t>Remove Green Direct (Staff)</t>
  </si>
  <si>
    <t>Remove Shuffleton (Staff)</t>
  </si>
  <si>
    <t>Contested Adjustments</t>
  </si>
  <si>
    <t>Federal Income Tax</t>
  </si>
  <si>
    <t>Incentive Pay</t>
  </si>
  <si>
    <t>AMA to EOP Rate Base</t>
  </si>
  <si>
    <t>AMA to EOP Depreciation</t>
  </si>
  <si>
    <t>Power Costs</t>
  </si>
  <si>
    <t>Colstrip Depreciation</t>
  </si>
  <si>
    <t>Deferred Gains/Losses on Property Sales</t>
  </si>
  <si>
    <t>Environmental Remediation</t>
  </si>
  <si>
    <t>AMI</t>
  </si>
  <si>
    <t>Get to Zero</t>
  </si>
  <si>
    <t>Credit Card Payment Processing Costs</t>
  </si>
  <si>
    <t>Unprotected EDIT</t>
  </si>
  <si>
    <t>Public Improvement</t>
  </si>
  <si>
    <t>Contract Escalations</t>
  </si>
  <si>
    <t>HR TOPS</t>
  </si>
  <si>
    <t>Regulatory Assets and Liabilities</t>
  </si>
  <si>
    <t>High Molecular Weight Cable</t>
  </si>
  <si>
    <t>Energy Management System (EMS)</t>
  </si>
  <si>
    <t>SmartBurn (Staff)</t>
  </si>
  <si>
    <t>AWEC‐1</t>
  </si>
  <si>
    <t>Bothell Data Center (AWEC)</t>
  </si>
  <si>
    <t>Total Adjustments</t>
  </si>
  <si>
    <t>Revenue Requirement Before Other Tariff Schedules</t>
  </si>
  <si>
    <t>Less Riders</t>
  </si>
  <si>
    <t>Less EDIT Separate Credit Tariff Sch.</t>
  </si>
  <si>
    <t>Revenue Requirement Before Mitigation Strategy</t>
  </si>
  <si>
    <t>Extend Amortization of Regulatory Assets ‐ Estimated</t>
  </si>
  <si>
    <t>Decoupling Deferral ‐ Estimated</t>
  </si>
  <si>
    <t>Final Revenue Requirement</t>
  </si>
  <si>
    <t>Electric</t>
  </si>
  <si>
    <t>Gas</t>
  </si>
  <si>
    <t>Combined</t>
  </si>
  <si>
    <t>Description</t>
  </si>
  <si>
    <t>Appendix A</t>
  </si>
  <si>
    <t>Schedule</t>
  </si>
  <si>
    <t>Amount to Reconcile</t>
  </si>
  <si>
    <t>Unprotected Annual Amort</t>
  </si>
  <si>
    <t>141Z</t>
  </si>
  <si>
    <t>Protected 2019-2020 Pass-back</t>
  </si>
  <si>
    <t>141X</t>
  </si>
  <si>
    <t>Over-pass back</t>
  </si>
  <si>
    <t>Variance</t>
  </si>
  <si>
    <r>
      <rPr>
        <b/>
        <sz val="11"/>
        <color rgb="FFFF0000"/>
        <rFont val="Calibri"/>
        <family val="2"/>
        <scheme val="minor"/>
      </rPr>
      <t>ELECTRIC OPERATIONS</t>
    </r>
  </si>
  <si>
    <t>BR-11 at 9.4%</t>
  </si>
  <si>
    <t>Difference</t>
  </si>
  <si>
    <t>ROR</t>
  </si>
  <si>
    <t>Full Conv Fctr</t>
  </si>
  <si>
    <t>RSIs</t>
  </si>
  <si>
    <r>
      <rPr>
        <b/>
        <sz val="11"/>
        <color rgb="FFFF0000"/>
        <rFont val="Calibri"/>
        <family val="2"/>
        <scheme val="minor"/>
      </rPr>
      <t>NATURAL GAS OPERATIONS</t>
    </r>
  </si>
  <si>
    <t>Remove 2018 CRM</t>
  </si>
  <si>
    <t>Proforma Exiting CRM</t>
  </si>
  <si>
    <t>Tacoma LNG (Staff)</t>
  </si>
  <si>
    <t>PGA Deferral ‐ Extend to 3 years ‐ Estimated</t>
  </si>
  <si>
    <t>Additional True-up</t>
  </si>
  <si>
    <t>141Z Total</t>
  </si>
  <si>
    <t>141X Total</t>
  </si>
  <si>
    <t>Schedule 141X and 141Z per Appendix A</t>
  </si>
  <si>
    <t>PUGET SOUND ENERGY - ELECTRIC</t>
  </si>
  <si>
    <t>UNPROTECTED EXCESS DEFERRED INCOME TAXES</t>
  </si>
  <si>
    <t>FOR THE TWELVE MONTHS ENDED DECEMBER 31, 2018</t>
  </si>
  <si>
    <t>2019 GENERAL RATE CASE</t>
  </si>
  <si>
    <t>TY</t>
  </si>
  <si>
    <t>RESTATED</t>
  </si>
  <si>
    <t>PROFORMA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</si>
  <si>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</si>
  <si>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</si>
  <si>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</si>
  <si>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</si>
  <si>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</si>
  <si>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</si>
  <si>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</si>
  <si>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</si>
  <si>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</si>
  <si>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(d)</t>
  </si>
  <si>
    <t>(e)=(d)-(b)</t>
  </si>
  <si>
    <t>RATEBASE:</t>
  </si>
  <si>
    <t>UNPROTECTED DFIT</t>
  </si>
  <si>
    <t>TOTAL RATE BASE</t>
  </si>
  <si>
    <t>EXPENSES:</t>
  </si>
  <si>
    <t>411.1 ANNUAL AMORTIZATION</t>
  </si>
  <si>
    <t>INCREASE (DECREASE) OPERATING EXPENSE</t>
  </si>
  <si>
    <t xml:space="preserve">INCREASE (DECREASE) FIT </t>
  </si>
  <si>
    <t>N/A</t>
  </si>
  <si>
    <t>INCREASE (DECREASE) NOI</t>
  </si>
  <si>
    <t>UP EDIT diveded by 3 years</t>
  </si>
  <si>
    <t>Electric Conversion Factor</t>
  </si>
  <si>
    <t>Gas Conversion Factor</t>
  </si>
  <si>
    <t>BR13</t>
  </si>
  <si>
    <t>2019 Estimate</t>
  </si>
  <si>
    <t>EDIT reversal</t>
  </si>
  <si>
    <t>Flow Through reversal</t>
  </si>
  <si>
    <t>Total</t>
  </si>
  <si>
    <t>Grossed Up at Statutory Fed Rate 21%</t>
  </si>
  <si>
    <t>Grossed-up for RSI</t>
  </si>
  <si>
    <t>Electric w/ C allocated</t>
  </si>
  <si>
    <t>Gas w/ C allocated</t>
  </si>
  <si>
    <t>(ii) for 2020:</t>
  </si>
  <si>
    <t>2020 Estimate</t>
  </si>
  <si>
    <t>B.           (i) for 2019:</t>
  </si>
  <si>
    <t>Puget Sound Energy</t>
  </si>
  <si>
    <t xml:space="preserve">Response to Bench Request No. 013, Section A </t>
  </si>
  <si>
    <t>Electric 141X Revenue for March 1, 2019 through January 31, 2020</t>
  </si>
  <si>
    <t>By Rate Class</t>
  </si>
  <si>
    <t>Line No.</t>
  </si>
  <si>
    <t>Tariff</t>
  </si>
  <si>
    <t>TOTAL</t>
  </si>
  <si>
    <t>Residential:</t>
  </si>
  <si>
    <t>Total Secondary:</t>
  </si>
  <si>
    <t>24 (8)</t>
  </si>
  <si>
    <t>25 (11, 7A)</t>
  </si>
  <si>
    <t>26 (12,26P)</t>
  </si>
  <si>
    <t>Total Primary:</t>
  </si>
  <si>
    <t>31 (10)</t>
  </si>
  <si>
    <t>Campus Voltage:</t>
  </si>
  <si>
    <t>Total High Voltage:</t>
  </si>
  <si>
    <t>Lighting:</t>
  </si>
  <si>
    <t>50-59</t>
  </si>
  <si>
    <t>Transportation:</t>
  </si>
  <si>
    <t>449-459</t>
  </si>
  <si>
    <t>Special Contract</t>
  </si>
  <si>
    <t>TOTAL Retail Sales</t>
  </si>
  <si>
    <t>Gas 141X Revenue for March 1, 2019 through January 31, 2020</t>
  </si>
  <si>
    <t>Rate Class</t>
  </si>
  <si>
    <t>Rate Schedule</t>
  </si>
  <si>
    <t>Residential</t>
  </si>
  <si>
    <t>23,53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</si>
  <si>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</si>
  <si>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</si>
  <si>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</si>
  <si>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</si>
  <si>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</si>
  <si>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</si>
  <si>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</si>
  <si>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</si>
  <si>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</si>
  <si>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</si>
  <si>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</si>
  <si>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</si>
  <si>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</si>
  <si>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</si>
  <si>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</si>
  <si>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</si>
  <si>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Contracts</t>
  </si>
  <si>
    <t>Rentals</t>
  </si>
  <si>
    <t xml:space="preserve">Total Billed and Change in unbilled </t>
  </si>
  <si>
    <t>Electric 141X Forecast Revenue for Februar 1, 2020 through May 19, 2020</t>
  </si>
  <si>
    <t>Gas 141X Forecast Revenue for February 1, 2020 through May 19, 2020</t>
  </si>
  <si>
    <t>Note 1</t>
  </si>
  <si>
    <t xml:space="preserve">Total </t>
  </si>
  <si>
    <t>Note 1: Credit throught May 19, 2020</t>
  </si>
  <si>
    <t>Original</t>
  </si>
  <si>
    <t>Actuals through February</t>
  </si>
  <si>
    <t>Forecast through May</t>
  </si>
  <si>
    <t>Volumetric True-Up</t>
  </si>
  <si>
    <t>Volumetric True-Up of ERF 141X</t>
  </si>
  <si>
    <t>2018 Expedited Rate Filing</t>
  </si>
  <si>
    <t>Settlement Agreement</t>
  </si>
  <si>
    <t>Determination of Electric Revenue Deficiency by Tariff</t>
  </si>
  <si>
    <t>Base Rates</t>
  </si>
  <si>
    <t>Separate ARAM</t>
  </si>
  <si>
    <t>Tariff Schedules</t>
  </si>
  <si>
    <t>Tariff Schedule</t>
  </si>
  <si>
    <t>Operating income deficiency including ARAM (Note 1)</t>
  </si>
  <si>
    <t>Gross up for income taxes</t>
  </si>
  <si>
    <t>3 = 1 ÷ 2</t>
  </si>
  <si>
    <t>Grossed up ARAM</t>
  </si>
  <si>
    <t>Gross up for revenue sensitive items</t>
  </si>
  <si>
    <t>5 = 3 ÷ 4</t>
  </si>
  <si>
    <t>Total Revenue Deficiency</t>
  </si>
  <si>
    <t>(Note 1) Turnaround of deferred federal income taxes on the Average Rate Assumption Method</t>
  </si>
  <si>
    <t>Determination of Gas Revenue Deficiency by Tariff</t>
  </si>
  <si>
    <t>Schedule 141</t>
  </si>
  <si>
    <t>Check total ===&gt;</t>
  </si>
  <si>
    <t>Uprotected:</t>
  </si>
  <si>
    <t>Protected:</t>
  </si>
  <si>
    <t>Total Protected</t>
  </si>
  <si>
    <t>Docket Number UE</t>
  </si>
  <si>
    <t>Exhibit No.   (SEF-XX)</t>
  </si>
  <si>
    <t>Reference 7.01</t>
  </si>
  <si>
    <t>PUGET SOUND ENERGY-ELECTRIC</t>
  </si>
  <si>
    <t>COLSTRIP DEPRECIATION ADJ - ELECTRIC</t>
  </si>
  <si>
    <t>AS RESTATED</t>
  </si>
  <si>
    <t>ADJ 7.07ER</t>
  </si>
  <si>
    <t>IN ADJ 6.19ER</t>
  </si>
  <si>
    <t>ADJUSTMENT TO COLSTRIP 1&amp;2 NET OPERATING INCOME AND RATE BASE</t>
  </si>
  <si>
    <t>NET OPERATING INCOME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</si>
  <si>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</si>
  <si>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</si>
  <si>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</si>
  <si>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</si>
  <si>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</si>
  <si>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</si>
  <si>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REVERSAL OF NET EXCESS DEFERRED TAXES</t>
  </si>
  <si>
    <t>RATE BASE</t>
  </si>
  <si>
    <t>IMPACT ON ACCUM DEP FOR CHANGE TO DEP EXPENSE</t>
  </si>
  <si>
    <t>IMPACT ON ACCUM DEF FED INC TAXES FOR CHANGE IN ACCUM DEP</t>
  </si>
  <si>
    <t>IMPACT ON ACCUM DEF FED INC TAXES FOR EDIT REVERSAL</t>
  </si>
  <si>
    <t>TOTAL ADJUSTMENT TO RATEBASE</t>
  </si>
  <si>
    <t>TY ARAM per Bench Request 13</t>
  </si>
  <si>
    <t>Rev Req gross up factor</t>
  </si>
  <si>
    <t>Total PSE ARAM</t>
  </si>
  <si>
    <t>Line</t>
  </si>
  <si>
    <t>(in millions)</t>
  </si>
  <si>
    <t>PSE's EDIT Reversal Amounts</t>
  </si>
  <si>
    <t>Commission Ordered EDIT Reversal Amounts</t>
  </si>
  <si>
    <t>ARAM increase for Cols 3&amp;4 per SEF-07.01</t>
  </si>
  <si>
    <t>&lt;&lt;------Amounts are the same as on Revised Appendix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</si>
</sst>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yyyy"/>
    <numFmt numFmtId="168" formatCode="[$-409]mmm\-yy;@"/>
    <numFmt numFmtId="169" formatCode="_(* #,##0.00_);_(* \(#,##0.00\);_(* &quot;-&quot;_);_(@_)"/>
    <numFmt numFmtId="170" formatCode="_(* #,##0.000000_);_(* \(#,##0.000000\);_(* &quot;-&quot;_);_(@_)"/>
    <numFmt numFmtId="171" formatCode="&quot;PAGE&quot;\ 0.00"/>
    <numFmt numFmtId="172" formatCode="0.0%"/>
    <numFmt numFmtId="173" formatCode="_(&quot;$&quot;* #,##0.0_);_(&quot;$&quot;* \(#,##0.0\);_(&quot;$&quot;* &quot;-&quot;??_);_(@_)"/>
    <numFmt numFmtId="174" formatCode="_(* #,##0.0_);_(* \(#,##0.0\);_(* &quot;-&quot;??_);_(@_)"/>
  </numFmts>
  <fonts count="3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F4E7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CC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008080"/>
      <name val="Arial"/>
      <family val="2"/>
    </font>
    <font>
      <b/>
      <sz val="8"/>
      <color rgb="FF009999"/>
      <name val="Arial"/>
      <family val="2"/>
    </font>
    <font>
      <b/>
      <sz val="8"/>
      <color rgb="FF0000FF"/>
      <name val="Arial"/>
      <family val="2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rgb="FF0000FF"/>
      <name val="Times New Roman"/>
      <family val="1"/>
    </font>
    <font>
      <sz val="10"/>
      <color indexed="8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D6DCE4"/>
      </patternFill>
    </fill>
    <fill>
      <patternFill patternType="solid">
        <fgColor rgb="FFCFAFE7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rgb="FF0000FF"/>
      </left>
      <right/>
      <top style="thick">
        <color rgb="FF0000FF"/>
      </top>
      <bottom style="thin">
        <color indexed="64"/>
      </bottom>
      <diagonal/>
    </border>
    <border>
      <left/>
      <right style="thin">
        <color indexed="64"/>
      </right>
      <top style="thick">
        <color rgb="FF0000FF"/>
      </top>
      <bottom style="thin">
        <color indexed="64"/>
      </bottom>
      <diagonal/>
    </border>
    <border>
      <left/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FF"/>
      </right>
      <top style="thin">
        <color indexed="64"/>
      </top>
      <bottom style="thin">
        <color rgb="FF000000"/>
      </bottom>
      <diagonal/>
    </border>
    <border>
      <left style="thick">
        <color rgb="FF0000FF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FF"/>
      </right>
      <top style="thin">
        <color rgb="FF000000"/>
      </top>
      <bottom style="thin">
        <color rgb="FF000000"/>
      </bottom>
      <diagonal/>
    </border>
    <border>
      <left/>
      <right style="thick">
        <color rgb="FF0000FF"/>
      </right>
      <top style="thin">
        <color rgb="FF000000"/>
      </top>
      <bottom style="thin">
        <color rgb="FF000000"/>
      </bottom>
      <diagonal/>
    </border>
    <border>
      <left style="thick">
        <color rgb="FF0000FF"/>
      </left>
      <right/>
      <top style="thin">
        <color rgb="FF000000"/>
      </top>
      <bottom style="thick">
        <color rgb="FF0000FF"/>
      </bottom>
      <diagonal/>
    </border>
    <border>
      <left style="thin">
        <color rgb="FF000000"/>
      </left>
      <right/>
      <top style="thin">
        <color rgb="FF000000"/>
      </top>
      <bottom style="thick">
        <color rgb="FF0000FF"/>
      </bottom>
      <diagonal/>
    </border>
    <border>
      <left style="thin">
        <color rgb="FF000000"/>
      </left>
      <right style="thick">
        <color rgb="FF0000FF"/>
      </right>
      <top style="thin">
        <color rgb="FF000000"/>
      </top>
      <bottom style="thick">
        <color rgb="FF0000FF"/>
      </bottom>
      <diagonal/>
    </border>
    <border>
      <left/>
      <right/>
      <top style="thick">
        <color rgb="FF0000FF"/>
      </top>
      <bottom style="thin">
        <color indexed="64"/>
      </bottom>
      <diagonal/>
    </border>
    <border>
      <left style="thick">
        <color rgb="FF0000FF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333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center" vertical="top"/>
    </xf>
    <xf numFmtId="165" fontId="6" fillId="0" borderId="0" xfId="2" applyNumberFormat="1" applyFont="1" applyFill="1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0" xfId="0" applyFont="1"/>
    <xf numFmtId="164" fontId="6" fillId="0" borderId="0" xfId="1" applyNumberFormat="1" applyFont="1"/>
    <xf numFmtId="164" fontId="6" fillId="0" borderId="0" xfId="0" applyNumberFormat="1" applyFont="1"/>
    <xf numFmtId="166" fontId="6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37" fontId="5" fillId="0" borderId="0" xfId="0" applyNumberFormat="1" applyFont="1"/>
    <xf numFmtId="37" fontId="5" fillId="0" borderId="12" xfId="0" applyNumberFormat="1" applyFont="1" applyBorder="1"/>
    <xf numFmtId="0" fontId="10" fillId="0" borderId="14" xfId="0" applyFont="1" applyFill="1" applyBorder="1" applyAlignment="1">
      <alignment horizontal="centerContinuous" vertical="top"/>
    </xf>
    <xf numFmtId="0" fontId="10" fillId="0" borderId="15" xfId="0" applyFont="1" applyFill="1" applyBorder="1" applyAlignment="1">
      <alignment horizontal="centerContinuous" vertical="top"/>
    </xf>
    <xf numFmtId="0" fontId="10" fillId="0" borderId="16" xfId="0" applyFont="1" applyFill="1" applyBorder="1" applyAlignment="1">
      <alignment horizontal="centerContinuous" vertical="top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5" fontId="6" fillId="0" borderId="19" xfId="2" applyNumberFormat="1" applyFont="1" applyFill="1" applyBorder="1" applyAlignment="1">
      <alignment vertical="top" wrapText="1"/>
    </xf>
    <xf numFmtId="165" fontId="6" fillId="0" borderId="1" xfId="2" applyNumberFormat="1" applyFont="1" applyFill="1" applyBorder="1" applyAlignment="1">
      <alignment vertical="top" wrapText="1"/>
    </xf>
    <xf numFmtId="165" fontId="6" fillId="0" borderId="20" xfId="2" applyNumberFormat="1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/>
    </xf>
    <xf numFmtId="0" fontId="8" fillId="3" borderId="2" xfId="0" applyFont="1" applyFill="1" applyBorder="1" applyAlignment="1">
      <alignment vertical="top" wrapText="1"/>
    </xf>
    <xf numFmtId="0" fontId="8" fillId="3" borderId="19" xfId="0" applyFont="1" applyFill="1" applyBorder="1" applyAlignment="1">
      <alignment vertical="top" wrapText="1"/>
    </xf>
    <xf numFmtId="0" fontId="8" fillId="3" borderId="2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164" fontId="6" fillId="0" borderId="19" xfId="1" applyNumberFormat="1" applyFont="1" applyFill="1" applyBorder="1" applyAlignment="1">
      <alignment vertical="top" wrapText="1"/>
    </xf>
    <xf numFmtId="164" fontId="6" fillId="0" borderId="1" xfId="1" applyNumberFormat="1" applyFont="1" applyFill="1" applyBorder="1" applyAlignment="1">
      <alignment vertical="top" wrapText="1"/>
    </xf>
    <xf numFmtId="164" fontId="6" fillId="0" borderId="20" xfId="1" applyNumberFormat="1" applyFont="1" applyFill="1" applyBorder="1" applyAlignment="1">
      <alignment vertical="top" wrapText="1"/>
    </xf>
    <xf numFmtId="2" fontId="6" fillId="0" borderId="7" xfId="0" applyNumberFormat="1" applyFont="1" applyFill="1" applyBorder="1" applyAlignment="1">
      <alignment horizontal="right" vertical="top" wrapText="1"/>
    </xf>
    <xf numFmtId="164" fontId="11" fillId="0" borderId="19" xfId="1" applyNumberFormat="1" applyFont="1" applyFill="1" applyBorder="1" applyAlignment="1">
      <alignment vertical="top" wrapText="1"/>
    </xf>
    <xf numFmtId="164" fontId="11" fillId="0" borderId="1" xfId="1" applyNumberFormat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 wrapText="1"/>
    </xf>
    <xf numFmtId="164" fontId="8" fillId="0" borderId="19" xfId="1" applyNumberFormat="1" applyFont="1" applyFill="1" applyBorder="1" applyAlignment="1">
      <alignment vertical="top" wrapText="1"/>
    </xf>
    <xf numFmtId="164" fontId="10" fillId="0" borderId="20" xfId="1" applyNumberFormat="1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left" vertical="top" wrapText="1"/>
    </xf>
    <xf numFmtId="164" fontId="8" fillId="3" borderId="19" xfId="1" applyNumberFormat="1" applyFont="1" applyFill="1" applyBorder="1" applyAlignment="1">
      <alignment vertical="top" wrapText="1"/>
    </xf>
    <xf numFmtId="164" fontId="8" fillId="3" borderId="2" xfId="1" applyNumberFormat="1" applyFont="1" applyFill="1" applyBorder="1" applyAlignment="1">
      <alignment vertical="top" wrapText="1"/>
    </xf>
    <xf numFmtId="164" fontId="8" fillId="3" borderId="21" xfId="1" applyNumberFormat="1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6" fillId="3" borderId="19" xfId="1" applyNumberFormat="1" applyFont="1" applyFill="1" applyBorder="1" applyAlignment="1">
      <alignment vertical="top" wrapText="1"/>
    </xf>
    <xf numFmtId="164" fontId="6" fillId="3" borderId="1" xfId="1" applyNumberFormat="1" applyFont="1" applyFill="1" applyBorder="1" applyAlignment="1">
      <alignment vertical="top" wrapText="1"/>
    </xf>
    <xf numFmtId="164" fontId="6" fillId="3" borderId="20" xfId="1" applyNumberFormat="1" applyFont="1" applyFill="1" applyBorder="1" applyAlignment="1">
      <alignment vertical="top" wrapText="1"/>
    </xf>
    <xf numFmtId="164" fontId="7" fillId="3" borderId="19" xfId="1" applyNumberFormat="1" applyFont="1" applyFill="1" applyBorder="1" applyAlignment="1">
      <alignment vertical="top" wrapText="1"/>
    </xf>
    <xf numFmtId="164" fontId="7" fillId="3" borderId="1" xfId="1" applyNumberFormat="1" applyFont="1" applyFill="1" applyBorder="1" applyAlignment="1">
      <alignment vertical="top" wrapText="1"/>
    </xf>
    <xf numFmtId="164" fontId="7" fillId="3" borderId="20" xfId="1" applyNumberFormat="1" applyFont="1" applyFill="1" applyBorder="1" applyAlignment="1">
      <alignment vertical="top" wrapText="1"/>
    </xf>
    <xf numFmtId="0" fontId="6" fillId="4" borderId="9" xfId="0" applyFont="1" applyFill="1" applyBorder="1" applyAlignment="1">
      <alignment horizontal="left" vertical="top" wrapText="1"/>
    </xf>
    <xf numFmtId="0" fontId="12" fillId="4" borderId="10" xfId="0" applyFont="1" applyFill="1" applyBorder="1" applyAlignment="1">
      <alignment horizontal="left" vertical="top" wrapText="1"/>
    </xf>
    <xf numFmtId="165" fontId="13" fillId="4" borderId="22" xfId="2" applyNumberFormat="1" applyFont="1" applyFill="1" applyBorder="1" applyAlignment="1">
      <alignment vertical="top" wrapText="1"/>
    </xf>
    <xf numFmtId="165" fontId="13" fillId="4" borderId="23" xfId="2" applyNumberFormat="1" applyFont="1" applyFill="1" applyBorder="1" applyAlignment="1">
      <alignment vertical="top" wrapText="1"/>
    </xf>
    <xf numFmtId="165" fontId="13" fillId="4" borderId="24" xfId="2" applyNumberFormat="1" applyFont="1" applyFill="1" applyBorder="1" applyAlignment="1">
      <alignment vertical="top" wrapText="1"/>
    </xf>
    <xf numFmtId="10" fontId="6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10" fillId="0" borderId="25" xfId="0" applyFont="1" applyFill="1" applyBorder="1" applyAlignment="1">
      <alignment horizontal="centerContinuous" vertical="top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top"/>
    </xf>
    <xf numFmtId="0" fontId="8" fillId="2" borderId="2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2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165" fontId="6" fillId="0" borderId="28" xfId="2" applyNumberFormat="1" applyFont="1" applyFill="1" applyBorder="1" applyAlignment="1">
      <alignment vertical="top"/>
    </xf>
    <xf numFmtId="165" fontId="6" fillId="0" borderId="3" xfId="2" applyNumberFormat="1" applyFont="1" applyFill="1" applyBorder="1" applyAlignment="1">
      <alignment vertical="top"/>
    </xf>
    <xf numFmtId="0" fontId="8" fillId="3" borderId="8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left" vertical="top"/>
    </xf>
    <xf numFmtId="0" fontId="8" fillId="3" borderId="19" xfId="0" applyFont="1" applyFill="1" applyBorder="1" applyAlignment="1">
      <alignment horizontal="left" vertical="top"/>
    </xf>
    <xf numFmtId="0" fontId="8" fillId="3" borderId="2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164" fontId="6" fillId="0" borderId="19" xfId="1" applyNumberFormat="1" applyFont="1" applyFill="1" applyBorder="1" applyAlignment="1">
      <alignment vertical="top"/>
    </xf>
    <xf numFmtId="164" fontId="6" fillId="0" borderId="1" xfId="1" applyNumberFormat="1" applyFont="1" applyFill="1" applyBorder="1" applyAlignment="1">
      <alignment vertical="top"/>
    </xf>
    <xf numFmtId="164" fontId="10" fillId="0" borderId="20" xfId="1" applyNumberFormat="1" applyFont="1" applyFill="1" applyBorder="1" applyAlignment="1">
      <alignment vertical="top"/>
    </xf>
    <xf numFmtId="2" fontId="6" fillId="0" borderId="7" xfId="0" applyNumberFormat="1" applyFont="1" applyFill="1" applyBorder="1" applyAlignment="1">
      <alignment horizontal="right" vertical="top"/>
    </xf>
    <xf numFmtId="164" fontId="11" fillId="0" borderId="19" xfId="1" applyNumberFormat="1" applyFont="1" applyFill="1" applyBorder="1" applyAlignment="1">
      <alignment vertical="top"/>
    </xf>
    <xf numFmtId="164" fontId="11" fillId="0" borderId="1" xfId="1" applyNumberFormat="1" applyFont="1" applyFill="1" applyBorder="1" applyAlignment="1">
      <alignment vertical="top"/>
    </xf>
    <xf numFmtId="164" fontId="6" fillId="0" borderId="20" xfId="1" applyNumberFormat="1" applyFont="1" applyFill="1" applyBorder="1" applyAlignment="1">
      <alignment vertical="top"/>
    </xf>
    <xf numFmtId="164" fontId="8" fillId="0" borderId="1" xfId="1" applyNumberFormat="1" applyFont="1" applyFill="1" applyBorder="1" applyAlignment="1">
      <alignment vertical="top"/>
    </xf>
    <xf numFmtId="164" fontId="8" fillId="3" borderId="19" xfId="1" applyNumberFormat="1" applyFont="1" applyFill="1" applyBorder="1" applyAlignment="1">
      <alignment horizontal="left" vertical="top"/>
    </xf>
    <xf numFmtId="164" fontId="8" fillId="3" borderId="2" xfId="1" applyNumberFormat="1" applyFont="1" applyFill="1" applyBorder="1" applyAlignment="1">
      <alignment horizontal="left" vertical="top"/>
    </xf>
    <xf numFmtId="164" fontId="8" fillId="3" borderId="21" xfId="1" applyNumberFormat="1" applyFont="1" applyFill="1" applyBorder="1" applyAlignment="1">
      <alignment horizontal="left" vertical="top"/>
    </xf>
    <xf numFmtId="164" fontId="8" fillId="0" borderId="19" xfId="1" applyNumberFormat="1" applyFont="1" applyFill="1" applyBorder="1" applyAlignment="1">
      <alignment vertical="top"/>
    </xf>
    <xf numFmtId="0" fontId="10" fillId="0" borderId="7" xfId="0" applyFont="1" applyFill="1" applyBorder="1" applyAlignment="1">
      <alignment horizontal="right" vertical="top"/>
    </xf>
    <xf numFmtId="0" fontId="6" fillId="3" borderId="7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164" fontId="6" fillId="3" borderId="19" xfId="1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164" fontId="6" fillId="3" borderId="20" xfId="1" applyNumberFormat="1" applyFont="1" applyFill="1" applyBorder="1" applyAlignment="1">
      <alignment vertical="top"/>
    </xf>
    <xf numFmtId="0" fontId="6" fillId="4" borderId="9" xfId="0" applyFont="1" applyFill="1" applyBorder="1" applyAlignment="1">
      <alignment horizontal="left" vertical="top"/>
    </xf>
    <xf numFmtId="0" fontId="12" fillId="4" borderId="10" xfId="0" applyFont="1" applyFill="1" applyBorder="1" applyAlignment="1">
      <alignment horizontal="left" vertical="top"/>
    </xf>
    <xf numFmtId="165" fontId="13" fillId="4" borderId="22" xfId="2" applyNumberFormat="1" applyFont="1" applyFill="1" applyBorder="1" applyAlignment="1">
      <alignment vertical="top"/>
    </xf>
    <xf numFmtId="165" fontId="13" fillId="4" borderId="23" xfId="2" applyNumberFormat="1" applyFont="1" applyFill="1" applyBorder="1" applyAlignment="1">
      <alignment vertical="top"/>
    </xf>
    <xf numFmtId="165" fontId="13" fillId="4" borderId="24" xfId="2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8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33" xfId="0" applyFont="1" applyFill="1" applyBorder="1" applyAlignment="1" applyProtection="1">
      <alignment horizontal="centerContinuous"/>
      <protection locked="0"/>
    </xf>
    <xf numFmtId="0" fontId="5" fillId="0" borderId="0" xfId="0" applyFont="1" applyFill="1" applyBorder="1" applyAlignment="1" applyProtection="1">
      <alignment horizontal="centerContinuous"/>
      <protection locked="0"/>
    </xf>
    <xf numFmtId="0" fontId="5" fillId="0" borderId="0" xfId="0" applyFont="1" applyFill="1" applyBorder="1" applyAlignment="1">
      <alignment horizontal="centerContinuous"/>
    </xf>
    <xf numFmtId="0" fontId="5" fillId="0" borderId="34" xfId="0" applyFont="1" applyFill="1" applyBorder="1" applyAlignment="1">
      <alignment horizontal="centerContinuous"/>
    </xf>
    <xf numFmtId="0" fontId="5" fillId="0" borderId="33" xfId="0" applyFont="1" applyFill="1" applyBorder="1" applyAlignment="1">
      <alignment horizontal="centerContinuous"/>
    </xf>
    <xf numFmtId="0" fontId="5" fillId="0" borderId="3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164" fontId="6" fillId="0" borderId="0" xfId="0" applyNumberFormat="1" applyFont="1" applyFill="1"/>
    <xf numFmtId="164" fontId="6" fillId="0" borderId="0" xfId="1" applyNumberFormat="1" applyFont="1" applyFill="1" applyBorder="1"/>
    <xf numFmtId="164" fontId="6" fillId="0" borderId="0" xfId="1" applyNumberFormat="1" applyFont="1" applyBorder="1"/>
    <xf numFmtId="164" fontId="6" fillId="0" borderId="12" xfId="1" applyNumberFormat="1" applyFont="1" applyBorder="1"/>
    <xf numFmtId="0" fontId="6" fillId="0" borderId="31" xfId="0" applyFont="1" applyFill="1" applyBorder="1" applyAlignment="1">
      <alignment horizontal="left" vertical="top"/>
    </xf>
    <xf numFmtId="0" fontId="6" fillId="0" borderId="32" xfId="0" applyFont="1" applyFill="1" applyBorder="1" applyAlignment="1">
      <alignment horizontal="left" vertical="top"/>
    </xf>
    <xf numFmtId="0" fontId="2" fillId="0" borderId="33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167" fontId="2" fillId="0" borderId="0" xfId="0" quotePrefix="1" applyNumberFormat="1" applyFont="1" applyFill="1" applyBorder="1" applyAlignment="1">
      <alignment horizontal="left"/>
    </xf>
    <xf numFmtId="42" fontId="6" fillId="0" borderId="0" xfId="0" applyNumberFormat="1" applyFont="1" applyFill="1" applyBorder="1"/>
    <xf numFmtId="42" fontId="6" fillId="0" borderId="34" xfId="0" applyNumberFormat="1" applyFont="1" applyFill="1" applyBorder="1"/>
    <xf numFmtId="0" fontId="2" fillId="0" borderId="0" xfId="0" applyFont="1" applyFill="1" applyBorder="1" applyAlignment="1"/>
    <xf numFmtId="164" fontId="2" fillId="0" borderId="11" xfId="0" quotePrefix="1" applyNumberFormat="1" applyFont="1" applyFill="1" applyBorder="1" applyAlignment="1">
      <alignment horizontal="left"/>
    </xf>
    <xf numFmtId="164" fontId="2" fillId="0" borderId="36" xfId="0" quotePrefix="1" applyNumberFormat="1" applyFont="1" applyFill="1" applyBorder="1" applyAlignment="1">
      <alignment horizontal="left"/>
    </xf>
    <xf numFmtId="165" fontId="5" fillId="0" borderId="30" xfId="0" quotePrefix="1" applyNumberFormat="1" applyFont="1" applyFill="1" applyBorder="1" applyAlignment="1">
      <alignment horizontal="left"/>
    </xf>
    <xf numFmtId="165" fontId="5" fillId="0" borderId="37" xfId="0" quotePrefix="1" applyNumberFormat="1" applyFont="1" applyFill="1" applyBorder="1" applyAlignment="1">
      <alignment horizontal="left"/>
    </xf>
    <xf numFmtId="164" fontId="2" fillId="0" borderId="0" xfId="0" quotePrefix="1" applyNumberFormat="1" applyFont="1" applyFill="1" applyBorder="1" applyAlignment="1">
      <alignment horizontal="left"/>
    </xf>
    <xf numFmtId="164" fontId="2" fillId="0" borderId="34" xfId="0" quotePrefix="1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2"/>
    </xf>
    <xf numFmtId="1" fontId="2" fillId="0" borderId="0" xfId="0" quotePrefix="1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29" xfId="0" quotePrefix="1" applyNumberFormat="1" applyFont="1" applyFill="1" applyBorder="1" applyAlignment="1">
      <alignment horizontal="left"/>
    </xf>
    <xf numFmtId="165" fontId="2" fillId="0" borderId="38" xfId="0" quotePrefix="1" applyNumberFormat="1" applyFont="1" applyFill="1" applyBorder="1" applyAlignment="1">
      <alignment horizontal="left"/>
    </xf>
    <xf numFmtId="0" fontId="6" fillId="0" borderId="0" xfId="0" applyFont="1" applyFill="1" applyBorder="1"/>
    <xf numFmtId="0" fontId="6" fillId="0" borderId="34" xfId="0" applyFont="1" applyFill="1" applyBorder="1"/>
    <xf numFmtId="0" fontId="2" fillId="0" borderId="0" xfId="0" applyNumberFormat="1" applyFont="1" applyFill="1" applyBorder="1" applyAlignment="1"/>
    <xf numFmtId="9" fontId="2" fillId="0" borderId="0" xfId="0" quotePrefix="1" applyNumberFormat="1" applyFont="1" applyFill="1" applyBorder="1" applyAlignment="1">
      <alignment horizontal="center"/>
    </xf>
    <xf numFmtId="164" fontId="2" fillId="0" borderId="0" xfId="0" quotePrefix="1" applyNumberFormat="1" applyFont="1" applyFill="1" applyBorder="1" applyAlignment="1">
      <alignment horizontal="right"/>
    </xf>
    <xf numFmtId="164" fontId="2" fillId="0" borderId="34" xfId="0" quotePrefix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6" fillId="0" borderId="33" xfId="0" applyFont="1" applyFill="1" applyBorder="1"/>
    <xf numFmtId="164" fontId="6" fillId="0" borderId="0" xfId="0" applyNumberFormat="1" applyFont="1" applyFill="1" applyBorder="1"/>
    <xf numFmtId="0" fontId="6" fillId="0" borderId="35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left" vertical="top"/>
    </xf>
    <xf numFmtId="0" fontId="6" fillId="0" borderId="36" xfId="0" applyFont="1" applyFill="1" applyBorder="1" applyAlignment="1">
      <alignment horizontal="left" vertical="top"/>
    </xf>
    <xf numFmtId="43" fontId="2" fillId="0" borderId="0" xfId="0" quotePrefix="1" applyNumberFormat="1" applyFont="1" applyFill="1" applyBorder="1" applyAlignment="1">
      <alignment horizontal="left"/>
    </xf>
    <xf numFmtId="0" fontId="6" fillId="0" borderId="33" xfId="0" applyFont="1" applyFill="1" applyBorder="1" applyAlignment="1">
      <alignment horizontal="left" vertical="top"/>
    </xf>
    <xf numFmtId="0" fontId="6" fillId="0" borderId="0" xfId="0" applyFont="1" applyBorder="1"/>
    <xf numFmtId="0" fontId="6" fillId="0" borderId="34" xfId="0" applyFont="1" applyBorder="1"/>
    <xf numFmtId="0" fontId="6" fillId="0" borderId="0" xfId="0" applyFont="1" applyBorder="1" applyAlignment="1">
      <alignment horizontal="left" vertical="center" indent="5"/>
    </xf>
    <xf numFmtId="0" fontId="2" fillId="0" borderId="0" xfId="0" applyFont="1" applyBorder="1" applyAlignment="1">
      <alignment horizontal="left" vertical="center" indent="5"/>
    </xf>
    <xf numFmtId="0" fontId="2" fillId="0" borderId="39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43" fontId="6" fillId="0" borderId="34" xfId="0" applyNumberFormat="1" applyFont="1" applyBorder="1"/>
    <xf numFmtId="3" fontId="2" fillId="0" borderId="40" xfId="0" applyNumberFormat="1" applyFont="1" applyBorder="1" applyAlignment="1">
      <alignment horizontal="right" vertical="center"/>
    </xf>
    <xf numFmtId="0" fontId="6" fillId="0" borderId="34" xfId="0" applyFont="1" applyFill="1" applyBorder="1" applyAlignment="1">
      <alignment horizontal="left" vertical="top"/>
    </xf>
    <xf numFmtId="43" fontId="6" fillId="0" borderId="34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5" applyNumberFormat="1" applyFont="1" applyBorder="1" applyAlignment="1">
      <alignment horizontal="center"/>
    </xf>
    <xf numFmtId="0" fontId="8" fillId="0" borderId="11" xfId="5" applyNumberFormat="1" applyFont="1" applyBorder="1" applyAlignment="1">
      <alignment horizontal="centerContinuous"/>
    </xf>
    <xf numFmtId="0" fontId="8" fillId="0" borderId="11" xfId="5" applyNumberFormat="1" applyFont="1" applyBorder="1" applyAlignment="1">
      <alignment horizontal="center"/>
    </xf>
    <xf numFmtId="0" fontId="10" fillId="0" borderId="0" xfId="5" applyNumberFormat="1" applyFont="1" applyBorder="1" applyAlignment="1">
      <alignment horizontal="center"/>
    </xf>
    <xf numFmtId="41" fontId="10" fillId="0" borderId="12" xfId="5" applyNumberFormat="1" applyFont="1" applyBorder="1" applyAlignment="1"/>
    <xf numFmtId="42" fontId="10" fillId="0" borderId="30" xfId="5" applyNumberFormat="1" applyFont="1" applyBorder="1" applyAlignment="1"/>
    <xf numFmtId="0" fontId="5" fillId="0" borderId="33" xfId="5" applyFont="1" applyBorder="1" applyAlignment="1">
      <alignment horizontal="centerContinuous"/>
    </xf>
    <xf numFmtId="0" fontId="5" fillId="0" borderId="0" xfId="5" applyFont="1" applyBorder="1" applyAlignment="1">
      <alignment horizontal="centerContinuous"/>
    </xf>
    <xf numFmtId="0" fontId="5" fillId="0" borderId="34" xfId="5" applyFont="1" applyBorder="1" applyAlignment="1">
      <alignment horizontal="centerContinuous"/>
    </xf>
    <xf numFmtId="0" fontId="2" fillId="0" borderId="33" xfId="5" applyBorder="1"/>
    <xf numFmtId="0" fontId="2" fillId="0" borderId="0" xfId="5" applyBorder="1"/>
    <xf numFmtId="0" fontId="10" fillId="0" borderId="0" xfId="5" applyNumberFormat="1" applyFont="1" applyBorder="1" applyAlignment="1"/>
    <xf numFmtId="0" fontId="8" fillId="0" borderId="34" xfId="5" applyNumberFormat="1" applyFont="1" applyBorder="1" applyAlignment="1">
      <alignment horizontal="center"/>
    </xf>
    <xf numFmtId="0" fontId="8" fillId="0" borderId="35" xfId="5" applyNumberFormat="1" applyFont="1" applyBorder="1" applyAlignment="1">
      <alignment horizontal="centerContinuous"/>
    </xf>
    <xf numFmtId="0" fontId="8" fillId="0" borderId="36" xfId="5" applyNumberFormat="1" applyFont="1" applyBorder="1" applyAlignment="1">
      <alignment horizontal="center"/>
    </xf>
    <xf numFmtId="0" fontId="10" fillId="0" borderId="34" xfId="5" applyNumberFormat="1" applyFont="1" applyBorder="1" applyAlignment="1">
      <alignment horizontal="center"/>
    </xf>
    <xf numFmtId="0" fontId="2" fillId="0" borderId="33" xfId="5" applyBorder="1" applyAlignment="1">
      <alignment horizontal="left"/>
    </xf>
    <xf numFmtId="0" fontId="10" fillId="0" borderId="0" xfId="6" applyNumberFormat="1" applyFont="1" applyBorder="1" applyAlignment="1"/>
    <xf numFmtId="42" fontId="10" fillId="0" borderId="0" xfId="5" applyNumberFormat="1" applyFont="1" applyBorder="1" applyAlignment="1"/>
    <xf numFmtId="42" fontId="10" fillId="0" borderId="34" xfId="5" applyNumberFormat="1" applyFont="1" applyBorder="1" applyAlignment="1"/>
    <xf numFmtId="169" fontId="10" fillId="0" borderId="0" xfId="5" applyNumberFormat="1" applyFont="1" applyBorder="1" applyAlignment="1"/>
    <xf numFmtId="169" fontId="10" fillId="0" borderId="34" xfId="5" applyNumberFormat="1" applyFont="1" applyBorder="1" applyAlignment="1"/>
    <xf numFmtId="41" fontId="10" fillId="0" borderId="32" xfId="5" applyNumberFormat="1" applyFont="1" applyBorder="1" applyAlignment="1"/>
    <xf numFmtId="170" fontId="10" fillId="0" borderId="0" xfId="5" applyNumberFormat="1" applyFont="1" applyBorder="1" applyAlignment="1"/>
    <xf numFmtId="170" fontId="10" fillId="0" borderId="34" xfId="5" applyNumberFormat="1" applyFont="1" applyBorder="1" applyAlignment="1"/>
    <xf numFmtId="42" fontId="10" fillId="0" borderId="37" xfId="5" applyNumberFormat="1" applyFont="1" applyBorder="1" applyAlignment="1"/>
    <xf numFmtId="0" fontId="10" fillId="0" borderId="33" xfId="5" applyNumberFormat="1" applyFont="1" applyBorder="1" applyAlignment="1"/>
    <xf numFmtId="42" fontId="6" fillId="0" borderId="0" xfId="0" applyNumberFormat="1" applyFont="1" applyFill="1" applyBorder="1" applyAlignment="1">
      <alignment horizontal="left" vertical="top"/>
    </xf>
    <xf numFmtId="0" fontId="8" fillId="0" borderId="0" xfId="6" applyNumberFormat="1" applyFont="1" applyBorder="1" applyAlignment="1">
      <alignment horizontal="center"/>
    </xf>
    <xf numFmtId="0" fontId="8" fillId="0" borderId="11" xfId="6" applyNumberFormat="1" applyFont="1" applyBorder="1" applyAlignment="1">
      <alignment horizontal="centerContinuous"/>
    </xf>
    <xf numFmtId="0" fontId="8" fillId="0" borderId="11" xfId="6" applyNumberFormat="1" applyFont="1" applyBorder="1" applyAlignment="1">
      <alignment horizontal="center"/>
    </xf>
    <xf numFmtId="0" fontId="10" fillId="0" borderId="0" xfId="6" applyNumberFormat="1" applyFont="1" applyBorder="1" applyAlignment="1">
      <alignment horizontal="center"/>
    </xf>
    <xf numFmtId="41" fontId="10" fillId="0" borderId="12" xfId="6" applyNumberFormat="1" applyFont="1" applyBorder="1" applyAlignment="1"/>
    <xf numFmtId="42" fontId="10" fillId="0" borderId="30" xfId="6" applyNumberFormat="1" applyFont="1" applyBorder="1" applyAlignment="1"/>
    <xf numFmtId="0" fontId="5" fillId="0" borderId="33" xfId="6" applyFont="1" applyBorder="1" applyAlignment="1">
      <alignment horizontal="centerContinuous"/>
    </xf>
    <xf numFmtId="0" fontId="5" fillId="0" borderId="0" xfId="6" applyFont="1" applyBorder="1" applyAlignment="1">
      <alignment horizontal="centerContinuous"/>
    </xf>
    <xf numFmtId="0" fontId="5" fillId="0" borderId="34" xfId="6" applyFont="1" applyBorder="1" applyAlignment="1">
      <alignment horizontal="centerContinuous"/>
    </xf>
    <xf numFmtId="0" fontId="2" fillId="0" borderId="33" xfId="6" applyBorder="1"/>
    <xf numFmtId="0" fontId="2" fillId="0" borderId="0" xfId="6" applyBorder="1"/>
    <xf numFmtId="0" fontId="5" fillId="0" borderId="0" xfId="6" applyFont="1" applyBorder="1" applyAlignment="1">
      <alignment horizontal="center"/>
    </xf>
    <xf numFmtId="0" fontId="2" fillId="0" borderId="34" xfId="6" applyBorder="1"/>
    <xf numFmtId="0" fontId="8" fillId="0" borderId="34" xfId="6" applyNumberFormat="1" applyFont="1" applyBorder="1" applyAlignment="1">
      <alignment horizontal="center"/>
    </xf>
    <xf numFmtId="0" fontId="8" fillId="0" borderId="35" xfId="6" applyNumberFormat="1" applyFont="1" applyBorder="1" applyAlignment="1">
      <alignment horizontal="centerContinuous"/>
    </xf>
    <xf numFmtId="0" fontId="8" fillId="0" borderId="36" xfId="6" applyNumberFormat="1" applyFont="1" applyBorder="1" applyAlignment="1">
      <alignment horizontal="center"/>
    </xf>
    <xf numFmtId="0" fontId="10" fillId="0" borderId="34" xfId="6" applyNumberFormat="1" applyFont="1" applyBorder="1" applyAlignment="1">
      <alignment horizontal="center"/>
    </xf>
    <xf numFmtId="0" fontId="2" fillId="0" borderId="33" xfId="6" applyBorder="1" applyAlignment="1">
      <alignment horizontal="left"/>
    </xf>
    <xf numFmtId="42" fontId="10" fillId="0" borderId="0" xfId="6" applyNumberFormat="1" applyFont="1" applyBorder="1" applyAlignment="1"/>
    <xf numFmtId="42" fontId="10" fillId="0" borderId="34" xfId="6" applyNumberFormat="1" applyFont="1" applyBorder="1" applyAlignment="1"/>
    <xf numFmtId="169" fontId="10" fillId="0" borderId="0" xfId="6" applyNumberFormat="1" applyFont="1" applyBorder="1" applyAlignment="1"/>
    <xf numFmtId="169" fontId="10" fillId="0" borderId="34" xfId="6" applyNumberFormat="1" applyFont="1" applyBorder="1" applyAlignment="1"/>
    <xf numFmtId="41" fontId="10" fillId="0" borderId="32" xfId="6" applyNumberFormat="1" applyFont="1" applyBorder="1" applyAlignment="1"/>
    <xf numFmtId="170" fontId="10" fillId="0" borderId="0" xfId="6" applyNumberFormat="1" applyFont="1" applyBorder="1" applyAlignment="1"/>
    <xf numFmtId="170" fontId="10" fillId="0" borderId="34" xfId="6" applyNumberFormat="1" applyFont="1" applyBorder="1" applyAlignment="1"/>
    <xf numFmtId="42" fontId="10" fillId="0" borderId="37" xfId="6" applyNumberFormat="1" applyFont="1" applyBorder="1" applyAlignment="1"/>
    <xf numFmtId="0" fontId="24" fillId="0" borderId="0" xfId="6" applyFont="1" applyBorder="1" applyAlignment="1">
      <alignment horizontal="right"/>
    </xf>
    <xf numFmtId="42" fontId="14" fillId="0" borderId="34" xfId="6" applyNumberFormat="1" applyFont="1" applyBorder="1"/>
    <xf numFmtId="0" fontId="10" fillId="0" borderId="33" xfId="6" applyNumberFormat="1" applyFont="1" applyBorder="1" applyAlignment="1"/>
    <xf numFmtId="41" fontId="10" fillId="0" borderId="0" xfId="5" applyNumberFormat="1" applyFont="1" applyBorder="1" applyAlignment="1"/>
    <xf numFmtId="165" fontId="10" fillId="0" borderId="12" xfId="2" applyNumberFormat="1" applyFont="1" applyBorder="1" applyAlignment="1"/>
    <xf numFmtId="165" fontId="10" fillId="0" borderId="13" xfId="2" applyNumberFormat="1" applyFont="1" applyBorder="1" applyAlignment="1"/>
    <xf numFmtId="41" fontId="10" fillId="0" borderId="11" xfId="5" applyNumberFormat="1" applyFont="1" applyBorder="1" applyAlignment="1"/>
    <xf numFmtId="0" fontId="7" fillId="0" borderId="0" xfId="0" applyFont="1"/>
    <xf numFmtId="164" fontId="6" fillId="0" borderId="12" xfId="1" applyNumberFormat="1" applyFont="1" applyFill="1" applyBorder="1"/>
    <xf numFmtId="37" fontId="6" fillId="0" borderId="12" xfId="0" applyNumberFormat="1" applyFont="1" applyFill="1" applyBorder="1"/>
    <xf numFmtId="0" fontId="1" fillId="0" borderId="0" xfId="7"/>
    <xf numFmtId="165" fontId="1" fillId="0" borderId="0" xfId="7" applyNumberFormat="1"/>
    <xf numFmtId="165" fontId="20" fillId="0" borderId="0" xfId="7" applyNumberFormat="1" applyFont="1"/>
    <xf numFmtId="165" fontId="20" fillId="0" borderId="30" xfId="8" applyNumberFormat="1" applyFont="1" applyBorder="1"/>
    <xf numFmtId="0" fontId="19" fillId="0" borderId="0" xfId="7" applyFont="1" applyFill="1" applyAlignment="1">
      <alignment horizontal="center"/>
    </xf>
    <xf numFmtId="0" fontId="19" fillId="0" borderId="0" xfId="7" applyFont="1" applyAlignment="1">
      <alignment horizontal="left"/>
    </xf>
    <xf numFmtId="165" fontId="20" fillId="0" borderId="0" xfId="8" applyNumberFormat="1" applyFont="1"/>
    <xf numFmtId="165" fontId="19" fillId="0" borderId="0" xfId="8" applyNumberFormat="1" applyFont="1" applyFill="1" applyBorder="1" applyAlignment="1">
      <alignment horizontal="center" wrapText="1"/>
    </xf>
    <xf numFmtId="0" fontId="20" fillId="0" borderId="0" xfId="7" applyFont="1" applyAlignment="1">
      <alignment horizontal="center"/>
    </xf>
    <xf numFmtId="0" fontId="19" fillId="0" borderId="0" xfId="7" applyFont="1" applyBorder="1" applyAlignment="1">
      <alignment horizontal="left"/>
    </xf>
    <xf numFmtId="0" fontId="20" fillId="0" borderId="0" xfId="7" applyFont="1"/>
    <xf numFmtId="0" fontId="18" fillId="0" borderId="0" xfId="7" applyFont="1" applyFill="1" applyBorder="1" applyAlignment="1">
      <alignment horizontal="left" wrapText="1"/>
    </xf>
    <xf numFmtId="0" fontId="19" fillId="0" borderId="0" xfId="7" quotePrefix="1" applyFont="1" applyFill="1" applyAlignment="1">
      <alignment horizontal="center"/>
    </xf>
    <xf numFmtId="165" fontId="18" fillId="0" borderId="0" xfId="7" applyNumberFormat="1" applyFont="1" applyFill="1" applyBorder="1" applyAlignment="1">
      <alignment horizontal="center" wrapText="1"/>
    </xf>
    <xf numFmtId="17" fontId="1" fillId="0" borderId="0" xfId="7" applyNumberFormat="1"/>
    <xf numFmtId="0" fontId="16" fillId="0" borderId="11" xfId="7" applyFont="1" applyBorder="1" applyAlignment="1">
      <alignment horizontal="center"/>
    </xf>
    <xf numFmtId="168" fontId="18" fillId="0" borderId="11" xfId="7" applyNumberFormat="1" applyFont="1" applyFill="1" applyBorder="1" applyAlignment="1">
      <alignment horizontal="center" wrapText="1"/>
    </xf>
    <xf numFmtId="0" fontId="18" fillId="0" borderId="11" xfId="7" applyFont="1" applyFill="1" applyBorder="1" applyAlignment="1">
      <alignment horizontal="center" wrapText="1"/>
    </xf>
    <xf numFmtId="0" fontId="20" fillId="0" borderId="11" xfId="7" applyFont="1" applyBorder="1" applyAlignment="1">
      <alignment horizontal="center"/>
    </xf>
    <xf numFmtId="0" fontId="16" fillId="0" borderId="0" xfId="7" applyFont="1" applyAlignment="1">
      <alignment horizontal="center"/>
    </xf>
    <xf numFmtId="0" fontId="20" fillId="0" borderId="0" xfId="7" applyFont="1" applyBorder="1" applyAlignment="1">
      <alignment horizontal="center"/>
    </xf>
    <xf numFmtId="0" fontId="16" fillId="0" borderId="0" xfId="7" quotePrefix="1" applyFont="1" applyAlignment="1">
      <alignment horizontal="center"/>
    </xf>
    <xf numFmtId="168" fontId="18" fillId="0" borderId="0" xfId="7" applyNumberFormat="1" applyFont="1" applyFill="1" applyBorder="1" applyAlignment="1">
      <alignment horizontal="center" wrapText="1"/>
    </xf>
    <xf numFmtId="0" fontId="16" fillId="0" borderId="11" xfId="7" applyFont="1" applyFill="1" applyBorder="1" applyAlignment="1">
      <alignment horizontal="center"/>
    </xf>
    <xf numFmtId="0" fontId="20" fillId="0" borderId="11" xfId="7" applyFont="1" applyFill="1" applyBorder="1" applyAlignment="1">
      <alignment horizontal="center"/>
    </xf>
    <xf numFmtId="0" fontId="16" fillId="0" borderId="0" xfId="7" applyFont="1" applyFill="1" applyAlignment="1">
      <alignment horizontal="center"/>
    </xf>
    <xf numFmtId="0" fontId="20" fillId="0" borderId="0" xfId="7" applyFont="1" applyFill="1" applyBorder="1" applyAlignment="1">
      <alignment horizontal="center"/>
    </xf>
    <xf numFmtId="0" fontId="16" fillId="0" borderId="0" xfId="7" quotePrefix="1" applyFont="1" applyFill="1" applyAlignment="1">
      <alignment horizontal="center"/>
    </xf>
    <xf numFmtId="0" fontId="25" fillId="0" borderId="0" xfId="9" applyFont="1"/>
    <xf numFmtId="0" fontId="26" fillId="0" borderId="0" xfId="9" applyNumberFormat="1" applyFont="1" applyFill="1" applyAlignment="1">
      <alignment horizontal="right"/>
    </xf>
    <xf numFmtId="0" fontId="25" fillId="0" borderId="0" xfId="9" applyFont="1" applyBorder="1"/>
    <xf numFmtId="171" fontId="26" fillId="0" borderId="41" xfId="9" applyNumberFormat="1" applyFont="1" applyFill="1" applyBorder="1" applyAlignment="1">
      <alignment horizontal="right"/>
    </xf>
    <xf numFmtId="0" fontId="26" fillId="0" borderId="0" xfId="9" applyNumberFormat="1" applyFont="1" applyFill="1" applyAlignment="1" applyProtection="1">
      <alignment horizontal="centerContinuous"/>
      <protection locked="0"/>
    </xf>
    <xf numFmtId="0" fontId="26" fillId="0" borderId="0" xfId="9" applyNumberFormat="1" applyFont="1" applyFill="1" applyBorder="1" applyAlignment="1">
      <alignment horizontal="centerContinuous"/>
    </xf>
    <xf numFmtId="0" fontId="26" fillId="0" borderId="0" xfId="9" quotePrefix="1" applyNumberFormat="1" applyFont="1" applyFill="1" applyBorder="1" applyAlignment="1">
      <alignment horizontal="centerContinuous"/>
    </xf>
    <xf numFmtId="0" fontId="25" fillId="0" borderId="0" xfId="9" applyFont="1" applyAlignment="1">
      <alignment horizontal="centerContinuous"/>
    </xf>
    <xf numFmtId="0" fontId="26" fillId="0" borderId="0" xfId="9" applyNumberFormat="1" applyFont="1" applyFill="1" applyAlignment="1">
      <alignment horizontal="centerContinuous"/>
    </xf>
    <xf numFmtId="0" fontId="26" fillId="0" borderId="0" xfId="9" applyNumberFormat="1" applyFont="1" applyFill="1" applyAlignment="1">
      <alignment horizontal="center"/>
    </xf>
    <xf numFmtId="0" fontId="26" fillId="0" borderId="0" xfId="9" applyNumberFormat="1" applyFont="1" applyFill="1" applyBorder="1" applyAlignment="1" applyProtection="1">
      <alignment horizontal="center"/>
      <protection locked="0"/>
    </xf>
    <xf numFmtId="0" fontId="26" fillId="0" borderId="0" xfId="9" quotePrefix="1" applyNumberFormat="1" applyFont="1" applyFill="1" applyBorder="1" applyAlignment="1">
      <alignment horizontal="center"/>
    </xf>
    <xf numFmtId="0" fontId="26" fillId="0" borderId="0" xfId="9" applyNumberFormat="1" applyFont="1" applyFill="1" applyAlignment="1" applyProtection="1">
      <alignment horizontal="center"/>
      <protection locked="0"/>
    </xf>
    <xf numFmtId="0" fontId="26" fillId="0" borderId="0" xfId="9" applyNumberFormat="1" applyFont="1" applyFill="1" applyAlignment="1"/>
    <xf numFmtId="0" fontId="26" fillId="0" borderId="11" xfId="9" applyNumberFormat="1" applyFont="1" applyFill="1" applyBorder="1" applyAlignment="1">
      <alignment horizontal="center"/>
    </xf>
    <xf numFmtId="0" fontId="26" fillId="0" borderId="11" xfId="9" applyNumberFormat="1" applyFont="1" applyFill="1" applyBorder="1" applyAlignment="1"/>
    <xf numFmtId="0" fontId="26" fillId="0" borderId="11" xfId="9" quotePrefix="1" applyNumberFormat="1" applyFont="1" applyFill="1" applyBorder="1" applyAlignment="1">
      <alignment horizontal="center"/>
    </xf>
    <xf numFmtId="0" fontId="27" fillId="0" borderId="11" xfId="9" applyFont="1" applyBorder="1" applyAlignment="1">
      <alignment horizontal="center"/>
    </xf>
    <xf numFmtId="0" fontId="26" fillId="0" borderId="0" xfId="9" applyNumberFormat="1" applyFont="1" applyFill="1" applyBorder="1" applyAlignment="1">
      <alignment horizontal="center"/>
    </xf>
    <xf numFmtId="0" fontId="26" fillId="0" borderId="0" xfId="9" applyNumberFormat="1" applyFont="1" applyFill="1" applyBorder="1" applyAlignment="1"/>
    <xf numFmtId="0" fontId="26" fillId="0" borderId="0" xfId="9" quotePrefix="1" applyNumberFormat="1" applyFont="1" applyFill="1" applyBorder="1" applyAlignment="1" applyProtection="1">
      <alignment horizontal="center"/>
      <protection locked="0"/>
    </xf>
    <xf numFmtId="0" fontId="28" fillId="0" borderId="0" xfId="9" applyNumberFormat="1" applyFont="1" applyFill="1" applyAlignment="1">
      <alignment horizontal="center"/>
    </xf>
    <xf numFmtId="0" fontId="29" fillId="0" borderId="0" xfId="9" applyNumberFormat="1" applyFont="1" applyFill="1" applyBorder="1" applyAlignment="1"/>
    <xf numFmtId="0" fontId="28" fillId="0" borderId="0" xfId="9" applyFont="1"/>
    <xf numFmtId="37" fontId="28" fillId="0" borderId="0" xfId="9" applyNumberFormat="1" applyFont="1" applyFill="1" applyAlignment="1">
      <alignment horizontal="left" indent="1"/>
    </xf>
    <xf numFmtId="42" fontId="28" fillId="0" borderId="0" xfId="9" applyNumberFormat="1" applyFont="1" applyFill="1" applyBorder="1"/>
    <xf numFmtId="0" fontId="28" fillId="0" borderId="0" xfId="9" applyFont="1" applyAlignment="1">
      <alignment horizontal="left" indent="1"/>
    </xf>
    <xf numFmtId="172" fontId="28" fillId="0" borderId="0" xfId="9" applyNumberFormat="1" applyFont="1" applyFill="1" applyBorder="1" applyAlignment="1">
      <alignment horizontal="center"/>
    </xf>
    <xf numFmtId="41" fontId="30" fillId="0" borderId="0" xfId="9" applyNumberFormat="1" applyFont="1" applyFill="1" applyBorder="1" applyAlignment="1">
      <alignment horizontal="center"/>
    </xf>
    <xf numFmtId="49" fontId="28" fillId="0" borderId="0" xfId="9" applyNumberFormat="1" applyFont="1" applyBorder="1" applyAlignment="1">
      <alignment horizontal="left"/>
    </xf>
    <xf numFmtId="42" fontId="28" fillId="0" borderId="30" xfId="9" applyNumberFormat="1" applyFont="1" applyFill="1" applyBorder="1" applyAlignment="1"/>
    <xf numFmtId="0" fontId="28" fillId="0" borderId="0" xfId="9" applyFont="1" applyFill="1" applyAlignment="1">
      <alignment horizontal="left"/>
    </xf>
    <xf numFmtId="42" fontId="28" fillId="0" borderId="30" xfId="9" applyNumberFormat="1" applyFont="1" applyFill="1" applyBorder="1"/>
    <xf numFmtId="37" fontId="28" fillId="0" borderId="0" xfId="9" applyNumberFormat="1" applyFont="1" applyFill="1" applyAlignment="1"/>
    <xf numFmtId="42" fontId="28" fillId="0" borderId="0" xfId="9" applyNumberFormat="1" applyFont="1" applyFill="1" applyAlignment="1" applyProtection="1">
      <alignment horizontal="right"/>
      <protection locked="0"/>
    </xf>
    <xf numFmtId="0" fontId="28" fillId="0" borderId="0" xfId="9" applyNumberFormat="1" applyFont="1" applyFill="1" applyAlignment="1">
      <alignment horizontal="left" indent="1"/>
    </xf>
    <xf numFmtId="0" fontId="25" fillId="0" borderId="0" xfId="9" applyFont="1" applyFill="1"/>
    <xf numFmtId="41" fontId="25" fillId="0" borderId="0" xfId="9" applyNumberFormat="1" applyFont="1" applyFill="1"/>
    <xf numFmtId="42" fontId="25" fillId="0" borderId="30" xfId="9" applyNumberFormat="1" applyFont="1" applyBorder="1"/>
    <xf numFmtId="44" fontId="25" fillId="0" borderId="0" xfId="9" applyNumberFormat="1" applyFont="1"/>
    <xf numFmtId="0" fontId="5" fillId="0" borderId="36" xfId="0" applyFont="1" applyBorder="1" applyAlignment="1">
      <alignment horizontal="center"/>
    </xf>
    <xf numFmtId="165" fontId="6" fillId="0" borderId="34" xfId="0" applyNumberFormat="1" applyFont="1" applyFill="1" applyBorder="1" applyAlignment="1">
      <alignment horizontal="left" vertical="top"/>
    </xf>
    <xf numFmtId="164" fontId="6" fillId="0" borderId="34" xfId="1" applyNumberFormat="1" applyFont="1" applyBorder="1"/>
    <xf numFmtId="164" fontId="6" fillId="0" borderId="32" xfId="1" applyNumberFormat="1" applyFont="1" applyBorder="1"/>
    <xf numFmtId="166" fontId="6" fillId="0" borderId="34" xfId="0" applyNumberFormat="1" applyFont="1" applyFill="1" applyBorder="1" applyAlignment="1">
      <alignment horizontal="left" vertical="top"/>
    </xf>
    <xf numFmtId="0" fontId="7" fillId="0" borderId="35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164" fontId="31" fillId="0" borderId="0" xfId="1" applyNumberFormat="1" applyFont="1" applyFill="1" applyBorder="1" applyAlignment="1">
      <alignment horizontal="left" vertical="top"/>
    </xf>
    <xf numFmtId="165" fontId="31" fillId="0" borderId="0" xfId="0" applyNumberFormat="1" applyFont="1" applyFill="1" applyBorder="1" applyAlignment="1">
      <alignment horizontal="left" vertical="top"/>
    </xf>
    <xf numFmtId="0" fontId="31" fillId="5" borderId="0" xfId="0" applyFont="1" applyFill="1" applyBorder="1" applyAlignment="1">
      <alignment horizontal="left" vertical="top"/>
    </xf>
    <xf numFmtId="164" fontId="31" fillId="5" borderId="0" xfId="1" applyNumberFormat="1" applyFont="1" applyFill="1" applyBorder="1" applyAlignment="1">
      <alignment horizontal="left" vertical="top"/>
    </xf>
    <xf numFmtId="0" fontId="31" fillId="5" borderId="0" xfId="0" quotePrefix="1" applyFont="1" applyFill="1" applyBorder="1" applyAlignment="1">
      <alignment horizontal="left" vertical="top"/>
    </xf>
    <xf numFmtId="0" fontId="32" fillId="5" borderId="0" xfId="0" applyFont="1" applyFill="1" applyBorder="1" applyAlignment="1">
      <alignment horizontal="left" vertical="top"/>
    </xf>
    <xf numFmtId="0" fontId="33" fillId="5" borderId="0" xfId="0" applyFont="1" applyFill="1" applyBorder="1" applyAlignment="1">
      <alignment horizontal="centerContinuous" vertical="top"/>
    </xf>
    <xf numFmtId="0" fontId="33" fillId="5" borderId="11" xfId="0" applyFont="1" applyFill="1" applyBorder="1" applyAlignment="1">
      <alignment horizontal="center" vertical="top"/>
    </xf>
    <xf numFmtId="0" fontId="32" fillId="5" borderId="0" xfId="0" applyFont="1" applyFill="1" applyBorder="1" applyAlignment="1">
      <alignment horizontal="centerContinuous" vertical="top"/>
    </xf>
    <xf numFmtId="174" fontId="32" fillId="5" borderId="0" xfId="1" applyNumberFormat="1" applyFont="1" applyFill="1" applyBorder="1" applyAlignment="1">
      <alignment horizontal="left" vertical="top"/>
    </xf>
    <xf numFmtId="173" fontId="32" fillId="5" borderId="30" xfId="2" applyNumberFormat="1" applyFont="1" applyFill="1" applyBorder="1" applyAlignment="1">
      <alignment horizontal="left" vertical="top"/>
    </xf>
    <xf numFmtId="173" fontId="32" fillId="5" borderId="0" xfId="2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17" fillId="0" borderId="0" xfId="7" quotePrefix="1" applyFont="1" applyAlignment="1">
      <alignment horizontal="center"/>
    </xf>
    <xf numFmtId="0" fontId="17" fillId="0" borderId="0" xfId="7" applyFont="1" applyAlignment="1">
      <alignment horizontal="center"/>
    </xf>
    <xf numFmtId="0" fontId="16" fillId="0" borderId="0" xfId="7" quotePrefix="1" applyFont="1" applyAlignment="1">
      <alignment horizontal="center"/>
    </xf>
    <xf numFmtId="0" fontId="16" fillId="0" borderId="0" xfId="7" applyFont="1" applyAlignment="1">
      <alignment horizontal="center"/>
    </xf>
    <xf numFmtId="0" fontId="21" fillId="0" borderId="0" xfId="7" quotePrefix="1" applyFont="1" applyAlignment="1">
      <alignment horizontal="center"/>
    </xf>
    <xf numFmtId="0" fontId="21" fillId="0" borderId="0" xfId="7" applyFont="1" applyAlignment="1">
      <alignment horizontal="center"/>
    </xf>
    <xf numFmtId="0" fontId="16" fillId="0" borderId="0" xfId="7" quotePrefix="1" applyFont="1" applyFill="1" applyAlignment="1">
      <alignment horizontal="center"/>
    </xf>
    <xf numFmtId="0" fontId="16" fillId="0" borderId="0" xfId="7" applyFont="1" applyFill="1" applyAlignment="1">
      <alignment horizontal="center"/>
    </xf>
    <xf numFmtId="0" fontId="22" fillId="0" borderId="0" xfId="7" quotePrefix="1" applyFont="1" applyFill="1" applyAlignment="1">
      <alignment horizontal="center"/>
    </xf>
    <xf numFmtId="0" fontId="22" fillId="0" borderId="0" xfId="7" applyFont="1" applyFill="1" applyAlignment="1">
      <alignment horizontal="center"/>
    </xf>
    <xf numFmtId="0" fontId="23" fillId="0" borderId="0" xfId="7" quotePrefix="1" applyFont="1" applyAlignment="1">
      <alignment horizontal="center"/>
    </xf>
    <xf numFmtId="0" fontId="23" fillId="0" borderId="0" xfId="7" applyFont="1" applyAlignment="1">
      <alignment horizontal="center"/>
    </xf>
    <xf numFmtId="0" fontId="23" fillId="0" borderId="0" xfId="7" quotePrefix="1" applyFont="1" applyFill="1" applyAlignment="1">
      <alignment horizontal="center"/>
    </xf>
    <xf numFmtId="0" fontId="23" fillId="0" borderId="0" xfId="7" applyFont="1" applyFill="1" applyAlignment="1">
      <alignment horizontal="center"/>
    </xf>
  </cellXfs>
  <cellStyles count="10">
    <cellStyle name="Comma" xfId="1" builtinId="3"/>
    <cellStyle name="Currency" xfId="2" builtinId="4"/>
    <cellStyle name="Currency 2" xfId="4"/>
    <cellStyle name="Currency 2 2" xfId="8"/>
    <cellStyle name="Normal" xfId="0" builtinId="0"/>
    <cellStyle name="Normal 190" xfId="9"/>
    <cellStyle name="Normal 2" xfId="3"/>
    <cellStyle name="Normal 2 13" xfId="6"/>
    <cellStyle name="Normal 2 2" xfId="5"/>
    <cellStyle name="Normal 2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50980</xdr:colOff>
      <xdr:row>8</xdr:row>
      <xdr:rowOff>65698</xdr:rowOff>
    </xdr:from>
    <xdr:to>
      <xdr:col>9</xdr:col>
      <xdr:colOff>5431</xdr:colOff>
      <xdr:row>33</xdr:row>
      <xdr:rowOff>174812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2080" y="1589698"/>
          <a:ext cx="3688250" cy="486825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D4" sqref="D4"/>
    </sheetView>
  </sheetViews>
  <sheetFormatPr defaultColWidth="9.33203125" defaultRowHeight="15.75" x14ac:dyDescent="0.2"/>
  <cols>
    <col min="1" max="1" width="9.33203125" style="305"/>
    <col min="2" max="2" width="4.33203125" style="305" bestFit="1" customWidth="1"/>
    <col min="3" max="3" width="40.33203125" style="305" bestFit="1" customWidth="1"/>
    <col min="4" max="6" width="9" style="305" bestFit="1" customWidth="1"/>
    <col min="7" max="7" width="9.33203125" style="305"/>
    <col min="8" max="8" width="14.83203125" style="305" bestFit="1" customWidth="1"/>
    <col min="9" max="16384" width="9.33203125" style="305"/>
  </cols>
  <sheetData>
    <row r="1" spans="1:8" x14ac:dyDescent="0.2">
      <c r="A1" s="308"/>
      <c r="B1" s="308"/>
      <c r="C1" s="308"/>
      <c r="D1" s="308"/>
      <c r="E1" s="308"/>
      <c r="F1" s="308"/>
      <c r="G1" s="308"/>
    </row>
    <row r="2" spans="1:8" x14ac:dyDescent="0.2">
      <c r="A2" s="308"/>
      <c r="B2" s="308"/>
      <c r="C2" s="308"/>
      <c r="D2" s="312"/>
      <c r="E2" s="312"/>
      <c r="F2" s="312"/>
      <c r="G2" s="308"/>
    </row>
    <row r="3" spans="1:8" x14ac:dyDescent="0.2">
      <c r="A3" s="308"/>
      <c r="B3" s="311"/>
      <c r="C3" s="311"/>
      <c r="D3" s="312"/>
      <c r="E3" s="312"/>
      <c r="F3" s="312"/>
      <c r="G3" s="308"/>
    </row>
    <row r="4" spans="1:8" x14ac:dyDescent="0.2">
      <c r="A4" s="308"/>
      <c r="B4" s="313" t="s">
        <v>236</v>
      </c>
      <c r="C4" s="313" t="s">
        <v>67</v>
      </c>
      <c r="D4" s="313" t="s">
        <v>64</v>
      </c>
      <c r="E4" s="313" t="s">
        <v>65</v>
      </c>
      <c r="F4" s="313" t="s">
        <v>66</v>
      </c>
      <c r="G4" s="308"/>
    </row>
    <row r="5" spans="1:8" x14ac:dyDescent="0.2">
      <c r="A5" s="308"/>
      <c r="B5" s="311"/>
      <c r="C5" s="311"/>
      <c r="D5" s="314" t="s">
        <v>237</v>
      </c>
      <c r="E5" s="314"/>
      <c r="F5" s="314"/>
      <c r="G5" s="308"/>
    </row>
    <row r="6" spans="1:8" x14ac:dyDescent="0.2">
      <c r="A6" s="308"/>
      <c r="B6" s="311">
        <v>1</v>
      </c>
      <c r="C6" s="311" t="s">
        <v>239</v>
      </c>
      <c r="D6" s="317">
        <f>-'141X&amp;141Z'!C19/1000000</f>
        <v>54.50239500408761</v>
      </c>
      <c r="E6" s="317">
        <f>-'141X&amp;141Z'!D19/1000000</f>
        <v>12.989956403632867</v>
      </c>
      <c r="F6" s="317">
        <f>SUM(D6:E6)</f>
        <v>67.492351407720477</v>
      </c>
      <c r="G6" s="308"/>
    </row>
    <row r="7" spans="1:8" x14ac:dyDescent="0.2">
      <c r="A7" s="308"/>
      <c r="B7" s="311">
        <v>2</v>
      </c>
      <c r="C7" s="311" t="s">
        <v>238</v>
      </c>
      <c r="D7" s="315">
        <f>-ROUND('PSE ARAM Reversal'!L18/1000000,1)</f>
        <v>-33.9</v>
      </c>
      <c r="E7" s="315">
        <f>-ROUND('PSE ARAM Reversal'!M18/1000000,0)</f>
        <v>-8</v>
      </c>
      <c r="F7" s="315">
        <f>SUM(D7:E7)</f>
        <v>-41.9</v>
      </c>
      <c r="G7" s="308"/>
    </row>
    <row r="8" spans="1:8" ht="16.5" thickBot="1" x14ac:dyDescent="0.25">
      <c r="A8" s="308"/>
      <c r="B8" s="311">
        <v>3</v>
      </c>
      <c r="C8" s="311" t="s">
        <v>79</v>
      </c>
      <c r="D8" s="316">
        <f>SUM(D6:D7)</f>
        <v>20.602395004087612</v>
      </c>
      <c r="E8" s="316">
        <f>SUM(E6:E7)</f>
        <v>4.989956403632867</v>
      </c>
      <c r="F8" s="316">
        <f>SUM(F6:F7)</f>
        <v>25.592351407720479</v>
      </c>
      <c r="G8" s="310"/>
      <c r="H8" s="307"/>
    </row>
    <row r="9" spans="1:8" ht="16.5" thickTop="1" x14ac:dyDescent="0.2">
      <c r="A9" s="308"/>
      <c r="B9" s="308"/>
      <c r="C9" s="308"/>
      <c r="D9" s="309"/>
      <c r="E9" s="309"/>
      <c r="F9" s="309"/>
      <c r="G9" s="308"/>
    </row>
    <row r="10" spans="1:8" x14ac:dyDescent="0.2">
      <c r="A10" s="308"/>
      <c r="B10" s="308"/>
      <c r="C10" s="308"/>
      <c r="D10" s="309"/>
      <c r="E10" s="309"/>
      <c r="F10" s="309"/>
      <c r="G10" s="308"/>
    </row>
    <row r="11" spans="1:8" x14ac:dyDescent="0.2">
      <c r="A11" s="308"/>
      <c r="B11" s="308"/>
      <c r="D11" s="309"/>
      <c r="E11" s="309"/>
      <c r="F11" s="309"/>
      <c r="G11" s="308"/>
    </row>
    <row r="12" spans="1:8" x14ac:dyDescent="0.2">
      <c r="A12" s="308"/>
      <c r="B12" s="308"/>
      <c r="C12" s="308"/>
      <c r="D12" s="309"/>
      <c r="E12" s="309"/>
      <c r="F12" s="309"/>
      <c r="G12" s="308"/>
    </row>
    <row r="13" spans="1:8" x14ac:dyDescent="0.2">
      <c r="A13" s="308"/>
      <c r="B13" s="308"/>
      <c r="C13" s="308"/>
      <c r="D13" s="309"/>
      <c r="E13" s="309"/>
      <c r="F13" s="309"/>
      <c r="G13" s="308"/>
    </row>
    <row r="14" spans="1:8" x14ac:dyDescent="0.2">
      <c r="A14" s="308"/>
      <c r="B14" s="308"/>
      <c r="C14" s="308"/>
      <c r="D14" s="309"/>
      <c r="E14" s="309"/>
      <c r="F14" s="309"/>
      <c r="G14" s="308"/>
    </row>
    <row r="15" spans="1:8" x14ac:dyDescent="0.2">
      <c r="A15" s="308"/>
      <c r="B15" s="308"/>
      <c r="C15" s="308"/>
      <c r="D15" s="309"/>
      <c r="E15" s="309"/>
      <c r="F15" s="309"/>
      <c r="G15" s="308"/>
    </row>
    <row r="16" spans="1:8" x14ac:dyDescent="0.2">
      <c r="A16" s="308"/>
      <c r="B16" s="308"/>
      <c r="C16" s="308"/>
      <c r="D16" s="309"/>
      <c r="E16" s="309"/>
      <c r="F16" s="309"/>
      <c r="G16" s="308"/>
    </row>
    <row r="17" spans="1:7" x14ac:dyDescent="0.2">
      <c r="A17" s="308"/>
      <c r="B17" s="308"/>
      <c r="C17" s="308"/>
      <c r="D17" s="309"/>
      <c r="E17" s="309"/>
      <c r="F17" s="309"/>
      <c r="G17" s="308"/>
    </row>
    <row r="18" spans="1:7" x14ac:dyDescent="0.2">
      <c r="A18" s="308"/>
      <c r="B18" s="308"/>
      <c r="C18" s="308"/>
      <c r="D18" s="309"/>
      <c r="E18" s="309"/>
      <c r="F18" s="309"/>
      <c r="G18" s="308"/>
    </row>
    <row r="19" spans="1:7" x14ac:dyDescent="0.2">
      <c r="A19" s="308"/>
      <c r="B19" s="308"/>
      <c r="C19" s="308"/>
      <c r="D19" s="309"/>
      <c r="E19" s="309"/>
      <c r="F19" s="309"/>
      <c r="G19" s="308"/>
    </row>
    <row r="20" spans="1:7" x14ac:dyDescent="0.2">
      <c r="A20" s="308"/>
      <c r="B20" s="308"/>
      <c r="D20" s="306"/>
      <c r="E20" s="306"/>
      <c r="F20" s="306"/>
    </row>
    <row r="21" spans="1:7" x14ac:dyDescent="0.2">
      <c r="D21" s="306"/>
      <c r="E21" s="306"/>
      <c r="F21" s="306"/>
    </row>
    <row r="22" spans="1:7" x14ac:dyDescent="0.2">
      <c r="D22" s="306"/>
      <c r="E22" s="306"/>
      <c r="F22" s="306"/>
    </row>
    <row r="23" spans="1:7" x14ac:dyDescent="0.2">
      <c r="D23" s="306"/>
      <c r="E23" s="306"/>
      <c r="F23" s="306"/>
    </row>
    <row r="24" spans="1:7" x14ac:dyDescent="0.2">
      <c r="D24" s="306"/>
      <c r="E24" s="306"/>
      <c r="F24" s="306"/>
    </row>
    <row r="25" spans="1:7" x14ac:dyDescent="0.2">
      <c r="D25" s="306"/>
      <c r="E25" s="306"/>
      <c r="F25" s="306"/>
    </row>
    <row r="26" spans="1:7" x14ac:dyDescent="0.2">
      <c r="D26" s="306"/>
      <c r="E26" s="306"/>
      <c r="F26" s="306"/>
    </row>
    <row r="27" spans="1:7" x14ac:dyDescent="0.2">
      <c r="D27" s="306"/>
      <c r="E27" s="306"/>
      <c r="F27" s="306"/>
    </row>
    <row r="28" spans="1:7" x14ac:dyDescent="0.2">
      <c r="D28" s="306"/>
      <c r="E28" s="306"/>
      <c r="F28" s="306"/>
    </row>
    <row r="29" spans="1:7" x14ac:dyDescent="0.2">
      <c r="D29" s="306"/>
      <c r="E29" s="306"/>
      <c r="F29" s="306"/>
    </row>
    <row r="30" spans="1:7" x14ac:dyDescent="0.2">
      <c r="D30" s="306"/>
      <c r="E30" s="306"/>
      <c r="F30" s="306"/>
    </row>
    <row r="31" spans="1:7" x14ac:dyDescent="0.2">
      <c r="D31" s="306"/>
      <c r="E31" s="306"/>
      <c r="F31" s="306"/>
    </row>
    <row r="32" spans="1:7" x14ac:dyDescent="0.2">
      <c r="D32" s="306"/>
      <c r="E32" s="306"/>
      <c r="F32" s="306"/>
    </row>
    <row r="33" spans="4:6" x14ac:dyDescent="0.2">
      <c r="D33" s="306"/>
      <c r="E33" s="306"/>
      <c r="F33" s="306"/>
    </row>
    <row r="34" spans="4:6" x14ac:dyDescent="0.2">
      <c r="D34" s="306"/>
      <c r="E34" s="306"/>
      <c r="F34" s="306"/>
    </row>
    <row r="35" spans="4:6" x14ac:dyDescent="0.2">
      <c r="D35" s="306"/>
      <c r="E35" s="306"/>
      <c r="F35" s="306"/>
    </row>
    <row r="36" spans="4:6" x14ac:dyDescent="0.2">
      <c r="D36" s="306"/>
      <c r="E36" s="306"/>
      <c r="F36" s="306"/>
    </row>
    <row r="37" spans="4:6" x14ac:dyDescent="0.2">
      <c r="D37" s="306"/>
      <c r="E37" s="306"/>
      <c r="F37" s="306"/>
    </row>
    <row r="38" spans="4:6" x14ac:dyDescent="0.2">
      <c r="D38" s="306"/>
      <c r="E38" s="306"/>
      <c r="F38" s="306"/>
    </row>
    <row r="39" spans="4:6" x14ac:dyDescent="0.2">
      <c r="D39" s="306"/>
      <c r="E39" s="306"/>
      <c r="F39" s="306"/>
    </row>
    <row r="40" spans="4:6" x14ac:dyDescent="0.2">
      <c r="D40" s="306"/>
      <c r="E40" s="306"/>
      <c r="F40" s="306"/>
    </row>
    <row r="41" spans="4:6" x14ac:dyDescent="0.2">
      <c r="D41" s="306"/>
      <c r="E41" s="306"/>
      <c r="F41" s="306"/>
    </row>
    <row r="42" spans="4:6" x14ac:dyDescent="0.2">
      <c r="D42" s="306"/>
      <c r="E42" s="306"/>
      <c r="F42" s="306"/>
    </row>
    <row r="43" spans="4:6" x14ac:dyDescent="0.2">
      <c r="D43" s="306"/>
      <c r="E43" s="306"/>
      <c r="F43" s="306"/>
    </row>
    <row r="44" spans="4:6" x14ac:dyDescent="0.2">
      <c r="D44" s="306"/>
      <c r="E44" s="306"/>
      <c r="F44" s="306"/>
    </row>
    <row r="45" spans="4:6" x14ac:dyDescent="0.2">
      <c r="D45" s="306"/>
      <c r="E45" s="306"/>
      <c r="F45" s="306"/>
    </row>
    <row r="46" spans="4:6" x14ac:dyDescent="0.2">
      <c r="D46" s="306"/>
      <c r="E46" s="306"/>
      <c r="F46" s="306"/>
    </row>
    <row r="47" spans="4:6" x14ac:dyDescent="0.2">
      <c r="D47" s="306"/>
      <c r="E47" s="306"/>
      <c r="F47" s="306"/>
    </row>
    <row r="48" spans="4:6" x14ac:dyDescent="0.2">
      <c r="D48" s="306"/>
      <c r="E48" s="306"/>
      <c r="F48" s="306"/>
    </row>
    <row r="49" spans="4:6" x14ac:dyDescent="0.2">
      <c r="D49" s="306"/>
      <c r="E49" s="306"/>
      <c r="F49" s="306"/>
    </row>
    <row r="50" spans="4:6" x14ac:dyDescent="0.2">
      <c r="D50" s="306"/>
      <c r="E50" s="306"/>
      <c r="F50" s="306"/>
    </row>
    <row r="51" spans="4:6" x14ac:dyDescent="0.2">
      <c r="D51" s="306"/>
      <c r="E51" s="306"/>
      <c r="F51" s="306"/>
    </row>
    <row r="52" spans="4:6" x14ac:dyDescent="0.2">
      <c r="D52" s="306"/>
      <c r="E52" s="306"/>
      <c r="F52" s="306"/>
    </row>
    <row r="53" spans="4:6" x14ac:dyDescent="0.2">
      <c r="D53" s="306"/>
      <c r="E53" s="306"/>
      <c r="F53" s="306"/>
    </row>
    <row r="54" spans="4:6" x14ac:dyDescent="0.2">
      <c r="D54" s="306"/>
      <c r="E54" s="306"/>
      <c r="F54" s="306"/>
    </row>
    <row r="55" spans="4:6" x14ac:dyDescent="0.2">
      <c r="D55" s="306"/>
      <c r="E55" s="306"/>
      <c r="F55" s="306"/>
    </row>
    <row r="56" spans="4:6" x14ac:dyDescent="0.2">
      <c r="D56" s="306"/>
      <c r="E56" s="306"/>
      <c r="F56" s="306"/>
    </row>
    <row r="57" spans="4:6" x14ac:dyDescent="0.2">
      <c r="D57" s="306"/>
      <c r="E57" s="306"/>
      <c r="F57" s="306"/>
    </row>
    <row r="58" spans="4:6" x14ac:dyDescent="0.2">
      <c r="D58" s="306"/>
      <c r="E58" s="306"/>
      <c r="F58" s="306"/>
    </row>
    <row r="59" spans="4:6" x14ac:dyDescent="0.2">
      <c r="D59" s="306"/>
      <c r="E59" s="306"/>
      <c r="F59" s="306"/>
    </row>
    <row r="60" spans="4:6" x14ac:dyDescent="0.2">
      <c r="D60" s="306"/>
      <c r="E60" s="306"/>
      <c r="F60" s="306"/>
    </row>
    <row r="61" spans="4:6" x14ac:dyDescent="0.2">
      <c r="D61" s="306"/>
      <c r="E61" s="306"/>
      <c r="F61" s="306"/>
    </row>
    <row r="62" spans="4:6" x14ac:dyDescent="0.2">
      <c r="D62" s="306"/>
      <c r="E62" s="306"/>
      <c r="F62" s="306"/>
    </row>
    <row r="63" spans="4:6" x14ac:dyDescent="0.2">
      <c r="D63" s="306"/>
      <c r="E63" s="306"/>
      <c r="F63" s="306"/>
    </row>
    <row r="64" spans="4:6" x14ac:dyDescent="0.2">
      <c r="D64" s="306"/>
      <c r="E64" s="306"/>
      <c r="F64" s="306"/>
    </row>
    <row r="65" spans="4:6" x14ac:dyDescent="0.2">
      <c r="D65" s="306"/>
      <c r="E65" s="306"/>
      <c r="F65" s="306"/>
    </row>
    <row r="66" spans="4:6" x14ac:dyDescent="0.2">
      <c r="D66" s="306"/>
      <c r="E66" s="306"/>
      <c r="F66" s="306"/>
    </row>
    <row r="67" spans="4:6" x14ac:dyDescent="0.2">
      <c r="D67" s="306"/>
      <c r="E67" s="306"/>
      <c r="F67" s="306"/>
    </row>
    <row r="68" spans="4:6" x14ac:dyDescent="0.2">
      <c r="D68" s="306"/>
      <c r="E68" s="306"/>
      <c r="F68" s="306"/>
    </row>
    <row r="69" spans="4:6" x14ac:dyDescent="0.2">
      <c r="D69" s="306"/>
      <c r="E69" s="306"/>
      <c r="F69" s="306"/>
    </row>
    <row r="70" spans="4:6" x14ac:dyDescent="0.2">
      <c r="D70" s="306"/>
      <c r="E70" s="306"/>
      <c r="F70" s="306"/>
    </row>
    <row r="71" spans="4:6" x14ac:dyDescent="0.2">
      <c r="D71" s="306"/>
      <c r="E71" s="306"/>
      <c r="F71" s="306"/>
    </row>
    <row r="72" spans="4:6" x14ac:dyDescent="0.2">
      <c r="D72" s="306"/>
      <c r="E72" s="306"/>
      <c r="F72" s="306"/>
    </row>
    <row r="73" spans="4:6" x14ac:dyDescent="0.2">
      <c r="D73" s="306"/>
      <c r="E73" s="306"/>
      <c r="F73" s="306"/>
    </row>
    <row r="74" spans="4:6" x14ac:dyDescent="0.2">
      <c r="D74" s="306"/>
      <c r="E74" s="306"/>
      <c r="F74" s="306"/>
    </row>
    <row r="75" spans="4:6" x14ac:dyDescent="0.2">
      <c r="D75" s="306"/>
      <c r="E75" s="306"/>
      <c r="F75" s="306"/>
    </row>
    <row r="76" spans="4:6" x14ac:dyDescent="0.2">
      <c r="D76" s="306"/>
      <c r="E76" s="306"/>
      <c r="F76" s="306"/>
    </row>
    <row r="77" spans="4:6" x14ac:dyDescent="0.2">
      <c r="D77" s="306"/>
      <c r="E77" s="306"/>
      <c r="F77" s="306"/>
    </row>
    <row r="78" spans="4:6" x14ac:dyDescent="0.2">
      <c r="D78" s="306"/>
      <c r="E78" s="306"/>
      <c r="F78" s="306"/>
    </row>
    <row r="79" spans="4:6" x14ac:dyDescent="0.2">
      <c r="D79" s="306"/>
      <c r="E79" s="306"/>
      <c r="F79" s="306"/>
    </row>
    <row r="80" spans="4:6" x14ac:dyDescent="0.2">
      <c r="D80" s="306"/>
      <c r="E80" s="306"/>
      <c r="F80" s="306"/>
    </row>
    <row r="81" spans="4:6" x14ac:dyDescent="0.2">
      <c r="D81" s="306"/>
      <c r="E81" s="306"/>
      <c r="F81" s="306"/>
    </row>
    <row r="82" spans="4:6" x14ac:dyDescent="0.2">
      <c r="D82" s="306"/>
      <c r="E82" s="306"/>
      <c r="F82" s="306"/>
    </row>
    <row r="83" spans="4:6" x14ac:dyDescent="0.2">
      <c r="D83" s="306"/>
      <c r="E83" s="306"/>
      <c r="F83" s="306"/>
    </row>
    <row r="84" spans="4:6" x14ac:dyDescent="0.2">
      <c r="D84" s="306"/>
      <c r="E84" s="306"/>
      <c r="F84" s="306"/>
    </row>
    <row r="85" spans="4:6" x14ac:dyDescent="0.2">
      <c r="D85" s="306"/>
      <c r="E85" s="306"/>
      <c r="F85" s="306"/>
    </row>
    <row r="86" spans="4:6" x14ac:dyDescent="0.2">
      <c r="D86" s="306"/>
      <c r="E86" s="306"/>
      <c r="F86" s="306"/>
    </row>
    <row r="87" spans="4:6" x14ac:dyDescent="0.2">
      <c r="D87" s="306"/>
      <c r="E87" s="306"/>
      <c r="F87" s="306"/>
    </row>
    <row r="88" spans="4:6" x14ac:dyDescent="0.2">
      <c r="D88" s="306"/>
      <c r="E88" s="306"/>
      <c r="F88" s="306"/>
    </row>
    <row r="89" spans="4:6" x14ac:dyDescent="0.2">
      <c r="D89" s="306"/>
      <c r="E89" s="306"/>
      <c r="F89" s="306"/>
    </row>
    <row r="90" spans="4:6" x14ac:dyDescent="0.2">
      <c r="D90" s="306"/>
      <c r="E90" s="306"/>
      <c r="F90" s="306"/>
    </row>
    <row r="91" spans="4:6" x14ac:dyDescent="0.2">
      <c r="D91" s="306"/>
      <c r="E91" s="306"/>
      <c r="F91" s="306"/>
    </row>
    <row r="92" spans="4:6" x14ac:dyDescent="0.2">
      <c r="D92" s="306"/>
      <c r="E92" s="306"/>
      <c r="F92" s="306"/>
    </row>
    <row r="93" spans="4:6" x14ac:dyDescent="0.2">
      <c r="D93" s="306"/>
      <c r="E93" s="306"/>
      <c r="F93" s="306"/>
    </row>
    <row r="94" spans="4:6" x14ac:dyDescent="0.2">
      <c r="D94" s="306"/>
      <c r="E94" s="306"/>
      <c r="F94" s="306"/>
    </row>
    <row r="95" spans="4:6" x14ac:dyDescent="0.2">
      <c r="D95" s="306"/>
      <c r="E95" s="306"/>
      <c r="F95" s="306"/>
    </row>
    <row r="96" spans="4:6" x14ac:dyDescent="0.2">
      <c r="D96" s="306"/>
      <c r="E96" s="306"/>
      <c r="F96" s="306"/>
    </row>
    <row r="97" spans="4:6" x14ac:dyDescent="0.2">
      <c r="D97" s="306"/>
      <c r="E97" s="306"/>
      <c r="F97" s="306"/>
    </row>
    <row r="98" spans="4:6" x14ac:dyDescent="0.2">
      <c r="D98" s="306"/>
      <c r="E98" s="306"/>
      <c r="F98" s="306"/>
    </row>
    <row r="99" spans="4:6" x14ac:dyDescent="0.2">
      <c r="D99" s="306"/>
      <c r="E99" s="306"/>
      <c r="F99" s="306"/>
    </row>
    <row r="100" spans="4:6" x14ac:dyDescent="0.2">
      <c r="D100" s="306"/>
      <c r="E100" s="306"/>
      <c r="F100" s="306"/>
    </row>
    <row r="101" spans="4:6" x14ac:dyDescent="0.2">
      <c r="D101" s="306"/>
      <c r="E101" s="306"/>
      <c r="F101" s="306"/>
    </row>
    <row r="102" spans="4:6" x14ac:dyDescent="0.2">
      <c r="D102" s="306"/>
      <c r="E102" s="306"/>
      <c r="F102" s="306"/>
    </row>
  </sheetData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abSelected="1" zoomScale="85" zoomScaleNormal="85" workbookViewId="0">
      <pane ySplit="2" topLeftCell="A48" activePane="bottomLeft" state="frozen"/>
      <selection activeCell="E15" sqref="E15"/>
      <selection pane="bottomLeft" activeCell="K72" sqref="K72"/>
    </sheetView>
  </sheetViews>
  <sheetFormatPr defaultColWidth="9.33203125" defaultRowHeight="15" x14ac:dyDescent="0.2"/>
  <cols>
    <col min="1" max="1" width="6.83203125" style="2" customWidth="1"/>
    <col min="2" max="2" width="47.6640625" style="2" customWidth="1"/>
    <col min="3" max="3" width="17.33203125" style="2" bestFit="1" customWidth="1"/>
    <col min="4" max="4" width="19.1640625" style="2" bestFit="1" customWidth="1"/>
    <col min="5" max="5" width="15.1640625" style="2" bestFit="1" customWidth="1"/>
    <col min="6" max="6" width="17.33203125" style="2" bestFit="1" customWidth="1"/>
    <col min="7" max="7" width="19.1640625" style="2" bestFit="1" customWidth="1"/>
    <col min="8" max="8" width="17.33203125" style="2" bestFit="1" customWidth="1"/>
    <col min="9" max="9" width="16" style="2" bestFit="1" customWidth="1"/>
    <col min="10" max="10" width="17.1640625" style="2" bestFit="1" customWidth="1"/>
    <col min="11" max="11" width="18.33203125" style="2" bestFit="1" customWidth="1"/>
    <col min="12" max="12" width="9.33203125" style="2"/>
    <col min="13" max="13" width="9.5" style="2" bestFit="1" customWidth="1"/>
    <col min="14" max="14" width="9.33203125" style="2"/>
    <col min="15" max="16384" width="9.33203125" style="1"/>
  </cols>
  <sheetData>
    <row r="1" spans="1:14" ht="15.75" thickTop="1" x14ac:dyDescent="0.2">
      <c r="A1" s="318" t="s">
        <v>77</v>
      </c>
      <c r="B1" s="318"/>
      <c r="C1" s="14" t="s">
        <v>68</v>
      </c>
      <c r="D1" s="15"/>
      <c r="E1" s="16"/>
      <c r="F1" s="14" t="s">
        <v>78</v>
      </c>
      <c r="G1" s="15"/>
      <c r="H1" s="16"/>
      <c r="I1" s="14" t="s">
        <v>79</v>
      </c>
      <c r="J1" s="15"/>
      <c r="K1" s="16"/>
    </row>
    <row r="2" spans="1:14" ht="30" x14ac:dyDescent="0.25">
      <c r="A2" s="17" t="s">
        <v>0</v>
      </c>
      <c r="B2" s="18" t="s">
        <v>1</v>
      </c>
      <c r="C2" s="19" t="s">
        <v>2</v>
      </c>
      <c r="D2" s="20" t="s">
        <v>3</v>
      </c>
      <c r="E2" s="21" t="s">
        <v>4</v>
      </c>
      <c r="F2" s="19" t="s">
        <v>2</v>
      </c>
      <c r="G2" s="20" t="s">
        <v>3</v>
      </c>
      <c r="H2" s="21" t="s">
        <v>4</v>
      </c>
      <c r="I2" s="19" t="s">
        <v>2</v>
      </c>
      <c r="J2" s="20" t="s">
        <v>3</v>
      </c>
      <c r="K2" s="21" t="s">
        <v>4</v>
      </c>
    </row>
    <row r="3" spans="1:14" x14ac:dyDescent="0.2">
      <c r="A3" s="22"/>
      <c r="B3" s="23" t="s">
        <v>5</v>
      </c>
      <c r="C3" s="24">
        <v>391140691</v>
      </c>
      <c r="D3" s="25">
        <v>5208778506</v>
      </c>
      <c r="E3" s="26">
        <f>((D3*$M$6)-C3)/$M$7</f>
        <v>-8267389.5222264845</v>
      </c>
      <c r="F3" s="24">
        <v>391140691.10000062</v>
      </c>
      <c r="G3" s="25">
        <v>5208778506.3049917</v>
      </c>
      <c r="H3" s="26">
        <f>((G3*$M$6)-F3)/$M$7</f>
        <v>-8267389.62531895</v>
      </c>
      <c r="I3" s="24">
        <f>C3-F3</f>
        <v>-0.10000061988830566</v>
      </c>
      <c r="J3" s="25">
        <f t="shared" ref="J3:K3" si="0">D3-G3</f>
        <v>-0.30499172210693359</v>
      </c>
      <c r="K3" s="26">
        <f t="shared" si="0"/>
        <v>0.10309246554970741</v>
      </c>
    </row>
    <row r="4" spans="1:14" x14ac:dyDescent="0.2">
      <c r="A4" s="27" t="s">
        <v>6</v>
      </c>
      <c r="B4" s="28"/>
      <c r="C4" s="29"/>
      <c r="D4" s="28"/>
      <c r="E4" s="30"/>
      <c r="F4" s="29"/>
      <c r="G4" s="28"/>
      <c r="H4" s="30"/>
      <c r="I4" s="29"/>
      <c r="J4" s="28"/>
      <c r="K4" s="30"/>
    </row>
    <row r="5" spans="1:14" x14ac:dyDescent="0.2">
      <c r="A5" s="22"/>
      <c r="B5" s="31" t="s">
        <v>7</v>
      </c>
      <c r="C5" s="32"/>
      <c r="D5" s="33"/>
      <c r="E5" s="34"/>
      <c r="F5" s="32"/>
      <c r="G5" s="33"/>
      <c r="H5" s="34"/>
      <c r="I5" s="32"/>
      <c r="J5" s="33"/>
      <c r="K5" s="34"/>
    </row>
    <row r="6" spans="1:14" x14ac:dyDescent="0.2">
      <c r="A6" s="35">
        <v>6.01</v>
      </c>
      <c r="B6" s="23" t="s">
        <v>8</v>
      </c>
      <c r="C6" s="36">
        <v>8327800</v>
      </c>
      <c r="D6" s="37">
        <v>0</v>
      </c>
      <c r="E6" s="34">
        <f t="shared" ref="E6:E37" si="1">((D6*$M$6)-C6)/$M$7</f>
        <v>-11083325.237130031</v>
      </c>
      <c r="F6" s="36">
        <v>8327800.1577338427</v>
      </c>
      <c r="G6" s="37">
        <v>0</v>
      </c>
      <c r="H6" s="34">
        <f t="shared" ref="H6:H37" si="2">((G6*$M$6)-F6)/$M$7</f>
        <v>-11083325.44705528</v>
      </c>
      <c r="I6" s="36">
        <f t="shared" ref="I6:K37" si="3">C6-F6</f>
        <v>-0.15773384273052216</v>
      </c>
      <c r="J6" s="37">
        <f t="shared" si="3"/>
        <v>0</v>
      </c>
      <c r="K6" s="34">
        <f t="shared" si="3"/>
        <v>0.20992524921894073</v>
      </c>
      <c r="M6" s="59">
        <v>7.3899999999999993E-2</v>
      </c>
      <c r="N6" s="2" t="s">
        <v>80</v>
      </c>
    </row>
    <row r="7" spans="1:14" x14ac:dyDescent="0.2">
      <c r="A7" s="35">
        <v>6.02</v>
      </c>
      <c r="B7" s="23" t="s">
        <v>9</v>
      </c>
      <c r="C7" s="36">
        <v>4922913</v>
      </c>
      <c r="D7" s="38">
        <v>0</v>
      </c>
      <c r="E7" s="34">
        <f t="shared" si="1"/>
        <v>-6551819.9155954169</v>
      </c>
      <c r="F7" s="36">
        <v>4922912.8320278507</v>
      </c>
      <c r="G7" s="38">
        <v>0</v>
      </c>
      <c r="H7" s="34">
        <f t="shared" si="2"/>
        <v>-6551819.6920441836</v>
      </c>
      <c r="I7" s="36">
        <f t="shared" si="3"/>
        <v>0.16797214932739735</v>
      </c>
      <c r="J7" s="38">
        <f t="shared" si="3"/>
        <v>0</v>
      </c>
      <c r="K7" s="34">
        <f t="shared" si="3"/>
        <v>-0.22355123329907656</v>
      </c>
      <c r="M7" s="2">
        <v>0.75138099999999997</v>
      </c>
      <c r="N7" s="2" t="s">
        <v>81</v>
      </c>
    </row>
    <row r="8" spans="1:14" x14ac:dyDescent="0.2">
      <c r="A8" s="35">
        <v>6.04</v>
      </c>
      <c r="B8" s="23" t="s">
        <v>10</v>
      </c>
      <c r="C8" s="36">
        <v>33059305</v>
      </c>
      <c r="D8" s="38">
        <v>0</v>
      </c>
      <c r="E8" s="34">
        <f t="shared" si="1"/>
        <v>-43998058.242090233</v>
      </c>
      <c r="F8" s="36">
        <v>33104040.978384849</v>
      </c>
      <c r="G8" s="38">
        <v>0</v>
      </c>
      <c r="H8" s="34">
        <f t="shared" si="2"/>
        <v>-44057596.58333768</v>
      </c>
      <c r="I8" s="36">
        <f t="shared" si="3"/>
        <v>-44735.978384848684</v>
      </c>
      <c r="J8" s="38">
        <f t="shared" si="3"/>
        <v>0</v>
      </c>
      <c r="K8" s="34">
        <f t="shared" si="3"/>
        <v>59538.341247446835</v>
      </c>
      <c r="M8" s="2">
        <v>0.95111500000000004</v>
      </c>
      <c r="N8" s="2" t="s">
        <v>82</v>
      </c>
    </row>
    <row r="9" spans="1:14" x14ac:dyDescent="0.2">
      <c r="A9" s="35">
        <v>6.05</v>
      </c>
      <c r="B9" s="23" t="s">
        <v>11</v>
      </c>
      <c r="C9" s="36">
        <v>-1955986</v>
      </c>
      <c r="D9" s="38">
        <v>0</v>
      </c>
      <c r="E9" s="34">
        <f t="shared" si="1"/>
        <v>2603187.9965024404</v>
      </c>
      <c r="F9" s="36">
        <v>-1955986.2286396027</v>
      </c>
      <c r="G9" s="38">
        <v>0</v>
      </c>
      <c r="H9" s="34">
        <f t="shared" si="2"/>
        <v>2603188.30079494</v>
      </c>
      <c r="I9" s="36">
        <f t="shared" si="3"/>
        <v>0.22863960266113281</v>
      </c>
      <c r="J9" s="38">
        <f t="shared" si="3"/>
        <v>0</v>
      </c>
      <c r="K9" s="34">
        <f t="shared" si="3"/>
        <v>-0.3042924995534122</v>
      </c>
    </row>
    <row r="10" spans="1:14" x14ac:dyDescent="0.2">
      <c r="A10" s="35">
        <v>6.06</v>
      </c>
      <c r="B10" s="23" t="s">
        <v>12</v>
      </c>
      <c r="C10" s="36">
        <v>66597</v>
      </c>
      <c r="D10" s="38">
        <v>0</v>
      </c>
      <c r="E10" s="34">
        <f t="shared" si="1"/>
        <v>-88632.797475581639</v>
      </c>
      <c r="F10" s="36">
        <v>66597.374865170947</v>
      </c>
      <c r="G10" s="38">
        <v>0</v>
      </c>
      <c r="H10" s="34">
        <f t="shared" si="2"/>
        <v>-88633.296377165447</v>
      </c>
      <c r="I10" s="36">
        <f t="shared" si="3"/>
        <v>-0.37486517094657756</v>
      </c>
      <c r="J10" s="38">
        <f t="shared" si="3"/>
        <v>0</v>
      </c>
      <c r="K10" s="34">
        <f t="shared" si="3"/>
        <v>0.49890158380731009</v>
      </c>
    </row>
    <row r="11" spans="1:14" x14ac:dyDescent="0.2">
      <c r="A11" s="35">
        <v>6.07</v>
      </c>
      <c r="B11" s="23" t="s">
        <v>13</v>
      </c>
      <c r="C11" s="36">
        <v>303154</v>
      </c>
      <c r="D11" s="38">
        <v>0</v>
      </c>
      <c r="E11" s="34">
        <f t="shared" si="1"/>
        <v>-403462.42452231294</v>
      </c>
      <c r="F11" s="36">
        <v>303153.75903630909</v>
      </c>
      <c r="G11" s="38">
        <v>0</v>
      </c>
      <c r="H11" s="34">
        <f t="shared" si="2"/>
        <v>-403462.10382789705</v>
      </c>
      <c r="I11" s="36">
        <f t="shared" si="3"/>
        <v>0.24096369091421366</v>
      </c>
      <c r="J11" s="38">
        <f t="shared" si="3"/>
        <v>0</v>
      </c>
      <c r="K11" s="34">
        <f t="shared" si="3"/>
        <v>-0.3206944158882834</v>
      </c>
    </row>
    <row r="12" spans="1:14" x14ac:dyDescent="0.2">
      <c r="A12" s="35">
        <v>6.09</v>
      </c>
      <c r="B12" s="23" t="s">
        <v>14</v>
      </c>
      <c r="C12" s="36">
        <v>71835</v>
      </c>
      <c r="D12" s="38">
        <v>0</v>
      </c>
      <c r="E12" s="34">
        <f t="shared" si="1"/>
        <v>-95603.961239371245</v>
      </c>
      <c r="F12" s="36">
        <v>71834.764841626398</v>
      </c>
      <c r="G12" s="38">
        <v>0</v>
      </c>
      <c r="H12" s="34">
        <f t="shared" si="2"/>
        <v>-95603.64827115192</v>
      </c>
      <c r="I12" s="36">
        <f t="shared" si="3"/>
        <v>0.23515837360173464</v>
      </c>
      <c r="J12" s="38">
        <f t="shared" si="3"/>
        <v>0</v>
      </c>
      <c r="K12" s="34">
        <f t="shared" si="3"/>
        <v>-0.31296821932482999</v>
      </c>
    </row>
    <row r="13" spans="1:14" x14ac:dyDescent="0.2">
      <c r="A13" s="35">
        <v>6.1</v>
      </c>
      <c r="B13" s="23" t="s">
        <v>15</v>
      </c>
      <c r="C13" s="36">
        <v>5301</v>
      </c>
      <c r="D13" s="38">
        <v>0</v>
      </c>
      <c r="E13" s="34">
        <f t="shared" si="1"/>
        <v>-7055.0093760688651</v>
      </c>
      <c r="F13" s="36">
        <v>5301.3344264041589</v>
      </c>
      <c r="G13" s="38">
        <v>0</v>
      </c>
      <c r="H13" s="34">
        <f t="shared" si="2"/>
        <v>-7055.4544583961524</v>
      </c>
      <c r="I13" s="36">
        <f t="shared" si="3"/>
        <v>-0.33442640415887581</v>
      </c>
      <c r="J13" s="38">
        <f t="shared" si="3"/>
        <v>0</v>
      </c>
      <c r="K13" s="34">
        <f t="shared" si="3"/>
        <v>0.44508232728730945</v>
      </c>
    </row>
    <row r="14" spans="1:14" x14ac:dyDescent="0.2">
      <c r="A14" s="35">
        <v>6.11</v>
      </c>
      <c r="B14" s="23" t="s">
        <v>16</v>
      </c>
      <c r="C14" s="36">
        <v>-803909</v>
      </c>
      <c r="D14" s="38">
        <v>0</v>
      </c>
      <c r="E14" s="34">
        <f t="shared" si="1"/>
        <v>1069908.6082826157</v>
      </c>
      <c r="F14" s="36">
        <v>-803909.33835699933</v>
      </c>
      <c r="G14" s="38">
        <v>0</v>
      </c>
      <c r="H14" s="34">
        <f t="shared" si="2"/>
        <v>1069909.0585961042</v>
      </c>
      <c r="I14" s="36">
        <f t="shared" si="3"/>
        <v>0.33835699933115393</v>
      </c>
      <c r="J14" s="38">
        <f t="shared" si="3"/>
        <v>0</v>
      </c>
      <c r="K14" s="34">
        <f t="shared" si="3"/>
        <v>-0.45031348848715425</v>
      </c>
    </row>
    <row r="15" spans="1:14" x14ac:dyDescent="0.2">
      <c r="A15" s="35">
        <v>6.12</v>
      </c>
      <c r="B15" s="23" t="s">
        <v>17</v>
      </c>
      <c r="C15" s="36">
        <v>-496558</v>
      </c>
      <c r="D15" s="38">
        <v>0</v>
      </c>
      <c r="E15" s="34">
        <f t="shared" si="1"/>
        <v>660860.46892322274</v>
      </c>
      <c r="F15" s="36">
        <v>-496557.58700637007</v>
      </c>
      <c r="G15" s="38">
        <v>0</v>
      </c>
      <c r="H15" s="34">
        <f t="shared" si="2"/>
        <v>660859.91927713121</v>
      </c>
      <c r="I15" s="36">
        <f t="shared" si="3"/>
        <v>-0.41299362992867827</v>
      </c>
      <c r="J15" s="38">
        <f t="shared" si="3"/>
        <v>0</v>
      </c>
      <c r="K15" s="34">
        <f t="shared" si="3"/>
        <v>0.54964609153103083</v>
      </c>
    </row>
    <row r="16" spans="1:14" x14ac:dyDescent="0.2">
      <c r="A16" s="35">
        <v>6.13</v>
      </c>
      <c r="B16" s="23" t="s">
        <v>18</v>
      </c>
      <c r="C16" s="36">
        <v>-1726149</v>
      </c>
      <c r="D16" s="38">
        <v>0</v>
      </c>
      <c r="E16" s="34">
        <f t="shared" si="1"/>
        <v>2297301.9014321631</v>
      </c>
      <c r="F16" s="36">
        <v>-1726149.211916219</v>
      </c>
      <c r="G16" s="38">
        <v>0</v>
      </c>
      <c r="H16" s="34">
        <f t="shared" si="2"/>
        <v>2297302.1834678003</v>
      </c>
      <c r="I16" s="36">
        <f t="shared" si="3"/>
        <v>0.21191621897742152</v>
      </c>
      <c r="J16" s="38">
        <f t="shared" si="3"/>
        <v>0</v>
      </c>
      <c r="K16" s="34">
        <f t="shared" si="3"/>
        <v>-0.28203563718125224</v>
      </c>
    </row>
    <row r="17" spans="1:11" x14ac:dyDescent="0.2">
      <c r="A17" s="35">
        <v>6.14</v>
      </c>
      <c r="B17" s="23" t="s">
        <v>19</v>
      </c>
      <c r="C17" s="36">
        <v>319951</v>
      </c>
      <c r="D17" s="38">
        <v>0</v>
      </c>
      <c r="E17" s="34">
        <f t="shared" si="1"/>
        <v>-425817.26181524422</v>
      </c>
      <c r="F17" s="36">
        <v>319951.38960871822</v>
      </c>
      <c r="G17" s="38">
        <v>0</v>
      </c>
      <c r="H17" s="34">
        <f t="shared" si="2"/>
        <v>-425817.78033876052</v>
      </c>
      <c r="I17" s="36">
        <f t="shared" si="3"/>
        <v>-0.38960871822200716</v>
      </c>
      <c r="J17" s="38">
        <f t="shared" si="3"/>
        <v>0</v>
      </c>
      <c r="K17" s="34">
        <f t="shared" si="3"/>
        <v>0.5185235163080506</v>
      </c>
    </row>
    <row r="18" spans="1:11" x14ac:dyDescent="0.2">
      <c r="A18" s="35">
        <v>6.15</v>
      </c>
      <c r="B18" s="23" t="s">
        <v>20</v>
      </c>
      <c r="C18" s="36">
        <v>-61810</v>
      </c>
      <c r="D18" s="38">
        <v>0</v>
      </c>
      <c r="E18" s="34">
        <f t="shared" si="1"/>
        <v>82261.861825092739</v>
      </c>
      <c r="F18" s="36">
        <v>-61810.425156236211</v>
      </c>
      <c r="G18" s="38">
        <v>0</v>
      </c>
      <c r="H18" s="34">
        <f t="shared" si="2"/>
        <v>82262.427658187007</v>
      </c>
      <c r="I18" s="36">
        <f t="shared" si="3"/>
        <v>0.42515623621147824</v>
      </c>
      <c r="J18" s="38">
        <f t="shared" si="3"/>
        <v>0</v>
      </c>
      <c r="K18" s="34">
        <f t="shared" si="3"/>
        <v>-0.56583309426787309</v>
      </c>
    </row>
    <row r="19" spans="1:11" x14ac:dyDescent="0.2">
      <c r="A19" s="35">
        <v>6.16</v>
      </c>
      <c r="B19" s="23" t="s">
        <v>21</v>
      </c>
      <c r="C19" s="36">
        <v>-13157</v>
      </c>
      <c r="D19" s="38">
        <v>0</v>
      </c>
      <c r="E19" s="34">
        <f t="shared" si="1"/>
        <v>17510.424139018687</v>
      </c>
      <c r="F19" s="36">
        <v>-13156.595940416744</v>
      </c>
      <c r="G19" s="38">
        <v>0</v>
      </c>
      <c r="H19" s="34">
        <f t="shared" si="2"/>
        <v>17509.886383095585</v>
      </c>
      <c r="I19" s="36">
        <f t="shared" si="3"/>
        <v>-0.4040595832557301</v>
      </c>
      <c r="J19" s="38">
        <f t="shared" si="3"/>
        <v>0</v>
      </c>
      <c r="K19" s="34">
        <f t="shared" si="3"/>
        <v>0.53775592310194043</v>
      </c>
    </row>
    <row r="20" spans="1:11" x14ac:dyDescent="0.2">
      <c r="A20" s="35">
        <v>6.17</v>
      </c>
      <c r="B20" s="23" t="s">
        <v>22</v>
      </c>
      <c r="C20" s="36">
        <v>-23850</v>
      </c>
      <c r="D20" s="38">
        <v>0</v>
      </c>
      <c r="E20" s="34">
        <f t="shared" si="1"/>
        <v>31741.553220004233</v>
      </c>
      <c r="F20" s="36">
        <v>-23850.252119969373</v>
      </c>
      <c r="G20" s="38">
        <v>0</v>
      </c>
      <c r="H20" s="34">
        <f t="shared" si="2"/>
        <v>31741.888762118517</v>
      </c>
      <c r="I20" s="36">
        <f t="shared" si="3"/>
        <v>0.2521199693728704</v>
      </c>
      <c r="J20" s="38">
        <f t="shared" si="3"/>
        <v>0</v>
      </c>
      <c r="K20" s="34">
        <f t="shared" si="3"/>
        <v>-0.33554211428418057</v>
      </c>
    </row>
    <row r="21" spans="1:11" x14ac:dyDescent="0.2">
      <c r="A21" s="35">
        <v>6.23</v>
      </c>
      <c r="B21" s="23" t="s">
        <v>23</v>
      </c>
      <c r="C21" s="36">
        <v>340893</v>
      </c>
      <c r="D21" s="38">
        <v>0</v>
      </c>
      <c r="E21" s="34">
        <f t="shared" si="1"/>
        <v>-453688.60804305674</v>
      </c>
      <c r="F21" s="36">
        <v>340892.94246068329</v>
      </c>
      <c r="G21" s="38">
        <v>0</v>
      </c>
      <c r="H21" s="34">
        <f t="shared" si="2"/>
        <v>-453688.53146497358</v>
      </c>
      <c r="I21" s="36">
        <f t="shared" si="3"/>
        <v>5.7539316709153354E-2</v>
      </c>
      <c r="J21" s="38">
        <f t="shared" si="3"/>
        <v>0</v>
      </c>
      <c r="K21" s="34">
        <f t="shared" si="3"/>
        <v>-7.6578083157073706E-2</v>
      </c>
    </row>
    <row r="22" spans="1:11" x14ac:dyDescent="0.2">
      <c r="A22" s="35">
        <v>7.02</v>
      </c>
      <c r="B22" s="23" t="s">
        <v>24</v>
      </c>
      <c r="C22" s="36">
        <v>-68620</v>
      </c>
      <c r="D22" s="38">
        <v>0</v>
      </c>
      <c r="E22" s="34">
        <f t="shared" si="1"/>
        <v>91325.173247659986</v>
      </c>
      <c r="F22" s="36">
        <v>-68620.043849999958</v>
      </c>
      <c r="G22" s="38">
        <v>0</v>
      </c>
      <c r="H22" s="34">
        <f t="shared" si="2"/>
        <v>91325.231606867834</v>
      </c>
      <c r="I22" s="36">
        <f t="shared" si="3"/>
        <v>4.3849999958183616E-2</v>
      </c>
      <c r="J22" s="38">
        <f t="shared" si="3"/>
        <v>0</v>
      </c>
      <c r="K22" s="34">
        <f t="shared" si="3"/>
        <v>-5.8359207847388461E-2</v>
      </c>
    </row>
    <row r="23" spans="1:11" x14ac:dyDescent="0.2">
      <c r="A23" s="35">
        <v>7.03</v>
      </c>
      <c r="B23" s="23" t="s">
        <v>25</v>
      </c>
      <c r="C23" s="36">
        <v>167531</v>
      </c>
      <c r="D23" s="37">
        <v>-1615371</v>
      </c>
      <c r="E23" s="34">
        <f t="shared" si="1"/>
        <v>-381839.46213705168</v>
      </c>
      <c r="F23" s="36">
        <v>167530.56</v>
      </c>
      <c r="G23" s="37">
        <v>-1615371.4300000002</v>
      </c>
      <c r="H23" s="34">
        <f t="shared" si="2"/>
        <v>-381838.91884010908</v>
      </c>
      <c r="I23" s="36">
        <f t="shared" si="3"/>
        <v>0.44000000000232831</v>
      </c>
      <c r="J23" s="37">
        <f t="shared" si="3"/>
        <v>0.43000000016763806</v>
      </c>
      <c r="K23" s="34">
        <f t="shared" si="3"/>
        <v>-0.54329694260377437</v>
      </c>
    </row>
    <row r="24" spans="1:11" x14ac:dyDescent="0.2">
      <c r="A24" s="35">
        <v>7.04</v>
      </c>
      <c r="B24" s="23" t="s">
        <v>26</v>
      </c>
      <c r="C24" s="36">
        <v>-32912586</v>
      </c>
      <c r="D24" s="38">
        <v>0</v>
      </c>
      <c r="E24" s="34">
        <f t="shared" si="1"/>
        <v>43802792.458153725</v>
      </c>
      <c r="F24" s="36">
        <v>-32912585.679400001</v>
      </c>
      <c r="G24" s="38">
        <v>0</v>
      </c>
      <c r="H24" s="34">
        <f t="shared" si="2"/>
        <v>43802792.03147272</v>
      </c>
      <c r="I24" s="36">
        <f t="shared" si="3"/>
        <v>-0.3205999992787838</v>
      </c>
      <c r="J24" s="38">
        <f t="shared" si="3"/>
        <v>0</v>
      </c>
      <c r="K24" s="34">
        <f t="shared" si="3"/>
        <v>0.42668100446462631</v>
      </c>
    </row>
    <row r="25" spans="1:11" x14ac:dyDescent="0.2">
      <c r="A25" s="35">
        <v>7.05</v>
      </c>
      <c r="B25" s="23" t="s">
        <v>27</v>
      </c>
      <c r="C25" s="36">
        <v>-11001</v>
      </c>
      <c r="D25" s="38">
        <v>0</v>
      </c>
      <c r="E25" s="34">
        <f t="shared" si="1"/>
        <v>14641.04096323969</v>
      </c>
      <c r="F25" s="36">
        <v>-11000.8474333339</v>
      </c>
      <c r="G25" s="38">
        <v>0</v>
      </c>
      <c r="H25" s="34">
        <f t="shared" si="2"/>
        <v>14640.837914897902</v>
      </c>
      <c r="I25" s="36">
        <f t="shared" si="3"/>
        <v>-0.15256666610002867</v>
      </c>
      <c r="J25" s="38">
        <f t="shared" si="3"/>
        <v>0</v>
      </c>
      <c r="K25" s="34">
        <f t="shared" si="3"/>
        <v>0.20304834178750752</v>
      </c>
    </row>
    <row r="26" spans="1:11" x14ac:dyDescent="0.2">
      <c r="A26" s="22"/>
      <c r="B26" s="31" t="s">
        <v>28</v>
      </c>
      <c r="C26" s="32"/>
      <c r="D26" s="33"/>
      <c r="E26" s="34">
        <f t="shared" si="1"/>
        <v>0</v>
      </c>
      <c r="F26" s="32"/>
      <c r="G26" s="33"/>
      <c r="H26" s="34">
        <f t="shared" si="2"/>
        <v>0</v>
      </c>
      <c r="I26" s="32">
        <f t="shared" si="3"/>
        <v>0</v>
      </c>
      <c r="J26" s="33">
        <f t="shared" si="3"/>
        <v>0</v>
      </c>
      <c r="K26" s="34">
        <f t="shared" si="3"/>
        <v>0</v>
      </c>
    </row>
    <row r="27" spans="1:11" x14ac:dyDescent="0.2">
      <c r="A27" s="35">
        <v>6.01</v>
      </c>
      <c r="B27" s="23" t="s">
        <v>8</v>
      </c>
      <c r="C27" s="36">
        <v>-25679090</v>
      </c>
      <c r="D27" s="38">
        <v>0</v>
      </c>
      <c r="E27" s="34">
        <f t="shared" si="1"/>
        <v>34175857.521017969</v>
      </c>
      <c r="F27" s="36">
        <v>-25679089.764345825</v>
      </c>
      <c r="G27" s="38">
        <v>0</v>
      </c>
      <c r="H27" s="34">
        <f t="shared" si="2"/>
        <v>34175857.207389891</v>
      </c>
      <c r="I27" s="36">
        <f t="shared" si="3"/>
        <v>-0.23565417528152466</v>
      </c>
      <c r="J27" s="38">
        <f t="shared" si="3"/>
        <v>0</v>
      </c>
      <c r="K27" s="34">
        <f t="shared" si="3"/>
        <v>0.31362807750701904</v>
      </c>
    </row>
    <row r="28" spans="1:11" x14ac:dyDescent="0.2">
      <c r="A28" s="35">
        <v>6.02</v>
      </c>
      <c r="B28" s="23" t="s">
        <v>9</v>
      </c>
      <c r="C28" s="36">
        <v>8570014</v>
      </c>
      <c r="D28" s="38">
        <v>0</v>
      </c>
      <c r="E28" s="34">
        <f t="shared" si="1"/>
        <v>-11405683.667806346</v>
      </c>
      <c r="F28" s="36">
        <v>8570014.0415130965</v>
      </c>
      <c r="G28" s="38">
        <v>0</v>
      </c>
      <c r="H28" s="34">
        <f t="shared" si="2"/>
        <v>-11405683.723055409</v>
      </c>
      <c r="I28" s="36">
        <f t="shared" si="3"/>
        <v>-4.1513096541166306E-2</v>
      </c>
      <c r="J28" s="38">
        <f t="shared" si="3"/>
        <v>0</v>
      </c>
      <c r="K28" s="34">
        <f t="shared" si="3"/>
        <v>5.5249063298106194E-2</v>
      </c>
    </row>
    <row r="29" spans="1:11" x14ac:dyDescent="0.2">
      <c r="A29" s="35">
        <v>6.04</v>
      </c>
      <c r="B29" s="23" t="s">
        <v>10</v>
      </c>
      <c r="C29" s="36">
        <v>-768317</v>
      </c>
      <c r="D29" s="38">
        <v>0</v>
      </c>
      <c r="E29" s="34">
        <f t="shared" si="1"/>
        <v>1022539.8299930395</v>
      </c>
      <c r="F29" s="36">
        <v>-357152.48812509922</v>
      </c>
      <c r="G29" s="38">
        <v>0</v>
      </c>
      <c r="H29" s="34">
        <f t="shared" si="2"/>
        <v>475328.08006204473</v>
      </c>
      <c r="I29" s="36">
        <f t="shared" si="3"/>
        <v>-411164.51187490078</v>
      </c>
      <c r="J29" s="38">
        <f t="shared" si="3"/>
        <v>0</v>
      </c>
      <c r="K29" s="34">
        <f t="shared" si="3"/>
        <v>547211.74993099482</v>
      </c>
    </row>
    <row r="30" spans="1:11" x14ac:dyDescent="0.2">
      <c r="A30" s="35">
        <v>6.14</v>
      </c>
      <c r="B30" s="23" t="s">
        <v>19</v>
      </c>
      <c r="C30" s="36">
        <v>-442588</v>
      </c>
      <c r="D30" s="38">
        <v>0</v>
      </c>
      <c r="E30" s="34">
        <f t="shared" si="1"/>
        <v>589032.72773732641</v>
      </c>
      <c r="F30" s="36">
        <v>-442588.00130389305</v>
      </c>
      <c r="G30" s="38">
        <v>0</v>
      </c>
      <c r="H30" s="34">
        <f t="shared" si="2"/>
        <v>589032.7294726551</v>
      </c>
      <c r="I30" s="36">
        <f t="shared" si="3"/>
        <v>1.3038930483162403E-3</v>
      </c>
      <c r="J30" s="38">
        <f t="shared" si="3"/>
        <v>0</v>
      </c>
      <c r="K30" s="34">
        <f t="shared" si="3"/>
        <v>-1.735328696668148E-3</v>
      </c>
    </row>
    <row r="31" spans="1:11" x14ac:dyDescent="0.2">
      <c r="A31" s="35">
        <v>7.02</v>
      </c>
      <c r="B31" s="23" t="s">
        <v>24</v>
      </c>
      <c r="C31" s="36">
        <v>526903</v>
      </c>
      <c r="D31" s="38">
        <v>0</v>
      </c>
      <c r="E31" s="34">
        <f t="shared" si="1"/>
        <v>-701246.10550439788</v>
      </c>
      <c r="F31" s="36">
        <v>526903.32847884076</v>
      </c>
      <c r="G31" s="38">
        <v>0</v>
      </c>
      <c r="H31" s="34">
        <f t="shared" si="2"/>
        <v>-701246.54267121584</v>
      </c>
      <c r="I31" s="36">
        <f t="shared" si="3"/>
        <v>-0.32847884076181799</v>
      </c>
      <c r="J31" s="38">
        <f t="shared" si="3"/>
        <v>0</v>
      </c>
      <c r="K31" s="34">
        <f t="shared" si="3"/>
        <v>0.43716681795194745</v>
      </c>
    </row>
    <row r="32" spans="1:11" x14ac:dyDescent="0.2">
      <c r="A32" s="35">
        <v>7.05</v>
      </c>
      <c r="B32" s="23" t="s">
        <v>27</v>
      </c>
      <c r="C32" s="36">
        <v>-10681805</v>
      </c>
      <c r="D32" s="38">
        <v>0</v>
      </c>
      <c r="E32" s="34">
        <f t="shared" si="1"/>
        <v>14216229.848771796</v>
      </c>
      <c r="F32" s="36">
        <v>-10681804.722000003</v>
      </c>
      <c r="G32" s="38">
        <v>0</v>
      </c>
      <c r="H32" s="34">
        <f t="shared" si="2"/>
        <v>14216229.4787864</v>
      </c>
      <c r="I32" s="36">
        <f t="shared" si="3"/>
        <v>-0.27799999713897705</v>
      </c>
      <c r="J32" s="38">
        <f t="shared" si="3"/>
        <v>0</v>
      </c>
      <c r="K32" s="34">
        <f t="shared" si="3"/>
        <v>0.36998539604246616</v>
      </c>
    </row>
    <row r="33" spans="1:11" x14ac:dyDescent="0.2">
      <c r="A33" s="35">
        <v>7.08</v>
      </c>
      <c r="B33" s="23" t="s">
        <v>29</v>
      </c>
      <c r="C33" s="36">
        <v>4478734</v>
      </c>
      <c r="D33" s="37">
        <v>-3321470</v>
      </c>
      <c r="E33" s="34">
        <f t="shared" si="1"/>
        <v>-6287343.7483779872</v>
      </c>
      <c r="F33" s="36">
        <v>4478733.8338600006</v>
      </c>
      <c r="G33" s="37">
        <v>-3321469.9169705859</v>
      </c>
      <c r="H33" s="34">
        <f t="shared" si="2"/>
        <v>-6287343.5190990018</v>
      </c>
      <c r="I33" s="36">
        <f t="shared" si="3"/>
        <v>0.1661399994045496</v>
      </c>
      <c r="J33" s="37">
        <f t="shared" si="3"/>
        <v>-8.3029414061456919E-2</v>
      </c>
      <c r="K33" s="34">
        <f t="shared" si="3"/>
        <v>-0.22927898541092873</v>
      </c>
    </row>
    <row r="34" spans="1:11" x14ac:dyDescent="0.2">
      <c r="A34" s="22"/>
      <c r="B34" s="31" t="s">
        <v>30</v>
      </c>
      <c r="C34" s="32"/>
      <c r="D34" s="33"/>
      <c r="E34" s="34">
        <f t="shared" si="1"/>
        <v>0</v>
      </c>
      <c r="F34" s="32"/>
      <c r="G34" s="33"/>
      <c r="H34" s="34">
        <f t="shared" si="2"/>
        <v>0</v>
      </c>
      <c r="I34" s="32">
        <f t="shared" si="3"/>
        <v>0</v>
      </c>
      <c r="J34" s="33">
        <f t="shared" si="3"/>
        <v>0</v>
      </c>
      <c r="K34" s="34">
        <f t="shared" si="3"/>
        <v>0</v>
      </c>
    </row>
    <row r="35" spans="1:11" x14ac:dyDescent="0.2">
      <c r="A35" s="35">
        <v>12.02</v>
      </c>
      <c r="B35" s="23" t="s">
        <v>31</v>
      </c>
      <c r="C35" s="39">
        <v>0</v>
      </c>
      <c r="D35" s="38">
        <v>0</v>
      </c>
      <c r="E35" s="40">
        <f t="shared" si="1"/>
        <v>0</v>
      </c>
      <c r="F35" s="39"/>
      <c r="G35" s="38"/>
      <c r="H35" s="40">
        <f t="shared" si="2"/>
        <v>0</v>
      </c>
      <c r="I35" s="39">
        <f t="shared" si="3"/>
        <v>0</v>
      </c>
      <c r="J35" s="38">
        <f t="shared" si="3"/>
        <v>0</v>
      </c>
      <c r="K35" s="40">
        <f t="shared" si="3"/>
        <v>0</v>
      </c>
    </row>
    <row r="36" spans="1:11" x14ac:dyDescent="0.2">
      <c r="A36" s="35">
        <v>12.03</v>
      </c>
      <c r="B36" s="23" t="s">
        <v>32</v>
      </c>
      <c r="C36" s="39">
        <v>0</v>
      </c>
      <c r="D36" s="37">
        <v>-211405</v>
      </c>
      <c r="E36" s="34">
        <f t="shared" si="1"/>
        <v>-20792.154047014763</v>
      </c>
      <c r="F36" s="39"/>
      <c r="G36" s="37">
        <v>-211405.47488111624</v>
      </c>
      <c r="H36" s="34">
        <f t="shared" si="2"/>
        <v>-20792.200752633471</v>
      </c>
      <c r="I36" s="39">
        <f t="shared" si="3"/>
        <v>0</v>
      </c>
      <c r="J36" s="37">
        <f t="shared" si="3"/>
        <v>0.47488111624261364</v>
      </c>
      <c r="K36" s="34">
        <f t="shared" si="3"/>
        <v>4.6705618708074326E-2</v>
      </c>
    </row>
    <row r="37" spans="1:11" x14ac:dyDescent="0.2">
      <c r="A37" s="35">
        <v>12.04</v>
      </c>
      <c r="B37" s="23" t="s">
        <v>33</v>
      </c>
      <c r="C37" s="36">
        <v>45030</v>
      </c>
      <c r="D37" s="37">
        <v>-550000</v>
      </c>
      <c r="E37" s="34">
        <f t="shared" si="1"/>
        <v>-114023.37828611584</v>
      </c>
      <c r="F37" s="36">
        <v>45030</v>
      </c>
      <c r="G37" s="37">
        <v>-550000</v>
      </c>
      <c r="H37" s="34">
        <f t="shared" si="2"/>
        <v>-114023.37828611584</v>
      </c>
      <c r="I37" s="36">
        <f t="shared" si="3"/>
        <v>0</v>
      </c>
      <c r="J37" s="37">
        <f t="shared" si="3"/>
        <v>0</v>
      </c>
      <c r="K37" s="34">
        <f t="shared" si="3"/>
        <v>0</v>
      </c>
    </row>
    <row r="38" spans="1:11" x14ac:dyDescent="0.2">
      <c r="A38" s="27" t="s">
        <v>34</v>
      </c>
      <c r="B38" s="41"/>
      <c r="C38" s="42"/>
      <c r="D38" s="43"/>
      <c r="E38" s="44"/>
      <c r="F38" s="42"/>
      <c r="G38" s="43"/>
      <c r="H38" s="44"/>
      <c r="I38" s="42"/>
      <c r="J38" s="43"/>
      <c r="K38" s="44"/>
    </row>
    <row r="39" spans="1:11" x14ac:dyDescent="0.2">
      <c r="A39" s="22"/>
      <c r="B39" s="31" t="s">
        <v>7</v>
      </c>
      <c r="C39" s="32"/>
      <c r="D39" s="33"/>
      <c r="E39" s="34"/>
      <c r="F39" s="32"/>
      <c r="G39" s="33"/>
      <c r="H39" s="34">
        <f t="shared" ref="H39" si="4">(F39-(G39*$M$6))/$M$7</f>
        <v>0</v>
      </c>
      <c r="I39" s="32">
        <f t="shared" ref="I39:K68" si="5">C39-F39</f>
        <v>0</v>
      </c>
      <c r="J39" s="33">
        <f t="shared" si="5"/>
        <v>0</v>
      </c>
      <c r="K39" s="34">
        <f t="shared" si="5"/>
        <v>0</v>
      </c>
    </row>
    <row r="40" spans="1:11" x14ac:dyDescent="0.2">
      <c r="A40" s="35">
        <v>6.03</v>
      </c>
      <c r="B40" s="23" t="s">
        <v>35</v>
      </c>
      <c r="C40" s="36">
        <v>-19874205</v>
      </c>
      <c r="D40" s="38">
        <v>0</v>
      </c>
      <c r="E40" s="34">
        <f t="shared" ref="E40:E68" si="6">((D40*$M$6)-C40)/$M$7</f>
        <v>26450236.298229527</v>
      </c>
      <c r="F40" s="36">
        <v>-14935653.446827501</v>
      </c>
      <c r="G40" s="38">
        <v>0</v>
      </c>
      <c r="H40" s="34">
        <f t="shared" ref="H40:H68" si="7">((G40*$M$6)-F40)/$M$7</f>
        <v>19877603.302222844</v>
      </c>
      <c r="I40" s="36">
        <f t="shared" si="5"/>
        <v>-4938551.5531724989</v>
      </c>
      <c r="J40" s="38">
        <f t="shared" si="5"/>
        <v>0</v>
      </c>
      <c r="K40" s="34">
        <f t="shared" si="5"/>
        <v>6572632.9960066825</v>
      </c>
    </row>
    <row r="41" spans="1:11" x14ac:dyDescent="0.2">
      <c r="A41" s="35">
        <v>6.08</v>
      </c>
      <c r="B41" s="23" t="s">
        <v>36</v>
      </c>
      <c r="C41" s="36">
        <v>184145</v>
      </c>
      <c r="D41" s="38">
        <v>0</v>
      </c>
      <c r="E41" s="34">
        <f t="shared" si="6"/>
        <v>-245075.40116132828</v>
      </c>
      <c r="F41" s="36">
        <v>184145.16401528011</v>
      </c>
      <c r="G41" s="38">
        <v>0</v>
      </c>
      <c r="H41" s="34">
        <f t="shared" si="7"/>
        <v>-245075.6194464328</v>
      </c>
      <c r="I41" s="36">
        <f t="shared" si="5"/>
        <v>-0.16401528011192568</v>
      </c>
      <c r="J41" s="38">
        <f t="shared" si="5"/>
        <v>0</v>
      </c>
      <c r="K41" s="34">
        <f t="shared" si="5"/>
        <v>0.21828510452178307</v>
      </c>
    </row>
    <row r="42" spans="1:11" x14ac:dyDescent="0.2">
      <c r="A42" s="35">
        <v>6.18</v>
      </c>
      <c r="B42" s="23" t="s">
        <v>37</v>
      </c>
      <c r="C42" s="39">
        <v>0</v>
      </c>
      <c r="D42" s="37">
        <v>182818242</v>
      </c>
      <c r="E42" s="34">
        <f t="shared" si="6"/>
        <v>17980582.532430284</v>
      </c>
      <c r="F42" s="39">
        <v>0</v>
      </c>
      <c r="G42" s="37">
        <v>182818242.10345364</v>
      </c>
      <c r="H42" s="34">
        <f t="shared" si="7"/>
        <v>17980582.54260518</v>
      </c>
      <c r="I42" s="39">
        <f t="shared" si="5"/>
        <v>0</v>
      </c>
      <c r="J42" s="37">
        <f t="shared" si="5"/>
        <v>-0.10345363616943359</v>
      </c>
      <c r="K42" s="34">
        <f t="shared" si="5"/>
        <v>-1.0174896568059921E-2</v>
      </c>
    </row>
    <row r="43" spans="1:11" x14ac:dyDescent="0.2">
      <c r="A43" s="35">
        <v>6.19</v>
      </c>
      <c r="B43" s="23" t="s">
        <v>38</v>
      </c>
      <c r="C43" s="36">
        <v>-16904953</v>
      </c>
      <c r="D43" s="37">
        <v>-16904953</v>
      </c>
      <c r="E43" s="34">
        <f t="shared" si="6"/>
        <v>20835870.182104688</v>
      </c>
      <c r="F43" s="36">
        <v>-16904953.479322143</v>
      </c>
      <c r="G43" s="37">
        <v>-16904953.479322143</v>
      </c>
      <c r="H43" s="34">
        <f t="shared" si="7"/>
        <v>20835870.772883847</v>
      </c>
      <c r="I43" s="36">
        <f t="shared" si="5"/>
        <v>0.47932214289903641</v>
      </c>
      <c r="J43" s="37">
        <f t="shared" si="5"/>
        <v>0.47932214289903641</v>
      </c>
      <c r="K43" s="34">
        <f t="shared" si="5"/>
        <v>-0.59077915921807289</v>
      </c>
    </row>
    <row r="44" spans="1:11" x14ac:dyDescent="0.2">
      <c r="A44" s="35">
        <v>7.01</v>
      </c>
      <c r="B44" s="23" t="s">
        <v>39</v>
      </c>
      <c r="C44" s="36">
        <v>-7589560</v>
      </c>
      <c r="D44" s="38">
        <v>0</v>
      </c>
      <c r="E44" s="34">
        <f t="shared" si="6"/>
        <v>10100814.367145296</v>
      </c>
      <c r="F44" s="36">
        <v>-7589560.1894254955</v>
      </c>
      <c r="G44" s="38">
        <v>0</v>
      </c>
      <c r="H44" s="34">
        <f t="shared" si="7"/>
        <v>10100814.619248418</v>
      </c>
      <c r="I44" s="36">
        <f t="shared" si="5"/>
        <v>0.18942549545317888</v>
      </c>
      <c r="J44" s="38">
        <f t="shared" si="5"/>
        <v>0</v>
      </c>
      <c r="K44" s="34">
        <f t="shared" si="5"/>
        <v>-0.25210312195122242</v>
      </c>
    </row>
    <row r="45" spans="1:11" x14ac:dyDescent="0.2">
      <c r="A45" s="35">
        <v>7.07</v>
      </c>
      <c r="B45" s="23" t="s">
        <v>40</v>
      </c>
      <c r="C45" s="36">
        <v>1855595</v>
      </c>
      <c r="D45" s="37">
        <v>-12991853</v>
      </c>
      <c r="E45" s="34">
        <f t="shared" si="6"/>
        <v>-3747357.1153649082</v>
      </c>
      <c r="F45" s="36">
        <v>1668426.4785019332</v>
      </c>
      <c r="G45" s="37">
        <v>-11018406.688827798</v>
      </c>
      <c r="H45" s="34">
        <f t="shared" si="7"/>
        <v>-3304164.9080909784</v>
      </c>
      <c r="I45" s="36">
        <f t="shared" si="5"/>
        <v>187168.52149806684</v>
      </c>
      <c r="J45" s="37">
        <f t="shared" si="5"/>
        <v>-1973446.3111722022</v>
      </c>
      <c r="K45" s="34">
        <f t="shared" si="5"/>
        <v>-443192.20727392985</v>
      </c>
    </row>
    <row r="46" spans="1:11" x14ac:dyDescent="0.2">
      <c r="A46" s="22"/>
      <c r="B46" s="31" t="s">
        <v>28</v>
      </c>
      <c r="C46" s="32"/>
      <c r="D46" s="33"/>
      <c r="E46" s="34">
        <f t="shared" si="6"/>
        <v>0</v>
      </c>
      <c r="F46" s="32"/>
      <c r="G46" s="33"/>
      <c r="H46" s="34">
        <f t="shared" si="7"/>
        <v>0</v>
      </c>
      <c r="I46" s="32">
        <f t="shared" si="5"/>
        <v>0</v>
      </c>
      <c r="J46" s="33">
        <f t="shared" si="5"/>
        <v>0</v>
      </c>
      <c r="K46" s="34">
        <f t="shared" si="5"/>
        <v>0</v>
      </c>
    </row>
    <row r="47" spans="1:11" x14ac:dyDescent="0.2">
      <c r="A47" s="35">
        <v>6.09</v>
      </c>
      <c r="B47" s="23" t="s">
        <v>14</v>
      </c>
      <c r="C47" s="39">
        <v>0</v>
      </c>
      <c r="D47" s="38">
        <v>0</v>
      </c>
      <c r="E47" s="40">
        <f t="shared" si="6"/>
        <v>0</v>
      </c>
      <c r="F47" s="39">
        <v>-71834.764841627039</v>
      </c>
      <c r="G47" s="38">
        <v>0</v>
      </c>
      <c r="H47" s="40">
        <f t="shared" si="7"/>
        <v>95603.648271152779</v>
      </c>
      <c r="I47" s="39">
        <f t="shared" si="5"/>
        <v>71834.764841627039</v>
      </c>
      <c r="J47" s="38">
        <f t="shared" si="5"/>
        <v>0</v>
      </c>
      <c r="K47" s="40">
        <f t="shared" si="5"/>
        <v>-95603.648271152779</v>
      </c>
    </row>
    <row r="48" spans="1:11" x14ac:dyDescent="0.2">
      <c r="A48" s="35">
        <v>6.1</v>
      </c>
      <c r="B48" s="23" t="s">
        <v>15</v>
      </c>
      <c r="C48" s="39">
        <v>0</v>
      </c>
      <c r="D48" s="38">
        <v>0</v>
      </c>
      <c r="E48" s="40">
        <f t="shared" si="6"/>
        <v>0</v>
      </c>
      <c r="F48" s="39">
        <v>-5301.3344264041589</v>
      </c>
      <c r="G48" s="38">
        <v>0</v>
      </c>
      <c r="H48" s="40">
        <f t="shared" si="7"/>
        <v>7055.4544583961524</v>
      </c>
      <c r="I48" s="39">
        <f t="shared" si="5"/>
        <v>5301.3344264041589</v>
      </c>
      <c r="J48" s="38">
        <f t="shared" si="5"/>
        <v>0</v>
      </c>
      <c r="K48" s="40">
        <f t="shared" si="5"/>
        <v>-7055.4544583961524</v>
      </c>
    </row>
    <row r="49" spans="1:11" x14ac:dyDescent="0.2">
      <c r="A49" s="35">
        <v>6.15</v>
      </c>
      <c r="B49" s="23" t="s">
        <v>20</v>
      </c>
      <c r="C49" s="36">
        <v>-3003557</v>
      </c>
      <c r="D49" s="38">
        <v>0</v>
      </c>
      <c r="E49" s="34">
        <f t="shared" si="6"/>
        <v>3997382.1536610588</v>
      </c>
      <c r="F49" s="36">
        <v>-3003557.1583568119</v>
      </c>
      <c r="G49" s="38">
        <v>0</v>
      </c>
      <c r="H49" s="34">
        <f t="shared" si="7"/>
        <v>3997382.3644154058</v>
      </c>
      <c r="I49" s="36">
        <f t="shared" si="5"/>
        <v>0.15835681185126305</v>
      </c>
      <c r="J49" s="38">
        <f t="shared" si="5"/>
        <v>0</v>
      </c>
      <c r="K49" s="34">
        <f t="shared" si="5"/>
        <v>-0.21075434703379869</v>
      </c>
    </row>
    <row r="50" spans="1:11" x14ac:dyDescent="0.2">
      <c r="A50" s="35">
        <v>6.16</v>
      </c>
      <c r="B50" s="23" t="s">
        <v>21</v>
      </c>
      <c r="C50" s="36">
        <v>-208177</v>
      </c>
      <c r="D50" s="38">
        <v>0</v>
      </c>
      <c r="E50" s="34">
        <f t="shared" si="6"/>
        <v>277059.17503902817</v>
      </c>
      <c r="F50" s="36">
        <v>-208177.32402600534</v>
      </c>
      <c r="G50" s="38">
        <v>0</v>
      </c>
      <c r="H50" s="34">
        <f t="shared" si="7"/>
        <v>277059.60627964424</v>
      </c>
      <c r="I50" s="36">
        <f t="shared" si="5"/>
        <v>0.32402600534260273</v>
      </c>
      <c r="J50" s="38">
        <f t="shared" si="5"/>
        <v>0</v>
      </c>
      <c r="K50" s="34">
        <f t="shared" si="5"/>
        <v>-0.4312406160752289</v>
      </c>
    </row>
    <row r="51" spans="1:11" x14ac:dyDescent="0.2">
      <c r="A51" s="35">
        <v>6.17</v>
      </c>
      <c r="B51" s="23" t="s">
        <v>22</v>
      </c>
      <c r="C51" s="36">
        <v>-691247</v>
      </c>
      <c r="D51" s="38">
        <v>0</v>
      </c>
      <c r="E51" s="34">
        <f t="shared" si="6"/>
        <v>919968.69763808243</v>
      </c>
      <c r="F51" s="36">
        <v>-691246.88851637836</v>
      </c>
      <c r="G51" s="38">
        <v>0</v>
      </c>
      <c r="H51" s="34">
        <f t="shared" si="7"/>
        <v>919968.54926645523</v>
      </c>
      <c r="I51" s="36">
        <f t="shared" si="5"/>
        <v>-0.11148362164385617</v>
      </c>
      <c r="J51" s="38">
        <f t="shared" si="5"/>
        <v>0</v>
      </c>
      <c r="K51" s="34">
        <f t="shared" si="5"/>
        <v>0.14837162720505148</v>
      </c>
    </row>
    <row r="52" spans="1:11" x14ac:dyDescent="0.2">
      <c r="A52" s="35">
        <v>6.2</v>
      </c>
      <c r="B52" s="23" t="s">
        <v>41</v>
      </c>
      <c r="C52" s="36">
        <v>4520668</v>
      </c>
      <c r="D52" s="38">
        <v>0</v>
      </c>
      <c r="E52" s="34">
        <f t="shared" si="6"/>
        <v>-6016478.9900197107</v>
      </c>
      <c r="F52" s="36">
        <v>2791831.5547333327</v>
      </c>
      <c r="G52" s="38">
        <v>0</v>
      </c>
      <c r="H52" s="34">
        <f t="shared" si="7"/>
        <v>-3715600.4140819809</v>
      </c>
      <c r="I52" s="36">
        <f t="shared" si="5"/>
        <v>1728836.4452666673</v>
      </c>
      <c r="J52" s="38">
        <f t="shared" si="5"/>
        <v>0</v>
      </c>
      <c r="K52" s="34">
        <f t="shared" si="5"/>
        <v>-2300878.5759377298</v>
      </c>
    </row>
    <row r="53" spans="1:11" x14ac:dyDescent="0.2">
      <c r="A53" s="35">
        <v>6.21</v>
      </c>
      <c r="B53" s="23" t="s">
        <v>42</v>
      </c>
      <c r="C53" s="36">
        <v>-120118</v>
      </c>
      <c r="D53" s="38">
        <v>0</v>
      </c>
      <c r="E53" s="34">
        <f t="shared" si="6"/>
        <v>159862.97231364649</v>
      </c>
      <c r="F53" s="36">
        <v>-120117.65165375613</v>
      </c>
      <c r="G53" s="38">
        <v>0</v>
      </c>
      <c r="H53" s="34">
        <f t="shared" si="7"/>
        <v>159862.50870564484</v>
      </c>
      <c r="I53" s="36">
        <f t="shared" si="5"/>
        <v>-0.34834624387440272</v>
      </c>
      <c r="J53" s="38">
        <f t="shared" si="5"/>
        <v>0</v>
      </c>
      <c r="K53" s="34">
        <f t="shared" si="5"/>
        <v>0.46360800164984539</v>
      </c>
    </row>
    <row r="54" spans="1:11" x14ac:dyDescent="0.2">
      <c r="A54" s="35">
        <v>6.22</v>
      </c>
      <c r="B54" s="23" t="s">
        <v>43</v>
      </c>
      <c r="C54" s="36">
        <v>-6154931</v>
      </c>
      <c r="D54" s="38">
        <v>0</v>
      </c>
      <c r="E54" s="34">
        <f t="shared" si="6"/>
        <v>8191491.4005012112</v>
      </c>
      <c r="F54" s="36">
        <v>-7024242.582690442</v>
      </c>
      <c r="G54" s="38">
        <v>64963194.076797329</v>
      </c>
      <c r="H54" s="34">
        <f t="shared" si="7"/>
        <v>15737718.447719287</v>
      </c>
      <c r="I54" s="36">
        <f t="shared" si="5"/>
        <v>869311.58269044198</v>
      </c>
      <c r="J54" s="38">
        <f t="shared" si="5"/>
        <v>-64963194.076797329</v>
      </c>
      <c r="K54" s="34">
        <f>E54-H54</f>
        <v>-7546227.047218076</v>
      </c>
    </row>
    <row r="55" spans="1:11" x14ac:dyDescent="0.2">
      <c r="A55" s="35">
        <v>6.23</v>
      </c>
      <c r="B55" s="23" t="s">
        <v>23</v>
      </c>
      <c r="C55" s="36">
        <v>394549</v>
      </c>
      <c r="D55" s="38">
        <v>0</v>
      </c>
      <c r="E55" s="34">
        <f t="shared" si="6"/>
        <v>-525098.45205029147</v>
      </c>
      <c r="F55" s="36">
        <v>394548.96938773646</v>
      </c>
      <c r="G55" s="38">
        <v>0</v>
      </c>
      <c r="H55" s="34">
        <f t="shared" si="7"/>
        <v>-525098.41130895843</v>
      </c>
      <c r="I55" s="36">
        <f t="shared" si="5"/>
        <v>3.0612263537477702E-2</v>
      </c>
      <c r="J55" s="38">
        <f t="shared" si="5"/>
        <v>0</v>
      </c>
      <c r="K55" s="34">
        <f t="shared" si="5"/>
        <v>-4.0741333039477468E-2</v>
      </c>
    </row>
    <row r="56" spans="1:11" x14ac:dyDescent="0.2">
      <c r="A56" s="35">
        <v>6.24</v>
      </c>
      <c r="B56" s="23" t="s">
        <v>44</v>
      </c>
      <c r="C56" s="36">
        <v>-12677569</v>
      </c>
      <c r="D56" s="37">
        <v>36080289</v>
      </c>
      <c r="E56" s="34">
        <f t="shared" si="6"/>
        <v>20420934.728320252</v>
      </c>
      <c r="F56" s="36">
        <v>-12677568.60713179</v>
      </c>
      <c r="G56" s="37">
        <v>36080288.955627486</v>
      </c>
      <c r="H56" s="34">
        <f t="shared" si="7"/>
        <v>20420934.201094601</v>
      </c>
      <c r="I56" s="36">
        <f t="shared" si="5"/>
        <v>-0.39286820963025093</v>
      </c>
      <c r="J56" s="37">
        <f t="shared" si="5"/>
        <v>4.4372513890266418E-2</v>
      </c>
      <c r="K56" s="34">
        <f t="shared" si="5"/>
        <v>0.52722565084695816</v>
      </c>
    </row>
    <row r="57" spans="1:11" x14ac:dyDescent="0.2">
      <c r="A57" s="35">
        <v>6.25</v>
      </c>
      <c r="B57" s="23" t="s">
        <v>45</v>
      </c>
      <c r="C57" s="36">
        <v>477331</v>
      </c>
      <c r="D57" s="38">
        <v>0</v>
      </c>
      <c r="E57" s="34">
        <f t="shared" si="6"/>
        <v>-635271.58658523438</v>
      </c>
      <c r="F57" s="36">
        <v>477330.77329275</v>
      </c>
      <c r="G57" s="38">
        <v>0</v>
      </c>
      <c r="H57" s="34">
        <f t="shared" si="7"/>
        <v>-635271.28486446955</v>
      </c>
      <c r="I57" s="36">
        <f t="shared" si="5"/>
        <v>0.22670724999625236</v>
      </c>
      <c r="J57" s="38">
        <f t="shared" si="5"/>
        <v>0</v>
      </c>
      <c r="K57" s="34">
        <f t="shared" si="5"/>
        <v>-0.30172076483722776</v>
      </c>
    </row>
    <row r="58" spans="1:11" x14ac:dyDescent="0.2">
      <c r="A58" s="35">
        <v>6.26</v>
      </c>
      <c r="B58" s="23" t="s">
        <v>46</v>
      </c>
      <c r="C58" s="39">
        <v>0</v>
      </c>
      <c r="D58" s="38">
        <v>0</v>
      </c>
      <c r="E58" s="40">
        <f t="shared" si="6"/>
        <v>0</v>
      </c>
      <c r="F58" s="39">
        <v>9006372.2399999984</v>
      </c>
      <c r="G58" s="38">
        <v>4503186.1200000085</v>
      </c>
      <c r="H58" s="40">
        <f t="shared" si="7"/>
        <v>-11543526.900110593</v>
      </c>
      <c r="I58" s="39">
        <f t="shared" si="5"/>
        <v>-9006372.2399999984</v>
      </c>
      <c r="J58" s="38">
        <f t="shared" si="5"/>
        <v>-4503186.1200000085</v>
      </c>
      <c r="K58" s="40">
        <f t="shared" si="5"/>
        <v>11543526.900110593</v>
      </c>
    </row>
    <row r="59" spans="1:11" x14ac:dyDescent="0.2">
      <c r="A59" s="35">
        <v>6.27</v>
      </c>
      <c r="B59" s="23" t="s">
        <v>47</v>
      </c>
      <c r="C59" s="36">
        <v>-582530</v>
      </c>
      <c r="D59" s="37">
        <v>25767063</v>
      </c>
      <c r="E59" s="34">
        <f t="shared" si="6"/>
        <v>3309527.331274014</v>
      </c>
      <c r="F59" s="36">
        <v>-582529.67963589286</v>
      </c>
      <c r="G59" s="37">
        <v>25767063.321957536</v>
      </c>
      <c r="H59" s="34">
        <f t="shared" si="7"/>
        <v>3309526.9365721978</v>
      </c>
      <c r="I59" s="36">
        <f t="shared" si="5"/>
        <v>-0.32036410714499652</v>
      </c>
      <c r="J59" s="37">
        <f t="shared" si="5"/>
        <v>-0.3219575360417366</v>
      </c>
      <c r="K59" s="34">
        <f t="shared" si="5"/>
        <v>0.39470181614160538</v>
      </c>
    </row>
    <row r="60" spans="1:11" x14ac:dyDescent="0.2">
      <c r="A60" s="35">
        <v>6.28</v>
      </c>
      <c r="B60" s="23" t="s">
        <v>48</v>
      </c>
      <c r="C60" s="36">
        <v>-1330726</v>
      </c>
      <c r="D60" s="38">
        <v>0</v>
      </c>
      <c r="E60" s="34">
        <f t="shared" si="6"/>
        <v>1771040.2578718388</v>
      </c>
      <c r="F60" s="36">
        <v>-1330725.9543599267</v>
      </c>
      <c r="G60" s="38">
        <v>0</v>
      </c>
      <c r="H60" s="34">
        <f t="shared" si="7"/>
        <v>1771040.1971302533</v>
      </c>
      <c r="I60" s="36">
        <f t="shared" si="5"/>
        <v>-4.5640073250979185E-2</v>
      </c>
      <c r="J60" s="38">
        <f t="shared" si="5"/>
        <v>0</v>
      </c>
      <c r="K60" s="34">
        <f t="shared" si="5"/>
        <v>6.074158544652164E-2</v>
      </c>
    </row>
    <row r="61" spans="1:11" x14ac:dyDescent="0.2">
      <c r="A61" s="35">
        <v>6.29</v>
      </c>
      <c r="B61" s="23" t="s">
        <v>49</v>
      </c>
      <c r="C61" s="36">
        <v>-567399</v>
      </c>
      <c r="D61" s="37">
        <v>5798358</v>
      </c>
      <c r="E61" s="34">
        <f t="shared" si="6"/>
        <v>1325422.9960565944</v>
      </c>
      <c r="F61" s="36">
        <v>-567398.9934889141</v>
      </c>
      <c r="G61" s="37">
        <v>5798357.5857409984</v>
      </c>
      <c r="H61" s="34">
        <f t="shared" si="7"/>
        <v>1325422.9466478045</v>
      </c>
      <c r="I61" s="36">
        <f t="shared" si="5"/>
        <v>-6.5110858995467424E-3</v>
      </c>
      <c r="J61" s="37">
        <f t="shared" si="5"/>
        <v>0.41425900161266327</v>
      </c>
      <c r="K61" s="34">
        <f t="shared" si="5"/>
        <v>4.9408789956942201E-2</v>
      </c>
    </row>
    <row r="62" spans="1:11" x14ac:dyDescent="0.2">
      <c r="A62" s="35">
        <v>7.01</v>
      </c>
      <c r="B62" s="23" t="s">
        <v>39</v>
      </c>
      <c r="C62" s="36">
        <v>3429888</v>
      </c>
      <c r="D62" s="38">
        <v>0</v>
      </c>
      <c r="E62" s="34">
        <f t="shared" si="6"/>
        <v>-4564778.7207821338</v>
      </c>
      <c r="F62" s="36">
        <v>-17795211.595228255</v>
      </c>
      <c r="G62" s="38">
        <v>0</v>
      </c>
      <c r="H62" s="34">
        <f t="shared" si="7"/>
        <v>23683339.870489478</v>
      </c>
      <c r="I62" s="36">
        <f t="shared" si="5"/>
        <v>21225099.595228255</v>
      </c>
      <c r="J62" s="38">
        <f t="shared" si="5"/>
        <v>0</v>
      </c>
      <c r="K62" s="34">
        <f t="shared" si="5"/>
        <v>-28248118.591271613</v>
      </c>
    </row>
    <row r="63" spans="1:11" x14ac:dyDescent="0.2">
      <c r="A63" s="35">
        <v>7.06</v>
      </c>
      <c r="B63" s="23" t="s">
        <v>50</v>
      </c>
      <c r="C63" s="36">
        <v>9100115</v>
      </c>
      <c r="D63" s="37">
        <v>-23391892</v>
      </c>
      <c r="E63" s="34">
        <f t="shared" si="6"/>
        <v>-14411830.774001474</v>
      </c>
      <c r="F63" s="36">
        <v>9100115.4800387621</v>
      </c>
      <c r="G63" s="37">
        <v>-23391891.903797138</v>
      </c>
      <c r="H63" s="34">
        <f t="shared" si="7"/>
        <v>-14411831.403415006</v>
      </c>
      <c r="I63" s="36">
        <f t="shared" si="5"/>
        <v>-0.48003876209259033</v>
      </c>
      <c r="J63" s="37">
        <f t="shared" si="5"/>
        <v>-9.620286151766777E-2</v>
      </c>
      <c r="K63" s="34">
        <f t="shared" si="5"/>
        <v>0.6294135320931673</v>
      </c>
    </row>
    <row r="64" spans="1:11" x14ac:dyDescent="0.2">
      <c r="A64" s="35">
        <v>7.09</v>
      </c>
      <c r="B64" s="23" t="s">
        <v>51</v>
      </c>
      <c r="C64" s="36">
        <v>-809932</v>
      </c>
      <c r="D64" s="37">
        <v>34322392</v>
      </c>
      <c r="E64" s="34">
        <f t="shared" si="6"/>
        <v>4453608.4473788925</v>
      </c>
      <c r="F64" s="36">
        <v>-809932.18299113424</v>
      </c>
      <c r="G64" s="37">
        <v>34322392.17098815</v>
      </c>
      <c r="H64" s="34">
        <f t="shared" si="7"/>
        <v>4453608.7077357005</v>
      </c>
      <c r="I64" s="36">
        <f t="shared" si="5"/>
        <v>0.1829911342356354</v>
      </c>
      <c r="J64" s="37">
        <f t="shared" si="5"/>
        <v>-0.17098814994096756</v>
      </c>
      <c r="K64" s="34">
        <f t="shared" si="5"/>
        <v>-0.26035680808126926</v>
      </c>
    </row>
    <row r="65" spans="1:12" x14ac:dyDescent="0.2">
      <c r="A65" s="35">
        <v>7.1</v>
      </c>
      <c r="B65" s="23" t="s">
        <v>52</v>
      </c>
      <c r="C65" s="36">
        <v>-2484594</v>
      </c>
      <c r="D65" s="37">
        <v>4143549</v>
      </c>
      <c r="E65" s="34">
        <f t="shared" si="6"/>
        <v>3714230.558265381</v>
      </c>
      <c r="F65" s="36">
        <v>-2484593.7565199998</v>
      </c>
      <c r="G65" s="37">
        <v>4143548.7960133362</v>
      </c>
      <c r="H65" s="34">
        <f t="shared" si="7"/>
        <v>3714230.2141595082</v>
      </c>
      <c r="I65" s="36">
        <f t="shared" si="5"/>
        <v>-0.24348000017926097</v>
      </c>
      <c r="J65" s="37">
        <f t="shared" si="5"/>
        <v>0.20398666383698583</v>
      </c>
      <c r="K65" s="34">
        <f t="shared" si="5"/>
        <v>0.34410587279126048</v>
      </c>
    </row>
    <row r="66" spans="1:12" x14ac:dyDescent="0.2">
      <c r="A66" s="22"/>
      <c r="B66" s="31" t="s">
        <v>30</v>
      </c>
      <c r="C66" s="32"/>
      <c r="D66" s="33"/>
      <c r="E66" s="34">
        <f t="shared" si="6"/>
        <v>0</v>
      </c>
      <c r="F66" s="32"/>
      <c r="G66" s="33"/>
      <c r="H66" s="34">
        <f t="shared" si="7"/>
        <v>0</v>
      </c>
      <c r="I66" s="32">
        <f t="shared" si="5"/>
        <v>0</v>
      </c>
      <c r="J66" s="33">
        <f t="shared" si="5"/>
        <v>0</v>
      </c>
      <c r="K66" s="34">
        <f t="shared" si="5"/>
        <v>0</v>
      </c>
    </row>
    <row r="67" spans="1:12" x14ac:dyDescent="0.2">
      <c r="A67" s="35">
        <v>12.01</v>
      </c>
      <c r="B67" s="23" t="s">
        <v>53</v>
      </c>
      <c r="C67" s="36">
        <v>431825</v>
      </c>
      <c r="D67" s="37">
        <v>-5272401</v>
      </c>
      <c r="E67" s="34">
        <f t="shared" si="6"/>
        <v>-1093260.8542137744</v>
      </c>
      <c r="F67" s="36"/>
      <c r="G67" s="37"/>
      <c r="H67" s="34">
        <f t="shared" si="7"/>
        <v>0</v>
      </c>
      <c r="I67" s="36">
        <f t="shared" si="5"/>
        <v>431825</v>
      </c>
      <c r="J67" s="37">
        <f t="shared" si="5"/>
        <v>-5272401</v>
      </c>
      <c r="K67" s="34">
        <f t="shared" si="5"/>
        <v>-1093260.8542137744</v>
      </c>
    </row>
    <row r="68" spans="1:12" ht="30" x14ac:dyDescent="0.2">
      <c r="A68" s="45" t="s">
        <v>54</v>
      </c>
      <c r="B68" s="23" t="s">
        <v>55</v>
      </c>
      <c r="C68" s="39">
        <v>0</v>
      </c>
      <c r="D68" s="38">
        <v>0</v>
      </c>
      <c r="E68" s="40">
        <f t="shared" si="6"/>
        <v>0</v>
      </c>
      <c r="F68" s="39"/>
      <c r="G68" s="38"/>
      <c r="H68" s="40">
        <f t="shared" si="7"/>
        <v>0</v>
      </c>
      <c r="I68" s="39">
        <f t="shared" si="5"/>
        <v>0</v>
      </c>
      <c r="J68" s="38">
        <f t="shared" si="5"/>
        <v>0</v>
      </c>
      <c r="K68" s="40">
        <f t="shared" si="5"/>
        <v>0</v>
      </c>
    </row>
    <row r="69" spans="1:12" x14ac:dyDescent="0.2">
      <c r="A69" s="46"/>
      <c r="B69" s="47" t="s">
        <v>56</v>
      </c>
      <c r="C69" s="48">
        <f>SUM(C5:C67)</f>
        <v>-67044847</v>
      </c>
      <c r="D69" s="49">
        <f t="shared" ref="D69:K69" si="8">SUM(D5:D67)</f>
        <v>224670548</v>
      </c>
      <c r="E69" s="50">
        <f t="shared" si="8"/>
        <v>111325679.64481401</v>
      </c>
      <c r="F69" s="48">
        <f t="shared" si="8"/>
        <v>-77163398.817829236</v>
      </c>
      <c r="G69" s="49">
        <f t="shared" si="8"/>
        <v>301382774.23677969</v>
      </c>
      <c r="H69" s="50">
        <f t="shared" si="8"/>
        <v>132337104.39035229</v>
      </c>
      <c r="I69" s="48">
        <f t="shared" si="8"/>
        <v>10118551.817829259</v>
      </c>
      <c r="J69" s="49">
        <f t="shared" si="8"/>
        <v>-76712226.236779705</v>
      </c>
      <c r="K69" s="50">
        <f t="shared" si="8"/>
        <v>-21011424.745538261</v>
      </c>
    </row>
    <row r="70" spans="1:12" ht="30" x14ac:dyDescent="0.2">
      <c r="A70" s="46"/>
      <c r="B70" s="47" t="s">
        <v>57</v>
      </c>
      <c r="C70" s="51">
        <f>C3+C69</f>
        <v>324095844</v>
      </c>
      <c r="D70" s="52">
        <f t="shared" ref="D70:K70" si="9">D3+D69</f>
        <v>5433449054</v>
      </c>
      <c r="E70" s="53">
        <f t="shared" si="9"/>
        <v>103058290.12258753</v>
      </c>
      <c r="F70" s="51">
        <f t="shared" si="9"/>
        <v>313977292.28217137</v>
      </c>
      <c r="G70" s="52">
        <f t="shared" si="9"/>
        <v>5510161280.5417709</v>
      </c>
      <c r="H70" s="53">
        <f t="shared" si="9"/>
        <v>124069714.76503335</v>
      </c>
      <c r="I70" s="51">
        <f t="shared" si="9"/>
        <v>10118551.717828639</v>
      </c>
      <c r="J70" s="52">
        <f t="shared" si="9"/>
        <v>-76712226.541771427</v>
      </c>
      <c r="K70" s="53">
        <f t="shared" si="9"/>
        <v>-21011424.642445795</v>
      </c>
    </row>
    <row r="71" spans="1:12" x14ac:dyDescent="0.2">
      <c r="A71" s="22"/>
      <c r="B71" s="23" t="s">
        <v>58</v>
      </c>
      <c r="C71" s="32"/>
      <c r="D71" s="33"/>
      <c r="E71" s="34">
        <v>-3117000</v>
      </c>
      <c r="F71" s="32"/>
      <c r="G71" s="33"/>
      <c r="H71" s="34"/>
      <c r="I71" s="32"/>
      <c r="J71" s="33"/>
      <c r="K71" s="34">
        <f t="shared" ref="K71:K75" si="10">E71-H71</f>
        <v>-3117000</v>
      </c>
    </row>
    <row r="72" spans="1:12" x14ac:dyDescent="0.2">
      <c r="A72" s="22"/>
      <c r="B72" s="23" t="s">
        <v>59</v>
      </c>
      <c r="C72" s="32"/>
      <c r="D72" s="33"/>
      <c r="E72" s="34">
        <v>-70484295.489999995</v>
      </c>
      <c r="F72" s="32"/>
      <c r="G72" s="33"/>
      <c r="H72" s="34"/>
      <c r="I72" s="32"/>
      <c r="J72" s="33"/>
      <c r="K72" s="34">
        <f t="shared" si="10"/>
        <v>-70484295.489999995</v>
      </c>
      <c r="L72" s="2" t="s">
        <v>241</v>
      </c>
    </row>
    <row r="73" spans="1:12" ht="30" x14ac:dyDescent="0.2">
      <c r="A73" s="46"/>
      <c r="B73" s="47" t="s">
        <v>60</v>
      </c>
      <c r="C73" s="51">
        <f>SUM(C70:C72)</f>
        <v>324095844</v>
      </c>
      <c r="D73" s="52">
        <f t="shared" ref="D73:E73" si="11">SUM(D70:D72)</f>
        <v>5433449054</v>
      </c>
      <c r="E73" s="53">
        <f t="shared" si="11"/>
        <v>29456994.632587537</v>
      </c>
      <c r="F73" s="51">
        <f>SUM(F70:F72)</f>
        <v>313977292.28217137</v>
      </c>
      <c r="G73" s="52">
        <f t="shared" ref="G73" si="12">SUM(G70:G72)</f>
        <v>5510161280.5417709</v>
      </c>
      <c r="H73" s="53">
        <f>ROUNDDOWN(SUM(H70:H72),0)</f>
        <v>124069714</v>
      </c>
      <c r="I73" s="51">
        <f>SUM(I70:I72)</f>
        <v>10118551.717828639</v>
      </c>
      <c r="J73" s="52">
        <f t="shared" ref="J73" si="13">SUM(J70:J72)</f>
        <v>-76712226.541771427</v>
      </c>
      <c r="K73" s="53">
        <f>ROUNDDOWN(SUM(K70:K72),0)</f>
        <v>-94612720</v>
      </c>
    </row>
    <row r="74" spans="1:12" ht="30" x14ac:dyDescent="0.2">
      <c r="A74" s="22"/>
      <c r="B74" s="23" t="s">
        <v>61</v>
      </c>
      <c r="C74" s="32"/>
      <c r="D74" s="33"/>
      <c r="E74" s="34">
        <v>-17700000</v>
      </c>
      <c r="F74" s="32"/>
      <c r="G74" s="33"/>
      <c r="H74" s="34"/>
      <c r="I74" s="32"/>
      <c r="J74" s="33"/>
      <c r="K74" s="34">
        <f t="shared" si="10"/>
        <v>-17700000</v>
      </c>
    </row>
    <row r="75" spans="1:12" x14ac:dyDescent="0.2">
      <c r="A75" s="22"/>
      <c r="B75" s="23" t="s">
        <v>62</v>
      </c>
      <c r="C75" s="32"/>
      <c r="D75" s="33"/>
      <c r="E75" s="34">
        <v>-10900000</v>
      </c>
      <c r="F75" s="32"/>
      <c r="G75" s="33"/>
      <c r="H75" s="34"/>
      <c r="I75" s="32"/>
      <c r="J75" s="33"/>
      <c r="K75" s="34">
        <f t="shared" si="10"/>
        <v>-10900000</v>
      </c>
    </row>
    <row r="76" spans="1:12" ht="15.75" thickBot="1" x14ac:dyDescent="0.25">
      <c r="A76" s="54"/>
      <c r="B76" s="55" t="s">
        <v>63</v>
      </c>
      <c r="C76" s="56">
        <f>SUM(C73:C75)</f>
        <v>324095844</v>
      </c>
      <c r="D76" s="57">
        <f t="shared" ref="D76:K76" si="14">SUM(D73:D75)</f>
        <v>5433449054</v>
      </c>
      <c r="E76" s="58">
        <f t="shared" si="14"/>
        <v>856994.63258753717</v>
      </c>
      <c r="F76" s="56">
        <f t="shared" si="14"/>
        <v>313977292.28217137</v>
      </c>
      <c r="G76" s="57">
        <f t="shared" si="14"/>
        <v>5510161280.5417709</v>
      </c>
      <c r="H76" s="58">
        <f t="shared" si="14"/>
        <v>124069714</v>
      </c>
      <c r="I76" s="56">
        <f t="shared" si="14"/>
        <v>10118551.717828639</v>
      </c>
      <c r="J76" s="57">
        <f t="shared" si="14"/>
        <v>-76712226.541771427</v>
      </c>
      <c r="K76" s="58">
        <f t="shared" si="14"/>
        <v>-123212720</v>
      </c>
    </row>
    <row r="77" spans="1:12" ht="9.9499999999999993" customHeight="1" thickTop="1" x14ac:dyDescent="0.2"/>
    <row r="78" spans="1:12" ht="18.95" customHeight="1" x14ac:dyDescent="0.2"/>
    <row r="79" spans="1:12" ht="9" customHeight="1" x14ac:dyDescent="0.2"/>
    <row r="80" spans="1:12" ht="9" customHeight="1" x14ac:dyDescent="0.2"/>
    <row r="81" ht="9.9499999999999993" customHeight="1" x14ac:dyDescent="0.2"/>
    <row r="82" ht="9.9499999999999993" customHeight="1" x14ac:dyDescent="0.2"/>
    <row r="83" ht="9.9499999999999993" customHeight="1" x14ac:dyDescent="0.2"/>
    <row r="84" ht="9.9499999999999993" customHeight="1" x14ac:dyDescent="0.2"/>
    <row r="85" ht="9.9499999999999993" customHeight="1" x14ac:dyDescent="0.2"/>
    <row r="86" ht="9.9499999999999993" customHeight="1" x14ac:dyDescent="0.2"/>
    <row r="87" ht="9.9499999999999993" customHeight="1" x14ac:dyDescent="0.2"/>
    <row r="88" ht="9.9499999999999993" customHeight="1" x14ac:dyDescent="0.2"/>
    <row r="89" ht="9.9499999999999993" customHeight="1" x14ac:dyDescent="0.2"/>
    <row r="90" ht="9.9499999999999993" customHeight="1" x14ac:dyDescent="0.2"/>
    <row r="91" ht="9.9499999999999993" customHeight="1" x14ac:dyDescent="0.2"/>
    <row r="92" ht="9.9499999999999993" customHeight="1" x14ac:dyDescent="0.2"/>
    <row r="93" ht="9.9499999999999993" customHeight="1" x14ac:dyDescent="0.2"/>
    <row r="94" ht="9.9499999999999993" customHeight="1" x14ac:dyDescent="0.2"/>
    <row r="95" ht="9.9499999999999993" customHeight="1" x14ac:dyDescent="0.2"/>
    <row r="96" ht="9.9499999999999993" customHeight="1" x14ac:dyDescent="0.2"/>
    <row r="97" ht="9.9499999999999993" customHeight="1" x14ac:dyDescent="0.2"/>
    <row r="98" ht="9.9499999999999993" customHeight="1" x14ac:dyDescent="0.2"/>
    <row r="99" ht="9.9499999999999993" customHeight="1" x14ac:dyDescent="0.2"/>
    <row r="100" ht="9.9499999999999993" customHeight="1" x14ac:dyDescent="0.2"/>
    <row r="101" ht="9.9499999999999993" customHeight="1" x14ac:dyDescent="0.2"/>
    <row r="102" ht="9.9499999999999993" customHeight="1" x14ac:dyDescent="0.2"/>
    <row r="103" ht="9.9499999999999993" customHeight="1" x14ac:dyDescent="0.2"/>
    <row r="104" ht="9.9499999999999993" customHeight="1" x14ac:dyDescent="0.2"/>
    <row r="105" ht="9.9499999999999993" customHeight="1" x14ac:dyDescent="0.2"/>
    <row r="106" ht="9.9499999999999993" customHeight="1" x14ac:dyDescent="0.2"/>
    <row r="107" ht="9" customHeight="1" x14ac:dyDescent="0.2"/>
    <row r="108" ht="9.9499999999999993" customHeight="1" x14ac:dyDescent="0.2"/>
    <row r="109" ht="9.9499999999999993" customHeight="1" x14ac:dyDescent="0.2"/>
    <row r="110" ht="9.9499999999999993" customHeight="1" x14ac:dyDescent="0.2"/>
    <row r="111" ht="9.9499999999999993" customHeight="1" x14ac:dyDescent="0.2"/>
    <row r="112" ht="9.9499999999999993" customHeight="1" x14ac:dyDescent="0.2"/>
    <row r="113" ht="9.9499999999999993" customHeight="1" x14ac:dyDescent="0.2"/>
    <row r="114" ht="9.9499999999999993" customHeight="1" x14ac:dyDescent="0.2"/>
    <row r="115" ht="9.9499999999999993" customHeight="1" x14ac:dyDescent="0.2"/>
    <row r="116" ht="9.9499999999999993" customHeight="1" x14ac:dyDescent="0.2"/>
    <row r="117" ht="9.9499999999999993" customHeight="1" x14ac:dyDescent="0.2"/>
    <row r="118" ht="9.9499999999999993" customHeight="1" x14ac:dyDescent="0.2"/>
    <row r="119" ht="9.9499999999999993" customHeight="1" x14ac:dyDescent="0.2"/>
    <row r="120" ht="9.9499999999999993" customHeight="1" x14ac:dyDescent="0.2"/>
    <row r="121" ht="9.9499999999999993" customHeight="1" x14ac:dyDescent="0.2"/>
    <row r="122" ht="9.9499999999999993" customHeight="1" x14ac:dyDescent="0.2"/>
    <row r="123" ht="9.9499999999999993" customHeight="1" x14ac:dyDescent="0.2"/>
    <row r="124" ht="9.9499999999999993" customHeight="1" x14ac:dyDescent="0.2"/>
    <row r="125" ht="9.9499999999999993" customHeight="1" x14ac:dyDescent="0.2"/>
    <row r="126" ht="9.9499999999999993" customHeight="1" x14ac:dyDescent="0.2"/>
    <row r="127" ht="9.9499999999999993" customHeight="1" x14ac:dyDescent="0.2"/>
    <row r="128" ht="9.9499999999999993" customHeight="1" x14ac:dyDescent="0.2"/>
    <row r="129" ht="9.9499999999999993" customHeight="1" x14ac:dyDescent="0.2"/>
    <row r="130" ht="9.9499999999999993" customHeight="1" x14ac:dyDescent="0.2"/>
    <row r="131" ht="9.9499999999999993" customHeight="1" x14ac:dyDescent="0.2"/>
    <row r="132" ht="9.9499999999999993" customHeight="1" x14ac:dyDescent="0.2"/>
    <row r="133" ht="9.9499999999999993" customHeight="1" x14ac:dyDescent="0.2"/>
    <row r="134" ht="9.9499999999999993" customHeight="1" x14ac:dyDescent="0.2"/>
    <row r="135" ht="9.9499999999999993" customHeight="1" x14ac:dyDescent="0.2"/>
    <row r="136" ht="9.9499999999999993" customHeight="1" x14ac:dyDescent="0.2"/>
    <row r="137" ht="9.9499999999999993" customHeight="1" x14ac:dyDescent="0.2"/>
    <row r="138" ht="9.9499999999999993" customHeight="1" x14ac:dyDescent="0.2"/>
    <row r="139" ht="9.9499999999999993" customHeight="1" x14ac:dyDescent="0.2"/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ySplit="2" topLeftCell="A48" activePane="bottomLeft" state="frozen"/>
      <selection activeCell="E15" sqref="E15"/>
      <selection pane="bottomLeft" activeCell="L60" sqref="L60"/>
    </sheetView>
  </sheetViews>
  <sheetFormatPr defaultRowHeight="15" x14ac:dyDescent="0.2"/>
  <cols>
    <col min="1" max="1" width="9.1640625" style="2" customWidth="1"/>
    <col min="2" max="2" width="57.83203125" style="2" bestFit="1" customWidth="1"/>
    <col min="3" max="3" width="16" style="2" bestFit="1" customWidth="1"/>
    <col min="4" max="4" width="18.6640625" style="2" bestFit="1" customWidth="1"/>
    <col min="5" max="5" width="15" style="2" bestFit="1" customWidth="1"/>
    <col min="6" max="6" width="16.6640625" style="2" bestFit="1" customWidth="1"/>
    <col min="7" max="7" width="18.6640625" style="2" bestFit="1" customWidth="1"/>
    <col min="8" max="8" width="15.5" style="2" bestFit="1" customWidth="1"/>
    <col min="9" max="9" width="16.33203125" style="2" bestFit="1" customWidth="1"/>
    <col min="10" max="10" width="16.6640625" style="2" bestFit="1" customWidth="1"/>
    <col min="11" max="11" width="16.33203125" style="2" bestFit="1" customWidth="1"/>
    <col min="12" max="13" width="9.33203125" style="2"/>
    <col min="14" max="14" width="10.5" style="2" bestFit="1" customWidth="1"/>
    <col min="15" max="15" width="15.1640625" style="2" bestFit="1" customWidth="1"/>
  </cols>
  <sheetData>
    <row r="1" spans="1:15" ht="15.75" thickBot="1" x14ac:dyDescent="0.25"/>
    <row r="2" spans="1:15" ht="15.75" thickTop="1" x14ac:dyDescent="0.2">
      <c r="A2" s="60" t="s">
        <v>83</v>
      </c>
      <c r="B2" s="60"/>
      <c r="C2" s="14" t="s">
        <v>68</v>
      </c>
      <c r="D2" s="61"/>
      <c r="E2" s="16"/>
      <c r="F2" s="14" t="s">
        <v>78</v>
      </c>
      <c r="G2" s="61"/>
      <c r="H2" s="16"/>
      <c r="I2" s="14" t="s">
        <v>79</v>
      </c>
      <c r="J2" s="61"/>
      <c r="K2" s="16"/>
    </row>
    <row r="3" spans="1:15" ht="30" x14ac:dyDescent="0.2">
      <c r="A3" s="62" t="s">
        <v>0</v>
      </c>
      <c r="B3" s="63" t="s">
        <v>1</v>
      </c>
      <c r="C3" s="64" t="s">
        <v>2</v>
      </c>
      <c r="D3" s="65" t="s">
        <v>3</v>
      </c>
      <c r="E3" s="66" t="s">
        <v>4</v>
      </c>
      <c r="F3" s="64" t="s">
        <v>2</v>
      </c>
      <c r="G3" s="65" t="s">
        <v>3</v>
      </c>
      <c r="H3" s="66" t="s">
        <v>4</v>
      </c>
      <c r="I3" s="64" t="s">
        <v>2</v>
      </c>
      <c r="J3" s="65" t="s">
        <v>3</v>
      </c>
      <c r="K3" s="66" t="s">
        <v>4</v>
      </c>
    </row>
    <row r="4" spans="1:15" x14ac:dyDescent="0.2">
      <c r="A4" s="67"/>
      <c r="B4" s="68" t="s">
        <v>5</v>
      </c>
      <c r="C4" s="69">
        <v>103864304</v>
      </c>
      <c r="D4" s="70">
        <v>1951252143</v>
      </c>
      <c r="E4" s="26">
        <f>((D4*$N$6)-C4)/$N$7</f>
        <v>53485465.885290593</v>
      </c>
      <c r="F4" s="69">
        <v>103864303.9900012</v>
      </c>
      <c r="G4" s="70">
        <v>1951252143.2591095</v>
      </c>
      <c r="H4" s="26">
        <f>((G4*$N$6)-F4)/$N$7</f>
        <v>53485465.923942119</v>
      </c>
      <c r="I4" s="69">
        <f>C4-F4</f>
        <v>9.9987983703613281E-3</v>
      </c>
      <c r="J4" s="70">
        <f t="shared" ref="J4:K4" si="0">D4-G4</f>
        <v>-0.2591094970703125</v>
      </c>
      <c r="K4" s="26">
        <f t="shared" si="0"/>
        <v>-3.8651525974273682E-2</v>
      </c>
    </row>
    <row r="5" spans="1:15" x14ac:dyDescent="0.2">
      <c r="A5" s="71" t="s">
        <v>6</v>
      </c>
      <c r="B5" s="72"/>
      <c r="C5" s="73"/>
      <c r="D5" s="72"/>
      <c r="E5" s="74"/>
      <c r="F5" s="73"/>
      <c r="G5" s="72"/>
      <c r="H5" s="74"/>
      <c r="I5" s="73"/>
      <c r="J5" s="72"/>
      <c r="K5" s="74"/>
    </row>
    <row r="6" spans="1:15" x14ac:dyDescent="0.2">
      <c r="A6" s="67"/>
      <c r="B6" s="75" t="s">
        <v>7</v>
      </c>
      <c r="C6" s="76"/>
      <c r="D6" s="77"/>
      <c r="E6" s="78">
        <v>0</v>
      </c>
      <c r="F6" s="76"/>
      <c r="G6" s="77"/>
      <c r="H6" s="78">
        <v>0</v>
      </c>
      <c r="I6" s="76">
        <f t="shared" ref="I6:K31" si="1">C6-F6</f>
        <v>0</v>
      </c>
      <c r="J6" s="77">
        <f t="shared" si="1"/>
        <v>0</v>
      </c>
      <c r="K6" s="78">
        <f t="shared" si="1"/>
        <v>0</v>
      </c>
      <c r="N6" s="59">
        <v>7.3899999999999993E-2</v>
      </c>
      <c r="O6" s="2" t="s">
        <v>80</v>
      </c>
    </row>
    <row r="7" spans="1:15" x14ac:dyDescent="0.2">
      <c r="A7" s="79">
        <v>6.01</v>
      </c>
      <c r="B7" s="68" t="s">
        <v>8</v>
      </c>
      <c r="C7" s="80">
        <v>1442871</v>
      </c>
      <c r="D7" s="81">
        <v>0</v>
      </c>
      <c r="E7" s="82">
        <f t="shared" ref="E7:E31" si="2">((D7*$N$6)-C7)/$N$7</f>
        <v>-1913375.8654390615</v>
      </c>
      <c r="F7" s="80">
        <v>1442870.5294648185</v>
      </c>
      <c r="G7" s="81">
        <v>0</v>
      </c>
      <c r="H7" s="82">
        <f t="shared" ref="H7:H31" si="3">((G7*$N$6)-F7)/$N$7</f>
        <v>-1913375.241467369</v>
      </c>
      <c r="I7" s="80">
        <f t="shared" si="1"/>
        <v>0.47053518146276474</v>
      </c>
      <c r="J7" s="81">
        <f t="shared" si="1"/>
        <v>0</v>
      </c>
      <c r="K7" s="82">
        <f t="shared" si="1"/>
        <v>-0.62397169251926243</v>
      </c>
      <c r="N7" s="2">
        <v>0.75409700000000002</v>
      </c>
      <c r="O7" s="2" t="s">
        <v>81</v>
      </c>
    </row>
    <row r="8" spans="1:15" x14ac:dyDescent="0.2">
      <c r="A8" s="79">
        <v>6.02</v>
      </c>
      <c r="B8" s="68" t="s">
        <v>9</v>
      </c>
      <c r="C8" s="80">
        <v>54148</v>
      </c>
      <c r="D8" s="83">
        <v>0</v>
      </c>
      <c r="E8" s="82">
        <f t="shared" si="2"/>
        <v>-71805.086083090107</v>
      </c>
      <c r="F8" s="80">
        <v>54148.18896761442</v>
      </c>
      <c r="G8" s="83">
        <v>0</v>
      </c>
      <c r="H8" s="82">
        <f t="shared" si="3"/>
        <v>-71805.336671030935</v>
      </c>
      <c r="I8" s="80">
        <f t="shared" si="1"/>
        <v>-0.18896761442010757</v>
      </c>
      <c r="J8" s="83">
        <f t="shared" si="1"/>
        <v>0</v>
      </c>
      <c r="K8" s="82">
        <f t="shared" si="1"/>
        <v>0.25058794082724489</v>
      </c>
    </row>
    <row r="9" spans="1:15" x14ac:dyDescent="0.2">
      <c r="A9" s="79">
        <v>6.04</v>
      </c>
      <c r="B9" s="68" t="s">
        <v>10</v>
      </c>
      <c r="C9" s="80">
        <v>12916466</v>
      </c>
      <c r="D9" s="83">
        <v>0</v>
      </c>
      <c r="E9" s="82">
        <f t="shared" si="2"/>
        <v>-17128387.992526159</v>
      </c>
      <c r="F9" s="80">
        <v>12916465.693796374</v>
      </c>
      <c r="G9" s="83">
        <v>0</v>
      </c>
      <c r="H9" s="82">
        <f t="shared" si="3"/>
        <v>-17128387.586472794</v>
      </c>
      <c r="I9" s="80">
        <f t="shared" si="1"/>
        <v>0.30620362609624863</v>
      </c>
      <c r="J9" s="83">
        <f t="shared" si="1"/>
        <v>0</v>
      </c>
      <c r="K9" s="82">
        <f t="shared" si="1"/>
        <v>-0.40605336427688599</v>
      </c>
    </row>
    <row r="10" spans="1:15" x14ac:dyDescent="0.2">
      <c r="A10" s="79">
        <v>6.05</v>
      </c>
      <c r="B10" s="68" t="s">
        <v>11</v>
      </c>
      <c r="C10" s="80">
        <v>-1412119</v>
      </c>
      <c r="D10" s="83">
        <v>0</v>
      </c>
      <c r="E10" s="82">
        <f t="shared" si="2"/>
        <v>1872595.9657709817</v>
      </c>
      <c r="F10" s="80">
        <v>-1412118.6458149552</v>
      </c>
      <c r="G10" s="83">
        <v>0</v>
      </c>
      <c r="H10" s="82">
        <f t="shared" si="3"/>
        <v>1872595.496089966</v>
      </c>
      <c r="I10" s="80">
        <f t="shared" si="1"/>
        <v>-0.35418504476547241</v>
      </c>
      <c r="J10" s="83">
        <f t="shared" si="1"/>
        <v>0</v>
      </c>
      <c r="K10" s="82">
        <f t="shared" si="1"/>
        <v>0.46968101570382714</v>
      </c>
    </row>
    <row r="11" spans="1:15" x14ac:dyDescent="0.2">
      <c r="A11" s="79">
        <v>6.06</v>
      </c>
      <c r="B11" s="68" t="s">
        <v>12</v>
      </c>
      <c r="C11" s="80">
        <v>-1256319</v>
      </c>
      <c r="D11" s="83">
        <v>0</v>
      </c>
      <c r="E11" s="82">
        <f t="shared" si="2"/>
        <v>1665991.2451581163</v>
      </c>
      <c r="F11" s="80">
        <v>-1256319.1261336696</v>
      </c>
      <c r="G11" s="83">
        <v>0</v>
      </c>
      <c r="H11" s="82">
        <f t="shared" si="3"/>
        <v>1665991.4124226321</v>
      </c>
      <c r="I11" s="80">
        <f t="shared" si="1"/>
        <v>0.12613366963341832</v>
      </c>
      <c r="J11" s="83">
        <f t="shared" si="1"/>
        <v>0</v>
      </c>
      <c r="K11" s="82">
        <f t="shared" si="1"/>
        <v>-0.16726451576687396</v>
      </c>
    </row>
    <row r="12" spans="1:15" x14ac:dyDescent="0.2">
      <c r="A12" s="79">
        <v>6.07</v>
      </c>
      <c r="B12" s="68" t="s">
        <v>13</v>
      </c>
      <c r="C12" s="80">
        <v>-125429</v>
      </c>
      <c r="D12" s="83">
        <v>0</v>
      </c>
      <c r="E12" s="82">
        <f t="shared" si="2"/>
        <v>166330.06098684916</v>
      </c>
      <c r="F12" s="80">
        <v>-125428.75474144239</v>
      </c>
      <c r="G12" s="83">
        <v>0</v>
      </c>
      <c r="H12" s="82">
        <f t="shared" si="3"/>
        <v>166329.73575208811</v>
      </c>
      <c r="I12" s="80">
        <f t="shared" si="1"/>
        <v>-0.24525855761021376</v>
      </c>
      <c r="J12" s="83">
        <f t="shared" si="1"/>
        <v>0</v>
      </c>
      <c r="K12" s="82">
        <f t="shared" si="1"/>
        <v>0.32523476105416194</v>
      </c>
    </row>
    <row r="13" spans="1:15" x14ac:dyDescent="0.2">
      <c r="A13" s="79">
        <v>6.09</v>
      </c>
      <c r="B13" s="68" t="s">
        <v>14</v>
      </c>
      <c r="C13" s="80">
        <v>69886</v>
      </c>
      <c r="D13" s="83">
        <v>0</v>
      </c>
      <c r="E13" s="82">
        <f t="shared" si="2"/>
        <v>-92675.080261557858</v>
      </c>
      <c r="F13" s="80">
        <v>69886.13058918016</v>
      </c>
      <c r="G13" s="83">
        <v>0</v>
      </c>
      <c r="H13" s="82">
        <f t="shared" si="3"/>
        <v>-92675.2534344788</v>
      </c>
      <c r="I13" s="80">
        <f t="shared" si="1"/>
        <v>-0.13058918016031384</v>
      </c>
      <c r="J13" s="83">
        <f t="shared" si="1"/>
        <v>0</v>
      </c>
      <c r="K13" s="82">
        <f t="shared" si="1"/>
        <v>0.17317292094230652</v>
      </c>
    </row>
    <row r="14" spans="1:15" x14ac:dyDescent="0.2">
      <c r="A14" s="79">
        <v>6.1</v>
      </c>
      <c r="B14" s="68" t="s">
        <v>15</v>
      </c>
      <c r="C14" s="80">
        <v>3831</v>
      </c>
      <c r="D14" s="83">
        <v>0</v>
      </c>
      <c r="E14" s="82">
        <f t="shared" si="2"/>
        <v>-5080.248296969753</v>
      </c>
      <c r="F14" s="80">
        <v>3831.0246199423614</v>
      </c>
      <c r="G14" s="83">
        <v>0</v>
      </c>
      <c r="H14" s="82">
        <f t="shared" si="3"/>
        <v>-5080.2809452130978</v>
      </c>
      <c r="I14" s="80">
        <f t="shared" si="1"/>
        <v>-2.4619942361368885E-2</v>
      </c>
      <c r="J14" s="83">
        <f t="shared" si="1"/>
        <v>0</v>
      </c>
      <c r="K14" s="82">
        <f t="shared" si="1"/>
        <v>3.2648243344738148E-2</v>
      </c>
    </row>
    <row r="15" spans="1:15" x14ac:dyDescent="0.2">
      <c r="A15" s="79">
        <v>6.11</v>
      </c>
      <c r="B15" s="68" t="s">
        <v>16</v>
      </c>
      <c r="C15" s="80">
        <v>-204504</v>
      </c>
      <c r="D15" s="83">
        <v>0</v>
      </c>
      <c r="E15" s="82">
        <f t="shared" si="2"/>
        <v>271190.57627864851</v>
      </c>
      <c r="F15" s="80">
        <v>-204503.64267608413</v>
      </c>
      <c r="G15" s="83">
        <v>0</v>
      </c>
      <c r="H15" s="82">
        <f t="shared" si="3"/>
        <v>271190.10243520944</v>
      </c>
      <c r="I15" s="80">
        <f t="shared" si="1"/>
        <v>-0.3573239158722572</v>
      </c>
      <c r="J15" s="83">
        <f t="shared" si="1"/>
        <v>0</v>
      </c>
      <c r="K15" s="82">
        <f t="shared" si="1"/>
        <v>0.47384343907469884</v>
      </c>
    </row>
    <row r="16" spans="1:15" x14ac:dyDescent="0.2">
      <c r="A16" s="79">
        <v>6.12</v>
      </c>
      <c r="B16" s="68" t="s">
        <v>17</v>
      </c>
      <c r="C16" s="80">
        <v>-438078</v>
      </c>
      <c r="D16" s="83">
        <v>0</v>
      </c>
      <c r="E16" s="82">
        <f t="shared" si="2"/>
        <v>580930.5699399414</v>
      </c>
      <c r="F16" s="80">
        <v>-438078.27529363008</v>
      </c>
      <c r="G16" s="83">
        <v>0</v>
      </c>
      <c r="H16" s="82">
        <f t="shared" si="3"/>
        <v>580930.93500389217</v>
      </c>
      <c r="I16" s="80">
        <f t="shared" si="1"/>
        <v>0.27529363008216023</v>
      </c>
      <c r="J16" s="83">
        <f t="shared" si="1"/>
        <v>0</v>
      </c>
      <c r="K16" s="82">
        <f t="shared" si="1"/>
        <v>-0.36506395076867193</v>
      </c>
    </row>
    <row r="17" spans="1:11" x14ac:dyDescent="0.2">
      <c r="A17" s="79">
        <v>6.13</v>
      </c>
      <c r="B17" s="68" t="s">
        <v>18</v>
      </c>
      <c r="C17" s="80">
        <v>-770451</v>
      </c>
      <c r="D17" s="83">
        <v>0</v>
      </c>
      <c r="E17" s="82">
        <f t="shared" si="2"/>
        <v>1021686.8652176046</v>
      </c>
      <c r="F17" s="80">
        <v>-770450.7474650637</v>
      </c>
      <c r="G17" s="83">
        <v>0</v>
      </c>
      <c r="H17" s="82">
        <f t="shared" si="3"/>
        <v>1021686.5303337153</v>
      </c>
      <c r="I17" s="80">
        <f t="shared" si="1"/>
        <v>-0.25253493629861623</v>
      </c>
      <c r="J17" s="83">
        <f t="shared" si="1"/>
        <v>0</v>
      </c>
      <c r="K17" s="82">
        <f t="shared" si="1"/>
        <v>0.33488388929981738</v>
      </c>
    </row>
    <row r="18" spans="1:11" x14ac:dyDescent="0.2">
      <c r="A18" s="79">
        <v>6.14</v>
      </c>
      <c r="B18" s="68" t="s">
        <v>19</v>
      </c>
      <c r="C18" s="80">
        <v>-52646</v>
      </c>
      <c r="D18" s="83">
        <v>0</v>
      </c>
      <c r="E18" s="82">
        <f t="shared" si="2"/>
        <v>69813.299880519349</v>
      </c>
      <c r="F18" s="80">
        <v>-52646.119560989835</v>
      </c>
      <c r="G18" s="83">
        <v>0</v>
      </c>
      <c r="H18" s="82">
        <f t="shared" si="3"/>
        <v>69813.458429074555</v>
      </c>
      <c r="I18" s="80">
        <f t="shared" si="1"/>
        <v>0.11956098983500851</v>
      </c>
      <c r="J18" s="83">
        <f t="shared" si="1"/>
        <v>0</v>
      </c>
      <c r="K18" s="82">
        <f t="shared" si="1"/>
        <v>-0.15854855520592537</v>
      </c>
    </row>
    <row r="19" spans="1:11" x14ac:dyDescent="0.2">
      <c r="A19" s="79">
        <v>6.15</v>
      </c>
      <c r="B19" s="68" t="s">
        <v>20</v>
      </c>
      <c r="C19" s="80">
        <v>-359399</v>
      </c>
      <c r="D19" s="83">
        <v>0</v>
      </c>
      <c r="E19" s="82">
        <f t="shared" si="2"/>
        <v>476595.18603044434</v>
      </c>
      <c r="F19" s="80">
        <v>-359399.40979334083</v>
      </c>
      <c r="G19" s="83">
        <v>0</v>
      </c>
      <c r="H19" s="82">
        <f t="shared" si="3"/>
        <v>476595.72945302899</v>
      </c>
      <c r="I19" s="80">
        <f t="shared" si="1"/>
        <v>0.40979334083385766</v>
      </c>
      <c r="J19" s="83">
        <f t="shared" si="1"/>
        <v>0</v>
      </c>
      <c r="K19" s="82">
        <f t="shared" si="1"/>
        <v>-0.54342258465476334</v>
      </c>
    </row>
    <row r="20" spans="1:11" x14ac:dyDescent="0.2">
      <c r="A20" s="79">
        <v>6.16</v>
      </c>
      <c r="B20" s="68" t="s">
        <v>21</v>
      </c>
      <c r="C20" s="80">
        <v>-4190</v>
      </c>
      <c r="D20" s="83">
        <v>0</v>
      </c>
      <c r="E20" s="82">
        <f t="shared" si="2"/>
        <v>5556.3143733498473</v>
      </c>
      <c r="F20" s="80">
        <v>-4190.3865716636919</v>
      </c>
      <c r="G20" s="83">
        <v>0</v>
      </c>
      <c r="H20" s="82">
        <f t="shared" si="3"/>
        <v>5556.8270019157908</v>
      </c>
      <c r="I20" s="80">
        <f t="shared" si="1"/>
        <v>0.38657166369193874</v>
      </c>
      <c r="J20" s="83">
        <f t="shared" si="1"/>
        <v>0</v>
      </c>
      <c r="K20" s="82">
        <f t="shared" si="1"/>
        <v>-0.51262856594348705</v>
      </c>
    </row>
    <row r="21" spans="1:11" x14ac:dyDescent="0.2">
      <c r="A21" s="79">
        <v>6.17</v>
      </c>
      <c r="B21" s="68" t="s">
        <v>22</v>
      </c>
      <c r="C21" s="80">
        <v>-10645</v>
      </c>
      <c r="D21" s="83">
        <v>0</v>
      </c>
      <c r="E21" s="82">
        <f t="shared" si="2"/>
        <v>14116.221122746809</v>
      </c>
      <c r="F21" s="80">
        <v>-10645.339606916785</v>
      </c>
      <c r="G21" s="83">
        <v>0</v>
      </c>
      <c r="H21" s="82">
        <f t="shared" si="3"/>
        <v>14116.671471862088</v>
      </c>
      <c r="I21" s="80">
        <f t="shared" si="1"/>
        <v>0.33960691678475996</v>
      </c>
      <c r="J21" s="83">
        <f t="shared" si="1"/>
        <v>0</v>
      </c>
      <c r="K21" s="82">
        <f t="shared" si="1"/>
        <v>-0.45034911527909571</v>
      </c>
    </row>
    <row r="22" spans="1:11" x14ac:dyDescent="0.2">
      <c r="A22" s="79">
        <v>6.23</v>
      </c>
      <c r="B22" s="68" t="s">
        <v>23</v>
      </c>
      <c r="C22" s="80">
        <v>520589</v>
      </c>
      <c r="D22" s="83">
        <v>0</v>
      </c>
      <c r="E22" s="82">
        <f t="shared" si="2"/>
        <v>-690347.52823575749</v>
      </c>
      <c r="F22" s="80">
        <v>520589.30140931718</v>
      </c>
      <c r="G22" s="83">
        <v>0</v>
      </c>
      <c r="H22" s="82">
        <f t="shared" si="3"/>
        <v>-690347.92793144274</v>
      </c>
      <c r="I22" s="80">
        <f t="shared" si="1"/>
        <v>-0.30140931718051434</v>
      </c>
      <c r="J22" s="83">
        <f t="shared" si="1"/>
        <v>0</v>
      </c>
      <c r="K22" s="82">
        <f t="shared" si="1"/>
        <v>0.3996956852497533</v>
      </c>
    </row>
    <row r="23" spans="1:11" x14ac:dyDescent="0.2">
      <c r="A23" s="67"/>
      <c r="B23" s="75" t="s">
        <v>28</v>
      </c>
      <c r="C23" s="76"/>
      <c r="D23" s="77"/>
      <c r="E23" s="82">
        <f t="shared" si="2"/>
        <v>0</v>
      </c>
      <c r="F23" s="76"/>
      <c r="G23" s="77"/>
      <c r="H23" s="82">
        <f t="shared" si="3"/>
        <v>0</v>
      </c>
      <c r="I23" s="76">
        <f t="shared" si="1"/>
        <v>0</v>
      </c>
      <c r="J23" s="77">
        <f t="shared" si="1"/>
        <v>0</v>
      </c>
      <c r="K23" s="82">
        <f t="shared" si="1"/>
        <v>0</v>
      </c>
    </row>
    <row r="24" spans="1:11" x14ac:dyDescent="0.2">
      <c r="A24" s="79">
        <v>6.01</v>
      </c>
      <c r="B24" s="68" t="s">
        <v>8</v>
      </c>
      <c r="C24" s="80">
        <v>-7393164</v>
      </c>
      <c r="D24" s="83">
        <v>0</v>
      </c>
      <c r="E24" s="82">
        <f t="shared" si="2"/>
        <v>9803996.0376450233</v>
      </c>
      <c r="F24" s="80">
        <v>-7393164.0016801059</v>
      </c>
      <c r="G24" s="83">
        <v>0</v>
      </c>
      <c r="H24" s="82">
        <f t="shared" si="3"/>
        <v>9803996.0398729946</v>
      </c>
      <c r="I24" s="80">
        <f t="shared" si="1"/>
        <v>1.6801059246063232E-3</v>
      </c>
      <c r="J24" s="83">
        <f t="shared" si="1"/>
        <v>0</v>
      </c>
      <c r="K24" s="82">
        <f t="shared" si="1"/>
        <v>-2.2279713302850723E-3</v>
      </c>
    </row>
    <row r="25" spans="1:11" x14ac:dyDescent="0.2">
      <c r="A25" s="79">
        <v>6.02</v>
      </c>
      <c r="B25" s="68" t="s">
        <v>9</v>
      </c>
      <c r="C25" s="80">
        <v>12260525</v>
      </c>
      <c r="D25" s="83">
        <v>0</v>
      </c>
      <c r="E25" s="82">
        <f t="shared" si="2"/>
        <v>-16258551.618690964</v>
      </c>
      <c r="F25" s="80">
        <v>12260525.139203645</v>
      </c>
      <c r="G25" s="83">
        <v>0</v>
      </c>
      <c r="H25" s="82">
        <f t="shared" si="3"/>
        <v>-16258551.803287435</v>
      </c>
      <c r="I25" s="80">
        <f t="shared" si="1"/>
        <v>-0.13920364528894424</v>
      </c>
      <c r="J25" s="83">
        <f t="shared" si="1"/>
        <v>0</v>
      </c>
      <c r="K25" s="82">
        <f t="shared" si="1"/>
        <v>0.1845964714884758</v>
      </c>
    </row>
    <row r="26" spans="1:11" x14ac:dyDescent="0.2">
      <c r="A26" s="79">
        <v>6.04</v>
      </c>
      <c r="B26" s="68" t="s">
        <v>10</v>
      </c>
      <c r="C26" s="80">
        <v>-501416</v>
      </c>
      <c r="D26" s="83">
        <v>0</v>
      </c>
      <c r="E26" s="82">
        <f t="shared" si="2"/>
        <v>664922.41714262217</v>
      </c>
      <c r="F26" s="80">
        <v>-182704.31817000164</v>
      </c>
      <c r="G26" s="83">
        <v>0</v>
      </c>
      <c r="H26" s="82">
        <f t="shared" si="3"/>
        <v>242282.25038688874</v>
      </c>
      <c r="I26" s="80">
        <f t="shared" si="1"/>
        <v>-318711.68182999839</v>
      </c>
      <c r="J26" s="83">
        <f t="shared" si="1"/>
        <v>0</v>
      </c>
      <c r="K26" s="82">
        <f t="shared" si="1"/>
        <v>422640.16675573343</v>
      </c>
    </row>
    <row r="27" spans="1:11" x14ac:dyDescent="0.2">
      <c r="A27" s="79">
        <v>6.14</v>
      </c>
      <c r="B27" s="68" t="s">
        <v>19</v>
      </c>
      <c r="C27" s="80">
        <v>-24480</v>
      </c>
      <c r="D27" s="83">
        <v>0</v>
      </c>
      <c r="E27" s="82">
        <f t="shared" si="2"/>
        <v>32462.667269595291</v>
      </c>
      <c r="F27" s="80">
        <v>-24480.220569124907</v>
      </c>
      <c r="G27" s="83">
        <v>0</v>
      </c>
      <c r="H27" s="82">
        <f t="shared" si="3"/>
        <v>32462.959763962601</v>
      </c>
      <c r="I27" s="80">
        <f t="shared" si="1"/>
        <v>0.22056912490734248</v>
      </c>
      <c r="J27" s="83">
        <f t="shared" si="1"/>
        <v>0</v>
      </c>
      <c r="K27" s="82">
        <f t="shared" si="1"/>
        <v>-0.29249436730970046</v>
      </c>
    </row>
    <row r="28" spans="1:11" x14ac:dyDescent="0.2">
      <c r="A28" s="79">
        <v>8.01</v>
      </c>
      <c r="B28" s="68" t="s">
        <v>84</v>
      </c>
      <c r="C28" s="80">
        <v>31240</v>
      </c>
      <c r="D28" s="81">
        <v>-9327511</v>
      </c>
      <c r="E28" s="82">
        <f t="shared" si="2"/>
        <v>-955504.48138634674</v>
      </c>
      <c r="F28" s="80">
        <v>31239.612311343335</v>
      </c>
      <c r="G28" s="81">
        <v>-9327511.0024682488</v>
      </c>
      <c r="H28" s="82">
        <f t="shared" si="3"/>
        <v>-955503.96751843172</v>
      </c>
      <c r="I28" s="80">
        <f t="shared" si="1"/>
        <v>0.38768865666497732</v>
      </c>
      <c r="J28" s="81">
        <f t="shared" si="1"/>
        <v>2.4682488292455673E-3</v>
      </c>
      <c r="K28" s="82">
        <f t="shared" si="1"/>
        <v>-0.51386791502591223</v>
      </c>
    </row>
    <row r="29" spans="1:11" x14ac:dyDescent="0.2">
      <c r="A29" s="79">
        <v>8.02</v>
      </c>
      <c r="B29" s="68" t="s">
        <v>85</v>
      </c>
      <c r="C29" s="80">
        <v>-5263989</v>
      </c>
      <c r="D29" s="81">
        <v>-6388044</v>
      </c>
      <c r="E29" s="82">
        <f t="shared" si="2"/>
        <v>6354504.1929619126</v>
      </c>
      <c r="F29" s="80">
        <v>-5263989.1653199438</v>
      </c>
      <c r="G29" s="81">
        <v>-6388043.7029168438</v>
      </c>
      <c r="H29" s="82">
        <f t="shared" si="3"/>
        <v>6354504.4413044853</v>
      </c>
      <c r="I29" s="80">
        <f t="shared" si="1"/>
        <v>0.16531994380056858</v>
      </c>
      <c r="J29" s="81">
        <f t="shared" si="1"/>
        <v>-0.29708315618336201</v>
      </c>
      <c r="K29" s="82">
        <f t="shared" si="1"/>
        <v>-0.24834257271140814</v>
      </c>
    </row>
    <row r="30" spans="1:11" x14ac:dyDescent="0.2">
      <c r="A30" s="67"/>
      <c r="B30" s="75" t="s">
        <v>30</v>
      </c>
      <c r="C30" s="76"/>
      <c r="D30" s="77"/>
      <c r="E30" s="78">
        <f t="shared" si="2"/>
        <v>0</v>
      </c>
      <c r="F30" s="76"/>
      <c r="G30" s="77"/>
      <c r="H30" s="78">
        <f t="shared" si="3"/>
        <v>0</v>
      </c>
      <c r="I30" s="76">
        <f t="shared" si="1"/>
        <v>0</v>
      </c>
      <c r="J30" s="77">
        <f t="shared" si="1"/>
        <v>0</v>
      </c>
      <c r="K30" s="78">
        <f t="shared" si="1"/>
        <v>0</v>
      </c>
    </row>
    <row r="31" spans="1:11" x14ac:dyDescent="0.2">
      <c r="A31" s="79">
        <v>12.05</v>
      </c>
      <c r="B31" s="68" t="s">
        <v>86</v>
      </c>
      <c r="C31" s="80">
        <v>627299</v>
      </c>
      <c r="D31" s="81">
        <v>-26191470</v>
      </c>
      <c r="E31" s="82">
        <f t="shared" si="2"/>
        <v>-3398566.2759565413</v>
      </c>
      <c r="F31" s="80"/>
      <c r="G31" s="81"/>
      <c r="H31" s="82">
        <f t="shared" si="3"/>
        <v>0</v>
      </c>
      <c r="I31" s="80">
        <f t="shared" si="1"/>
        <v>627299</v>
      </c>
      <c r="J31" s="81">
        <f t="shared" si="1"/>
        <v>-26191470</v>
      </c>
      <c r="K31" s="82">
        <f t="shared" si="1"/>
        <v>-3398566.2759565413</v>
      </c>
    </row>
    <row r="32" spans="1:11" x14ac:dyDescent="0.2">
      <c r="A32" s="71" t="s">
        <v>34</v>
      </c>
      <c r="B32" s="72"/>
      <c r="C32" s="84"/>
      <c r="D32" s="85"/>
      <c r="E32" s="86"/>
      <c r="F32" s="84"/>
      <c r="G32" s="85"/>
      <c r="H32" s="86"/>
      <c r="I32" s="84"/>
      <c r="J32" s="85"/>
      <c r="K32" s="86"/>
    </row>
    <row r="33" spans="1:11" x14ac:dyDescent="0.2">
      <c r="A33" s="67"/>
      <c r="B33" s="75" t="s">
        <v>7</v>
      </c>
      <c r="C33" s="76"/>
      <c r="D33" s="77"/>
      <c r="E33" s="82"/>
      <c r="F33" s="76"/>
      <c r="G33" s="77"/>
      <c r="H33" s="82"/>
      <c r="I33" s="76"/>
      <c r="J33" s="77"/>
      <c r="K33" s="82"/>
    </row>
    <row r="34" spans="1:11" x14ac:dyDescent="0.2">
      <c r="A34" s="79">
        <v>6.03</v>
      </c>
      <c r="B34" s="68" t="s">
        <v>35</v>
      </c>
      <c r="C34" s="80">
        <v>-100714</v>
      </c>
      <c r="D34" s="83">
        <v>0</v>
      </c>
      <c r="E34" s="82">
        <f t="shared" ref="E34:E56" si="4">((D34*$N$6)-C34)/$N$7</f>
        <v>133555.76272018056</v>
      </c>
      <c r="F34" s="80">
        <v>1216418.5906954836</v>
      </c>
      <c r="G34" s="83">
        <v>0</v>
      </c>
      <c r="H34" s="82">
        <f t="shared" ref="H34:H56" si="5">((G34*$N$6)-F34)/$N$7</f>
        <v>-1613079.7373487544</v>
      </c>
      <c r="I34" s="80">
        <f t="shared" ref="I34:K56" si="6">C34-F34</f>
        <v>-1317132.5906954836</v>
      </c>
      <c r="J34" s="83">
        <f t="shared" si="6"/>
        <v>0</v>
      </c>
      <c r="K34" s="82">
        <f t="shared" si="6"/>
        <v>1746635.5000689351</v>
      </c>
    </row>
    <row r="35" spans="1:11" x14ac:dyDescent="0.2">
      <c r="A35" s="79">
        <v>6.08</v>
      </c>
      <c r="B35" s="68" t="s">
        <v>36</v>
      </c>
      <c r="C35" s="80">
        <v>-187098</v>
      </c>
      <c r="D35" s="83">
        <v>0</v>
      </c>
      <c r="E35" s="82">
        <f t="shared" si="4"/>
        <v>248108.66506563479</v>
      </c>
      <c r="F35" s="80">
        <v>-187098.30484735657</v>
      </c>
      <c r="G35" s="83">
        <v>0</v>
      </c>
      <c r="H35" s="82">
        <f t="shared" si="5"/>
        <v>248109.06932046748</v>
      </c>
      <c r="I35" s="80">
        <f t="shared" si="6"/>
        <v>0.30484735657228157</v>
      </c>
      <c r="J35" s="83">
        <f t="shared" si="6"/>
        <v>0</v>
      </c>
      <c r="K35" s="82">
        <f t="shared" si="6"/>
        <v>-0.40425483268336393</v>
      </c>
    </row>
    <row r="36" spans="1:11" x14ac:dyDescent="0.2">
      <c r="A36" s="79">
        <v>6.18</v>
      </c>
      <c r="B36" s="68" t="s">
        <v>37</v>
      </c>
      <c r="C36" s="87">
        <v>0</v>
      </c>
      <c r="D36" s="81">
        <v>150665688</v>
      </c>
      <c r="E36" s="82">
        <f t="shared" si="4"/>
        <v>14764936.530976782</v>
      </c>
      <c r="F36" s="87">
        <v>0</v>
      </c>
      <c r="G36" s="81">
        <v>150665688.3308869</v>
      </c>
      <c r="H36" s="82">
        <f t="shared" si="5"/>
        <v>14764936.563403038</v>
      </c>
      <c r="I36" s="87">
        <f t="shared" si="6"/>
        <v>0</v>
      </c>
      <c r="J36" s="81">
        <f t="shared" si="6"/>
        <v>-0.33088690042495728</v>
      </c>
      <c r="K36" s="82">
        <f t="shared" si="6"/>
        <v>-3.2426256686449051E-2</v>
      </c>
    </row>
    <row r="37" spans="1:11" x14ac:dyDescent="0.2">
      <c r="A37" s="79">
        <v>6.19</v>
      </c>
      <c r="B37" s="68" t="s">
        <v>38</v>
      </c>
      <c r="C37" s="80">
        <v>-9738308</v>
      </c>
      <c r="D37" s="81">
        <v>-9738308</v>
      </c>
      <c r="E37" s="82">
        <f t="shared" si="4"/>
        <v>11959531.782781258</v>
      </c>
      <c r="F37" s="80">
        <v>-9738307.6067664325</v>
      </c>
      <c r="G37" s="81">
        <v>-9738307.6067664325</v>
      </c>
      <c r="H37" s="82">
        <f t="shared" si="5"/>
        <v>11959531.299854519</v>
      </c>
      <c r="I37" s="80">
        <f t="shared" si="6"/>
        <v>-0.39323356747627258</v>
      </c>
      <c r="J37" s="81">
        <f t="shared" si="6"/>
        <v>-0.39323356747627258</v>
      </c>
      <c r="K37" s="82">
        <f t="shared" si="6"/>
        <v>0.4829267393797636</v>
      </c>
    </row>
    <row r="38" spans="1:11" x14ac:dyDescent="0.2">
      <c r="A38" s="67"/>
      <c r="B38" s="75" t="s">
        <v>28</v>
      </c>
      <c r="C38" s="76"/>
      <c r="D38" s="77"/>
      <c r="E38" s="82">
        <f t="shared" si="4"/>
        <v>0</v>
      </c>
      <c r="F38" s="76"/>
      <c r="G38" s="77"/>
      <c r="H38" s="82">
        <f t="shared" si="5"/>
        <v>0</v>
      </c>
      <c r="I38" s="76">
        <f t="shared" si="6"/>
        <v>0</v>
      </c>
      <c r="J38" s="77">
        <f t="shared" si="6"/>
        <v>0</v>
      </c>
      <c r="K38" s="82">
        <f t="shared" si="6"/>
        <v>0</v>
      </c>
    </row>
    <row r="39" spans="1:11" x14ac:dyDescent="0.2">
      <c r="A39" s="79">
        <v>6.09</v>
      </c>
      <c r="B39" s="68" t="s">
        <v>14</v>
      </c>
      <c r="C39" s="87">
        <v>0</v>
      </c>
      <c r="D39" s="83">
        <v>0</v>
      </c>
      <c r="E39" s="78">
        <f t="shared" si="4"/>
        <v>0</v>
      </c>
      <c r="F39" s="87">
        <v>-69886.130589179898</v>
      </c>
      <c r="G39" s="83">
        <v>0</v>
      </c>
      <c r="H39" s="78">
        <f t="shared" si="5"/>
        <v>92675.253434478451</v>
      </c>
      <c r="I39" s="87">
        <f t="shared" si="6"/>
        <v>69886.130589179898</v>
      </c>
      <c r="J39" s="83">
        <f t="shared" si="6"/>
        <v>0</v>
      </c>
      <c r="K39" s="78">
        <f t="shared" si="6"/>
        <v>-92675.253434478451</v>
      </c>
    </row>
    <row r="40" spans="1:11" x14ac:dyDescent="0.2">
      <c r="A40" s="79">
        <v>6.1</v>
      </c>
      <c r="B40" s="68" t="s">
        <v>15</v>
      </c>
      <c r="C40" s="87">
        <v>0</v>
      </c>
      <c r="D40" s="83">
        <v>0</v>
      </c>
      <c r="E40" s="78">
        <f t="shared" si="4"/>
        <v>0</v>
      </c>
      <c r="F40" s="87">
        <v>-3831.0246199423614</v>
      </c>
      <c r="G40" s="83">
        <v>0</v>
      </c>
      <c r="H40" s="78">
        <f t="shared" si="5"/>
        <v>5080.2809452130978</v>
      </c>
      <c r="I40" s="87">
        <f t="shared" si="6"/>
        <v>3831.0246199423614</v>
      </c>
      <c r="J40" s="83">
        <f t="shared" si="6"/>
        <v>0</v>
      </c>
      <c r="K40" s="78">
        <f t="shared" si="6"/>
        <v>-5080.2809452130978</v>
      </c>
    </row>
    <row r="41" spans="1:11" x14ac:dyDescent="0.2">
      <c r="A41" s="79">
        <v>6.15</v>
      </c>
      <c r="B41" s="68" t="s">
        <v>20</v>
      </c>
      <c r="C41" s="80">
        <v>-1909978</v>
      </c>
      <c r="D41" s="83">
        <v>0</v>
      </c>
      <c r="E41" s="82">
        <f t="shared" si="4"/>
        <v>2532801.4830983281</v>
      </c>
      <c r="F41" s="80">
        <v>-1909978.0874022099</v>
      </c>
      <c r="G41" s="83">
        <v>0</v>
      </c>
      <c r="H41" s="82">
        <f t="shared" si="5"/>
        <v>2532801.5990014677</v>
      </c>
      <c r="I41" s="80">
        <f t="shared" si="6"/>
        <v>8.7402209872379899E-2</v>
      </c>
      <c r="J41" s="83">
        <f t="shared" si="6"/>
        <v>0</v>
      </c>
      <c r="K41" s="82">
        <f t="shared" si="6"/>
        <v>-0.11590313958004117</v>
      </c>
    </row>
    <row r="42" spans="1:11" x14ac:dyDescent="0.2">
      <c r="A42" s="79">
        <v>6.16</v>
      </c>
      <c r="B42" s="68" t="s">
        <v>21</v>
      </c>
      <c r="C42" s="80">
        <v>-92854</v>
      </c>
      <c r="D42" s="83">
        <v>0</v>
      </c>
      <c r="E42" s="82">
        <f t="shared" si="4"/>
        <v>123132.70043508991</v>
      </c>
      <c r="F42" s="80">
        <v>-92853.606337802761</v>
      </c>
      <c r="G42" s="83">
        <v>0</v>
      </c>
      <c r="H42" s="82">
        <f t="shared" si="5"/>
        <v>123132.17840384295</v>
      </c>
      <c r="I42" s="80">
        <f t="shared" si="6"/>
        <v>-0.39366219723888207</v>
      </c>
      <c r="J42" s="83">
        <f t="shared" si="6"/>
        <v>0</v>
      </c>
      <c r="K42" s="82">
        <f t="shared" si="6"/>
        <v>0.52203124696097802</v>
      </c>
    </row>
    <row r="43" spans="1:11" x14ac:dyDescent="0.2">
      <c r="A43" s="79">
        <v>6.17</v>
      </c>
      <c r="B43" s="68" t="s">
        <v>22</v>
      </c>
      <c r="C43" s="80">
        <v>-308532</v>
      </c>
      <c r="D43" s="83">
        <v>0</v>
      </c>
      <c r="E43" s="82">
        <f t="shared" si="4"/>
        <v>409140.99910223752</v>
      </c>
      <c r="F43" s="80">
        <v>-308531.66010436148</v>
      </c>
      <c r="G43" s="83">
        <v>0</v>
      </c>
      <c r="H43" s="82">
        <f t="shared" si="5"/>
        <v>409140.54837025137</v>
      </c>
      <c r="I43" s="80">
        <f t="shared" si="6"/>
        <v>-0.33989563852082938</v>
      </c>
      <c r="J43" s="83">
        <f t="shared" si="6"/>
        <v>0</v>
      </c>
      <c r="K43" s="82">
        <f t="shared" si="6"/>
        <v>0.45073198614409193</v>
      </c>
    </row>
    <row r="44" spans="1:11" x14ac:dyDescent="0.2">
      <c r="A44" s="79">
        <v>6.2</v>
      </c>
      <c r="B44" s="68" t="s">
        <v>41</v>
      </c>
      <c r="C44" s="80">
        <v>72647</v>
      </c>
      <c r="D44" s="83">
        <v>0</v>
      </c>
      <c r="E44" s="82">
        <f t="shared" si="4"/>
        <v>-96336.412954832063</v>
      </c>
      <c r="F44" s="80">
        <v>72647.038566666641</v>
      </c>
      <c r="G44" s="83">
        <v>0</v>
      </c>
      <c r="H44" s="82">
        <f t="shared" si="5"/>
        <v>-96336.464097677934</v>
      </c>
      <c r="I44" s="80">
        <f t="shared" si="6"/>
        <v>-3.8566666640690528E-2</v>
      </c>
      <c r="J44" s="83">
        <f t="shared" si="6"/>
        <v>0</v>
      </c>
      <c r="K44" s="82">
        <f t="shared" si="6"/>
        <v>5.11428458703449E-2</v>
      </c>
    </row>
    <row r="45" spans="1:11" x14ac:dyDescent="0.2">
      <c r="A45" s="79">
        <v>6.21</v>
      </c>
      <c r="B45" s="68" t="s">
        <v>42</v>
      </c>
      <c r="C45" s="80">
        <v>-676944</v>
      </c>
      <c r="D45" s="83">
        <v>0</v>
      </c>
      <c r="E45" s="82">
        <f t="shared" si="4"/>
        <v>897688.2284374556</v>
      </c>
      <c r="F45" s="80">
        <v>-676943.63053784647</v>
      </c>
      <c r="G45" s="83">
        <v>0</v>
      </c>
      <c r="H45" s="82">
        <f t="shared" si="5"/>
        <v>897687.73849762895</v>
      </c>
      <c r="I45" s="80">
        <f t="shared" si="6"/>
        <v>-0.36946215352509171</v>
      </c>
      <c r="J45" s="83">
        <f t="shared" si="6"/>
        <v>0</v>
      </c>
      <c r="K45" s="82">
        <f t="shared" si="6"/>
        <v>0.48993982665706426</v>
      </c>
    </row>
    <row r="46" spans="1:11" x14ac:dyDescent="0.2">
      <c r="A46" s="79">
        <v>6.22</v>
      </c>
      <c r="B46" s="68" t="s">
        <v>43</v>
      </c>
      <c r="C46" s="80">
        <v>-2682091</v>
      </c>
      <c r="D46" s="83">
        <v>0</v>
      </c>
      <c r="E46" s="82">
        <f t="shared" si="4"/>
        <v>3556692.3088143831</v>
      </c>
      <c r="F46" s="80">
        <v>-2990616.4492164613</v>
      </c>
      <c r="G46" s="83">
        <v>27075364.87814606</v>
      </c>
      <c r="H46" s="82">
        <f t="shared" si="5"/>
        <v>6619156.307095048</v>
      </c>
      <c r="I46" s="80">
        <f t="shared" si="6"/>
        <v>308525.44921646127</v>
      </c>
      <c r="J46" s="83">
        <f t="shared" si="6"/>
        <v>-27075364.87814606</v>
      </c>
      <c r="K46" s="82">
        <f t="shared" si="6"/>
        <v>-3062463.9982806649</v>
      </c>
    </row>
    <row r="47" spans="1:11" x14ac:dyDescent="0.2">
      <c r="A47" s="79">
        <v>6.23</v>
      </c>
      <c r="B47" s="68" t="s">
        <v>23</v>
      </c>
      <c r="C47" s="80">
        <v>134162</v>
      </c>
      <c r="D47" s="83">
        <v>0</v>
      </c>
      <c r="E47" s="82">
        <f t="shared" si="4"/>
        <v>-177910.79927383346</v>
      </c>
      <c r="F47" s="80">
        <v>134161.66059226336</v>
      </c>
      <c r="G47" s="83">
        <v>0</v>
      </c>
      <c r="H47" s="82">
        <f t="shared" si="5"/>
        <v>-177910.34918884886</v>
      </c>
      <c r="I47" s="80">
        <f t="shared" si="6"/>
        <v>0.33940773663925938</v>
      </c>
      <c r="J47" s="83">
        <f t="shared" si="6"/>
        <v>0</v>
      </c>
      <c r="K47" s="82">
        <f t="shared" si="6"/>
        <v>-0.45008498459355906</v>
      </c>
    </row>
    <row r="48" spans="1:11" x14ac:dyDescent="0.2">
      <c r="A48" s="79">
        <v>6.24</v>
      </c>
      <c r="B48" s="68" t="s">
        <v>44</v>
      </c>
      <c r="C48" s="80">
        <v>-6475730</v>
      </c>
      <c r="D48" s="81">
        <v>18429892</v>
      </c>
      <c r="E48" s="82">
        <f t="shared" si="4"/>
        <v>10393489.19144354</v>
      </c>
      <c r="F48" s="80">
        <v>-6475730.3914054362</v>
      </c>
      <c r="G48" s="81">
        <v>18429892.273602732</v>
      </c>
      <c r="H48" s="82">
        <f t="shared" si="5"/>
        <v>10393489.737294642</v>
      </c>
      <c r="I48" s="80">
        <f t="shared" si="6"/>
        <v>0.3914054362103343</v>
      </c>
      <c r="J48" s="81">
        <f t="shared" si="6"/>
        <v>-0.27360273152589798</v>
      </c>
      <c r="K48" s="82">
        <f t="shared" si="6"/>
        <v>-0.54585110209882259</v>
      </c>
    </row>
    <row r="49" spans="1:12" x14ac:dyDescent="0.2">
      <c r="A49" s="79">
        <v>6.25</v>
      </c>
      <c r="B49" s="68" t="s">
        <v>45</v>
      </c>
      <c r="C49" s="80">
        <v>344098</v>
      </c>
      <c r="D49" s="83">
        <v>0</v>
      </c>
      <c r="E49" s="82">
        <f t="shared" si="4"/>
        <v>-456304.69289759803</v>
      </c>
      <c r="F49" s="80">
        <v>344098.38920724997</v>
      </c>
      <c r="G49" s="83">
        <v>0</v>
      </c>
      <c r="H49" s="82">
        <f t="shared" si="5"/>
        <v>-456305.20902118686</v>
      </c>
      <c r="I49" s="80">
        <f t="shared" si="6"/>
        <v>-0.38920724997296929</v>
      </c>
      <c r="J49" s="83">
        <f t="shared" si="6"/>
        <v>0</v>
      </c>
      <c r="K49" s="82">
        <f t="shared" si="6"/>
        <v>0.51612358883721754</v>
      </c>
    </row>
    <row r="50" spans="1:12" x14ac:dyDescent="0.2">
      <c r="A50" s="79">
        <v>6.26</v>
      </c>
      <c r="B50" s="68" t="s">
        <v>46</v>
      </c>
      <c r="C50" s="87">
        <v>0</v>
      </c>
      <c r="D50" s="83">
        <v>0</v>
      </c>
      <c r="E50" s="78">
        <f t="shared" si="4"/>
        <v>0</v>
      </c>
      <c r="F50" s="87">
        <v>722630.37767299998</v>
      </c>
      <c r="G50" s="83">
        <v>361315.18883649912</v>
      </c>
      <c r="H50" s="78">
        <f t="shared" si="5"/>
        <v>-922864.28034852643</v>
      </c>
      <c r="I50" s="87">
        <f t="shared" si="6"/>
        <v>-722630.37767299998</v>
      </c>
      <c r="J50" s="83">
        <f t="shared" si="6"/>
        <v>-361315.18883649912</v>
      </c>
      <c r="K50" s="78">
        <f t="shared" si="6"/>
        <v>922864.28034852643</v>
      </c>
    </row>
    <row r="51" spans="1:12" x14ac:dyDescent="0.2">
      <c r="A51" s="79">
        <v>6.27</v>
      </c>
      <c r="B51" s="68" t="s">
        <v>47</v>
      </c>
      <c r="C51" s="80">
        <v>-128060</v>
      </c>
      <c r="D51" s="81">
        <v>17461761</v>
      </c>
      <c r="E51" s="82">
        <f t="shared" si="4"/>
        <v>1881036.7073466675</v>
      </c>
      <c r="F51" s="80">
        <v>-128060.44049818032</v>
      </c>
      <c r="G51" s="81">
        <v>17461761.383451898</v>
      </c>
      <c r="H51" s="82">
        <f t="shared" si="5"/>
        <v>1881037.3290641329</v>
      </c>
      <c r="I51" s="80">
        <f t="shared" si="6"/>
        <v>0.44049818032362964</v>
      </c>
      <c r="J51" s="81">
        <f t="shared" si="6"/>
        <v>-0.38345189765095711</v>
      </c>
      <c r="K51" s="82">
        <f t="shared" si="6"/>
        <v>-0.6217174653429538</v>
      </c>
    </row>
    <row r="52" spans="1:12" x14ac:dyDescent="0.2">
      <c r="A52" s="79">
        <v>6.28</v>
      </c>
      <c r="B52" s="68" t="s">
        <v>48</v>
      </c>
      <c r="C52" s="80">
        <v>-303817</v>
      </c>
      <c r="D52" s="83">
        <v>0</v>
      </c>
      <c r="E52" s="82">
        <f t="shared" si="4"/>
        <v>402888.48782053235</v>
      </c>
      <c r="F52" s="80">
        <v>-303817.36784007057</v>
      </c>
      <c r="G52" s="83">
        <v>0</v>
      </c>
      <c r="H52" s="82">
        <f t="shared" si="5"/>
        <v>402888.97560933215</v>
      </c>
      <c r="I52" s="80">
        <f t="shared" si="6"/>
        <v>0.36784007056849077</v>
      </c>
      <c r="J52" s="83">
        <f t="shared" si="6"/>
        <v>0</v>
      </c>
      <c r="K52" s="82">
        <f t="shared" si="6"/>
        <v>-0.48778879980091006</v>
      </c>
    </row>
    <row r="53" spans="1:12" x14ac:dyDescent="0.2">
      <c r="A53" s="79">
        <v>6.29</v>
      </c>
      <c r="B53" s="68" t="s">
        <v>49</v>
      </c>
      <c r="C53" s="80">
        <v>-289829</v>
      </c>
      <c r="D53" s="81">
        <v>2961814</v>
      </c>
      <c r="E53" s="82">
        <f t="shared" si="4"/>
        <v>674591.00699246908</v>
      </c>
      <c r="F53" s="80">
        <v>-289828.67457108601</v>
      </c>
      <c r="G53" s="81">
        <v>2961814.0198504785</v>
      </c>
      <c r="H53" s="82">
        <f t="shared" si="5"/>
        <v>674590.5773899596</v>
      </c>
      <c r="I53" s="80">
        <f t="shared" si="6"/>
        <v>-0.32542891398770735</v>
      </c>
      <c r="J53" s="81">
        <f t="shared" si="6"/>
        <v>-1.9850478507578373E-2</v>
      </c>
      <c r="K53" s="82">
        <f t="shared" si="6"/>
        <v>0.42960250948090106</v>
      </c>
    </row>
    <row r="54" spans="1:12" x14ac:dyDescent="0.2">
      <c r="A54" s="67"/>
      <c r="B54" s="75" t="s">
        <v>30</v>
      </c>
      <c r="C54" s="76"/>
      <c r="D54" s="77"/>
      <c r="E54" s="82">
        <f t="shared" si="4"/>
        <v>0</v>
      </c>
      <c r="F54" s="76"/>
      <c r="G54" s="77"/>
      <c r="H54" s="82">
        <f t="shared" si="5"/>
        <v>0</v>
      </c>
      <c r="I54" s="76">
        <f t="shared" si="6"/>
        <v>0</v>
      </c>
      <c r="J54" s="77">
        <f t="shared" si="6"/>
        <v>0</v>
      </c>
      <c r="K54" s="82">
        <f t="shared" si="6"/>
        <v>0</v>
      </c>
    </row>
    <row r="55" spans="1:12" x14ac:dyDescent="0.2">
      <c r="A55" s="79">
        <v>12.03</v>
      </c>
      <c r="B55" s="68" t="s">
        <v>32</v>
      </c>
      <c r="C55" s="87">
        <v>0</v>
      </c>
      <c r="D55" s="81">
        <v>-105392</v>
      </c>
      <c r="E55" s="82">
        <f t="shared" si="4"/>
        <v>-10328.205522631702</v>
      </c>
      <c r="F55" s="87"/>
      <c r="G55" s="81">
        <v>-105391.52511888376</v>
      </c>
      <c r="H55" s="82">
        <f t="shared" si="5"/>
        <v>-10328.158985230692</v>
      </c>
      <c r="I55" s="87">
        <f t="shared" si="6"/>
        <v>0</v>
      </c>
      <c r="J55" s="81">
        <f t="shared" si="6"/>
        <v>-0.47488111624261364</v>
      </c>
      <c r="K55" s="82">
        <f t="shared" si="6"/>
        <v>-4.6537401010937174E-2</v>
      </c>
    </row>
    <row r="56" spans="1:12" x14ac:dyDescent="0.2">
      <c r="A56" s="88" t="s">
        <v>54</v>
      </c>
      <c r="B56" s="68" t="s">
        <v>55</v>
      </c>
      <c r="C56" s="87">
        <v>0</v>
      </c>
      <c r="D56" s="83">
        <v>0</v>
      </c>
      <c r="E56" s="78">
        <f t="shared" si="4"/>
        <v>0</v>
      </c>
      <c r="F56" s="87"/>
      <c r="G56" s="83"/>
      <c r="H56" s="78">
        <f t="shared" si="5"/>
        <v>0</v>
      </c>
      <c r="I56" s="87">
        <f t="shared" si="6"/>
        <v>0</v>
      </c>
      <c r="J56" s="83">
        <f t="shared" si="6"/>
        <v>0</v>
      </c>
      <c r="K56" s="78">
        <f t="shared" si="6"/>
        <v>0</v>
      </c>
    </row>
    <row r="57" spans="1:12" x14ac:dyDescent="0.2">
      <c r="A57" s="89"/>
      <c r="B57" s="90" t="s">
        <v>56</v>
      </c>
      <c r="C57" s="91">
        <f t="shared" ref="C57:D57" si="7">SUM(C7:C56)</f>
        <v>-12233022</v>
      </c>
      <c r="D57" s="92">
        <f t="shared" si="7"/>
        <v>137768430</v>
      </c>
      <c r="E57" s="93">
        <f>SUM(E7:E56)</f>
        <v>29723111.187287569</v>
      </c>
      <c r="F57" s="91">
        <f t="shared" ref="F57:G57" si="8">SUM(F7:F56)</f>
        <v>-10884089.851036398</v>
      </c>
      <c r="G57" s="92">
        <f t="shared" si="8"/>
        <v>191396582.23750415</v>
      </c>
      <c r="H57" s="93">
        <f>SUM(H7:H56)</f>
        <v>33189758.450687319</v>
      </c>
      <c r="I57" s="91">
        <f t="shared" ref="I57:J57" si="9">SUM(I7:I56)</f>
        <v>-1348932.1489635999</v>
      </c>
      <c r="J57" s="92">
        <f t="shared" si="9"/>
        <v>-53628152.237504154</v>
      </c>
      <c r="K57" s="93">
        <f>SUM(K7:K56)</f>
        <v>-3466647.2633997449</v>
      </c>
    </row>
    <row r="58" spans="1:12" x14ac:dyDescent="0.2">
      <c r="A58" s="89"/>
      <c r="B58" s="90" t="s">
        <v>57</v>
      </c>
      <c r="C58" s="91">
        <f t="shared" ref="C58:D58" si="10">C4+C57</f>
        <v>91631282</v>
      </c>
      <c r="D58" s="92">
        <f t="shared" si="10"/>
        <v>2089020573</v>
      </c>
      <c r="E58" s="93">
        <f>E4+E57</f>
        <v>83208577.072578162</v>
      </c>
      <c r="F58" s="91">
        <f t="shared" ref="F58:G58" si="11">F4+F57</f>
        <v>92980214.138964802</v>
      </c>
      <c r="G58" s="92">
        <f t="shared" si="11"/>
        <v>2142648725.4966137</v>
      </c>
      <c r="H58" s="93">
        <f>H4+H57</f>
        <v>86675224.374629438</v>
      </c>
      <c r="I58" s="91">
        <f t="shared" ref="I58:J58" si="12">I4+I57</f>
        <v>-1348932.1389648016</v>
      </c>
      <c r="J58" s="92">
        <f t="shared" si="12"/>
        <v>-53628152.496613652</v>
      </c>
      <c r="K58" s="93">
        <f>K4+K57</f>
        <v>-3466647.3020512708</v>
      </c>
    </row>
    <row r="59" spans="1:12" x14ac:dyDescent="0.2">
      <c r="A59" s="67"/>
      <c r="B59" s="68" t="s">
        <v>58</v>
      </c>
      <c r="C59" s="76"/>
      <c r="D59" s="77"/>
      <c r="E59" s="82">
        <v>-32408666</v>
      </c>
      <c r="F59" s="76"/>
      <c r="G59" s="77"/>
      <c r="H59" s="82"/>
      <c r="I59" s="76">
        <f t="shared" ref="I59:K60" si="13">C59-F59</f>
        <v>0</v>
      </c>
      <c r="J59" s="77">
        <f t="shared" si="13"/>
        <v>0</v>
      </c>
      <c r="K59" s="82">
        <f t="shared" si="13"/>
        <v>-32408666</v>
      </c>
    </row>
    <row r="60" spans="1:12" x14ac:dyDescent="0.2">
      <c r="A60" s="67"/>
      <c r="B60" s="68" t="s">
        <v>59</v>
      </c>
      <c r="C60" s="76"/>
      <c r="D60" s="77"/>
      <c r="E60" s="82">
        <v>-14267653</v>
      </c>
      <c r="F60" s="76"/>
      <c r="G60" s="77"/>
      <c r="H60" s="82"/>
      <c r="I60" s="76">
        <f t="shared" si="13"/>
        <v>0</v>
      </c>
      <c r="J60" s="77">
        <f t="shared" si="13"/>
        <v>0</v>
      </c>
      <c r="K60" s="82">
        <f t="shared" si="13"/>
        <v>-14267653</v>
      </c>
      <c r="L60" s="2" t="s">
        <v>241</v>
      </c>
    </row>
    <row r="61" spans="1:12" x14ac:dyDescent="0.2">
      <c r="A61" s="89"/>
      <c r="B61" s="90" t="s">
        <v>60</v>
      </c>
      <c r="C61" s="91">
        <f t="shared" ref="C61:D61" si="14">SUM(C58:C60)</f>
        <v>91631282</v>
      </c>
      <c r="D61" s="92">
        <f t="shared" si="14"/>
        <v>2089020573</v>
      </c>
      <c r="E61" s="93">
        <f>SUM(E58:E60)</f>
        <v>36532258.072578162</v>
      </c>
      <c r="F61" s="91">
        <f t="shared" ref="F61:G61" si="15">SUM(F58:F60)</f>
        <v>92980214.138964802</v>
      </c>
      <c r="G61" s="92">
        <f t="shared" si="15"/>
        <v>2142648725.4966137</v>
      </c>
      <c r="H61" s="93">
        <f>SUM(H58:H60)</f>
        <v>86675224.374629438</v>
      </c>
      <c r="I61" s="91">
        <f t="shared" ref="I61:J61" si="16">SUM(I58:I60)</f>
        <v>-1348932.1389648016</v>
      </c>
      <c r="J61" s="92">
        <f t="shared" si="16"/>
        <v>-53628152.496613652</v>
      </c>
      <c r="K61" s="93">
        <f>SUM(K58:K60)</f>
        <v>-50142966.302051269</v>
      </c>
    </row>
    <row r="62" spans="1:12" x14ac:dyDescent="0.2">
      <c r="A62" s="67"/>
      <c r="B62" s="68" t="s">
        <v>61</v>
      </c>
      <c r="C62" s="76"/>
      <c r="D62" s="77"/>
      <c r="E62" s="82">
        <v>-4400000</v>
      </c>
      <c r="F62" s="76"/>
      <c r="G62" s="77"/>
      <c r="H62" s="82"/>
      <c r="I62" s="76">
        <f t="shared" ref="I62:K63" si="17">C62-F62</f>
        <v>0</v>
      </c>
      <c r="J62" s="77">
        <f t="shared" si="17"/>
        <v>0</v>
      </c>
      <c r="K62" s="82">
        <f t="shared" si="17"/>
        <v>-4400000</v>
      </c>
    </row>
    <row r="63" spans="1:12" x14ac:dyDescent="0.2">
      <c r="A63" s="67"/>
      <c r="B63" s="68" t="s">
        <v>87</v>
      </c>
      <c r="C63" s="76"/>
      <c r="D63" s="77"/>
      <c r="E63" s="82">
        <v>-30800000</v>
      </c>
      <c r="F63" s="76"/>
      <c r="G63" s="77"/>
      <c r="H63" s="82"/>
      <c r="I63" s="76">
        <f t="shared" si="17"/>
        <v>0</v>
      </c>
      <c r="J63" s="77">
        <f t="shared" si="17"/>
        <v>0</v>
      </c>
      <c r="K63" s="82">
        <f t="shared" si="17"/>
        <v>-30800000</v>
      </c>
    </row>
    <row r="64" spans="1:12" ht="15.75" thickBot="1" x14ac:dyDescent="0.25">
      <c r="A64" s="94"/>
      <c r="B64" s="95" t="s">
        <v>63</v>
      </c>
      <c r="C64" s="96">
        <f t="shared" ref="C64:D64" si="18">SUM(C61:C63)</f>
        <v>91631282</v>
      </c>
      <c r="D64" s="97">
        <f t="shared" si="18"/>
        <v>2089020573</v>
      </c>
      <c r="E64" s="98">
        <f>SUM(E61:E63)</f>
        <v>1332258.072578162</v>
      </c>
      <c r="F64" s="96">
        <f t="shared" ref="F64:G64" si="19">SUM(F61:F63)</f>
        <v>92980214.138964802</v>
      </c>
      <c r="G64" s="97">
        <f t="shared" si="19"/>
        <v>2142648725.4966137</v>
      </c>
      <c r="H64" s="98">
        <f>SUM(H61:H63)</f>
        <v>86675224.374629438</v>
      </c>
      <c r="I64" s="96">
        <f t="shared" ref="I64:J64" si="20">SUM(I61:I63)</f>
        <v>-1348932.1389648016</v>
      </c>
      <c r="J64" s="97">
        <f t="shared" si="20"/>
        <v>-53628152.496613652</v>
      </c>
      <c r="K64" s="98">
        <f>SUM(K61:K63)</f>
        <v>-85342966.302051276</v>
      </c>
    </row>
    <row r="65" ht="15.7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1:N28"/>
  <sheetViews>
    <sheetView topLeftCell="A4" zoomScale="85" zoomScaleNormal="85" workbookViewId="0">
      <pane ySplit="3" topLeftCell="A7" activePane="bottomLeft" state="frozen"/>
      <selection activeCell="B18" sqref="B18"/>
      <selection pane="bottomLeft" activeCell="L18" sqref="L18"/>
    </sheetView>
  </sheetViews>
  <sheetFormatPr defaultColWidth="9.33203125" defaultRowHeight="15" x14ac:dyDescent="0.2"/>
  <cols>
    <col min="1" max="10" width="9.33203125" style="2"/>
    <col min="11" max="11" width="46" style="2" bestFit="1" customWidth="1"/>
    <col min="12" max="12" width="14.5" style="2" bestFit="1" customWidth="1"/>
    <col min="13" max="13" width="14.83203125" style="2" bestFit="1" customWidth="1"/>
    <col min="14" max="14" width="14.33203125" style="2" bestFit="1" customWidth="1"/>
    <col min="15" max="16384" width="9.33203125" style="2"/>
  </cols>
  <sheetData>
    <row r="11" spans="11:14" x14ac:dyDescent="0.2">
      <c r="K11" s="119"/>
      <c r="L11" s="100"/>
      <c r="M11" s="100"/>
      <c r="N11" s="120"/>
    </row>
    <row r="12" spans="11:14" x14ac:dyDescent="0.2">
      <c r="K12" s="153"/>
      <c r="N12" s="164"/>
    </row>
    <row r="13" spans="11:14" x14ac:dyDescent="0.25">
      <c r="K13" s="304" t="s">
        <v>67</v>
      </c>
      <c r="L13" s="5" t="s">
        <v>64</v>
      </c>
      <c r="M13" s="5" t="s">
        <v>65</v>
      </c>
      <c r="N13" s="299" t="s">
        <v>66</v>
      </c>
    </row>
    <row r="14" spans="11:14" x14ac:dyDescent="0.2">
      <c r="K14" s="153" t="s">
        <v>233</v>
      </c>
      <c r="L14" s="4">
        <v>23462101</v>
      </c>
      <c r="M14" s="4">
        <v>6234133</v>
      </c>
      <c r="N14" s="300">
        <f>SUM(L14:M14)</f>
        <v>29696234</v>
      </c>
    </row>
    <row r="15" spans="11:14" x14ac:dyDescent="0.25">
      <c r="K15" s="153" t="s">
        <v>240</v>
      </c>
      <c r="L15" s="117">
        <f>-'Exh. SEF-7E p. 7'!F26</f>
        <v>1973445.9741184125</v>
      </c>
      <c r="M15" s="117"/>
      <c r="N15" s="301">
        <f>SUM(L15:M15)</f>
        <v>1973445.9741184125</v>
      </c>
    </row>
    <row r="16" spans="11:14" x14ac:dyDescent="0.25">
      <c r="K16" s="153" t="s">
        <v>235</v>
      </c>
      <c r="L16" s="118">
        <f>SUM(L14:L15)</f>
        <v>25435546.974118412</v>
      </c>
      <c r="M16" s="118">
        <f>SUM(M14:M15)</f>
        <v>6234133</v>
      </c>
      <c r="N16" s="302">
        <f>SUM(N14:N15)</f>
        <v>31669679.974118412</v>
      </c>
    </row>
    <row r="17" spans="11:14" x14ac:dyDescent="0.25">
      <c r="K17" s="153" t="s">
        <v>234</v>
      </c>
      <c r="L17" s="9">
        <v>0.75138099999999997</v>
      </c>
      <c r="M17" s="9">
        <v>0.75409700000000002</v>
      </c>
      <c r="N17" s="303">
        <f>N14/N18</f>
        <v>0.70505975679767519</v>
      </c>
    </row>
    <row r="18" spans="11:14" x14ac:dyDescent="0.2">
      <c r="K18" s="153"/>
      <c r="L18" s="4">
        <f>L16/L17</f>
        <v>33851730.312742025</v>
      </c>
      <c r="M18" s="4">
        <f>M16/M17</f>
        <v>8267017.3730965639</v>
      </c>
      <c r="N18" s="300">
        <f>SUM(L18:M18)</f>
        <v>42118747.685838588</v>
      </c>
    </row>
    <row r="19" spans="11:14" x14ac:dyDescent="0.2">
      <c r="K19" s="149"/>
      <c r="L19" s="150"/>
      <c r="M19" s="150"/>
      <c r="N19" s="151"/>
    </row>
    <row r="22" spans="11:14" x14ac:dyDescent="0.2">
      <c r="L22" s="4"/>
      <c r="M22" s="4"/>
      <c r="N22" s="4"/>
    </row>
    <row r="23" spans="11:14" x14ac:dyDescent="0.2">
      <c r="L23" s="99"/>
      <c r="M23" s="99"/>
      <c r="N23" s="99"/>
    </row>
    <row r="27" spans="11:14" x14ac:dyDescent="0.2">
      <c r="L27" s="4"/>
      <c r="M27" s="4"/>
      <c r="N27" s="4"/>
    </row>
    <row r="28" spans="11:14" x14ac:dyDescent="0.2">
      <c r="L28" s="99"/>
      <c r="M28" s="99"/>
      <c r="N28" s="9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49"/>
  <sheetViews>
    <sheetView topLeftCell="A6" workbookViewId="0">
      <selection activeCell="C6" sqref="C6"/>
    </sheetView>
  </sheetViews>
  <sheetFormatPr defaultColWidth="9.33203125" defaultRowHeight="15" x14ac:dyDescent="0.2"/>
  <cols>
    <col min="1" max="1" width="9.6640625" style="2" bestFit="1" customWidth="1"/>
    <col min="2" max="2" width="43.33203125" style="2" bestFit="1" customWidth="1"/>
    <col min="3" max="3" width="14.5" style="2" bestFit="1" customWidth="1"/>
    <col min="4" max="4" width="15.5" style="2" customWidth="1"/>
    <col min="5" max="5" width="15.6640625" style="2" bestFit="1" customWidth="1"/>
    <col min="6" max="6" width="15.33203125" style="2" customWidth="1"/>
    <col min="7" max="7" width="15.6640625" style="2" bestFit="1" customWidth="1"/>
    <col min="8" max="8" width="17.6640625" style="2" bestFit="1" customWidth="1"/>
    <col min="9" max="9" width="15.33203125" style="2" bestFit="1" customWidth="1"/>
    <col min="10" max="16384" width="9.33203125" style="2"/>
  </cols>
  <sheetData>
    <row r="4" spans="2:6" x14ac:dyDescent="0.25">
      <c r="B4" s="6"/>
      <c r="C4" s="10" t="s">
        <v>64</v>
      </c>
      <c r="D4" s="10" t="s">
        <v>65</v>
      </c>
      <c r="E4" s="10" t="s">
        <v>126</v>
      </c>
      <c r="F4" s="10" t="s">
        <v>69</v>
      </c>
    </row>
    <row r="5" spans="2:6" x14ac:dyDescent="0.25">
      <c r="B5" s="6"/>
      <c r="C5" s="10"/>
      <c r="D5" s="10"/>
      <c r="E5" s="10"/>
      <c r="F5" s="10"/>
    </row>
    <row r="6" spans="2:6" x14ac:dyDescent="0.25">
      <c r="B6" s="101" t="s">
        <v>91</v>
      </c>
      <c r="C6" s="12">
        <f>Electric!K72</f>
        <v>-70484295.489999995</v>
      </c>
      <c r="D6" s="12">
        <f>Gas!K60</f>
        <v>-14267653</v>
      </c>
      <c r="E6" s="12">
        <f>SUM(C6:D6)</f>
        <v>-84751948.489999995</v>
      </c>
      <c r="F6" s="6" t="s">
        <v>70</v>
      </c>
    </row>
    <row r="7" spans="2:6" x14ac:dyDescent="0.25">
      <c r="B7" s="11" t="s">
        <v>208</v>
      </c>
      <c r="C7" s="13"/>
      <c r="D7" s="13"/>
      <c r="E7" s="13"/>
      <c r="F7" s="6"/>
    </row>
    <row r="8" spans="2:6" x14ac:dyDescent="0.25">
      <c r="B8" s="6" t="s">
        <v>71</v>
      </c>
      <c r="C8" s="7">
        <f>D48</f>
        <v>-15981900.485912388</v>
      </c>
      <c r="D8" s="7">
        <f>D75</f>
        <v>-1277696.596367134</v>
      </c>
      <c r="E8" s="7">
        <f>SUM(C8:D8)</f>
        <v>-17259597.082279522</v>
      </c>
      <c r="F8" s="6" t="s">
        <v>72</v>
      </c>
    </row>
    <row r="9" spans="2:6" x14ac:dyDescent="0.25">
      <c r="B9" s="228" t="s">
        <v>209</v>
      </c>
      <c r="C9" s="118"/>
      <c r="D9" s="118"/>
      <c r="E9" s="118"/>
      <c r="F9" s="6"/>
    </row>
    <row r="10" spans="2:6" x14ac:dyDescent="0.25">
      <c r="B10" s="6" t="s">
        <v>73</v>
      </c>
      <c r="C10" s="115">
        <f>H94</f>
        <v>-56490399.677394032</v>
      </c>
      <c r="D10" s="115">
        <f>H95</f>
        <v>-14357495.123306418</v>
      </c>
      <c r="E10" s="7">
        <f>SUM(C10:D10)</f>
        <v>-70847894.800700456</v>
      </c>
      <c r="F10" s="6" t="s">
        <v>74</v>
      </c>
    </row>
    <row r="11" spans="2:6" x14ac:dyDescent="0.25">
      <c r="B11" s="6" t="s">
        <v>75</v>
      </c>
      <c r="C11" s="116">
        <f>D105</f>
        <v>1962102.7451040018</v>
      </c>
      <c r="D11" s="116">
        <f>E105</f>
        <v>1370761.4664780013</v>
      </c>
      <c r="E11" s="7">
        <f>SUM(C11:D11)</f>
        <v>3332864.2115820032</v>
      </c>
      <c r="F11" s="6" t="s">
        <v>74</v>
      </c>
    </row>
    <row r="12" spans="2:6" x14ac:dyDescent="0.25">
      <c r="B12" s="228" t="s">
        <v>210</v>
      </c>
      <c r="C12" s="229">
        <f>SUM(C10:C11)</f>
        <v>-54528296.932290033</v>
      </c>
      <c r="D12" s="229">
        <f>SUM(D10:D11)</f>
        <v>-12986733.656828417</v>
      </c>
      <c r="E12" s="229">
        <f>SUM(E10:E11)</f>
        <v>-67515030.589118451</v>
      </c>
      <c r="F12" s="6"/>
    </row>
    <row r="13" spans="2:6" x14ac:dyDescent="0.25">
      <c r="B13" s="6"/>
      <c r="C13" s="229"/>
      <c r="D13" s="229"/>
      <c r="E13" s="118"/>
      <c r="F13" s="6"/>
    </row>
    <row r="14" spans="2:6" x14ac:dyDescent="0.25">
      <c r="B14" s="6"/>
      <c r="C14" s="117">
        <f>C8+C12</f>
        <v>-70510197.418202415</v>
      </c>
      <c r="D14" s="117">
        <f>D8+D12</f>
        <v>-14264430.25319555</v>
      </c>
      <c r="E14" s="117">
        <f>E8+E12</f>
        <v>-84774627.671397969</v>
      </c>
      <c r="F14" s="6"/>
    </row>
    <row r="15" spans="2:6" x14ac:dyDescent="0.25">
      <c r="B15" s="6" t="s">
        <v>76</v>
      </c>
      <c r="C15" s="230">
        <f>C6-C14</f>
        <v>25901.928202420473</v>
      </c>
      <c r="D15" s="230">
        <f>D6-D14</f>
        <v>-3222.7468044497073</v>
      </c>
      <c r="E15" s="230">
        <f>E6-E14</f>
        <v>22679.181397974491</v>
      </c>
      <c r="F15" s="6" t="s">
        <v>74</v>
      </c>
    </row>
    <row r="16" spans="2:6" x14ac:dyDescent="0.25">
      <c r="B16" s="6" t="s">
        <v>88</v>
      </c>
      <c r="C16" s="116">
        <v>0</v>
      </c>
      <c r="D16" s="116">
        <v>0</v>
      </c>
      <c r="E16" s="116"/>
      <c r="F16" s="6" t="s">
        <v>74</v>
      </c>
    </row>
    <row r="17" spans="1:8" x14ac:dyDescent="0.25">
      <c r="B17" s="6"/>
      <c r="C17" s="6"/>
      <c r="D17" s="6"/>
      <c r="E17" s="6"/>
      <c r="F17" s="6"/>
    </row>
    <row r="18" spans="1:8" x14ac:dyDescent="0.25">
      <c r="B18" s="6" t="s">
        <v>89</v>
      </c>
      <c r="C18" s="8">
        <f>C8</f>
        <v>-15981900.485912388</v>
      </c>
      <c r="D18" s="8">
        <f>D8</f>
        <v>-1277696.596367134</v>
      </c>
      <c r="E18" s="8"/>
      <c r="F18" s="6"/>
    </row>
    <row r="19" spans="1:8" x14ac:dyDescent="0.25">
      <c r="B19" s="6" t="s">
        <v>90</v>
      </c>
      <c r="C19" s="8">
        <f>C10+C11+C15+C16</f>
        <v>-54502395.004087612</v>
      </c>
      <c r="D19" s="8">
        <f>D10+D11+D15+D16</f>
        <v>-12989956.403632866</v>
      </c>
      <c r="E19" s="8"/>
      <c r="F19" s="6"/>
    </row>
    <row r="24" spans="1:8" x14ac:dyDescent="0.2">
      <c r="A24" s="119"/>
      <c r="B24" s="100"/>
      <c r="C24" s="100"/>
      <c r="D24" s="100"/>
      <c r="E24" s="100"/>
      <c r="F24" s="100"/>
      <c r="G24" s="100"/>
      <c r="H24" s="120"/>
    </row>
    <row r="25" spans="1:8" x14ac:dyDescent="0.25">
      <c r="A25" s="104" t="s">
        <v>92</v>
      </c>
      <c r="B25" s="105"/>
      <c r="C25" s="105"/>
      <c r="D25" s="106"/>
      <c r="E25" s="106"/>
      <c r="F25" s="106"/>
      <c r="G25" s="106"/>
      <c r="H25" s="107"/>
    </row>
    <row r="26" spans="1:8" x14ac:dyDescent="0.25">
      <c r="A26" s="108" t="s">
        <v>93</v>
      </c>
      <c r="B26" s="106"/>
      <c r="C26" s="106"/>
      <c r="D26" s="106"/>
      <c r="E26" s="106"/>
      <c r="F26" s="106"/>
      <c r="G26" s="106"/>
      <c r="H26" s="107"/>
    </row>
    <row r="27" spans="1:8" x14ac:dyDescent="0.25">
      <c r="A27" s="108" t="s">
        <v>94</v>
      </c>
      <c r="B27" s="106"/>
      <c r="C27" s="106"/>
      <c r="D27" s="106"/>
      <c r="E27" s="106"/>
      <c r="F27" s="106"/>
      <c r="G27" s="106"/>
      <c r="H27" s="107"/>
    </row>
    <row r="28" spans="1:8" x14ac:dyDescent="0.25">
      <c r="A28" s="108" t="s">
        <v>95</v>
      </c>
      <c r="B28" s="106"/>
      <c r="C28" s="106"/>
      <c r="D28" s="106"/>
      <c r="E28" s="106"/>
      <c r="F28" s="106"/>
      <c r="G28" s="106"/>
      <c r="H28" s="107"/>
    </row>
    <row r="29" spans="1:8" x14ac:dyDescent="0.25">
      <c r="A29" s="108"/>
      <c r="B29" s="106"/>
      <c r="C29" s="106"/>
      <c r="D29" s="106"/>
      <c r="E29" s="106"/>
      <c r="F29" s="106"/>
      <c r="G29" s="106"/>
      <c r="H29" s="107"/>
    </row>
    <row r="30" spans="1:8" x14ac:dyDescent="0.25">
      <c r="A30" s="109"/>
      <c r="B30" s="110"/>
      <c r="C30" s="110"/>
      <c r="D30" s="102" t="s">
        <v>96</v>
      </c>
      <c r="E30" s="102"/>
      <c r="F30" s="102" t="s">
        <v>97</v>
      </c>
      <c r="G30" s="102"/>
      <c r="H30" s="111" t="s">
        <v>98</v>
      </c>
    </row>
    <row r="31" spans="1:8" x14ac:dyDescent="0.25">
      <c r="A31" s="112" t="s">
        <v>99</v>
      </c>
      <c r="B31" s="102"/>
      <c r="C31" s="102"/>
      <c r="D31" s="102" t="s">
        <v>100</v>
      </c>
      <c r="E31" s="102" t="s">
        <v>97</v>
      </c>
      <c r="F31" s="102" t="s">
        <v>101</v>
      </c>
      <c r="G31" s="102" t="s">
        <v>98</v>
      </c>
      <c r="H31" s="111" t="s">
        <v>101</v>
      </c>
    </row>
    <row r="32" spans="1:8" x14ac:dyDescent="0.25">
      <c r="A32" s="113" t="s">
        <v>102</v>
      </c>
      <c r="B32" s="103" t="s">
        <v>103</v>
      </c>
      <c r="C32" s="103" t="s">
        <v>104</v>
      </c>
      <c r="D32" s="103" t="s">
        <v>105</v>
      </c>
      <c r="E32" s="103" t="s">
        <v>106</v>
      </c>
      <c r="F32" s="103" t="s">
        <v>107</v>
      </c>
      <c r="G32" s="103" t="s">
        <v>108</v>
      </c>
      <c r="H32" s="114" t="s">
        <v>109</v>
      </c>
    </row>
    <row r="33" spans="1:8" x14ac:dyDescent="0.25">
      <c r="A33" s="121"/>
      <c r="B33" s="122"/>
      <c r="C33" s="123"/>
      <c r="D33" s="102"/>
      <c r="E33" s="102"/>
      <c r="F33" s="102"/>
      <c r="G33" s="102"/>
      <c r="H33" s="111"/>
    </row>
    <row r="34" spans="1:8" x14ac:dyDescent="0.25">
      <c r="A34" s="121">
        <v>1</v>
      </c>
      <c r="B34" s="124" t="s">
        <v>110</v>
      </c>
      <c r="C34" s="123"/>
      <c r="D34" s="125"/>
      <c r="E34" s="126"/>
      <c r="F34" s="126"/>
      <c r="G34" s="126"/>
      <c r="H34" s="127"/>
    </row>
    <row r="35" spans="1:8" x14ac:dyDescent="0.25">
      <c r="A35" s="121">
        <v>2</v>
      </c>
      <c r="B35" s="128" t="s">
        <v>111</v>
      </c>
      <c r="C35" s="123"/>
      <c r="D35" s="129">
        <v>-36025489.107016005</v>
      </c>
      <c r="E35" s="129">
        <f>D35</f>
        <v>-36025489.107016005</v>
      </c>
      <c r="F35" s="129">
        <f>E35-D35</f>
        <v>0</v>
      </c>
      <c r="G35" s="129">
        <v>-31522302.987015996</v>
      </c>
      <c r="H35" s="130">
        <f>G35-E35</f>
        <v>4503186.1200000085</v>
      </c>
    </row>
    <row r="36" spans="1:8" ht="15.75" thickBot="1" x14ac:dyDescent="0.3">
      <c r="A36" s="121">
        <v>3</v>
      </c>
      <c r="B36" s="128" t="s">
        <v>112</v>
      </c>
      <c r="C36" s="123"/>
      <c r="D36" s="131">
        <f>SUM(D35)</f>
        <v>-36025489.107016005</v>
      </c>
      <c r="E36" s="131">
        <f>SUM(E35)</f>
        <v>-36025489.107016005</v>
      </c>
      <c r="F36" s="131">
        <f>SUM(F35)</f>
        <v>0</v>
      </c>
      <c r="G36" s="131">
        <f>SUM(G35)</f>
        <v>-31522302.987015996</v>
      </c>
      <c r="H36" s="132">
        <f>SUM(H35)</f>
        <v>4503186.1200000085</v>
      </c>
    </row>
    <row r="37" spans="1:8" ht="15.75" thickTop="1" x14ac:dyDescent="0.25">
      <c r="A37" s="121">
        <v>4</v>
      </c>
      <c r="B37" s="128"/>
      <c r="C37" s="123"/>
      <c r="D37" s="133"/>
      <c r="E37" s="133"/>
      <c r="F37" s="133"/>
      <c r="G37" s="133"/>
      <c r="H37" s="134"/>
    </row>
    <row r="38" spans="1:8" x14ac:dyDescent="0.25">
      <c r="A38" s="121">
        <v>5</v>
      </c>
      <c r="B38" s="124" t="s">
        <v>113</v>
      </c>
      <c r="C38" s="123"/>
      <c r="D38" s="133"/>
      <c r="E38" s="133"/>
      <c r="F38" s="133"/>
      <c r="G38" s="133"/>
      <c r="H38" s="134"/>
    </row>
    <row r="39" spans="1:8" x14ac:dyDescent="0.25">
      <c r="A39" s="121">
        <v>6</v>
      </c>
      <c r="B39" s="128" t="s">
        <v>114</v>
      </c>
      <c r="C39" s="135"/>
      <c r="D39" s="133">
        <v>0</v>
      </c>
      <c r="E39" s="133">
        <v>0</v>
      </c>
      <c r="F39" s="129">
        <f>E39-D39</f>
        <v>0</v>
      </c>
      <c r="G39" s="133">
        <v>-9006372.2399999984</v>
      </c>
      <c r="H39" s="130">
        <f>G39-E39</f>
        <v>-9006372.2399999984</v>
      </c>
    </row>
    <row r="40" spans="1:8" x14ac:dyDescent="0.25">
      <c r="A40" s="121">
        <v>7</v>
      </c>
      <c r="B40" s="136" t="s">
        <v>115</v>
      </c>
      <c r="C40" s="137"/>
      <c r="D40" s="138">
        <f>D39</f>
        <v>0</v>
      </c>
      <c r="E40" s="138">
        <f>E39</f>
        <v>0</v>
      </c>
      <c r="F40" s="138">
        <f>F39</f>
        <v>0</v>
      </c>
      <c r="G40" s="138">
        <f>G39</f>
        <v>-9006372.2399999984</v>
      </c>
      <c r="H40" s="139">
        <f>H39</f>
        <v>-9006372.2399999984</v>
      </c>
    </row>
    <row r="41" spans="1:8" x14ac:dyDescent="0.25">
      <c r="A41" s="121">
        <v>8</v>
      </c>
      <c r="B41" s="137"/>
      <c r="C41" s="137"/>
      <c r="D41" s="140"/>
      <c r="E41" s="140"/>
      <c r="F41" s="140"/>
      <c r="G41" s="140"/>
      <c r="H41" s="141"/>
    </row>
    <row r="42" spans="1:8" x14ac:dyDescent="0.25">
      <c r="A42" s="121">
        <v>9</v>
      </c>
      <c r="B42" s="142" t="s">
        <v>116</v>
      </c>
      <c r="C42" s="143">
        <v>0.21</v>
      </c>
      <c r="D42" s="133">
        <f>-D40*$C$42</f>
        <v>0</v>
      </c>
      <c r="E42" s="133">
        <f>-E40*C42</f>
        <v>0</v>
      </c>
      <c r="F42" s="129">
        <f>E42-D42</f>
        <v>0</v>
      </c>
      <c r="G42" s="144" t="s">
        <v>117</v>
      </c>
      <c r="H42" s="145" t="s">
        <v>117</v>
      </c>
    </row>
    <row r="43" spans="1:8" ht="15.75" thickBot="1" x14ac:dyDescent="0.3">
      <c r="A43" s="121">
        <v>10</v>
      </c>
      <c r="B43" s="146" t="s">
        <v>118</v>
      </c>
      <c r="C43" s="146"/>
      <c r="D43" s="131">
        <f>D40</f>
        <v>0</v>
      </c>
      <c r="E43" s="131">
        <f>E40</f>
        <v>0</v>
      </c>
      <c r="F43" s="131">
        <f>F40</f>
        <v>0</v>
      </c>
      <c r="G43" s="131">
        <f>G40</f>
        <v>-9006372.2399999984</v>
      </c>
      <c r="H43" s="132">
        <f>H40</f>
        <v>-9006372.2399999984</v>
      </c>
    </row>
    <row r="44" spans="1:8" ht="15.75" thickTop="1" x14ac:dyDescent="0.25">
      <c r="A44" s="147"/>
      <c r="B44" s="140"/>
      <c r="C44" s="140"/>
      <c r="D44" s="140"/>
      <c r="E44" s="140"/>
      <c r="F44" s="140"/>
      <c r="G44" s="140"/>
      <c r="H44" s="141"/>
    </row>
    <row r="45" spans="1:8" x14ac:dyDescent="0.25">
      <c r="A45" s="147"/>
      <c r="B45" s="140"/>
      <c r="C45" s="140"/>
      <c r="D45" s="140"/>
      <c r="E45" s="140"/>
      <c r="F45" s="140"/>
      <c r="G45" s="140"/>
      <c r="H45" s="141"/>
    </row>
    <row r="46" spans="1:8" x14ac:dyDescent="0.25">
      <c r="A46" s="147"/>
      <c r="B46" s="140"/>
      <c r="C46" s="140"/>
      <c r="D46" s="133">
        <f>D35/3</f>
        <v>-12008496.369005335</v>
      </c>
      <c r="E46" s="140" t="s">
        <v>119</v>
      </c>
      <c r="F46" s="140"/>
      <c r="G46" s="140"/>
      <c r="H46" s="141"/>
    </row>
    <row r="47" spans="1:8" x14ac:dyDescent="0.25">
      <c r="A47" s="147"/>
      <c r="B47" s="140"/>
      <c r="C47" s="140"/>
      <c r="D47" s="140">
        <f>'PSE ARAM Reversal'!L17</f>
        <v>0.75138099999999997</v>
      </c>
      <c r="E47" s="140" t="s">
        <v>120</v>
      </c>
      <c r="F47" s="140"/>
      <c r="G47" s="140"/>
      <c r="H47" s="141"/>
    </row>
    <row r="48" spans="1:8" x14ac:dyDescent="0.25">
      <c r="A48" s="147"/>
      <c r="B48" s="140"/>
      <c r="C48" s="140"/>
      <c r="D48" s="148">
        <f>D46/D47</f>
        <v>-15981900.485912388</v>
      </c>
      <c r="E48" s="140"/>
      <c r="F48" s="140"/>
      <c r="G48" s="140"/>
      <c r="H48" s="141"/>
    </row>
    <row r="49" spans="1:8" x14ac:dyDescent="0.2">
      <c r="A49" s="149"/>
      <c r="B49" s="150"/>
      <c r="C49" s="150"/>
      <c r="D49" s="150"/>
      <c r="E49" s="150"/>
      <c r="F49" s="150"/>
      <c r="G49" s="150"/>
      <c r="H49" s="151"/>
    </row>
    <row r="51" spans="1:8" x14ac:dyDescent="0.2">
      <c r="A51" s="119"/>
      <c r="B51" s="100"/>
      <c r="C51" s="100"/>
      <c r="D51" s="100"/>
      <c r="E51" s="100"/>
      <c r="F51" s="100"/>
      <c r="G51" s="100"/>
      <c r="H51" s="120"/>
    </row>
    <row r="52" spans="1:8" x14ac:dyDescent="0.25">
      <c r="A52" s="104" t="s">
        <v>92</v>
      </c>
      <c r="B52" s="105"/>
      <c r="C52" s="105"/>
      <c r="D52" s="106"/>
      <c r="E52" s="106"/>
      <c r="F52" s="106"/>
      <c r="G52" s="106"/>
      <c r="H52" s="107"/>
    </row>
    <row r="53" spans="1:8" x14ac:dyDescent="0.25">
      <c r="A53" s="108" t="s">
        <v>93</v>
      </c>
      <c r="B53" s="106"/>
      <c r="C53" s="106"/>
      <c r="D53" s="106"/>
      <c r="E53" s="106"/>
      <c r="F53" s="106"/>
      <c r="G53" s="106"/>
      <c r="H53" s="107"/>
    </row>
    <row r="54" spans="1:8" x14ac:dyDescent="0.25">
      <c r="A54" s="108" t="s">
        <v>94</v>
      </c>
      <c r="B54" s="106"/>
      <c r="C54" s="106"/>
      <c r="D54" s="106"/>
      <c r="E54" s="106"/>
      <c r="F54" s="106"/>
      <c r="G54" s="106"/>
      <c r="H54" s="107"/>
    </row>
    <row r="55" spans="1:8" x14ac:dyDescent="0.25">
      <c r="A55" s="108" t="s">
        <v>95</v>
      </c>
      <c r="B55" s="106"/>
      <c r="C55" s="106"/>
      <c r="D55" s="106"/>
      <c r="E55" s="106"/>
      <c r="F55" s="106"/>
      <c r="G55" s="106"/>
      <c r="H55" s="107"/>
    </row>
    <row r="56" spans="1:8" x14ac:dyDescent="0.25">
      <c r="A56" s="108"/>
      <c r="B56" s="106"/>
      <c r="C56" s="106"/>
      <c r="D56" s="106"/>
      <c r="E56" s="106"/>
      <c r="F56" s="106"/>
      <c r="G56" s="106"/>
      <c r="H56" s="107"/>
    </row>
    <row r="57" spans="1:8" x14ac:dyDescent="0.25">
      <c r="A57" s="109"/>
      <c r="B57" s="110"/>
      <c r="C57" s="110"/>
      <c r="D57" s="102" t="s">
        <v>96</v>
      </c>
      <c r="E57" s="102"/>
      <c r="F57" s="102" t="s">
        <v>97</v>
      </c>
      <c r="G57" s="102"/>
      <c r="H57" s="111" t="s">
        <v>98</v>
      </c>
    </row>
    <row r="58" spans="1:8" x14ac:dyDescent="0.25">
      <c r="A58" s="112" t="s">
        <v>99</v>
      </c>
      <c r="B58" s="102"/>
      <c r="C58" s="102"/>
      <c r="D58" s="102" t="s">
        <v>100</v>
      </c>
      <c r="E58" s="102" t="s">
        <v>97</v>
      </c>
      <c r="F58" s="102" t="s">
        <v>101</v>
      </c>
      <c r="G58" s="102" t="s">
        <v>98</v>
      </c>
      <c r="H58" s="111" t="s">
        <v>101</v>
      </c>
    </row>
    <row r="59" spans="1:8" x14ac:dyDescent="0.25">
      <c r="A59" s="113" t="s">
        <v>102</v>
      </c>
      <c r="B59" s="103" t="s">
        <v>103</v>
      </c>
      <c r="C59" s="103" t="s">
        <v>104</v>
      </c>
      <c r="D59" s="103" t="s">
        <v>105</v>
      </c>
      <c r="E59" s="103" t="s">
        <v>106</v>
      </c>
      <c r="F59" s="103" t="s">
        <v>107</v>
      </c>
      <c r="G59" s="103" t="s">
        <v>108</v>
      </c>
      <c r="H59" s="114" t="s">
        <v>109</v>
      </c>
    </row>
    <row r="60" spans="1:8" x14ac:dyDescent="0.25">
      <c r="A60" s="121"/>
      <c r="B60" s="122"/>
      <c r="C60" s="123"/>
      <c r="D60" s="102"/>
      <c r="E60" s="102"/>
      <c r="F60" s="102"/>
      <c r="G60" s="102"/>
      <c r="H60" s="111"/>
    </row>
    <row r="61" spans="1:8" x14ac:dyDescent="0.25">
      <c r="A61" s="121">
        <v>1</v>
      </c>
      <c r="B61" s="124" t="s">
        <v>110</v>
      </c>
      <c r="C61" s="123"/>
      <c r="D61" s="125"/>
      <c r="E61" s="126"/>
      <c r="F61" s="126"/>
      <c r="G61" s="126"/>
      <c r="H61" s="127"/>
    </row>
    <row r="62" spans="1:8" x14ac:dyDescent="0.25">
      <c r="A62" s="121">
        <v>2</v>
      </c>
      <c r="B62" s="128" t="s">
        <v>111</v>
      </c>
      <c r="C62" s="123"/>
      <c r="D62" s="129">
        <v>-2890521.5106920004</v>
      </c>
      <c r="E62" s="129">
        <f>D62</f>
        <v>-2890521.5106920004</v>
      </c>
      <c r="F62" s="129">
        <f>E62-D62</f>
        <v>0</v>
      </c>
      <c r="G62" s="129">
        <v>-2529206.3218555013</v>
      </c>
      <c r="H62" s="130">
        <f>G62-E62</f>
        <v>361315.18883649912</v>
      </c>
    </row>
    <row r="63" spans="1:8" ht="15.75" thickBot="1" x14ac:dyDescent="0.3">
      <c r="A63" s="121">
        <v>3</v>
      </c>
      <c r="B63" s="128" t="s">
        <v>112</v>
      </c>
      <c r="C63" s="123"/>
      <c r="D63" s="131">
        <f>SUM(D62)</f>
        <v>-2890521.5106920004</v>
      </c>
      <c r="E63" s="131">
        <f>SUM(E62)</f>
        <v>-2890521.5106920004</v>
      </c>
      <c r="F63" s="131">
        <f>SUM(F62)</f>
        <v>0</v>
      </c>
      <c r="G63" s="131">
        <f>SUM(G62)</f>
        <v>-2529206.3218555013</v>
      </c>
      <c r="H63" s="132">
        <f>SUM(H62)</f>
        <v>361315.18883649912</v>
      </c>
    </row>
    <row r="64" spans="1:8" ht="15.75" thickTop="1" x14ac:dyDescent="0.25">
      <c r="A64" s="121">
        <v>4</v>
      </c>
      <c r="B64" s="128"/>
      <c r="C64" s="123"/>
      <c r="D64" s="133"/>
      <c r="E64" s="133"/>
      <c r="F64" s="133"/>
      <c r="G64" s="133"/>
      <c r="H64" s="134"/>
    </row>
    <row r="65" spans="1:8" x14ac:dyDescent="0.25">
      <c r="A65" s="121">
        <v>5</v>
      </c>
      <c r="B65" s="124" t="s">
        <v>113</v>
      </c>
      <c r="C65" s="123"/>
      <c r="D65" s="133"/>
      <c r="E65" s="133"/>
      <c r="F65" s="133"/>
      <c r="G65" s="133"/>
      <c r="H65" s="134"/>
    </row>
    <row r="66" spans="1:8" x14ac:dyDescent="0.25">
      <c r="A66" s="121">
        <v>6</v>
      </c>
      <c r="B66" s="128" t="s">
        <v>114</v>
      </c>
      <c r="C66" s="135"/>
      <c r="D66" s="133">
        <v>0</v>
      </c>
      <c r="E66" s="133">
        <v>0</v>
      </c>
      <c r="F66" s="129">
        <f>E66-D66</f>
        <v>0</v>
      </c>
      <c r="G66" s="133">
        <v>-722630.37767299998</v>
      </c>
      <c r="H66" s="130">
        <f>G66-E66</f>
        <v>-722630.37767299998</v>
      </c>
    </row>
    <row r="67" spans="1:8" x14ac:dyDescent="0.25">
      <c r="A67" s="121">
        <v>7</v>
      </c>
      <c r="B67" s="136" t="s">
        <v>115</v>
      </c>
      <c r="C67" s="137"/>
      <c r="D67" s="138">
        <f>D66</f>
        <v>0</v>
      </c>
      <c r="E67" s="138">
        <f>E66</f>
        <v>0</v>
      </c>
      <c r="F67" s="138">
        <f>F66</f>
        <v>0</v>
      </c>
      <c r="G67" s="138">
        <f>G66</f>
        <v>-722630.37767299998</v>
      </c>
      <c r="H67" s="139">
        <f>H66</f>
        <v>-722630.37767299998</v>
      </c>
    </row>
    <row r="68" spans="1:8" x14ac:dyDescent="0.25">
      <c r="A68" s="121">
        <v>8</v>
      </c>
      <c r="B68" s="137"/>
      <c r="C68" s="137"/>
      <c r="D68" s="140"/>
      <c r="E68" s="140"/>
      <c r="F68" s="140"/>
      <c r="G68" s="140"/>
      <c r="H68" s="141"/>
    </row>
    <row r="69" spans="1:8" x14ac:dyDescent="0.25">
      <c r="A69" s="121">
        <v>9</v>
      </c>
      <c r="B69" s="142" t="s">
        <v>116</v>
      </c>
      <c r="C69" s="143">
        <v>0.21</v>
      </c>
      <c r="D69" s="133">
        <f>-D67*C69</f>
        <v>0</v>
      </c>
      <c r="E69" s="133">
        <f>-E67*C69</f>
        <v>0</v>
      </c>
      <c r="F69" s="129">
        <f>E69-D69</f>
        <v>0</v>
      </c>
      <c r="G69" s="144" t="s">
        <v>117</v>
      </c>
      <c r="H69" s="145" t="s">
        <v>117</v>
      </c>
    </row>
    <row r="70" spans="1:8" ht="15.75" thickBot="1" x14ac:dyDescent="0.3">
      <c r="A70" s="121">
        <v>10</v>
      </c>
      <c r="B70" s="146" t="s">
        <v>118</v>
      </c>
      <c r="C70" s="146"/>
      <c r="D70" s="131">
        <f>-D67</f>
        <v>0</v>
      </c>
      <c r="E70" s="131">
        <f>-E67</f>
        <v>0</v>
      </c>
      <c r="F70" s="131">
        <f>-F67</f>
        <v>0</v>
      </c>
      <c r="G70" s="131">
        <f>-G67</f>
        <v>722630.37767299998</v>
      </c>
      <c r="H70" s="132">
        <f>-H67</f>
        <v>722630.37767299998</v>
      </c>
    </row>
    <row r="71" spans="1:8" ht="15.75" thickTop="1" x14ac:dyDescent="0.25">
      <c r="A71" s="147"/>
      <c r="B71" s="140"/>
      <c r="C71" s="140"/>
      <c r="D71" s="140"/>
      <c r="E71" s="140"/>
      <c r="F71" s="140"/>
      <c r="G71" s="140"/>
      <c r="H71" s="141"/>
    </row>
    <row r="72" spans="1:8" x14ac:dyDescent="0.25">
      <c r="A72" s="147"/>
      <c r="B72" s="140"/>
      <c r="C72" s="140"/>
      <c r="D72" s="140"/>
      <c r="E72" s="140"/>
      <c r="F72" s="140"/>
      <c r="G72" s="140"/>
      <c r="H72" s="141"/>
    </row>
    <row r="73" spans="1:8" x14ac:dyDescent="0.25">
      <c r="A73" s="147"/>
      <c r="B73" s="140"/>
      <c r="C73" s="140"/>
      <c r="D73" s="152">
        <f>D62/3</f>
        <v>-963507.17023066676</v>
      </c>
      <c r="E73" s="140" t="s">
        <v>119</v>
      </c>
      <c r="F73" s="140"/>
      <c r="G73" s="140"/>
      <c r="H73" s="141"/>
    </row>
    <row r="74" spans="1:8" x14ac:dyDescent="0.25">
      <c r="A74" s="147"/>
      <c r="B74" s="140"/>
      <c r="C74" s="140"/>
      <c r="D74" s="140">
        <f>'PSE ARAM Reversal'!M17</f>
        <v>0.75409700000000002</v>
      </c>
      <c r="E74" s="140" t="s">
        <v>121</v>
      </c>
      <c r="F74" s="140"/>
      <c r="G74" s="140"/>
      <c r="H74" s="141"/>
    </row>
    <row r="75" spans="1:8" x14ac:dyDescent="0.25">
      <c r="A75" s="147"/>
      <c r="B75" s="140"/>
      <c r="C75" s="140"/>
      <c r="D75" s="148">
        <f>D73/D74</f>
        <v>-1277696.596367134</v>
      </c>
      <c r="E75" s="140"/>
      <c r="F75" s="140"/>
      <c r="G75" s="140"/>
      <c r="H75" s="141"/>
    </row>
    <row r="76" spans="1:8" x14ac:dyDescent="0.2">
      <c r="A76" s="149"/>
      <c r="B76" s="150"/>
      <c r="C76" s="150"/>
      <c r="D76" s="150"/>
      <c r="E76" s="150"/>
      <c r="F76" s="150"/>
      <c r="G76" s="150"/>
      <c r="H76" s="151"/>
    </row>
    <row r="79" spans="1:8" x14ac:dyDescent="0.2">
      <c r="A79" s="119"/>
      <c r="B79" s="100"/>
      <c r="C79" s="100"/>
      <c r="D79" s="100"/>
      <c r="E79" s="100"/>
      <c r="F79" s="100"/>
      <c r="G79" s="100"/>
      <c r="H79" s="120"/>
    </row>
    <row r="80" spans="1:8" x14ac:dyDescent="0.25">
      <c r="A80" s="153"/>
      <c r="B80" s="154" t="s">
        <v>122</v>
      </c>
      <c r="C80" s="154"/>
      <c r="D80" s="154"/>
      <c r="E80" s="154"/>
      <c r="F80" s="154"/>
      <c r="G80" s="154"/>
      <c r="H80" s="155"/>
    </row>
    <row r="81" spans="1:8" x14ac:dyDescent="0.25">
      <c r="A81" s="153"/>
      <c r="B81" s="156" t="s">
        <v>133</v>
      </c>
      <c r="C81" s="154"/>
      <c r="D81" s="154"/>
      <c r="E81" s="154"/>
      <c r="F81" s="154"/>
      <c r="G81" s="154"/>
      <c r="H81" s="155"/>
    </row>
    <row r="82" spans="1:8" x14ac:dyDescent="0.25">
      <c r="A82" s="153"/>
      <c r="B82" s="157"/>
      <c r="C82" s="154"/>
      <c r="D82" s="154"/>
      <c r="E82" s="154"/>
      <c r="F82" s="154"/>
      <c r="G82" s="154"/>
      <c r="H82" s="155"/>
    </row>
    <row r="83" spans="1:8" ht="45.75" thickBot="1" x14ac:dyDescent="0.3">
      <c r="A83" s="153"/>
      <c r="B83" s="158" t="s">
        <v>123</v>
      </c>
      <c r="C83" s="158" t="s">
        <v>124</v>
      </c>
      <c r="D83" s="158" t="s">
        <v>125</v>
      </c>
      <c r="E83" s="158" t="s">
        <v>126</v>
      </c>
      <c r="F83" s="158" t="s">
        <v>127</v>
      </c>
      <c r="G83" s="154"/>
      <c r="H83" s="159" t="s">
        <v>128</v>
      </c>
    </row>
    <row r="84" spans="1:8" x14ac:dyDescent="0.25">
      <c r="A84" s="153"/>
      <c r="B84" s="160" t="s">
        <v>129</v>
      </c>
      <c r="C84" s="161">
        <v>-22029644</v>
      </c>
      <c r="D84" s="161">
        <v>4222656</v>
      </c>
      <c r="E84" s="161">
        <v>-17806988</v>
      </c>
      <c r="F84" s="161">
        <v>-22540491</v>
      </c>
      <c r="G84" s="154">
        <f>'PSE ARAM Reversal'!L17</f>
        <v>0.75138099999999997</v>
      </c>
      <c r="H84" s="162">
        <f>C84/G84</f>
        <v>-29318872.848794423</v>
      </c>
    </row>
    <row r="85" spans="1:8" ht="15.75" thickBot="1" x14ac:dyDescent="0.3">
      <c r="A85" s="153"/>
      <c r="B85" s="160" t="s">
        <v>130</v>
      </c>
      <c r="C85" s="161">
        <v>-5619252</v>
      </c>
      <c r="D85" s="161">
        <v>401183</v>
      </c>
      <c r="E85" s="161">
        <v>-5218070</v>
      </c>
      <c r="F85" s="161">
        <v>-6605152</v>
      </c>
      <c r="G85" s="154">
        <f>'PSE ARAM Reversal'!M17</f>
        <v>0.75409700000000002</v>
      </c>
      <c r="H85" s="162">
        <f>C85/G85</f>
        <v>-7451630.2279414982</v>
      </c>
    </row>
    <row r="86" spans="1:8" x14ac:dyDescent="0.25">
      <c r="A86" s="153"/>
      <c r="B86" s="160" t="s">
        <v>126</v>
      </c>
      <c r="C86" s="163">
        <v>-27648896</v>
      </c>
      <c r="D86" s="163">
        <v>4623839</v>
      </c>
      <c r="E86" s="163">
        <v>-23025057</v>
      </c>
      <c r="F86" s="163">
        <v>-29145642</v>
      </c>
      <c r="G86" s="154"/>
      <c r="H86" s="155"/>
    </row>
    <row r="87" spans="1:8" x14ac:dyDescent="0.25">
      <c r="A87" s="153"/>
      <c r="B87" s="156"/>
      <c r="C87" s="154"/>
      <c r="D87" s="154"/>
      <c r="E87" s="154"/>
      <c r="F87" s="154"/>
      <c r="G87" s="154"/>
      <c r="H87" s="155"/>
    </row>
    <row r="88" spans="1:8" x14ac:dyDescent="0.25">
      <c r="A88" s="153"/>
      <c r="B88" s="154"/>
      <c r="C88" s="156" t="s">
        <v>131</v>
      </c>
      <c r="D88" s="154"/>
      <c r="E88" s="154"/>
      <c r="F88" s="154"/>
      <c r="G88" s="154"/>
      <c r="H88" s="155"/>
    </row>
    <row r="89" spans="1:8" ht="45.75" thickBot="1" x14ac:dyDescent="0.3">
      <c r="A89" s="153"/>
      <c r="B89" s="158" t="s">
        <v>132</v>
      </c>
      <c r="C89" s="158" t="s">
        <v>124</v>
      </c>
      <c r="D89" s="158" t="s">
        <v>125</v>
      </c>
      <c r="E89" s="158" t="s">
        <v>126</v>
      </c>
      <c r="F89" s="158" t="s">
        <v>127</v>
      </c>
      <c r="G89" s="154"/>
      <c r="H89" s="155"/>
    </row>
    <row r="90" spans="1:8" x14ac:dyDescent="0.25">
      <c r="A90" s="153"/>
      <c r="B90" s="160" t="s">
        <v>129</v>
      </c>
      <c r="C90" s="161">
        <v>-20416169</v>
      </c>
      <c r="D90" s="161">
        <v>4829944</v>
      </c>
      <c r="E90" s="161">
        <v>-15586225</v>
      </c>
      <c r="F90" s="161">
        <v>-19729398</v>
      </c>
      <c r="G90" s="154">
        <f>G84</f>
        <v>0.75138099999999997</v>
      </c>
      <c r="H90" s="162">
        <f>C90/G90</f>
        <v>-27171526.828599606</v>
      </c>
    </row>
    <row r="91" spans="1:8" ht="15.75" thickBot="1" x14ac:dyDescent="0.3">
      <c r="A91" s="153"/>
      <c r="B91" s="160" t="s">
        <v>130</v>
      </c>
      <c r="C91" s="161">
        <v>-5207692</v>
      </c>
      <c r="D91" s="161">
        <v>458879</v>
      </c>
      <c r="E91" s="161">
        <v>-4748813</v>
      </c>
      <c r="F91" s="161">
        <v>-6011155</v>
      </c>
      <c r="G91" s="154">
        <f>G85</f>
        <v>0.75409700000000002</v>
      </c>
      <c r="H91" s="162">
        <f>C91/G91</f>
        <v>-6905864.8953649197</v>
      </c>
    </row>
    <row r="92" spans="1:8" x14ac:dyDescent="0.25">
      <c r="A92" s="153"/>
      <c r="B92" s="160" t="s">
        <v>126</v>
      </c>
      <c r="C92" s="163">
        <v>-25623861</v>
      </c>
      <c r="D92" s="163">
        <v>5288824</v>
      </c>
      <c r="E92" s="163">
        <v>-20335037</v>
      </c>
      <c r="F92" s="163">
        <v>-25740554</v>
      </c>
      <c r="G92" s="154"/>
      <c r="H92" s="155"/>
    </row>
    <row r="93" spans="1:8" x14ac:dyDescent="0.2">
      <c r="A93" s="153"/>
      <c r="H93" s="164"/>
    </row>
    <row r="94" spans="1:8" x14ac:dyDescent="0.2">
      <c r="A94" s="153"/>
      <c r="G94" s="2" t="s">
        <v>64</v>
      </c>
      <c r="H94" s="165">
        <f>H84+H90</f>
        <v>-56490399.677394032</v>
      </c>
    </row>
    <row r="95" spans="1:8" x14ac:dyDescent="0.2">
      <c r="A95" s="153"/>
      <c r="G95" s="2" t="s">
        <v>65</v>
      </c>
      <c r="H95" s="165">
        <f>H85+H91</f>
        <v>-14357495.123306418</v>
      </c>
    </row>
    <row r="96" spans="1:8" x14ac:dyDescent="0.2">
      <c r="A96" s="149"/>
      <c r="B96" s="150"/>
      <c r="C96" s="150"/>
      <c r="D96" s="150"/>
      <c r="E96" s="150"/>
      <c r="F96" s="150"/>
      <c r="G96" s="150"/>
      <c r="H96" s="151"/>
    </row>
    <row r="98" spans="1:8" x14ac:dyDescent="0.2">
      <c r="A98" s="119"/>
      <c r="B98" s="100"/>
      <c r="C98" s="100"/>
      <c r="D98" s="100"/>
      <c r="E98" s="100"/>
      <c r="F98" s="100"/>
      <c r="G98" s="100"/>
      <c r="H98" s="120"/>
    </row>
    <row r="99" spans="1:8" x14ac:dyDescent="0.2">
      <c r="A99" s="153"/>
      <c r="B99" s="3" t="s">
        <v>189</v>
      </c>
      <c r="C99" s="150"/>
      <c r="D99" s="3" t="s">
        <v>64</v>
      </c>
      <c r="E99" s="3" t="s">
        <v>65</v>
      </c>
      <c r="F99" s="3" t="s">
        <v>126</v>
      </c>
      <c r="H99" s="164"/>
    </row>
    <row r="100" spans="1:8" x14ac:dyDescent="0.2">
      <c r="A100" s="153"/>
      <c r="D100" s="166"/>
      <c r="E100" s="166"/>
      <c r="F100" s="166"/>
      <c r="H100" s="164"/>
    </row>
    <row r="101" spans="1:8" x14ac:dyDescent="0.2">
      <c r="A101" s="153"/>
      <c r="B101" s="2" t="s">
        <v>185</v>
      </c>
      <c r="D101" s="194">
        <f>G122</f>
        <v>-25925903.212886147</v>
      </c>
      <c r="E101" s="194">
        <f>G144</f>
        <v>-6096778.0594890704</v>
      </c>
      <c r="F101" s="194">
        <f>SUM(D101:E101)</f>
        <v>-32022681.272375219</v>
      </c>
      <c r="H101" s="164"/>
    </row>
    <row r="102" spans="1:8" x14ac:dyDescent="0.25">
      <c r="A102" s="153"/>
      <c r="B102" s="2" t="s">
        <v>186</v>
      </c>
      <c r="D102" s="224">
        <f>-'BR13 141X thru Jan'!R36</f>
        <v>22167522.018246241</v>
      </c>
      <c r="E102" s="224">
        <f>-'BR13 141X thru Jan'!S58</f>
        <v>6064196.2359670717</v>
      </c>
      <c r="F102" s="224">
        <f>SUM(D102:E102)</f>
        <v>28231718.254213311</v>
      </c>
      <c r="H102" s="164"/>
    </row>
    <row r="103" spans="1:8" x14ac:dyDescent="0.25">
      <c r="A103" s="153"/>
      <c r="B103" s="2" t="s">
        <v>187</v>
      </c>
      <c r="D103" s="224">
        <f>-'BR13 141X thru May'!I38</f>
        <v>5720483.9397439081</v>
      </c>
      <c r="E103" s="224">
        <f>-'BR13 141X thru May'!T23</f>
        <v>1403343.29</v>
      </c>
      <c r="F103" s="224">
        <f>SUM(D103:E103)</f>
        <v>7123827.2297439082</v>
      </c>
      <c r="H103" s="164"/>
    </row>
    <row r="104" spans="1:8" x14ac:dyDescent="0.25">
      <c r="A104" s="153"/>
      <c r="D104" s="225"/>
      <c r="E104" s="225"/>
      <c r="F104" s="225"/>
      <c r="H104" s="164"/>
    </row>
    <row r="105" spans="1:8" ht="15.75" thickBot="1" x14ac:dyDescent="0.3">
      <c r="A105" s="153"/>
      <c r="B105" s="2" t="s">
        <v>188</v>
      </c>
      <c r="D105" s="226">
        <f>SUM(D101:D104)</f>
        <v>1962102.7451040018</v>
      </c>
      <c r="E105" s="226">
        <f t="shared" ref="E105:F105" si="0">SUM(E101:E104)</f>
        <v>1370761.4664780013</v>
      </c>
      <c r="F105" s="226">
        <f t="shared" si="0"/>
        <v>3332864.2115820004</v>
      </c>
      <c r="H105" s="164"/>
    </row>
    <row r="106" spans="1:8" ht="15.75" thickTop="1" x14ac:dyDescent="0.25">
      <c r="A106" s="149"/>
      <c r="B106" s="150"/>
      <c r="C106" s="150"/>
      <c r="D106" s="227"/>
      <c r="E106" s="227"/>
      <c r="F106" s="227"/>
      <c r="G106" s="150"/>
      <c r="H106" s="151"/>
    </row>
    <row r="109" spans="1:8" x14ac:dyDescent="0.2">
      <c r="A109" s="119"/>
      <c r="B109" s="100"/>
      <c r="C109" s="100"/>
      <c r="D109" s="100"/>
      <c r="E109" s="100"/>
      <c r="F109" s="100"/>
      <c r="G109" s="100"/>
      <c r="H109" s="120"/>
    </row>
    <row r="110" spans="1:8" x14ac:dyDescent="0.25">
      <c r="A110" s="173" t="s">
        <v>134</v>
      </c>
      <c r="B110" s="174"/>
      <c r="C110" s="174"/>
      <c r="D110" s="174"/>
      <c r="E110" s="174"/>
      <c r="F110" s="174"/>
      <c r="G110" s="174"/>
      <c r="H110" s="175"/>
    </row>
    <row r="111" spans="1:8" x14ac:dyDescent="0.25">
      <c r="A111" s="173" t="s">
        <v>190</v>
      </c>
      <c r="B111" s="174"/>
      <c r="C111" s="174"/>
      <c r="D111" s="174"/>
      <c r="E111" s="174"/>
      <c r="F111" s="174"/>
      <c r="G111" s="174"/>
      <c r="H111" s="175"/>
    </row>
    <row r="112" spans="1:8" x14ac:dyDescent="0.25">
      <c r="A112" s="173" t="s">
        <v>191</v>
      </c>
      <c r="B112" s="174"/>
      <c r="C112" s="174"/>
      <c r="D112" s="174"/>
      <c r="E112" s="174"/>
      <c r="F112" s="174"/>
      <c r="G112" s="174"/>
      <c r="H112" s="175"/>
    </row>
    <row r="113" spans="1:8" x14ac:dyDescent="0.25">
      <c r="A113" s="173" t="s">
        <v>192</v>
      </c>
      <c r="B113" s="174"/>
      <c r="C113" s="174"/>
      <c r="D113" s="174"/>
      <c r="E113" s="174"/>
      <c r="F113" s="174"/>
      <c r="G113" s="174"/>
      <c r="H113" s="175"/>
    </row>
    <row r="114" spans="1:8" x14ac:dyDescent="0.25">
      <c r="A114" s="176"/>
      <c r="B114" s="177"/>
      <c r="C114" s="177"/>
      <c r="D114" s="177"/>
      <c r="E114" s="177"/>
      <c r="H114" s="164"/>
    </row>
    <row r="115" spans="1:8" x14ac:dyDescent="0.25">
      <c r="A115" s="176"/>
      <c r="B115" s="178"/>
      <c r="F115" s="167" t="s">
        <v>193</v>
      </c>
      <c r="G115" s="167" t="s">
        <v>194</v>
      </c>
      <c r="H115" s="179"/>
    </row>
    <row r="116" spans="1:8" x14ac:dyDescent="0.25">
      <c r="A116" s="180" t="s">
        <v>67</v>
      </c>
      <c r="B116" s="168"/>
      <c r="C116" s="150"/>
      <c r="D116" s="150"/>
      <c r="E116" s="150"/>
      <c r="F116" s="169" t="s">
        <v>195</v>
      </c>
      <c r="G116" s="169" t="s">
        <v>196</v>
      </c>
      <c r="H116" s="181" t="s">
        <v>66</v>
      </c>
    </row>
    <row r="117" spans="1:8" x14ac:dyDescent="0.25">
      <c r="A117" s="176"/>
      <c r="B117" s="178"/>
      <c r="F117" s="170"/>
      <c r="G117" s="170"/>
      <c r="H117" s="182"/>
    </row>
    <row r="118" spans="1:8" x14ac:dyDescent="0.25">
      <c r="A118" s="183">
        <v>1</v>
      </c>
      <c r="B118" s="184" t="s">
        <v>197</v>
      </c>
      <c r="F118" s="185">
        <f>-G118</f>
        <v>19489280</v>
      </c>
      <c r="G118" s="185">
        <v>-19489280</v>
      </c>
      <c r="H118" s="186">
        <f>SUM(F118:G118)</f>
        <v>0</v>
      </c>
    </row>
    <row r="119" spans="1:8" x14ac:dyDescent="0.25">
      <c r="A119" s="183">
        <v>2</v>
      </c>
      <c r="B119" s="178" t="s">
        <v>198</v>
      </c>
      <c r="F119" s="187">
        <v>0.79</v>
      </c>
      <c r="G119" s="187">
        <v>0.79</v>
      </c>
      <c r="H119" s="188">
        <v>0.79</v>
      </c>
    </row>
    <row r="120" spans="1:8" x14ac:dyDescent="0.25">
      <c r="A120" s="183" t="s">
        <v>199</v>
      </c>
      <c r="B120" s="178" t="s">
        <v>200</v>
      </c>
      <c r="F120" s="171">
        <f>F118/F119</f>
        <v>24669974.683544304</v>
      </c>
      <c r="G120" s="171">
        <f>G118/G119</f>
        <v>-24669974.683544304</v>
      </c>
      <c r="H120" s="189">
        <f>H118/H119</f>
        <v>0</v>
      </c>
    </row>
    <row r="121" spans="1:8" x14ac:dyDescent="0.25">
      <c r="A121" s="183">
        <v>4</v>
      </c>
      <c r="B121" s="178" t="s">
        <v>201</v>
      </c>
      <c r="F121" s="190">
        <v>0.95155699999999999</v>
      </c>
      <c r="G121" s="190">
        <v>0.95155699999999999</v>
      </c>
      <c r="H121" s="191">
        <v>0.95155699999999999</v>
      </c>
    </row>
    <row r="122" spans="1:8" ht="15.75" thickBot="1" x14ac:dyDescent="0.3">
      <c r="A122" s="183" t="s">
        <v>202</v>
      </c>
      <c r="B122" s="178" t="s">
        <v>203</v>
      </c>
      <c r="F122" s="172">
        <f>F120/F121</f>
        <v>25925903.212886147</v>
      </c>
      <c r="G122" s="172">
        <f>G120/G121</f>
        <v>-25925903.212886147</v>
      </c>
      <c r="H122" s="192">
        <f>H120/H121</f>
        <v>0</v>
      </c>
    </row>
    <row r="123" spans="1:8" ht="15.75" thickTop="1" x14ac:dyDescent="0.25">
      <c r="A123" s="176"/>
      <c r="B123" s="177"/>
      <c r="C123" s="177"/>
      <c r="D123" s="177"/>
      <c r="E123" s="177"/>
      <c r="H123" s="164"/>
    </row>
    <row r="124" spans="1:8" x14ac:dyDescent="0.25">
      <c r="A124" s="176"/>
      <c r="B124" s="177"/>
      <c r="C124" s="177"/>
      <c r="D124" s="177"/>
      <c r="E124" s="177"/>
      <c r="H124" s="164"/>
    </row>
    <row r="125" spans="1:8" x14ac:dyDescent="0.25">
      <c r="A125" s="176"/>
      <c r="B125" s="177"/>
      <c r="C125" s="177"/>
      <c r="D125" s="177"/>
      <c r="E125" s="177"/>
      <c r="H125" s="164"/>
    </row>
    <row r="126" spans="1:8" x14ac:dyDescent="0.25">
      <c r="A126" s="193" t="s">
        <v>204</v>
      </c>
      <c r="B126" s="177"/>
      <c r="C126" s="177"/>
      <c r="D126" s="177"/>
      <c r="E126" s="177"/>
      <c r="H126" s="164"/>
    </row>
    <row r="127" spans="1:8" x14ac:dyDescent="0.2">
      <c r="A127" s="149"/>
      <c r="B127" s="150"/>
      <c r="C127" s="150"/>
      <c r="D127" s="150"/>
      <c r="E127" s="150"/>
      <c r="F127" s="150"/>
      <c r="G127" s="150"/>
      <c r="H127" s="151"/>
    </row>
    <row r="130" spans="1:8" x14ac:dyDescent="0.2">
      <c r="A130" s="119"/>
      <c r="B130" s="100"/>
      <c r="C130" s="100"/>
      <c r="D130" s="100"/>
      <c r="E130" s="100"/>
      <c r="F130" s="100"/>
      <c r="G130" s="100"/>
      <c r="H130" s="120"/>
    </row>
    <row r="131" spans="1:8" x14ac:dyDescent="0.25">
      <c r="A131" s="201" t="s">
        <v>134</v>
      </c>
      <c r="B131" s="202"/>
      <c r="C131" s="202"/>
      <c r="D131" s="202"/>
      <c r="E131" s="202"/>
      <c r="F131" s="202"/>
      <c r="G131" s="202"/>
      <c r="H131" s="203"/>
    </row>
    <row r="132" spans="1:8" x14ac:dyDescent="0.25">
      <c r="A132" s="201" t="s">
        <v>190</v>
      </c>
      <c r="B132" s="202"/>
      <c r="C132" s="202"/>
      <c r="D132" s="202"/>
      <c r="E132" s="202"/>
      <c r="F132" s="202"/>
      <c r="G132" s="202"/>
      <c r="H132" s="203"/>
    </row>
    <row r="133" spans="1:8" x14ac:dyDescent="0.25">
      <c r="A133" s="201" t="s">
        <v>191</v>
      </c>
      <c r="B133" s="202"/>
      <c r="C133" s="202"/>
      <c r="D133" s="202"/>
      <c r="E133" s="202"/>
      <c r="F133" s="202"/>
      <c r="G133" s="202"/>
      <c r="H133" s="203"/>
    </row>
    <row r="134" spans="1:8" x14ac:dyDescent="0.25">
      <c r="A134" s="201" t="s">
        <v>205</v>
      </c>
      <c r="B134" s="202"/>
      <c r="C134" s="202"/>
      <c r="D134" s="202"/>
      <c r="E134" s="202"/>
      <c r="F134" s="202"/>
      <c r="G134" s="202"/>
      <c r="H134" s="203"/>
    </row>
    <row r="135" spans="1:8" x14ac:dyDescent="0.25">
      <c r="A135" s="204"/>
      <c r="B135" s="205"/>
      <c r="C135" s="205"/>
      <c r="D135" s="205"/>
      <c r="E135" s="205"/>
      <c r="H135" s="164"/>
    </row>
    <row r="136" spans="1:8" x14ac:dyDescent="0.25">
      <c r="A136" s="204"/>
      <c r="B136" s="205"/>
      <c r="F136" s="206" t="s">
        <v>206</v>
      </c>
      <c r="G136" s="205"/>
      <c r="H136" s="207"/>
    </row>
    <row r="137" spans="1:8" x14ac:dyDescent="0.25">
      <c r="A137" s="204"/>
      <c r="B137" s="184"/>
      <c r="F137" s="195" t="s">
        <v>193</v>
      </c>
      <c r="G137" s="195" t="s">
        <v>194</v>
      </c>
      <c r="H137" s="208"/>
    </row>
    <row r="138" spans="1:8" x14ac:dyDescent="0.25">
      <c r="A138" s="209" t="s">
        <v>67</v>
      </c>
      <c r="B138" s="196"/>
      <c r="C138" s="150"/>
      <c r="D138" s="150"/>
      <c r="E138" s="150"/>
      <c r="F138" s="197" t="s">
        <v>195</v>
      </c>
      <c r="G138" s="197" t="s">
        <v>196</v>
      </c>
      <c r="H138" s="210" t="s">
        <v>66</v>
      </c>
    </row>
    <row r="139" spans="1:8" x14ac:dyDescent="0.25">
      <c r="A139" s="204"/>
      <c r="B139" s="184"/>
      <c r="F139" s="198"/>
      <c r="G139" s="198"/>
      <c r="H139" s="211"/>
    </row>
    <row r="140" spans="1:8" x14ac:dyDescent="0.25">
      <c r="A140" s="212">
        <v>1</v>
      </c>
      <c r="B140" s="184" t="s">
        <v>197</v>
      </c>
      <c r="F140" s="213">
        <f>H140-G140</f>
        <v>20782478.443657331</v>
      </c>
      <c r="G140" s="213">
        <v>-4596843.5999999996</v>
      </c>
      <c r="H140" s="214">
        <v>16185634.84365733</v>
      </c>
    </row>
    <row r="141" spans="1:8" x14ac:dyDescent="0.25">
      <c r="A141" s="212">
        <v>2</v>
      </c>
      <c r="B141" s="184" t="s">
        <v>198</v>
      </c>
      <c r="F141" s="215">
        <v>0.79</v>
      </c>
      <c r="G141" s="215">
        <v>0.79</v>
      </c>
      <c r="H141" s="216">
        <v>0.79</v>
      </c>
    </row>
    <row r="142" spans="1:8" x14ac:dyDescent="0.25">
      <c r="A142" s="212" t="s">
        <v>199</v>
      </c>
      <c r="B142" s="184" t="s">
        <v>200</v>
      </c>
      <c r="F142" s="199">
        <f>F140/F141</f>
        <v>26306934.738806747</v>
      </c>
      <c r="G142" s="199">
        <f>G140/G141</f>
        <v>-5818789.3670886066</v>
      </c>
      <c r="H142" s="217">
        <f>H140/H141</f>
        <v>20488145.371718138</v>
      </c>
    </row>
    <row r="143" spans="1:8" x14ac:dyDescent="0.25">
      <c r="A143" s="212">
        <v>4</v>
      </c>
      <c r="B143" s="184" t="s">
        <v>201</v>
      </c>
      <c r="F143" s="218">
        <v>0.95440400000000003</v>
      </c>
      <c r="G143" s="218">
        <v>0.95440400000000003</v>
      </c>
      <c r="H143" s="219">
        <v>0.95440400000000003</v>
      </c>
    </row>
    <row r="144" spans="1:8" ht="15.75" thickBot="1" x14ac:dyDescent="0.3">
      <c r="A144" s="212" t="s">
        <v>202</v>
      </c>
      <c r="B144" s="184" t="s">
        <v>203</v>
      </c>
      <c r="F144" s="200">
        <f>F142/F143+5</f>
        <v>27563735.599208247</v>
      </c>
      <c r="G144" s="200">
        <f>G142/G143</f>
        <v>-6096778.0594890704</v>
      </c>
      <c r="H144" s="220">
        <f>H142/H143</f>
        <v>21466952.539719172</v>
      </c>
    </row>
    <row r="145" spans="1:8" ht="15.75" thickTop="1" x14ac:dyDescent="0.25">
      <c r="A145" s="204"/>
      <c r="B145" s="205"/>
      <c r="F145" s="205"/>
      <c r="G145" s="221" t="s">
        <v>207</v>
      </c>
      <c r="H145" s="222">
        <v>21466952.539719172</v>
      </c>
    </row>
    <row r="146" spans="1:8" x14ac:dyDescent="0.25">
      <c r="A146" s="204"/>
      <c r="B146" s="205"/>
      <c r="C146" s="205"/>
      <c r="D146" s="205"/>
      <c r="E146" s="205"/>
      <c r="H146" s="164"/>
    </row>
    <row r="147" spans="1:8" x14ac:dyDescent="0.25">
      <c r="A147" s="204"/>
      <c r="B147" s="205"/>
      <c r="C147" s="205"/>
      <c r="D147" s="205"/>
      <c r="E147" s="205"/>
      <c r="H147" s="164"/>
    </row>
    <row r="148" spans="1:8" x14ac:dyDescent="0.25">
      <c r="A148" s="223" t="s">
        <v>204</v>
      </c>
      <c r="B148" s="205"/>
      <c r="C148" s="205"/>
      <c r="D148" s="205"/>
      <c r="E148" s="205"/>
      <c r="H148" s="164"/>
    </row>
    <row r="149" spans="1:8" x14ac:dyDescent="0.2">
      <c r="A149" s="149"/>
      <c r="B149" s="150"/>
      <c r="C149" s="150"/>
      <c r="D149" s="150"/>
      <c r="E149" s="150"/>
      <c r="F149" s="150"/>
      <c r="G149" s="150"/>
      <c r="H149" s="15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pane ySplit="6" topLeftCell="A19" activePane="bottomLeft" state="frozen"/>
      <selection activeCell="B18" sqref="B18"/>
      <selection pane="bottomLeft" activeCell="R36" sqref="R36"/>
    </sheetView>
  </sheetViews>
  <sheetFormatPr defaultColWidth="9.33203125" defaultRowHeight="15" x14ac:dyDescent="0.25"/>
  <cols>
    <col min="1" max="1" width="8.5" style="231" bestFit="1" customWidth="1"/>
    <col min="2" max="2" width="35.5" style="231" bestFit="1" customWidth="1"/>
    <col min="3" max="3" width="12.83203125" style="231" bestFit="1" customWidth="1"/>
    <col min="4" max="4" width="12.1640625" style="231" bestFit="1" customWidth="1"/>
    <col min="5" max="5" width="9.33203125" style="231"/>
    <col min="6" max="14" width="12.1640625" style="231" bestFit="1" customWidth="1"/>
    <col min="15" max="15" width="9.33203125" style="231"/>
    <col min="16" max="16" width="13.1640625" style="231" bestFit="1" customWidth="1"/>
    <col min="17" max="17" width="12.1640625" style="231" bestFit="1" customWidth="1"/>
    <col min="18" max="18" width="15.6640625" style="231" bestFit="1" customWidth="1"/>
    <col min="19" max="19" width="14.5" style="231" bestFit="1" customWidth="1"/>
    <col min="20" max="16384" width="9.33203125" style="231"/>
  </cols>
  <sheetData>
    <row r="1" spans="1:17" x14ac:dyDescent="0.25">
      <c r="A1" s="322" t="s">
        <v>134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</row>
    <row r="2" spans="1:17" x14ac:dyDescent="0.25">
      <c r="A2" s="319" t="s">
        <v>135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7" x14ac:dyDescent="0.25">
      <c r="A3" s="319" t="s">
        <v>136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7" x14ac:dyDescent="0.25">
      <c r="A4" s="321" t="s">
        <v>137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</row>
    <row r="5" spans="1:17" x14ac:dyDescent="0.25">
      <c r="A5" s="252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</row>
    <row r="6" spans="1:17" x14ac:dyDescent="0.25">
      <c r="A6" s="248" t="s">
        <v>138</v>
      </c>
      <c r="B6" s="248" t="s">
        <v>139</v>
      </c>
      <c r="C6" s="248"/>
      <c r="D6" s="247">
        <v>43554</v>
      </c>
      <c r="E6" s="247">
        <v>43585</v>
      </c>
      <c r="F6" s="247">
        <v>43616</v>
      </c>
      <c r="G6" s="247">
        <v>43646</v>
      </c>
      <c r="H6" s="247">
        <v>43677</v>
      </c>
      <c r="I6" s="247">
        <v>43708</v>
      </c>
      <c r="J6" s="247">
        <v>43738</v>
      </c>
      <c r="K6" s="247">
        <v>43769</v>
      </c>
      <c r="L6" s="247">
        <v>43799</v>
      </c>
      <c r="M6" s="247">
        <v>43830</v>
      </c>
      <c r="N6" s="247">
        <v>43831</v>
      </c>
      <c r="O6" s="247"/>
      <c r="P6" s="246" t="s">
        <v>140</v>
      </c>
      <c r="Q6" s="245">
        <v>43862</v>
      </c>
    </row>
    <row r="7" spans="1:17" x14ac:dyDescent="0.25">
      <c r="A7" s="235">
        <v>1</v>
      </c>
      <c r="B7" s="242" t="s">
        <v>141</v>
      </c>
      <c r="C7" s="242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0"/>
    </row>
    <row r="8" spans="1:17" x14ac:dyDescent="0.25">
      <c r="A8" s="235">
        <f t="shared" ref="A8:A36" si="0">+A7+1</f>
        <v>2</v>
      </c>
      <c r="B8" s="235">
        <v>7</v>
      </c>
      <c r="C8" s="235"/>
      <c r="D8" s="237">
        <v>-781245.78</v>
      </c>
      <c r="E8" s="237">
        <v>-649470.99</v>
      </c>
      <c r="F8" s="237">
        <v>-1157588.07</v>
      </c>
      <c r="G8" s="237">
        <v>-998988.39</v>
      </c>
      <c r="H8" s="237">
        <v>-985741.5</v>
      </c>
      <c r="I8" s="237">
        <v>-1024013.37</v>
      </c>
      <c r="J8" s="237">
        <v>-1031473.56</v>
      </c>
      <c r="K8" s="237">
        <v>-1124089.6200000001</v>
      </c>
      <c r="L8" s="237">
        <v>-1359383.67</v>
      </c>
      <c r="M8" s="237">
        <v>-1871082.21</v>
      </c>
      <c r="N8" s="237">
        <v>-1909361.56</v>
      </c>
      <c r="O8" s="237"/>
      <c r="P8" s="233">
        <f>SUM(D8:N8)</f>
        <v>-12892438.720000001</v>
      </c>
    </row>
    <row r="9" spans="1:17" x14ac:dyDescent="0.25">
      <c r="A9" s="235">
        <f t="shared" si="0"/>
        <v>3</v>
      </c>
      <c r="B9" s="235"/>
      <c r="C9" s="235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</row>
    <row r="10" spans="1:17" x14ac:dyDescent="0.25">
      <c r="A10" s="235">
        <f t="shared" si="0"/>
        <v>4</v>
      </c>
      <c r="B10" s="242" t="s">
        <v>142</v>
      </c>
      <c r="C10" s="242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</row>
    <row r="11" spans="1:17" x14ac:dyDescent="0.25">
      <c r="A11" s="235">
        <f t="shared" si="0"/>
        <v>5</v>
      </c>
      <c r="B11" s="243" t="s">
        <v>143</v>
      </c>
      <c r="C11" s="243"/>
      <c r="D11" s="237">
        <v>-293681.44999999995</v>
      </c>
      <c r="E11" s="237">
        <v>-132344.40999999997</v>
      </c>
      <c r="F11" s="237">
        <v>-135903.32</v>
      </c>
      <c r="G11" s="237">
        <v>-231445.91</v>
      </c>
      <c r="H11" s="237">
        <v>-238643.77000000002</v>
      </c>
      <c r="I11" s="237">
        <v>-243479.48</v>
      </c>
      <c r="J11" s="237">
        <v>-248718.42999999996</v>
      </c>
      <c r="K11" s="237">
        <v>-241975.09999999998</v>
      </c>
      <c r="L11" s="237">
        <v>-245691.81</v>
      </c>
      <c r="M11" s="237">
        <v>-294381.06</v>
      </c>
      <c r="N11" s="237">
        <v>-292252.82</v>
      </c>
      <c r="O11" s="237"/>
      <c r="P11" s="233">
        <f>SUM(D11:N11)</f>
        <v>-2598517.56</v>
      </c>
    </row>
    <row r="12" spans="1:17" x14ac:dyDescent="0.25">
      <c r="A12" s="235">
        <f t="shared" si="0"/>
        <v>6</v>
      </c>
      <c r="B12" s="243" t="s">
        <v>144</v>
      </c>
      <c r="C12" s="243"/>
      <c r="D12" s="237">
        <v>-10281.17</v>
      </c>
      <c r="E12" s="237">
        <v>-42903.75</v>
      </c>
      <c r="F12" s="237">
        <v>-59815.58</v>
      </c>
      <c r="G12" s="237">
        <v>-170005.69000000003</v>
      </c>
      <c r="H12" s="237">
        <v>-172674.21999999997</v>
      </c>
      <c r="I12" s="237">
        <v>-167931.64000000004</v>
      </c>
      <c r="J12" s="237">
        <v>-90290.29</v>
      </c>
      <c r="K12" s="237">
        <v>-202506.30999999997</v>
      </c>
      <c r="L12" s="237">
        <v>-236096.61</v>
      </c>
      <c r="M12" s="237">
        <v>-266866.12000000005</v>
      </c>
      <c r="N12" s="237">
        <v>-133378.5</v>
      </c>
      <c r="O12" s="237"/>
      <c r="P12" s="233">
        <f>SUM(D12:N12)</f>
        <v>-1552749.8800000001</v>
      </c>
    </row>
    <row r="13" spans="1:17" x14ac:dyDescent="0.25">
      <c r="A13" s="235">
        <f t="shared" si="0"/>
        <v>7</v>
      </c>
      <c r="B13" s="243" t="s">
        <v>145</v>
      </c>
      <c r="C13" s="243"/>
      <c r="D13" s="237">
        <v>-79611.689999999973</v>
      </c>
      <c r="E13" s="237">
        <v>-12281.140000000001</v>
      </c>
      <c r="F13" s="237">
        <v>-105800.63</v>
      </c>
      <c r="G13" s="237">
        <v>-117730.63</v>
      </c>
      <c r="H13" s="237">
        <v>-110708.86000000002</v>
      </c>
      <c r="I13" s="237">
        <v>-112515.61</v>
      </c>
      <c r="J13" s="237">
        <v>-112437.1</v>
      </c>
      <c r="K13" s="237">
        <v>-122252.22</v>
      </c>
      <c r="L13" s="237">
        <v>-116631.18000000001</v>
      </c>
      <c r="M13" s="237">
        <v>-133770.38</v>
      </c>
      <c r="N13" s="237">
        <v>-120089.69</v>
      </c>
      <c r="O13" s="237"/>
      <c r="P13" s="233">
        <f>SUM(D13:N13)</f>
        <v>-1143829.1299999999</v>
      </c>
    </row>
    <row r="14" spans="1:17" x14ac:dyDescent="0.25">
      <c r="A14" s="235">
        <f t="shared" si="0"/>
        <v>8</v>
      </c>
      <c r="B14" s="235">
        <v>29</v>
      </c>
      <c r="C14" s="235"/>
      <c r="D14" s="237">
        <v>-130.47999999999999</v>
      </c>
      <c r="E14" s="237">
        <v>-118.81</v>
      </c>
      <c r="F14" s="237">
        <v>-340.63</v>
      </c>
      <c r="G14" s="237">
        <v>-1140.83</v>
      </c>
      <c r="H14" s="237">
        <v>-2054.4699999999998</v>
      </c>
      <c r="I14" s="237">
        <v>-2344.7799999999997</v>
      </c>
      <c r="J14" s="237">
        <v>-1979.18</v>
      </c>
      <c r="K14" s="237">
        <v>-726.45</v>
      </c>
      <c r="L14" s="237">
        <v>-371.16999999999996</v>
      </c>
      <c r="M14" s="237">
        <v>-430.57</v>
      </c>
      <c r="N14" s="237">
        <v>-398.9</v>
      </c>
      <c r="O14" s="237"/>
      <c r="P14" s="233">
        <f>SUM(D14:N14)</f>
        <v>-10036.27</v>
      </c>
    </row>
    <row r="15" spans="1:17" x14ac:dyDescent="0.25">
      <c r="A15" s="235">
        <f t="shared" si="0"/>
        <v>9</v>
      </c>
      <c r="B15" s="243"/>
      <c r="C15" s="24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</row>
    <row r="16" spans="1:17" x14ac:dyDescent="0.25">
      <c r="A16" s="235">
        <f t="shared" si="0"/>
        <v>10</v>
      </c>
      <c r="B16" s="242" t="s">
        <v>146</v>
      </c>
      <c r="C16" s="242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</row>
    <row r="17" spans="1:16" x14ac:dyDescent="0.25">
      <c r="A17" s="235">
        <f t="shared" si="0"/>
        <v>11</v>
      </c>
      <c r="B17" s="235" t="s">
        <v>147</v>
      </c>
      <c r="C17" s="235"/>
      <c r="D17" s="237">
        <v>-56604.609999999993</v>
      </c>
      <c r="E17" s="237">
        <v>-27974.01</v>
      </c>
      <c r="F17" s="237">
        <v>-42118.139999999992</v>
      </c>
      <c r="G17" s="237">
        <v>-81497.78</v>
      </c>
      <c r="H17" s="237">
        <v>-74478.38</v>
      </c>
      <c r="I17" s="237">
        <v>-77457.649999999994</v>
      </c>
      <c r="J17" s="237">
        <v>-80161.73</v>
      </c>
      <c r="K17" s="237">
        <v>-85306.84</v>
      </c>
      <c r="L17" s="237">
        <v>-76294.47</v>
      </c>
      <c r="M17" s="237">
        <v>-92156.78</v>
      </c>
      <c r="N17" s="237">
        <v>-89753.34</v>
      </c>
      <c r="O17" s="237"/>
      <c r="P17" s="233">
        <f>SUM(D17:N17)</f>
        <v>-783803.72999999986</v>
      </c>
    </row>
    <row r="18" spans="1:16" x14ac:dyDescent="0.25">
      <c r="A18" s="235">
        <f t="shared" si="0"/>
        <v>12</v>
      </c>
      <c r="B18" s="235">
        <v>35</v>
      </c>
      <c r="C18" s="235"/>
      <c r="D18" s="237">
        <v>-4.59</v>
      </c>
      <c r="E18" s="237">
        <v>0</v>
      </c>
      <c r="F18" s="237">
        <v>-0.16</v>
      </c>
      <c r="G18" s="237">
        <v>-1008.46</v>
      </c>
      <c r="H18" s="237">
        <v>-931.84</v>
      </c>
      <c r="I18" s="237">
        <v>-1083.17</v>
      </c>
      <c r="J18" s="237">
        <v>-0.83</v>
      </c>
      <c r="K18" s="237">
        <v>-2233.85</v>
      </c>
      <c r="L18" s="237">
        <v>-422.23</v>
      </c>
      <c r="M18" s="237">
        <v>-11</v>
      </c>
      <c r="N18" s="237">
        <v>-9.32</v>
      </c>
      <c r="O18" s="237"/>
      <c r="P18" s="233">
        <f>SUM(D18:N18)</f>
        <v>-5705.4499999999989</v>
      </c>
    </row>
    <row r="19" spans="1:16" x14ac:dyDescent="0.25">
      <c r="A19" s="235">
        <f t="shared" si="0"/>
        <v>13</v>
      </c>
      <c r="B19" s="235">
        <v>43</v>
      </c>
      <c r="C19" s="235"/>
      <c r="D19" s="237">
        <v>-121.08</v>
      </c>
      <c r="E19" s="237">
        <v>-130.81</v>
      </c>
      <c r="F19" s="237">
        <v>-14570.93</v>
      </c>
      <c r="G19" s="237">
        <v>-10095.15</v>
      </c>
      <c r="H19" s="237">
        <v>-6707.14</v>
      </c>
      <c r="I19" s="237">
        <v>-6347.07</v>
      </c>
      <c r="J19" s="237">
        <v>-6213.88</v>
      </c>
      <c r="K19" s="237">
        <v>-10067.86</v>
      </c>
      <c r="L19" s="237">
        <v>-12324.83</v>
      </c>
      <c r="M19" s="237">
        <v>-11347.21</v>
      </c>
      <c r="N19" s="237">
        <v>-15104.23</v>
      </c>
      <c r="O19" s="237"/>
      <c r="P19" s="233">
        <f>SUM(D19:N19)</f>
        <v>-93030.189999999988</v>
      </c>
    </row>
    <row r="20" spans="1:16" x14ac:dyDescent="0.25">
      <c r="A20" s="235">
        <f t="shared" si="0"/>
        <v>14</v>
      </c>
      <c r="B20" s="243"/>
      <c r="C20" s="24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</row>
    <row r="21" spans="1:16" x14ac:dyDescent="0.25">
      <c r="A21" s="235">
        <f t="shared" si="0"/>
        <v>15</v>
      </c>
      <c r="B21" s="242" t="s">
        <v>148</v>
      </c>
      <c r="C21" s="24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</row>
    <row r="22" spans="1:16" x14ac:dyDescent="0.25">
      <c r="A22" s="235">
        <f t="shared" si="0"/>
        <v>16</v>
      </c>
      <c r="B22" s="235">
        <v>40</v>
      </c>
      <c r="C22" s="243"/>
      <c r="D22" s="237">
        <v>-61.39</v>
      </c>
      <c r="E22" s="237">
        <v>-2619.25</v>
      </c>
      <c r="F22" s="237">
        <v>-6317.08</v>
      </c>
      <c r="G22" s="237">
        <v>-6657.4</v>
      </c>
      <c r="H22" s="237">
        <v>-6017.1</v>
      </c>
      <c r="I22" s="237">
        <v>-8438.7099999999991</v>
      </c>
      <c r="J22" s="237">
        <v>-8540.4000000000015</v>
      </c>
      <c r="K22" s="237">
        <v>-6777.66</v>
      </c>
      <c r="L22" s="237">
        <v>-5533.68</v>
      </c>
      <c r="M22" s="237">
        <v>-11657.32</v>
      </c>
      <c r="N22" s="237">
        <v>-6708.62</v>
      </c>
      <c r="O22" s="237"/>
      <c r="P22" s="233">
        <f>SUM(D22:N22)</f>
        <v>-69328.61</v>
      </c>
    </row>
    <row r="23" spans="1:16" x14ac:dyDescent="0.25">
      <c r="A23" s="235">
        <f t="shared" si="0"/>
        <v>17</v>
      </c>
      <c r="B23" s="235"/>
      <c r="C23" s="24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</row>
    <row r="24" spans="1:16" x14ac:dyDescent="0.25">
      <c r="A24" s="235">
        <f t="shared" si="0"/>
        <v>18</v>
      </c>
      <c r="B24" s="242" t="s">
        <v>149</v>
      </c>
      <c r="C24" s="242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</row>
    <row r="25" spans="1:16" x14ac:dyDescent="0.25">
      <c r="A25" s="235">
        <f t="shared" si="0"/>
        <v>19</v>
      </c>
      <c r="B25" s="235">
        <v>46</v>
      </c>
      <c r="C25" s="235"/>
      <c r="D25" s="237">
        <v>-2951.98</v>
      </c>
      <c r="E25" s="237">
        <v>-4566.76</v>
      </c>
      <c r="F25" s="237">
        <v>0</v>
      </c>
      <c r="G25" s="237">
        <v>-3829.3199999999997</v>
      </c>
      <c r="H25" s="237">
        <v>-4958</v>
      </c>
      <c r="I25" s="237">
        <v>-4224.9699999999993</v>
      </c>
      <c r="J25" s="237">
        <v>-4758.8599999999997</v>
      </c>
      <c r="K25" s="237">
        <v>-4702.84</v>
      </c>
      <c r="L25" s="237">
        <v>-4464.3099999999995</v>
      </c>
      <c r="M25" s="237">
        <v>-4066.67</v>
      </c>
      <c r="N25" s="237">
        <v>-3782.46</v>
      </c>
      <c r="O25" s="237"/>
      <c r="P25" s="233">
        <f>SUM(D25:N25)</f>
        <v>-42306.17</v>
      </c>
    </row>
    <row r="26" spans="1:16" x14ac:dyDescent="0.25">
      <c r="A26" s="235">
        <f t="shared" si="0"/>
        <v>20</v>
      </c>
      <c r="B26" s="235">
        <v>49</v>
      </c>
      <c r="C26" s="235"/>
      <c r="D26" s="237">
        <v>-5340.65</v>
      </c>
      <c r="E26" s="237">
        <v>-28267.78</v>
      </c>
      <c r="F26" s="237">
        <v>-26308.66</v>
      </c>
      <c r="G26" s="237">
        <v>-29075.52</v>
      </c>
      <c r="H26" s="237">
        <v>-28457.39</v>
      </c>
      <c r="I26" s="237">
        <v>-23367.19</v>
      </c>
      <c r="J26" s="237">
        <v>-23824.04</v>
      </c>
      <c r="K26" s="237">
        <v>-22463.65</v>
      </c>
      <c r="L26" s="237">
        <v>-28404.240000000002</v>
      </c>
      <c r="M26" s="237">
        <v>-28433.68</v>
      </c>
      <c r="N26" s="237">
        <v>-23426.94</v>
      </c>
      <c r="O26" s="237"/>
      <c r="P26" s="233">
        <f>SUM(D26:N26)</f>
        <v>-267369.74</v>
      </c>
    </row>
    <row r="27" spans="1:16" x14ac:dyDescent="0.25">
      <c r="A27" s="235">
        <f t="shared" si="0"/>
        <v>21</v>
      </c>
      <c r="B27" s="235"/>
      <c r="C27" s="235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</row>
    <row r="28" spans="1:16" x14ac:dyDescent="0.25">
      <c r="A28" s="235">
        <f t="shared" si="0"/>
        <v>22</v>
      </c>
      <c r="B28" s="242" t="s">
        <v>150</v>
      </c>
      <c r="C28" s="242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</row>
    <row r="29" spans="1:16" x14ac:dyDescent="0.25">
      <c r="A29" s="235">
        <f t="shared" si="0"/>
        <v>23</v>
      </c>
      <c r="B29" s="235" t="s">
        <v>151</v>
      </c>
      <c r="C29" s="235"/>
      <c r="D29" s="237">
        <v>-8338.77</v>
      </c>
      <c r="E29" s="237">
        <v>-11426.880000000001</v>
      </c>
      <c r="F29" s="237">
        <v>-8576.59</v>
      </c>
      <c r="G29" s="237">
        <v>-18213.07</v>
      </c>
      <c r="H29" s="237">
        <v>-18098.809999999998</v>
      </c>
      <c r="I29" s="237">
        <v>-20496.939999999999</v>
      </c>
      <c r="J29" s="237">
        <v>-17850.310000000001</v>
      </c>
      <c r="K29" s="237">
        <v>-18679.140000000003</v>
      </c>
      <c r="L29" s="237">
        <v>-18918.7</v>
      </c>
      <c r="M29" s="237">
        <v>-23426.859999999997</v>
      </c>
      <c r="N29" s="237">
        <v>-20109.3</v>
      </c>
      <c r="O29" s="237"/>
      <c r="P29" s="233">
        <f>SUM(D29:N29)</f>
        <v>-184135.36999999997</v>
      </c>
    </row>
    <row r="30" spans="1:16" x14ac:dyDescent="0.25">
      <c r="A30" s="235">
        <f t="shared" si="0"/>
        <v>24</v>
      </c>
      <c r="B30" s="235"/>
      <c r="C30" s="235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</row>
    <row r="31" spans="1:16" x14ac:dyDescent="0.25">
      <c r="A31" s="235">
        <f t="shared" si="0"/>
        <v>25</v>
      </c>
      <c r="B31" s="242" t="s">
        <v>152</v>
      </c>
      <c r="C31" s="242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</row>
    <row r="32" spans="1:16" x14ac:dyDescent="0.25">
      <c r="A32" s="235">
        <f t="shared" si="0"/>
        <v>26</v>
      </c>
      <c r="B32" s="235" t="s">
        <v>153</v>
      </c>
      <c r="C32" s="235"/>
      <c r="D32" s="237">
        <v>0</v>
      </c>
      <c r="E32" s="237">
        <v>-270</v>
      </c>
      <c r="F32" s="237">
        <v>-54</v>
      </c>
      <c r="G32" s="237">
        <v>-297</v>
      </c>
      <c r="H32" s="237">
        <v>-297</v>
      </c>
      <c r="I32" s="237">
        <v>-297</v>
      </c>
      <c r="J32" s="237">
        <v>-351</v>
      </c>
      <c r="K32" s="237">
        <v>-351</v>
      </c>
      <c r="L32" s="237">
        <v>-54</v>
      </c>
      <c r="M32" s="237">
        <v>0</v>
      </c>
      <c r="N32" s="237">
        <v>-351</v>
      </c>
      <c r="O32" s="237"/>
      <c r="P32" s="233">
        <f>SUM(D32:N32)</f>
        <v>-2322</v>
      </c>
    </row>
    <row r="33" spans="1:18" x14ac:dyDescent="0.25">
      <c r="A33" s="235">
        <f t="shared" si="0"/>
        <v>27</v>
      </c>
      <c r="B33" s="235"/>
      <c r="C33" s="235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3"/>
    </row>
    <row r="34" spans="1:18" x14ac:dyDescent="0.25">
      <c r="A34" s="235">
        <f t="shared" si="0"/>
        <v>28</v>
      </c>
      <c r="B34" s="242" t="s">
        <v>154</v>
      </c>
      <c r="C34" s="242"/>
      <c r="D34" s="237">
        <v>0</v>
      </c>
      <c r="E34" s="237">
        <v>0</v>
      </c>
      <c r="F34" s="237">
        <v>-2484</v>
      </c>
      <c r="G34" s="237">
        <v>-2538</v>
      </c>
      <c r="H34" s="237">
        <v>-2511</v>
      </c>
      <c r="I34" s="237">
        <v>-2511</v>
      </c>
      <c r="J34" s="237">
        <v>-2511</v>
      </c>
      <c r="K34" s="237">
        <v>-2511</v>
      </c>
      <c r="L34" s="237">
        <v>-2511</v>
      </c>
      <c r="M34" s="237">
        <v>-2511</v>
      </c>
      <c r="N34" s="237">
        <v>-2511</v>
      </c>
      <c r="O34" s="237"/>
      <c r="P34" s="233">
        <f>SUM(D34:N34)</f>
        <v>-22599</v>
      </c>
    </row>
    <row r="35" spans="1:18" x14ac:dyDescent="0.25">
      <c r="A35" s="235">
        <f t="shared" si="0"/>
        <v>29</v>
      </c>
      <c r="B35" s="235"/>
      <c r="C35" s="235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</row>
    <row r="36" spans="1:18" ht="15.75" thickBot="1" x14ac:dyDescent="0.3">
      <c r="A36" s="235">
        <f t="shared" si="0"/>
        <v>30</v>
      </c>
      <c r="B36" s="235" t="s">
        <v>155</v>
      </c>
      <c r="C36" s="235"/>
      <c r="D36" s="234">
        <f t="shared" ref="D36:N36" si="1">SUM(D7:D35)</f>
        <v>-1238373.6399999999</v>
      </c>
      <c r="E36" s="234">
        <f t="shared" si="1"/>
        <v>-912374.59000000008</v>
      </c>
      <c r="F36" s="234">
        <f t="shared" si="1"/>
        <v>-1559877.7899999998</v>
      </c>
      <c r="G36" s="234">
        <f t="shared" si="1"/>
        <v>-1672523.1500000001</v>
      </c>
      <c r="H36" s="234">
        <f t="shared" si="1"/>
        <v>-1652279.4800000002</v>
      </c>
      <c r="I36" s="234">
        <f t="shared" si="1"/>
        <v>-1694508.58</v>
      </c>
      <c r="J36" s="234">
        <f t="shared" si="1"/>
        <v>-1629110.61</v>
      </c>
      <c r="K36" s="234">
        <f t="shared" si="1"/>
        <v>-1844643.5400000003</v>
      </c>
      <c r="L36" s="234">
        <f t="shared" si="1"/>
        <v>-2107101.9</v>
      </c>
      <c r="M36" s="234">
        <f t="shared" si="1"/>
        <v>-2740140.8599999994</v>
      </c>
      <c r="N36" s="234">
        <f t="shared" si="1"/>
        <v>-2617237.6799999992</v>
      </c>
      <c r="O36" s="234"/>
      <c r="P36" s="234">
        <f>SUM(P7:P35)</f>
        <v>-19668171.82</v>
      </c>
      <c r="Q36" s="233">
        <f>'BR13 141X thru May'!D36</f>
        <v>-2499350.1982462392</v>
      </c>
      <c r="R36" s="232">
        <f>SUM(P36:Q36)</f>
        <v>-22167522.018246241</v>
      </c>
    </row>
    <row r="37" spans="1:18" ht="15.75" thickTop="1" x14ac:dyDescent="0.25"/>
    <row r="38" spans="1:18" x14ac:dyDescent="0.25">
      <c r="A38" s="322" t="s">
        <v>134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</row>
    <row r="39" spans="1:18" x14ac:dyDescent="0.25">
      <c r="A39" s="323" t="s">
        <v>135</v>
      </c>
      <c r="B39" s="323"/>
      <c r="C39" s="324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</row>
    <row r="40" spans="1:18" x14ac:dyDescent="0.25">
      <c r="A40" s="319" t="s">
        <v>156</v>
      </c>
      <c r="B40" s="319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</row>
    <row r="41" spans="1:18" x14ac:dyDescent="0.25">
      <c r="A41" s="321" t="s">
        <v>137</v>
      </c>
      <c r="B41" s="321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</row>
    <row r="42" spans="1:18" x14ac:dyDescent="0.25">
      <c r="A42" s="252"/>
      <c r="B42" s="251"/>
      <c r="C42" s="251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</row>
    <row r="43" spans="1:18" x14ac:dyDescent="0.25">
      <c r="A43" s="248" t="s">
        <v>138</v>
      </c>
      <c r="B43" s="249" t="s">
        <v>157</v>
      </c>
      <c r="C43" s="249" t="s">
        <v>158</v>
      </c>
      <c r="D43" s="248"/>
      <c r="E43" s="247">
        <v>43554</v>
      </c>
      <c r="F43" s="247">
        <v>43585</v>
      </c>
      <c r="G43" s="247">
        <v>43616</v>
      </c>
      <c r="H43" s="247">
        <v>43646</v>
      </c>
      <c r="I43" s="247">
        <v>43677</v>
      </c>
      <c r="J43" s="247">
        <v>43708</v>
      </c>
      <c r="K43" s="247">
        <v>43738</v>
      </c>
      <c r="L43" s="247">
        <v>43769</v>
      </c>
      <c r="M43" s="247">
        <v>43799</v>
      </c>
      <c r="N43" s="247">
        <v>43830</v>
      </c>
      <c r="O43" s="247">
        <v>43861</v>
      </c>
      <c r="P43" s="247"/>
      <c r="Q43" s="246" t="s">
        <v>140</v>
      </c>
      <c r="R43" s="245">
        <v>43862</v>
      </c>
    </row>
    <row r="44" spans="1:18" x14ac:dyDescent="0.25">
      <c r="A44" s="235">
        <v>1</v>
      </c>
      <c r="B44" s="241" t="s">
        <v>159</v>
      </c>
      <c r="C44" s="239" t="s">
        <v>160</v>
      </c>
      <c r="D44" s="242"/>
      <c r="E44" s="238">
        <v>-467422.52499358996</v>
      </c>
      <c r="F44" s="238">
        <v>-320673.32283093221</v>
      </c>
      <c r="G44" s="238">
        <v>-212640.2003346227</v>
      </c>
      <c r="H44" s="238">
        <v>-196674.09787938048</v>
      </c>
      <c r="I44" s="238">
        <v>-180856.51237014151</v>
      </c>
      <c r="J44" s="238">
        <v>-180218.19975820696</v>
      </c>
      <c r="K44" s="238">
        <v>-215592.41214793874</v>
      </c>
      <c r="L44" s="238">
        <v>-417458.78095438436</v>
      </c>
      <c r="M44" s="238">
        <v>-467735.78830376128</v>
      </c>
      <c r="N44" s="238">
        <v>-539630.50355874002</v>
      </c>
      <c r="O44" s="238">
        <v>-536012.04365923838</v>
      </c>
      <c r="P44" s="244"/>
      <c r="Q44" s="233">
        <f t="shared" ref="Q44:Q57" si="2">SUM(E44:O44)</f>
        <v>-3734914.3867909368</v>
      </c>
    </row>
    <row r="45" spans="1:18" x14ac:dyDescent="0.25">
      <c r="A45" s="235">
        <f t="shared" ref="A45:A58" si="3">+A44+1</f>
        <v>2</v>
      </c>
      <c r="B45" s="241" t="s">
        <v>161</v>
      </c>
      <c r="C45" s="239">
        <v>16</v>
      </c>
      <c r="D45" s="235"/>
      <c r="E45" s="238">
        <v>-8.6479999999999997</v>
      </c>
      <c r="F45" s="238">
        <v>-5.1870000000000003</v>
      </c>
      <c r="G45" s="238">
        <v>-4.63</v>
      </c>
      <c r="H45" s="238">
        <v>-2.9250000000000003</v>
      </c>
      <c r="I45" s="238">
        <v>-5.1349999999999998</v>
      </c>
      <c r="J45" s="238">
        <v>-5.33</v>
      </c>
      <c r="K45" s="238">
        <v>-5.1349999999999998</v>
      </c>
      <c r="L45" s="238">
        <v>-5.2</v>
      </c>
      <c r="M45" s="238">
        <v>-5.1978344736842104</v>
      </c>
      <c r="N45" s="238">
        <v>-4.9421655263157902</v>
      </c>
      <c r="O45" s="238">
        <v>-5.07</v>
      </c>
      <c r="P45" s="237"/>
      <c r="Q45" s="233">
        <f t="shared" si="2"/>
        <v>-57.4</v>
      </c>
    </row>
    <row r="46" spans="1:18" x14ac:dyDescent="0.25">
      <c r="A46" s="235">
        <f t="shared" si="3"/>
        <v>3</v>
      </c>
      <c r="B46" s="241" t="s">
        <v>162</v>
      </c>
      <c r="C46" s="239">
        <v>31</v>
      </c>
      <c r="D46" s="235"/>
      <c r="E46" s="238">
        <v>-143052.43935047003</v>
      </c>
      <c r="F46" s="238">
        <v>-95126.468390623835</v>
      </c>
      <c r="G46" s="238">
        <v>-74174.993556247267</v>
      </c>
      <c r="H46" s="238">
        <v>-63184.584767183005</v>
      </c>
      <c r="I46" s="238">
        <v>-59716.555329552801</v>
      </c>
      <c r="J46" s="238">
        <v>-62270.905068812979</v>
      </c>
      <c r="K46" s="238">
        <v>-76642.566981490221</v>
      </c>
      <c r="L46" s="238">
        <v>-110909.88202874083</v>
      </c>
      <c r="M46" s="238">
        <v>-115562.60523837729</v>
      </c>
      <c r="N46" s="238">
        <v>-166679.45767937877</v>
      </c>
      <c r="O46" s="238">
        <v>-162687.95908274376</v>
      </c>
      <c r="P46" s="233"/>
      <c r="Q46" s="233">
        <f t="shared" si="2"/>
        <v>-1130008.417473621</v>
      </c>
    </row>
    <row r="47" spans="1:18" x14ac:dyDescent="0.25">
      <c r="A47" s="235">
        <f t="shared" si="3"/>
        <v>4</v>
      </c>
      <c r="B47" s="241" t="s">
        <v>163</v>
      </c>
      <c r="C47" s="239">
        <v>41</v>
      </c>
      <c r="D47" s="242"/>
      <c r="E47" s="238">
        <v>-16513.76801702271</v>
      </c>
      <c r="F47" s="238">
        <v>-15063.671263562295</v>
      </c>
      <c r="G47" s="238">
        <v>-16122.331080432494</v>
      </c>
      <c r="H47" s="238">
        <v>-11658.18659093844</v>
      </c>
      <c r="I47" s="238">
        <v>-15359.073279924656</v>
      </c>
      <c r="J47" s="238">
        <v>-13945.256087389951</v>
      </c>
      <c r="K47" s="238">
        <v>-15320.181024556754</v>
      </c>
      <c r="L47" s="238">
        <v>-20331.87667120434</v>
      </c>
      <c r="M47" s="238">
        <v>-19459.474053884467</v>
      </c>
      <c r="N47" s="238">
        <v>-21819.022559584631</v>
      </c>
      <c r="O47" s="238">
        <v>-22320.202873683433</v>
      </c>
      <c r="P47" s="233"/>
      <c r="Q47" s="233">
        <f t="shared" si="2"/>
        <v>-187913.04350218421</v>
      </c>
    </row>
    <row r="48" spans="1:18" x14ac:dyDescent="0.25">
      <c r="A48" s="235">
        <f t="shared" si="3"/>
        <v>5</v>
      </c>
      <c r="B48" s="241" t="s">
        <v>164</v>
      </c>
      <c r="C48" s="239">
        <v>85</v>
      </c>
      <c r="D48" s="243"/>
      <c r="E48" s="238">
        <v>-1797.48920834</v>
      </c>
      <c r="F48" s="238">
        <v>-808.08193291000021</v>
      </c>
      <c r="G48" s="238">
        <v>-1810.158495231133</v>
      </c>
      <c r="H48" s="238">
        <v>-1332.2328013738779</v>
      </c>
      <c r="I48" s="238">
        <v>-1179.3688358309171</v>
      </c>
      <c r="J48" s="238">
        <v>-1486.5503133440723</v>
      </c>
      <c r="K48" s="238">
        <v>-997.08931034150805</v>
      </c>
      <c r="L48" s="238">
        <v>-2754.3819526126417</v>
      </c>
      <c r="M48" s="238">
        <v>-1239.9188289770855</v>
      </c>
      <c r="N48" s="238">
        <v>-2366.6326055123459</v>
      </c>
      <c r="O48" s="238">
        <v>-2997.4951823306064</v>
      </c>
      <c r="P48" s="237"/>
      <c r="Q48" s="233">
        <f t="shared" si="2"/>
        <v>-18769.399466804189</v>
      </c>
    </row>
    <row r="49" spans="1:19" x14ac:dyDescent="0.25">
      <c r="A49" s="235">
        <f t="shared" si="3"/>
        <v>6</v>
      </c>
      <c r="B49" s="241" t="s">
        <v>165</v>
      </c>
      <c r="C49" s="239">
        <v>86</v>
      </c>
      <c r="D49" s="243"/>
      <c r="E49" s="238">
        <v>-2804.4082098925942</v>
      </c>
      <c r="F49" s="238">
        <v>-1678.7557443876226</v>
      </c>
      <c r="G49" s="238">
        <v>-1496.308747463871</v>
      </c>
      <c r="H49" s="238">
        <v>-1879.5833660162639</v>
      </c>
      <c r="I49" s="238">
        <v>-1367.1418941736442</v>
      </c>
      <c r="J49" s="238">
        <v>12.989319494877464</v>
      </c>
      <c r="K49" s="238">
        <v>-1897.0235167269987</v>
      </c>
      <c r="L49" s="238">
        <v>-1986.1816188285768</v>
      </c>
      <c r="M49" s="238">
        <v>-3183.5289401825098</v>
      </c>
      <c r="N49" s="238">
        <v>-1470.312469164289</v>
      </c>
      <c r="O49" s="238">
        <v>-2413.4678075341544</v>
      </c>
      <c r="P49" s="237"/>
      <c r="Q49" s="233">
        <f t="shared" si="2"/>
        <v>-20163.722994875647</v>
      </c>
    </row>
    <row r="50" spans="1:19" x14ac:dyDescent="0.25">
      <c r="A50" s="235">
        <f t="shared" si="3"/>
        <v>7</v>
      </c>
      <c r="B50" s="241" t="s">
        <v>166</v>
      </c>
      <c r="C50" s="239">
        <v>87</v>
      </c>
      <c r="D50" s="243"/>
      <c r="E50" s="238">
        <v>202.12553767499998</v>
      </c>
      <c r="F50" s="238">
        <v>-1119.1696571750001</v>
      </c>
      <c r="G50" s="238">
        <v>-1417.8380022875001</v>
      </c>
      <c r="H50" s="238">
        <v>-1179.7540172624997</v>
      </c>
      <c r="I50" s="238">
        <v>-771.89622230139992</v>
      </c>
      <c r="J50" s="238">
        <v>-1171.8419671985998</v>
      </c>
      <c r="K50" s="238">
        <v>-763.47716915000001</v>
      </c>
      <c r="L50" s="238">
        <v>-1363.5598974999998</v>
      </c>
      <c r="M50" s="238">
        <v>-1247.6218959</v>
      </c>
      <c r="N50" s="238">
        <v>-2189.0924117</v>
      </c>
      <c r="O50" s="238">
        <v>-1566.1381585500001</v>
      </c>
      <c r="P50" s="237"/>
      <c r="Q50" s="233">
        <f t="shared" si="2"/>
        <v>-12588.263861349998</v>
      </c>
    </row>
    <row r="51" spans="1:19" x14ac:dyDescent="0.25">
      <c r="A51" s="235">
        <f t="shared" si="3"/>
        <v>8</v>
      </c>
      <c r="B51" s="241" t="s">
        <v>167</v>
      </c>
      <c r="C51" s="239" t="s">
        <v>168</v>
      </c>
      <c r="D51" s="235"/>
      <c r="E51" s="238">
        <v>68.073690100000007</v>
      </c>
      <c r="F51" s="238">
        <v>5.4809141999999973</v>
      </c>
      <c r="G51" s="238">
        <v>-24.699480900000005</v>
      </c>
      <c r="H51" s="238">
        <v>-74.525291499999994</v>
      </c>
      <c r="I51" s="238">
        <v>-14.09</v>
      </c>
      <c r="J51" s="238">
        <v>1050.5025455</v>
      </c>
      <c r="K51" s="238">
        <v>-1065.1640623999999</v>
      </c>
      <c r="L51" s="238">
        <v>16.029020200000009</v>
      </c>
      <c r="M51" s="238">
        <v>-9.7815783000000174</v>
      </c>
      <c r="N51" s="238">
        <v>-24.08</v>
      </c>
      <c r="O51" s="238">
        <v>-23.601752599999983</v>
      </c>
      <c r="P51" s="237"/>
      <c r="Q51" s="233">
        <f t="shared" si="2"/>
        <v>-95.855995699999909</v>
      </c>
    </row>
    <row r="52" spans="1:19" x14ac:dyDescent="0.25">
      <c r="A52" s="235">
        <f t="shared" si="3"/>
        <v>9</v>
      </c>
      <c r="B52" s="241" t="s">
        <v>169</v>
      </c>
      <c r="C52" s="239" t="s">
        <v>170</v>
      </c>
      <c r="D52" s="243"/>
      <c r="E52" s="238">
        <v>-4879.2063892000006</v>
      </c>
      <c r="F52" s="238">
        <v>-4636.2169067999994</v>
      </c>
      <c r="G52" s="238">
        <v>-3824.6137473999988</v>
      </c>
      <c r="H52" s="238">
        <v>-4611.1588569999994</v>
      </c>
      <c r="I52" s="238">
        <v>-3549.6165149999997</v>
      </c>
      <c r="J52" s="238">
        <v>-6096.0043540000015</v>
      </c>
      <c r="K52" s="238">
        <v>-4850.2307829999991</v>
      </c>
      <c r="L52" s="238">
        <v>-5397.5510881999999</v>
      </c>
      <c r="M52" s="238">
        <v>-5451.3005724000013</v>
      </c>
      <c r="N52" s="238">
        <v>-5237.2459619999991</v>
      </c>
      <c r="O52" s="238">
        <v>-5516.2956191999992</v>
      </c>
      <c r="P52" s="233"/>
      <c r="Q52" s="233">
        <f t="shared" si="2"/>
        <v>-54049.440794199996</v>
      </c>
    </row>
    <row r="53" spans="1:19" x14ac:dyDescent="0.25">
      <c r="A53" s="235">
        <f t="shared" si="3"/>
        <v>10</v>
      </c>
      <c r="B53" s="241" t="s">
        <v>171</v>
      </c>
      <c r="C53" s="239" t="s">
        <v>172</v>
      </c>
      <c r="D53" s="242"/>
      <c r="E53" s="238">
        <v>-8245.7035668000008</v>
      </c>
      <c r="F53" s="238">
        <v>-8069.3222818000013</v>
      </c>
      <c r="G53" s="238">
        <v>-7573.6625435999995</v>
      </c>
      <c r="H53" s="238">
        <v>-6537.0247306000001</v>
      </c>
      <c r="I53" s="238">
        <v>-7500.2104137999995</v>
      </c>
      <c r="J53" s="238">
        <v>-7527.1933529999988</v>
      </c>
      <c r="K53" s="238">
        <v>-7497.9167757999994</v>
      </c>
      <c r="L53" s="238">
        <v>-7889.8199263999995</v>
      </c>
      <c r="M53" s="238">
        <v>-6893.1514258000007</v>
      </c>
      <c r="N53" s="238">
        <v>-7484.7832391999982</v>
      </c>
      <c r="O53" s="238">
        <v>-6919.7228083999998</v>
      </c>
      <c r="P53" s="233"/>
      <c r="Q53" s="233">
        <f t="shared" si="2"/>
        <v>-82138.511065199986</v>
      </c>
    </row>
    <row r="54" spans="1:19" x14ac:dyDescent="0.25">
      <c r="A54" s="235">
        <f t="shared" si="3"/>
        <v>11</v>
      </c>
      <c r="B54" s="241" t="s">
        <v>173</v>
      </c>
      <c r="C54" s="239" t="s">
        <v>174</v>
      </c>
      <c r="D54" s="235"/>
      <c r="E54" s="238">
        <v>-149.27527109999997</v>
      </c>
      <c r="F54" s="238">
        <v>-68.777784100000034</v>
      </c>
      <c r="G54" s="238">
        <v>-64.71670899999998</v>
      </c>
      <c r="H54" s="238">
        <v>-57.608371800000015</v>
      </c>
      <c r="I54" s="238">
        <v>-63.629999999999995</v>
      </c>
      <c r="J54" s="238">
        <v>-77.133572900000004</v>
      </c>
      <c r="K54" s="238">
        <v>-103.77000000000001</v>
      </c>
      <c r="L54" s="238">
        <v>-151.80469870000002</v>
      </c>
      <c r="M54" s="238">
        <v>-141.05659379999997</v>
      </c>
      <c r="N54" s="238">
        <v>-140.97</v>
      </c>
      <c r="O54" s="238">
        <v>-164.48077269999999</v>
      </c>
      <c r="P54" s="237"/>
      <c r="Q54" s="233">
        <f t="shared" si="2"/>
        <v>-1183.2237740999999</v>
      </c>
    </row>
    <row r="55" spans="1:19" x14ac:dyDescent="0.25">
      <c r="A55" s="235">
        <f t="shared" si="3"/>
        <v>12</v>
      </c>
      <c r="B55" s="241" t="s">
        <v>175</v>
      </c>
      <c r="C55" s="239" t="s">
        <v>176</v>
      </c>
      <c r="D55" s="235"/>
      <c r="E55" s="238">
        <v>-3748.3948022999998</v>
      </c>
      <c r="F55" s="238">
        <v>-3318.6437298000005</v>
      </c>
      <c r="G55" s="238">
        <v>-3827.8366802999994</v>
      </c>
      <c r="H55" s="238">
        <v>-3709.2001662000002</v>
      </c>
      <c r="I55" s="238">
        <v>-3548.69</v>
      </c>
      <c r="J55" s="238">
        <v>-4081.7869513000001</v>
      </c>
      <c r="K55" s="238">
        <v>-3978.0048464000006</v>
      </c>
      <c r="L55" s="238">
        <v>-3367.606547299999</v>
      </c>
      <c r="M55" s="238">
        <v>-4042.1902921999999</v>
      </c>
      <c r="N55" s="238">
        <v>-4144.1054236</v>
      </c>
      <c r="O55" s="238">
        <v>-3359.1583192000007</v>
      </c>
      <c r="P55" s="237"/>
      <c r="Q55" s="233">
        <f t="shared" si="2"/>
        <v>-41125.617758599998</v>
      </c>
    </row>
    <row r="56" spans="1:19" x14ac:dyDescent="0.25">
      <c r="A56" s="235">
        <f t="shared" si="3"/>
        <v>13</v>
      </c>
      <c r="B56" s="241" t="s">
        <v>177</v>
      </c>
      <c r="C56" s="239"/>
      <c r="D56" s="235"/>
      <c r="E56" s="238">
        <v>-1144.6880479000001</v>
      </c>
      <c r="F56" s="238">
        <v>-467.3808393999999</v>
      </c>
      <c r="G56" s="238">
        <v>-719.67768119999994</v>
      </c>
      <c r="H56" s="238">
        <v>-288.53971799999994</v>
      </c>
      <c r="I56" s="238">
        <v>-1249.6600000000001</v>
      </c>
      <c r="J56" s="238">
        <v>-713.65144859999998</v>
      </c>
      <c r="K56" s="238">
        <v>-799.66</v>
      </c>
      <c r="L56" s="238">
        <v>-1260.6081388000002</v>
      </c>
      <c r="M56" s="238">
        <v>-861.56920409999987</v>
      </c>
      <c r="N56" s="238">
        <v>-797.46714680000002</v>
      </c>
      <c r="O56" s="238">
        <v>-886.48026470000002</v>
      </c>
      <c r="P56" s="237"/>
      <c r="Q56" s="233">
        <f t="shared" si="2"/>
        <v>-9189.3824894999998</v>
      </c>
    </row>
    <row r="57" spans="1:19" x14ac:dyDescent="0.25">
      <c r="A57" s="235">
        <f t="shared" si="3"/>
        <v>14</v>
      </c>
      <c r="B57" s="240" t="s">
        <v>178</v>
      </c>
      <c r="C57" s="239"/>
      <c r="D57" s="235"/>
      <c r="E57" s="238">
        <v>-3308.94</v>
      </c>
      <c r="F57" s="238">
        <v>-5768.4699999999993</v>
      </c>
      <c r="G57" s="238">
        <v>-5781.11</v>
      </c>
      <c r="H57" s="238">
        <v>-5736.69</v>
      </c>
      <c r="I57" s="238">
        <v>-5742.11</v>
      </c>
      <c r="J57" s="238">
        <v>-5693.19</v>
      </c>
      <c r="K57" s="238">
        <v>-5690.5</v>
      </c>
      <c r="L57" s="238">
        <v>-5676.68</v>
      </c>
      <c r="M57" s="238">
        <v>-5281.72</v>
      </c>
      <c r="N57" s="238">
        <v>-5946.51</v>
      </c>
      <c r="O57" s="238">
        <v>-5583.94</v>
      </c>
      <c r="P57" s="237"/>
      <c r="Q57" s="233">
        <f t="shared" si="2"/>
        <v>-60209.86</v>
      </c>
    </row>
    <row r="58" spans="1:19" ht="15.75" thickBot="1" x14ac:dyDescent="0.3">
      <c r="A58" s="235">
        <f t="shared" si="3"/>
        <v>15</v>
      </c>
      <c r="B58" s="236" t="s">
        <v>179</v>
      </c>
      <c r="C58" s="235"/>
      <c r="D58" s="235"/>
      <c r="E58" s="234">
        <f t="shared" ref="E58:O58" si="4">SUM(E44:E57)</f>
        <v>-652805.28662884026</v>
      </c>
      <c r="F58" s="234">
        <f t="shared" si="4"/>
        <v>-456797.98744729091</v>
      </c>
      <c r="G58" s="234">
        <f t="shared" si="4"/>
        <v>-329482.77705868497</v>
      </c>
      <c r="H58" s="234">
        <f t="shared" si="4"/>
        <v>-296926.11155725451</v>
      </c>
      <c r="I58" s="234">
        <f t="shared" si="4"/>
        <v>-280923.68986072484</v>
      </c>
      <c r="J58" s="234">
        <f t="shared" si="4"/>
        <v>-282223.55100975768</v>
      </c>
      <c r="K58" s="234">
        <f t="shared" si="4"/>
        <v>-335203.13161780423</v>
      </c>
      <c r="L58" s="234">
        <f t="shared" si="4"/>
        <v>-578537.90450247074</v>
      </c>
      <c r="M58" s="234">
        <f t="shared" si="4"/>
        <v>-631114.90476215619</v>
      </c>
      <c r="N58" s="234">
        <f t="shared" si="4"/>
        <v>-757935.12522120634</v>
      </c>
      <c r="O58" s="234">
        <f t="shared" si="4"/>
        <v>-750456.05630088039</v>
      </c>
      <c r="P58" s="234"/>
      <c r="Q58" s="234">
        <f>SUM(Q44:Q57)</f>
        <v>-5352406.5259670718</v>
      </c>
      <c r="R58" s="233">
        <f>'BR13 141X thru May'!O21</f>
        <v>-711789.71000000008</v>
      </c>
      <c r="S58" s="232">
        <f>SUM(Q58:R58)</f>
        <v>-6064196.2359670717</v>
      </c>
    </row>
    <row r="59" spans="1:19" ht="15.75" thickTop="1" x14ac:dyDescent="0.25"/>
  </sheetData>
  <mergeCells count="8">
    <mergeCell ref="A40:Q40"/>
    <mergeCell ref="A41:Q41"/>
    <mergeCell ref="A1:P1"/>
    <mergeCell ref="A2:P2"/>
    <mergeCell ref="A3:P3"/>
    <mergeCell ref="A4:P4"/>
    <mergeCell ref="A38:Q38"/>
    <mergeCell ref="A39:Q3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pane ySplit="6" topLeftCell="A16" activePane="bottomLeft" state="frozen"/>
      <selection activeCell="B18" sqref="B18"/>
      <selection pane="bottomLeft" activeCell="B18" sqref="B18"/>
    </sheetView>
  </sheetViews>
  <sheetFormatPr defaultColWidth="9.33203125" defaultRowHeight="15" x14ac:dyDescent="0.25"/>
  <cols>
    <col min="1" max="1" width="8.5" style="231" bestFit="1" customWidth="1"/>
    <col min="2" max="2" width="31.1640625" style="231" bestFit="1" customWidth="1"/>
    <col min="3" max="3" width="9.33203125" style="231"/>
    <col min="4" max="7" width="12.1640625" style="231" bestFit="1" customWidth="1"/>
    <col min="8" max="8" width="9.33203125" style="231"/>
    <col min="9" max="9" width="15.6640625" style="231" bestFit="1" customWidth="1"/>
    <col min="10" max="10" width="9.33203125" style="231"/>
    <col min="11" max="11" width="8.5" style="231" bestFit="1" customWidth="1"/>
    <col min="12" max="12" width="35.5" style="231" bestFit="1" customWidth="1"/>
    <col min="13" max="13" width="12.83203125" style="231" bestFit="1" customWidth="1"/>
    <col min="14" max="14" width="9.33203125" style="231"/>
    <col min="15" max="18" width="10.6640625" style="231" bestFit="1" customWidth="1"/>
    <col min="19" max="19" width="9.33203125" style="231"/>
    <col min="20" max="20" width="12.1640625" style="231" bestFit="1" customWidth="1"/>
    <col min="21" max="16384" width="9.33203125" style="231"/>
  </cols>
  <sheetData>
    <row r="1" spans="1:20" x14ac:dyDescent="0.25">
      <c r="A1" s="322" t="s">
        <v>134</v>
      </c>
      <c r="B1" s="322"/>
      <c r="C1" s="322"/>
      <c r="D1" s="322"/>
      <c r="E1" s="322"/>
      <c r="F1" s="322"/>
      <c r="G1" s="322"/>
      <c r="H1" s="322"/>
      <c r="I1" s="322"/>
      <c r="K1" s="326" t="s">
        <v>134</v>
      </c>
      <c r="L1" s="326"/>
      <c r="M1" s="326"/>
      <c r="N1" s="326"/>
      <c r="O1" s="326"/>
      <c r="P1" s="326"/>
      <c r="Q1" s="326"/>
      <c r="R1" s="326"/>
      <c r="S1" s="326"/>
      <c r="T1" s="326"/>
    </row>
    <row r="2" spans="1:20" x14ac:dyDescent="0.25">
      <c r="A2" s="319" t="s">
        <v>135</v>
      </c>
      <c r="B2" s="320"/>
      <c r="C2" s="320"/>
      <c r="D2" s="320"/>
      <c r="E2" s="320"/>
      <c r="F2" s="320"/>
      <c r="G2" s="320"/>
      <c r="H2" s="320"/>
      <c r="I2" s="320"/>
      <c r="K2" s="327" t="s">
        <v>135</v>
      </c>
      <c r="L2" s="327"/>
      <c r="M2" s="328"/>
      <c r="N2" s="328"/>
      <c r="O2" s="328"/>
      <c r="P2" s="328"/>
      <c r="Q2" s="328"/>
      <c r="R2" s="328"/>
      <c r="S2" s="328"/>
      <c r="T2" s="328"/>
    </row>
    <row r="3" spans="1:20" x14ac:dyDescent="0.25">
      <c r="A3" s="329" t="s">
        <v>180</v>
      </c>
      <c r="B3" s="330"/>
      <c r="C3" s="330"/>
      <c r="D3" s="330"/>
      <c r="E3" s="330"/>
      <c r="F3" s="330"/>
      <c r="G3" s="330"/>
      <c r="H3" s="330"/>
      <c r="I3" s="330"/>
      <c r="K3" s="331" t="s">
        <v>181</v>
      </c>
      <c r="L3" s="331"/>
      <c r="M3" s="332"/>
      <c r="N3" s="332"/>
      <c r="O3" s="332"/>
      <c r="P3" s="332"/>
      <c r="Q3" s="332"/>
      <c r="R3" s="332"/>
      <c r="S3" s="332"/>
      <c r="T3" s="332"/>
    </row>
    <row r="4" spans="1:20" x14ac:dyDescent="0.25">
      <c r="A4" s="321" t="s">
        <v>137</v>
      </c>
      <c r="B4" s="322"/>
      <c r="C4" s="322"/>
      <c r="D4" s="322"/>
      <c r="E4" s="322"/>
      <c r="F4" s="322"/>
      <c r="G4" s="322"/>
      <c r="H4" s="322"/>
      <c r="I4" s="322"/>
      <c r="K4" s="325" t="s">
        <v>137</v>
      </c>
      <c r="L4" s="325"/>
      <c r="M4" s="326"/>
      <c r="N4" s="326"/>
      <c r="O4" s="326"/>
      <c r="P4" s="326"/>
      <c r="Q4" s="326"/>
      <c r="R4" s="326"/>
      <c r="S4" s="326"/>
      <c r="T4" s="326"/>
    </row>
    <row r="5" spans="1:20" x14ac:dyDescent="0.25">
      <c r="A5" s="252"/>
      <c r="B5" s="250"/>
      <c r="C5" s="250"/>
      <c r="D5" s="250"/>
      <c r="E5" s="250"/>
      <c r="F5" s="250"/>
      <c r="G5" s="250" t="s">
        <v>182</v>
      </c>
      <c r="H5" s="250"/>
      <c r="I5" s="250"/>
      <c r="K5" s="258"/>
      <c r="L5" s="257"/>
      <c r="M5" s="257"/>
      <c r="N5" s="256"/>
      <c r="O5" s="256"/>
      <c r="P5" s="256"/>
      <c r="Q5" s="256"/>
      <c r="R5" s="256" t="s">
        <v>182</v>
      </c>
      <c r="S5" s="256"/>
      <c r="T5" s="256"/>
    </row>
    <row r="6" spans="1:20" x14ac:dyDescent="0.25">
      <c r="A6" s="248" t="s">
        <v>138</v>
      </c>
      <c r="B6" s="248" t="s">
        <v>139</v>
      </c>
      <c r="C6" s="248"/>
      <c r="D6" s="247">
        <v>43889</v>
      </c>
      <c r="E6" s="247">
        <v>43921</v>
      </c>
      <c r="F6" s="247">
        <v>43951</v>
      </c>
      <c r="G6" s="247">
        <v>43971</v>
      </c>
      <c r="H6" s="247"/>
      <c r="I6" s="246" t="s">
        <v>140</v>
      </c>
      <c r="K6" s="248" t="s">
        <v>138</v>
      </c>
      <c r="L6" s="255" t="s">
        <v>157</v>
      </c>
      <c r="M6" s="255" t="s">
        <v>158</v>
      </c>
      <c r="N6" s="248"/>
      <c r="O6" s="247">
        <v>43889</v>
      </c>
      <c r="P6" s="247">
        <v>43921</v>
      </c>
      <c r="Q6" s="247">
        <v>43951</v>
      </c>
      <c r="R6" s="247">
        <v>43971</v>
      </c>
      <c r="S6" s="247"/>
      <c r="T6" s="254" t="s">
        <v>140</v>
      </c>
    </row>
    <row r="7" spans="1:20" x14ac:dyDescent="0.25">
      <c r="A7" s="235">
        <v>1</v>
      </c>
      <c r="B7" s="242" t="s">
        <v>141</v>
      </c>
      <c r="C7" s="242"/>
      <c r="D7" s="253"/>
      <c r="E7" s="253"/>
      <c r="F7" s="253"/>
      <c r="G7" s="253"/>
      <c r="H7" s="253"/>
      <c r="I7" s="250"/>
      <c r="K7" s="235">
        <v>1</v>
      </c>
      <c r="L7" s="241" t="s">
        <v>159</v>
      </c>
      <c r="M7" s="239" t="s">
        <v>160</v>
      </c>
      <c r="N7" s="242"/>
      <c r="O7" s="238">
        <v>-511464.28</v>
      </c>
      <c r="P7" s="238">
        <v>-457671.98000000004</v>
      </c>
      <c r="Q7" s="238">
        <v>-362462.58999999997</v>
      </c>
      <c r="R7" s="238">
        <v>-161427.53032258066</v>
      </c>
      <c r="S7" s="238"/>
      <c r="T7" s="233">
        <f t="shared" ref="T7:T20" si="0">SUM(O7:R7)</f>
        <v>-1493026.3803225807</v>
      </c>
    </row>
    <row r="8" spans="1:20" x14ac:dyDescent="0.25">
      <c r="A8" s="235">
        <f t="shared" ref="A8:A36" si="1">+A7+1</f>
        <v>2</v>
      </c>
      <c r="B8" s="235">
        <v>7</v>
      </c>
      <c r="C8" s="235"/>
      <c r="D8" s="237">
        <v>-1693153.1765400001</v>
      </c>
      <c r="E8" s="237">
        <v>-1632169.539176</v>
      </c>
      <c r="F8" s="237">
        <v>-1345067.7421880001</v>
      </c>
      <c r="G8" s="237">
        <v>-703610.99865109683</v>
      </c>
      <c r="H8" s="237"/>
      <c r="I8" s="233">
        <f>SUM(D8:G8)</f>
        <v>-5374001.4565550964</v>
      </c>
      <c r="K8" s="235">
        <f t="shared" ref="K8:K21" si="2">+K7+1</f>
        <v>2</v>
      </c>
      <c r="L8" s="241" t="s">
        <v>161</v>
      </c>
      <c r="M8" s="239">
        <v>16</v>
      </c>
      <c r="N8" s="235"/>
      <c r="O8" s="238">
        <v>-76.7</v>
      </c>
      <c r="P8" s="238">
        <v>-89.83</v>
      </c>
      <c r="Q8" s="238">
        <v>-82.42</v>
      </c>
      <c r="R8" s="238">
        <v>-43.583548387096776</v>
      </c>
      <c r="S8" s="238"/>
      <c r="T8" s="233">
        <f t="shared" si="0"/>
        <v>-292.53354838709674</v>
      </c>
    </row>
    <row r="9" spans="1:20" x14ac:dyDescent="0.25">
      <c r="A9" s="235">
        <f t="shared" si="1"/>
        <v>3</v>
      </c>
      <c r="B9" s="235"/>
      <c r="C9" s="235"/>
      <c r="D9" s="233"/>
      <c r="E9" s="233"/>
      <c r="F9" s="233"/>
      <c r="G9" s="233"/>
      <c r="H9" s="233"/>
      <c r="I9" s="233"/>
      <c r="K9" s="235">
        <f t="shared" si="2"/>
        <v>3</v>
      </c>
      <c r="L9" s="241" t="s">
        <v>162</v>
      </c>
      <c r="M9" s="239">
        <v>31</v>
      </c>
      <c r="N9" s="235"/>
      <c r="O9" s="238">
        <v>-148832</v>
      </c>
      <c r="P9" s="238">
        <v>-135081.15</v>
      </c>
      <c r="Q9" s="238">
        <v>-107810.73</v>
      </c>
      <c r="R9" s="238">
        <v>-50116.606451612897</v>
      </c>
      <c r="S9" s="238"/>
      <c r="T9" s="233">
        <f t="shared" si="0"/>
        <v>-441840.4864516129</v>
      </c>
    </row>
    <row r="10" spans="1:20" x14ac:dyDescent="0.25">
      <c r="A10" s="235">
        <f t="shared" si="1"/>
        <v>4</v>
      </c>
      <c r="B10" s="242" t="s">
        <v>142</v>
      </c>
      <c r="C10" s="242"/>
      <c r="D10" s="233"/>
      <c r="E10" s="233"/>
      <c r="F10" s="233"/>
      <c r="G10" s="233"/>
      <c r="H10" s="233"/>
      <c r="I10" s="233"/>
      <c r="K10" s="235">
        <f t="shared" si="2"/>
        <v>4</v>
      </c>
      <c r="L10" s="241" t="s">
        <v>163</v>
      </c>
      <c r="M10" s="239">
        <v>41</v>
      </c>
      <c r="N10" s="242"/>
      <c r="O10" s="238">
        <v>-19320.93</v>
      </c>
      <c r="P10" s="238">
        <v>-18614.57</v>
      </c>
      <c r="Q10" s="238">
        <v>-17289.79</v>
      </c>
      <c r="R10" s="238">
        <v>-9570.8454838709677</v>
      </c>
      <c r="S10" s="238"/>
      <c r="T10" s="233">
        <f t="shared" si="0"/>
        <v>-64796.135483870967</v>
      </c>
    </row>
    <row r="11" spans="1:20" x14ac:dyDescent="0.25">
      <c r="A11" s="235">
        <f t="shared" si="1"/>
        <v>5</v>
      </c>
      <c r="B11" s="243" t="s">
        <v>143</v>
      </c>
      <c r="C11" s="243"/>
      <c r="D11" s="237">
        <v>-276428.556339</v>
      </c>
      <c r="E11" s="237">
        <v>-285388.87824299996</v>
      </c>
      <c r="F11" s="237">
        <v>-253337.82390799999</v>
      </c>
      <c r="G11" s="237">
        <v>-147307.11858206452</v>
      </c>
      <c r="H11" s="237"/>
      <c r="I11" s="233">
        <f>SUM(D11:G11)</f>
        <v>-962462.37707206444</v>
      </c>
      <c r="K11" s="235">
        <f t="shared" si="2"/>
        <v>5</v>
      </c>
      <c r="L11" s="241" t="s">
        <v>164</v>
      </c>
      <c r="M11" s="239">
        <v>85</v>
      </c>
      <c r="N11" s="243"/>
      <c r="O11" s="238">
        <v>-2108.3199999999997</v>
      </c>
      <c r="P11" s="238">
        <v>-1936.38</v>
      </c>
      <c r="Q11" s="238">
        <v>-1777.31</v>
      </c>
      <c r="R11" s="238">
        <v>-857.79483870967749</v>
      </c>
      <c r="S11" s="238"/>
      <c r="T11" s="233">
        <f t="shared" si="0"/>
        <v>-6679.8048387096778</v>
      </c>
    </row>
    <row r="12" spans="1:20" x14ac:dyDescent="0.25">
      <c r="A12" s="235">
        <f t="shared" si="1"/>
        <v>6</v>
      </c>
      <c r="B12" s="243" t="s">
        <v>144</v>
      </c>
      <c r="C12" s="243"/>
      <c r="D12" s="237">
        <v>-227838.42504299997</v>
      </c>
      <c r="E12" s="237">
        <v>-224452.13334899998</v>
      </c>
      <c r="F12" s="237">
        <v>-211380.727235</v>
      </c>
      <c r="G12" s="237">
        <v>-128061.40631258063</v>
      </c>
      <c r="H12" s="237"/>
      <c r="I12" s="233">
        <f>SUM(D12:G12)</f>
        <v>-791732.69193958049</v>
      </c>
      <c r="K12" s="235">
        <f t="shared" si="2"/>
        <v>6</v>
      </c>
      <c r="L12" s="241" t="s">
        <v>165</v>
      </c>
      <c r="M12" s="239">
        <v>86</v>
      </c>
      <c r="N12" s="243"/>
      <c r="O12" s="238">
        <v>-2596.6400000000003</v>
      </c>
      <c r="P12" s="238">
        <v>-2463.92</v>
      </c>
      <c r="Q12" s="238">
        <v>-2277.1800000000003</v>
      </c>
      <c r="R12" s="238">
        <v>-1084.0296774193548</v>
      </c>
      <c r="S12" s="238"/>
      <c r="T12" s="233">
        <f t="shared" si="0"/>
        <v>-8421.7696774193555</v>
      </c>
    </row>
    <row r="13" spans="1:20" x14ac:dyDescent="0.25">
      <c r="A13" s="235">
        <f t="shared" si="1"/>
        <v>7</v>
      </c>
      <c r="B13" s="243" t="s">
        <v>145</v>
      </c>
      <c r="C13" s="243"/>
      <c r="D13" s="237">
        <v>-117032.72574000001</v>
      </c>
      <c r="E13" s="237">
        <v>-119789.86523000001</v>
      </c>
      <c r="F13" s="237">
        <v>-111510.36456</v>
      </c>
      <c r="G13" s="237">
        <v>-70945.990221129032</v>
      </c>
      <c r="H13" s="237"/>
      <c r="I13" s="233">
        <f>SUM(D13:G13)</f>
        <v>-419278.94575112907</v>
      </c>
      <c r="K13" s="235">
        <f t="shared" si="2"/>
        <v>7</v>
      </c>
      <c r="L13" s="241" t="s">
        <v>166</v>
      </c>
      <c r="M13" s="239">
        <v>87</v>
      </c>
      <c r="N13" s="243"/>
      <c r="O13" s="238">
        <v>-1217.1099999999999</v>
      </c>
      <c r="P13" s="238">
        <v>-1138.1999999999998</v>
      </c>
      <c r="Q13" s="238">
        <v>-895.08</v>
      </c>
      <c r="R13" s="238">
        <v>-496.96645161290326</v>
      </c>
      <c r="S13" s="238"/>
      <c r="T13" s="233">
        <f t="shared" si="0"/>
        <v>-3747.3564516129027</v>
      </c>
    </row>
    <row r="14" spans="1:20" x14ac:dyDescent="0.25">
      <c r="A14" s="235">
        <f t="shared" si="1"/>
        <v>8</v>
      </c>
      <c r="B14" s="235">
        <v>29</v>
      </c>
      <c r="C14" s="235"/>
      <c r="D14" s="237">
        <v>-219.55757199999999</v>
      </c>
      <c r="E14" s="237">
        <v>-246.38920400000001</v>
      </c>
      <c r="F14" s="237">
        <v>-254.57703599999999</v>
      </c>
      <c r="G14" s="237">
        <v>-383.06759535483877</v>
      </c>
      <c r="H14" s="237"/>
      <c r="I14" s="233">
        <f>SUM(D14:G14)</f>
        <v>-1103.5914073548388</v>
      </c>
      <c r="K14" s="235">
        <f t="shared" si="2"/>
        <v>8</v>
      </c>
      <c r="L14" s="241" t="s">
        <v>167</v>
      </c>
      <c r="M14" s="239" t="s">
        <v>168</v>
      </c>
      <c r="N14" s="235"/>
      <c r="O14" s="238">
        <v>-19.670000000000002</v>
      </c>
      <c r="P14" s="238">
        <v>-18.64</v>
      </c>
      <c r="Q14" s="238">
        <v>-16.52</v>
      </c>
      <c r="R14" s="238">
        <v>-9.24258064516129</v>
      </c>
      <c r="S14" s="238"/>
      <c r="T14" s="233">
        <f t="shared" si="0"/>
        <v>-64.072580645161281</v>
      </c>
    </row>
    <row r="15" spans="1:20" x14ac:dyDescent="0.25">
      <c r="A15" s="235">
        <f t="shared" si="1"/>
        <v>9</v>
      </c>
      <c r="B15" s="243"/>
      <c r="C15" s="243"/>
      <c r="D15" s="233"/>
      <c r="E15" s="233"/>
      <c r="F15" s="233"/>
      <c r="G15" s="233"/>
      <c r="H15" s="233"/>
      <c r="I15" s="233"/>
      <c r="K15" s="235">
        <f t="shared" si="2"/>
        <v>9</v>
      </c>
      <c r="L15" s="241" t="s">
        <v>169</v>
      </c>
      <c r="M15" s="239" t="s">
        <v>170</v>
      </c>
      <c r="N15" s="243"/>
      <c r="O15" s="238">
        <v>-5666.6500000000005</v>
      </c>
      <c r="P15" s="238">
        <v>-5746.44</v>
      </c>
      <c r="Q15" s="238">
        <v>-5469.3</v>
      </c>
      <c r="R15" s="238">
        <v>-3299.1293548387089</v>
      </c>
      <c r="S15" s="238"/>
      <c r="T15" s="233">
        <f t="shared" si="0"/>
        <v>-20181.519354838707</v>
      </c>
    </row>
    <row r="16" spans="1:20" x14ac:dyDescent="0.25">
      <c r="A16" s="235">
        <f t="shared" si="1"/>
        <v>10</v>
      </c>
      <c r="B16" s="242" t="s">
        <v>146</v>
      </c>
      <c r="C16" s="242"/>
      <c r="D16" s="233"/>
      <c r="E16" s="233"/>
      <c r="F16" s="233"/>
      <c r="G16" s="233"/>
      <c r="H16" s="233"/>
      <c r="I16" s="233"/>
      <c r="K16" s="235">
        <f t="shared" si="2"/>
        <v>10</v>
      </c>
      <c r="L16" s="241" t="s">
        <v>171</v>
      </c>
      <c r="M16" s="239" t="s">
        <v>172</v>
      </c>
      <c r="N16" s="242"/>
      <c r="O16" s="238">
        <v>-8541.4399999999987</v>
      </c>
      <c r="P16" s="238">
        <v>-8718.26</v>
      </c>
      <c r="Q16" s="238">
        <v>-9219.1</v>
      </c>
      <c r="R16" s="238">
        <v>-5633.9596774193542</v>
      </c>
      <c r="S16" s="238"/>
      <c r="T16" s="233">
        <f t="shared" si="0"/>
        <v>-32112.759677419352</v>
      </c>
    </row>
    <row r="17" spans="1:20" x14ac:dyDescent="0.25">
      <c r="A17" s="235">
        <f t="shared" si="1"/>
        <v>11</v>
      </c>
      <c r="B17" s="235" t="s">
        <v>147</v>
      </c>
      <c r="C17" s="235"/>
      <c r="D17" s="237">
        <v>-86359.459724</v>
      </c>
      <c r="E17" s="237">
        <v>-88599.775244000004</v>
      </c>
      <c r="F17" s="237">
        <v>-83129.789715999985</v>
      </c>
      <c r="G17" s="237">
        <v>-52787.177882451608</v>
      </c>
      <c r="H17" s="237"/>
      <c r="I17" s="233">
        <f>SUM(D17:G17)</f>
        <v>-310876.20256645163</v>
      </c>
      <c r="K17" s="235">
        <f t="shared" si="2"/>
        <v>11</v>
      </c>
      <c r="L17" s="241" t="s">
        <v>173</v>
      </c>
      <c r="M17" s="239" t="s">
        <v>174</v>
      </c>
      <c r="N17" s="235"/>
      <c r="O17" s="238">
        <v>-86.56</v>
      </c>
      <c r="P17" s="238">
        <v>-85.15</v>
      </c>
      <c r="Q17" s="238">
        <v>-72.709999999999994</v>
      </c>
      <c r="R17" s="238">
        <v>-40.05935483870968</v>
      </c>
      <c r="S17" s="238"/>
      <c r="T17" s="233">
        <f t="shared" si="0"/>
        <v>-284.4793548387097</v>
      </c>
    </row>
    <row r="18" spans="1:20" x14ac:dyDescent="0.25">
      <c r="A18" s="235">
        <f t="shared" si="1"/>
        <v>12</v>
      </c>
      <c r="B18" s="235">
        <v>35</v>
      </c>
      <c r="C18" s="235"/>
      <c r="D18" s="237">
        <v>-3.8119619999999999</v>
      </c>
      <c r="E18" s="237">
        <v>-4.0046340000000002</v>
      </c>
      <c r="F18" s="237">
        <v>-3.8895659999999999</v>
      </c>
      <c r="G18" s="237">
        <v>-264.13293987096773</v>
      </c>
      <c r="H18" s="237"/>
      <c r="I18" s="233">
        <f>SUM(D18:G18)</f>
        <v>-275.83910187096774</v>
      </c>
      <c r="K18" s="235">
        <f t="shared" si="2"/>
        <v>12</v>
      </c>
      <c r="L18" s="241" t="s">
        <v>175</v>
      </c>
      <c r="M18" s="239" t="s">
        <v>176</v>
      </c>
      <c r="N18" s="235"/>
      <c r="O18" s="238">
        <v>-4725.59</v>
      </c>
      <c r="P18" s="238">
        <v>-5177.0300000000007</v>
      </c>
      <c r="Q18" s="238">
        <v>-4719.74</v>
      </c>
      <c r="R18" s="238">
        <v>-3379.744516129032</v>
      </c>
      <c r="S18" s="238"/>
      <c r="T18" s="233">
        <f t="shared" si="0"/>
        <v>-18002.104516129031</v>
      </c>
    </row>
    <row r="19" spans="1:20" x14ac:dyDescent="0.25">
      <c r="A19" s="235">
        <f t="shared" si="1"/>
        <v>13</v>
      </c>
      <c r="B19" s="235">
        <v>43</v>
      </c>
      <c r="C19" s="235"/>
      <c r="D19" s="237">
        <v>-18314.984703999999</v>
      </c>
      <c r="E19" s="237">
        <v>-17128.960320000002</v>
      </c>
      <c r="F19" s="237">
        <v>-13473.287488</v>
      </c>
      <c r="G19" s="237">
        <v>-7121.9947344516131</v>
      </c>
      <c r="H19" s="237"/>
      <c r="I19" s="233">
        <f>SUM(D19:G19)</f>
        <v>-56039.227246451614</v>
      </c>
      <c r="K19" s="235">
        <f t="shared" si="2"/>
        <v>13</v>
      </c>
      <c r="L19" s="241" t="s">
        <v>177</v>
      </c>
      <c r="M19" s="239"/>
      <c r="N19" s="235"/>
      <c r="O19" s="238">
        <v>-921.16</v>
      </c>
      <c r="P19" s="238">
        <v>-921.16</v>
      </c>
      <c r="Q19" s="238">
        <v>-921.16</v>
      </c>
      <c r="R19" s="238">
        <v>-564.58193548387101</v>
      </c>
      <c r="S19" s="238"/>
      <c r="T19" s="233">
        <f t="shared" si="0"/>
        <v>-3328.0619354838709</v>
      </c>
    </row>
    <row r="20" spans="1:20" x14ac:dyDescent="0.25">
      <c r="A20" s="235">
        <f t="shared" si="1"/>
        <v>14</v>
      </c>
      <c r="B20" s="243"/>
      <c r="C20" s="243"/>
      <c r="D20" s="233"/>
      <c r="E20" s="233"/>
      <c r="F20" s="233"/>
      <c r="G20" s="233"/>
      <c r="H20" s="233"/>
      <c r="I20" s="233"/>
      <c r="K20" s="235">
        <f t="shared" si="2"/>
        <v>14</v>
      </c>
      <c r="L20" s="240" t="s">
        <v>178</v>
      </c>
      <c r="M20" s="239"/>
      <c r="N20" s="235"/>
      <c r="O20" s="238">
        <v>-6212.66</v>
      </c>
      <c r="P20" s="238">
        <v>-6196.9699999999993</v>
      </c>
      <c r="Q20" s="238">
        <v>-6171.8499999999985</v>
      </c>
      <c r="R20" s="238">
        <v>-3774.0558064516122</v>
      </c>
      <c r="S20" s="238"/>
      <c r="T20" s="233">
        <f t="shared" si="0"/>
        <v>-22355.535806451608</v>
      </c>
    </row>
    <row r="21" spans="1:20" ht="15.75" thickBot="1" x14ac:dyDescent="0.3">
      <c r="A21" s="235">
        <f t="shared" si="1"/>
        <v>15</v>
      </c>
      <c r="B21" s="242" t="s">
        <v>148</v>
      </c>
      <c r="C21" s="243"/>
      <c r="D21" s="233"/>
      <c r="E21" s="233"/>
      <c r="F21" s="233"/>
      <c r="G21" s="233"/>
      <c r="H21" s="233"/>
      <c r="I21" s="233"/>
      <c r="K21" s="235">
        <f t="shared" si="2"/>
        <v>15</v>
      </c>
      <c r="L21" s="236" t="s">
        <v>183</v>
      </c>
      <c r="M21" s="235"/>
      <c r="N21" s="235"/>
      <c r="O21" s="234">
        <f>SUM(O7:O20)</f>
        <v>-711789.71000000008</v>
      </c>
      <c r="P21" s="234">
        <f>SUM(P7:P20)</f>
        <v>-643859.68000000005</v>
      </c>
      <c r="Q21" s="234">
        <f>SUM(Q7:Q20)</f>
        <v>-519185.47999999986</v>
      </c>
      <c r="R21" s="234">
        <f>SUM(R7:R20)</f>
        <v>-240298.13000000003</v>
      </c>
      <c r="S21" s="234"/>
      <c r="T21" s="234">
        <f>SUM(T7:T20)</f>
        <v>-2115133</v>
      </c>
    </row>
    <row r="22" spans="1:20" ht="15.75" thickTop="1" x14ac:dyDescent="0.25">
      <c r="A22" s="235">
        <f t="shared" si="1"/>
        <v>16</v>
      </c>
      <c r="B22" s="235">
        <v>40</v>
      </c>
      <c r="C22" s="243"/>
      <c r="D22" s="237">
        <v>-5699.1633599999996</v>
      </c>
      <c r="E22" s="237">
        <v>-7453.2976259999996</v>
      </c>
      <c r="F22" s="237">
        <v>-7080.9233519999998</v>
      </c>
      <c r="G22" s="237">
        <v>-4793.6076489677425</v>
      </c>
      <c r="H22" s="237"/>
      <c r="I22" s="233">
        <f>SUM(D22:G22)</f>
        <v>-25026.99198696774</v>
      </c>
      <c r="K22" s="241"/>
      <c r="L22" s="241"/>
      <c r="M22" s="241"/>
      <c r="N22" s="241"/>
      <c r="O22" s="241"/>
      <c r="P22" s="241"/>
      <c r="Q22" s="241"/>
      <c r="R22" s="241"/>
      <c r="S22" s="241"/>
      <c r="T22" s="241"/>
    </row>
    <row r="23" spans="1:20" x14ac:dyDescent="0.25">
      <c r="A23" s="235">
        <f t="shared" si="1"/>
        <v>17</v>
      </c>
      <c r="B23" s="243"/>
      <c r="C23" s="243"/>
      <c r="D23" s="233"/>
      <c r="E23" s="233"/>
      <c r="F23" s="233"/>
      <c r="G23" s="233"/>
      <c r="H23" s="233"/>
      <c r="I23" s="233"/>
      <c r="K23" s="241"/>
      <c r="L23" s="241"/>
      <c r="M23" s="241"/>
      <c r="N23" s="241"/>
      <c r="O23" s="241"/>
      <c r="P23" s="241"/>
      <c r="Q23" s="241"/>
      <c r="R23" s="241"/>
      <c r="S23" s="241"/>
      <c r="T23" s="233">
        <f>SUM(P21:R21)</f>
        <v>-1403343.29</v>
      </c>
    </row>
    <row r="24" spans="1:20" x14ac:dyDescent="0.25">
      <c r="A24" s="235">
        <f t="shared" si="1"/>
        <v>18</v>
      </c>
      <c r="B24" s="242" t="s">
        <v>149</v>
      </c>
      <c r="C24" s="242"/>
      <c r="D24" s="233"/>
      <c r="E24" s="233"/>
      <c r="F24" s="233"/>
      <c r="G24" s="233"/>
      <c r="H24" s="233"/>
      <c r="I24" s="233"/>
      <c r="K24" s="241"/>
      <c r="L24" s="241" t="s">
        <v>184</v>
      </c>
      <c r="M24" s="241"/>
      <c r="N24" s="241"/>
      <c r="O24" s="233"/>
      <c r="P24" s="241"/>
      <c r="Q24" s="241"/>
      <c r="R24" s="241"/>
      <c r="S24" s="241"/>
      <c r="T24" s="241"/>
    </row>
    <row r="25" spans="1:20" x14ac:dyDescent="0.25">
      <c r="A25" s="235">
        <f t="shared" si="1"/>
        <v>19</v>
      </c>
      <c r="B25" s="235">
        <v>46</v>
      </c>
      <c r="C25" s="235"/>
      <c r="D25" s="237">
        <v>-4335.4772999999996</v>
      </c>
      <c r="E25" s="237">
        <v>-4938.9278400000003</v>
      </c>
      <c r="F25" s="237">
        <v>-3708.9835199999998</v>
      </c>
      <c r="G25" s="237">
        <v>-2243.0973541935482</v>
      </c>
      <c r="H25" s="237"/>
      <c r="I25" s="233">
        <f>SUM(D25:G25)</f>
        <v>-15226.486014193546</v>
      </c>
    </row>
    <row r="26" spans="1:20" x14ac:dyDescent="0.25">
      <c r="A26" s="235">
        <f t="shared" si="1"/>
        <v>20</v>
      </c>
      <c r="B26" s="235">
        <v>49</v>
      </c>
      <c r="C26" s="235"/>
      <c r="D26" s="237">
        <v>-25498.066380000004</v>
      </c>
      <c r="E26" s="237">
        <v>-29729.293670000003</v>
      </c>
      <c r="F26" s="237">
        <v>-27971.515708000003</v>
      </c>
      <c r="G26" s="237">
        <v>-17284.025386258065</v>
      </c>
      <c r="H26" s="237"/>
      <c r="I26" s="233">
        <f>SUM(D26:G26)</f>
        <v>-100482.90114425807</v>
      </c>
    </row>
    <row r="27" spans="1:20" x14ac:dyDescent="0.25">
      <c r="A27" s="235">
        <f t="shared" si="1"/>
        <v>21</v>
      </c>
      <c r="B27" s="235"/>
      <c r="C27" s="235"/>
      <c r="D27" s="233"/>
      <c r="E27" s="233"/>
      <c r="F27" s="233"/>
      <c r="G27" s="233"/>
      <c r="H27" s="233"/>
      <c r="I27" s="233"/>
    </row>
    <row r="28" spans="1:20" x14ac:dyDescent="0.25">
      <c r="A28" s="235">
        <f t="shared" si="1"/>
        <v>22</v>
      </c>
      <c r="B28" s="242" t="s">
        <v>150</v>
      </c>
      <c r="C28" s="242"/>
      <c r="D28" s="233"/>
      <c r="E28" s="233"/>
      <c r="F28" s="233"/>
      <c r="G28" s="233"/>
      <c r="H28" s="233"/>
      <c r="I28" s="233"/>
    </row>
    <row r="29" spans="1:20" x14ac:dyDescent="0.25">
      <c r="A29" s="235">
        <f t="shared" si="1"/>
        <v>23</v>
      </c>
      <c r="B29" s="235" t="s">
        <v>151</v>
      </c>
      <c r="C29" s="235"/>
      <c r="D29" s="237">
        <v>-18813.627220238122</v>
      </c>
      <c r="E29" s="237">
        <v>-20730.230274198439</v>
      </c>
      <c r="F29" s="237">
        <v>-19061.149805918532</v>
      </c>
      <c r="G29" s="237">
        <v>-12313.612356179088</v>
      </c>
      <c r="H29" s="237"/>
      <c r="I29" s="233">
        <f>SUM(D29:G29)</f>
        <v>-70918.619656534182</v>
      </c>
    </row>
    <row r="30" spans="1:20" x14ac:dyDescent="0.25">
      <c r="A30" s="235">
        <f t="shared" si="1"/>
        <v>24</v>
      </c>
      <c r="B30" s="235"/>
      <c r="C30" s="235"/>
      <c r="D30" s="233"/>
      <c r="E30" s="233"/>
      <c r="F30" s="233"/>
      <c r="G30" s="233"/>
      <c r="H30" s="233"/>
      <c r="I30" s="233"/>
    </row>
    <row r="31" spans="1:20" x14ac:dyDescent="0.25">
      <c r="A31" s="235">
        <f t="shared" si="1"/>
        <v>25</v>
      </c>
      <c r="B31" s="242" t="s">
        <v>152</v>
      </c>
      <c r="C31" s="242"/>
      <c r="D31" s="233"/>
      <c r="E31" s="233"/>
      <c r="F31" s="233"/>
      <c r="G31" s="233"/>
      <c r="H31" s="233"/>
      <c r="I31" s="233"/>
    </row>
    <row r="32" spans="1:20" x14ac:dyDescent="0.25">
      <c r="A32" s="235">
        <f t="shared" si="1"/>
        <v>26</v>
      </c>
      <c r="B32" s="235" t="s">
        <v>153</v>
      </c>
      <c r="C32" s="235"/>
      <c r="D32" s="237">
        <v>-669.58799999999997</v>
      </c>
      <c r="E32" s="237">
        <v>-680.99999999999989</v>
      </c>
      <c r="F32" s="237">
        <v>-648.22</v>
      </c>
      <c r="G32" s="237">
        <v>-392.19677419354838</v>
      </c>
      <c r="H32" s="237"/>
      <c r="I32" s="233">
        <f>SUM(D32:G32)</f>
        <v>-2391.0047741935482</v>
      </c>
    </row>
    <row r="33" spans="1:9" x14ac:dyDescent="0.25">
      <c r="A33" s="235">
        <f t="shared" si="1"/>
        <v>27</v>
      </c>
      <c r="B33" s="235"/>
      <c r="C33" s="235"/>
      <c r="D33" s="237"/>
      <c r="E33" s="237"/>
      <c r="F33" s="237"/>
      <c r="G33" s="237"/>
      <c r="H33" s="237"/>
      <c r="I33" s="233"/>
    </row>
    <row r="34" spans="1:9" x14ac:dyDescent="0.25">
      <c r="A34" s="235">
        <f t="shared" si="1"/>
        <v>28</v>
      </c>
      <c r="B34" s="242" t="s">
        <v>154</v>
      </c>
      <c r="C34" s="242"/>
      <c r="D34" s="237">
        <v>-24983.578362</v>
      </c>
      <c r="E34" s="237">
        <v>-26068.925574000001</v>
      </c>
      <c r="F34" s="237">
        <v>-24750.402288000001</v>
      </c>
      <c r="G34" s="237">
        <v>-14214.896550000001</v>
      </c>
      <c r="H34" s="237"/>
      <c r="I34" s="233">
        <f>SUM(D34:G34)</f>
        <v>-90017.802774000011</v>
      </c>
    </row>
    <row r="35" spans="1:9" x14ac:dyDescent="0.25">
      <c r="A35" s="235">
        <f t="shared" si="1"/>
        <v>29</v>
      </c>
      <c r="B35" s="235"/>
      <c r="C35" s="235"/>
      <c r="D35" s="233"/>
      <c r="E35" s="233"/>
      <c r="F35" s="233"/>
      <c r="G35" s="233"/>
      <c r="H35" s="233"/>
      <c r="I35" s="233"/>
    </row>
    <row r="36" spans="1:9" ht="15.75" thickBot="1" x14ac:dyDescent="0.3">
      <c r="A36" s="235">
        <f t="shared" si="1"/>
        <v>30</v>
      </c>
      <c r="B36" s="235" t="s">
        <v>140</v>
      </c>
      <c r="C36" s="235"/>
      <c r="D36" s="234">
        <f>SUM(D7:D35)</f>
        <v>-2499350.1982462392</v>
      </c>
      <c r="E36" s="234">
        <f>SUM(E7:E35)</f>
        <v>-2457381.2203841987</v>
      </c>
      <c r="F36" s="234">
        <f>SUM(F7:F35)</f>
        <v>-2101379.3963709185</v>
      </c>
      <c r="G36" s="234">
        <f>SUM(G7:G35)</f>
        <v>-1161723.3229887919</v>
      </c>
      <c r="H36" s="234"/>
      <c r="I36" s="234">
        <f>SUM(I7:I35)</f>
        <v>-8219834.1379901441</v>
      </c>
    </row>
    <row r="37" spans="1:9" ht="15.75" thickTop="1" x14ac:dyDescent="0.25"/>
    <row r="38" spans="1:9" x14ac:dyDescent="0.25">
      <c r="B38" s="241" t="s">
        <v>184</v>
      </c>
      <c r="I38" s="232">
        <f>SUM(E36:G36)</f>
        <v>-5720483.9397439081</v>
      </c>
    </row>
  </sheetData>
  <mergeCells count="8">
    <mergeCell ref="A4:I4"/>
    <mergeCell ref="K4:T4"/>
    <mergeCell ref="A1:I1"/>
    <mergeCell ref="K1:T1"/>
    <mergeCell ref="A2:I2"/>
    <mergeCell ref="K2:T2"/>
    <mergeCell ref="A3:I3"/>
    <mergeCell ref="K3:T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F26" sqref="F26"/>
    </sheetView>
  </sheetViews>
  <sheetFormatPr defaultColWidth="10" defaultRowHeight="12.75" x14ac:dyDescent="0.2"/>
  <cols>
    <col min="1" max="1" width="5.83203125" style="259" bestFit="1" customWidth="1"/>
    <col min="2" max="2" width="53.83203125" style="259" customWidth="1"/>
    <col min="3" max="3" width="6.6640625" style="259" bestFit="1" customWidth="1"/>
    <col min="4" max="5" width="16.83203125" style="259" bestFit="1" customWidth="1"/>
    <col min="6" max="6" width="16.5" style="259" bestFit="1" customWidth="1"/>
    <col min="7" max="8" width="15.83203125" style="259" customWidth="1"/>
    <col min="9" max="9" width="10" style="259"/>
    <col min="10" max="11" width="15" style="261" bestFit="1" customWidth="1"/>
    <col min="12" max="12" width="16" style="261" bestFit="1" customWidth="1"/>
    <col min="13" max="13" width="15" style="261" bestFit="1" customWidth="1"/>
    <col min="14" max="14" width="14.83203125" style="261" bestFit="1" customWidth="1"/>
    <col min="15" max="15" width="10" style="259"/>
    <col min="16" max="17" width="15" style="261" bestFit="1" customWidth="1"/>
    <col min="18" max="18" width="16" style="261" bestFit="1" customWidth="1"/>
    <col min="19" max="19" width="15" style="261" bestFit="1" customWidth="1"/>
    <col min="20" max="20" width="14.83203125" style="261" bestFit="1" customWidth="1"/>
    <col min="21" max="16384" width="10" style="259"/>
  </cols>
  <sheetData>
    <row r="1" spans="1:20" x14ac:dyDescent="0.2">
      <c r="H1" s="260" t="s">
        <v>211</v>
      </c>
    </row>
    <row r="2" spans="1:20" ht="13.5" thickBot="1" x14ac:dyDescent="0.25">
      <c r="A2" s="260"/>
      <c r="B2" s="260"/>
      <c r="C2" s="260"/>
      <c r="D2" s="260"/>
      <c r="E2" s="260"/>
      <c r="F2" s="260"/>
      <c r="G2" s="260"/>
      <c r="H2" s="260" t="s">
        <v>212</v>
      </c>
    </row>
    <row r="3" spans="1:20" ht="13.5" thickBot="1" x14ac:dyDescent="0.25">
      <c r="A3" s="260"/>
      <c r="B3" s="260"/>
      <c r="C3" s="260"/>
      <c r="D3" s="260"/>
      <c r="E3" s="260"/>
      <c r="F3" s="260"/>
      <c r="G3" s="260"/>
      <c r="H3" s="262" t="s">
        <v>213</v>
      </c>
    </row>
    <row r="4" spans="1:20" x14ac:dyDescent="0.2">
      <c r="A4" s="263" t="s">
        <v>214</v>
      </c>
      <c r="B4" s="264"/>
      <c r="C4" s="263"/>
      <c r="D4" s="263"/>
      <c r="E4" s="263"/>
      <c r="F4" s="265"/>
      <c r="G4" s="265"/>
      <c r="H4" s="266"/>
    </row>
    <row r="5" spans="1:20" x14ac:dyDescent="0.2">
      <c r="A5" s="267" t="s">
        <v>215</v>
      </c>
      <c r="B5" s="266"/>
      <c r="C5" s="267"/>
      <c r="D5" s="267"/>
      <c r="E5" s="267"/>
      <c r="F5" s="267"/>
      <c r="G5" s="267"/>
      <c r="H5" s="267"/>
    </row>
    <row r="6" spans="1:20" x14ac:dyDescent="0.2">
      <c r="A6" s="267" t="s">
        <v>94</v>
      </c>
      <c r="B6" s="266"/>
      <c r="C6" s="267"/>
      <c r="D6" s="267"/>
      <c r="E6" s="267"/>
      <c r="F6" s="265"/>
      <c r="G6" s="265"/>
      <c r="H6" s="265"/>
    </row>
    <row r="7" spans="1:20" x14ac:dyDescent="0.2">
      <c r="A7" s="267" t="s">
        <v>95</v>
      </c>
      <c r="B7" s="266"/>
      <c r="C7" s="267"/>
      <c r="D7" s="267"/>
      <c r="E7" s="267"/>
      <c r="F7" s="265"/>
      <c r="G7" s="265"/>
      <c r="H7" s="265"/>
    </row>
    <row r="8" spans="1:20" x14ac:dyDescent="0.2">
      <c r="C8" s="268"/>
      <c r="D8" s="268"/>
      <c r="E8" s="269"/>
      <c r="F8" s="270"/>
      <c r="G8" s="270"/>
      <c r="H8" s="270"/>
      <c r="O8" s="261"/>
    </row>
    <row r="9" spans="1:20" x14ac:dyDescent="0.2">
      <c r="A9" s="263"/>
      <c r="B9" s="265"/>
      <c r="C9" s="265"/>
      <c r="D9" s="269" t="s">
        <v>216</v>
      </c>
      <c r="E9" s="269" t="s">
        <v>217</v>
      </c>
      <c r="F9" s="269" t="s">
        <v>97</v>
      </c>
      <c r="G9" s="269"/>
      <c r="H9" s="269" t="s">
        <v>98</v>
      </c>
      <c r="O9" s="261"/>
    </row>
    <row r="10" spans="1:20" x14ac:dyDescent="0.2">
      <c r="A10" s="271" t="s">
        <v>99</v>
      </c>
      <c r="B10" s="272"/>
      <c r="C10" s="272"/>
      <c r="D10" s="269" t="s">
        <v>218</v>
      </c>
      <c r="E10" s="269" t="s">
        <v>97</v>
      </c>
      <c r="F10" s="269" t="s">
        <v>101</v>
      </c>
      <c r="G10" s="269" t="s">
        <v>98</v>
      </c>
      <c r="H10" s="269" t="s">
        <v>101</v>
      </c>
      <c r="O10" s="261"/>
    </row>
    <row r="11" spans="1:20" x14ac:dyDescent="0.2">
      <c r="A11" s="273" t="s">
        <v>102</v>
      </c>
      <c r="B11" s="274" t="s">
        <v>103</v>
      </c>
      <c r="C11" s="275" t="s">
        <v>104</v>
      </c>
      <c r="D11" s="276" t="s">
        <v>105</v>
      </c>
      <c r="E11" s="276" t="s">
        <v>106</v>
      </c>
      <c r="F11" s="276" t="s">
        <v>107</v>
      </c>
      <c r="G11" s="276" t="s">
        <v>108</v>
      </c>
      <c r="H11" s="276" t="s">
        <v>109</v>
      </c>
      <c r="O11" s="261"/>
    </row>
    <row r="12" spans="1:20" x14ac:dyDescent="0.2">
      <c r="A12" s="277"/>
      <c r="B12" s="278"/>
      <c r="C12" s="278"/>
      <c r="D12" s="278"/>
      <c r="E12" s="278"/>
      <c r="F12" s="279"/>
      <c r="G12" s="279"/>
      <c r="H12" s="269"/>
      <c r="O12" s="261"/>
    </row>
    <row r="13" spans="1:20" x14ac:dyDescent="0.2">
      <c r="A13" s="280">
        <v>1</v>
      </c>
      <c r="B13" s="278" t="s">
        <v>219</v>
      </c>
      <c r="C13" s="278"/>
      <c r="D13" s="278"/>
      <c r="E13" s="278"/>
      <c r="F13" s="279"/>
      <c r="G13" s="279"/>
      <c r="H13" s="269"/>
      <c r="O13" s="261"/>
    </row>
    <row r="14" spans="1:20" x14ac:dyDescent="0.2">
      <c r="A14" s="280">
        <f>A13+1</f>
        <v>2</v>
      </c>
      <c r="B14" s="278"/>
      <c r="C14" s="278"/>
      <c r="D14" s="278"/>
      <c r="E14" s="278"/>
      <c r="F14" s="279"/>
      <c r="G14" s="279"/>
      <c r="H14" s="269"/>
      <c r="O14" s="261"/>
    </row>
    <row r="15" spans="1:20" s="282" customFormat="1" x14ac:dyDescent="0.2">
      <c r="A15" s="280">
        <f t="shared" ref="A15:A33" si="0">A14+1</f>
        <v>3</v>
      </c>
      <c r="B15" s="281" t="s">
        <v>220</v>
      </c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pans="1:20" s="282" customFormat="1" x14ac:dyDescent="0.2">
      <c r="A16" s="280">
        <f t="shared" si="0"/>
        <v>4</v>
      </c>
      <c r="B16" s="283" t="s">
        <v>221</v>
      </c>
      <c r="C16" s="284"/>
      <c r="D16" s="284">
        <v>18794237.945987001</v>
      </c>
      <c r="E16" s="284">
        <v>0</v>
      </c>
      <c r="F16" s="284">
        <f t="shared" ref="F16:F17" si="1">+E16-D16</f>
        <v>-18794237.945987001</v>
      </c>
      <c r="G16" s="284">
        <f>E16</f>
        <v>0</v>
      </c>
      <c r="H16" s="284">
        <f>+G16-E16</f>
        <v>0</v>
      </c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pans="1:20" x14ac:dyDescent="0.2">
      <c r="A17" s="280">
        <f t="shared" si="0"/>
        <v>5</v>
      </c>
      <c r="B17" s="285" t="s">
        <v>222</v>
      </c>
      <c r="C17" s="286">
        <v>0.21</v>
      </c>
      <c r="D17" s="287">
        <f>-D16*$C17</f>
        <v>-3946789.9686572701</v>
      </c>
      <c r="E17" s="287">
        <f>-E16*$C17</f>
        <v>0</v>
      </c>
      <c r="F17" s="287">
        <f t="shared" si="1"/>
        <v>3946789.9686572701</v>
      </c>
      <c r="G17" s="287">
        <f>E17</f>
        <v>0</v>
      </c>
      <c r="H17" s="287">
        <f>-(H24+H16)*$C$17</f>
        <v>0</v>
      </c>
      <c r="I17" s="261"/>
      <c r="O17" s="261"/>
    </row>
    <row r="18" spans="1:20" s="282" customFormat="1" x14ac:dyDescent="0.2">
      <c r="A18" s="280">
        <f t="shared" si="0"/>
        <v>6</v>
      </c>
      <c r="B18" s="283" t="s">
        <v>223</v>
      </c>
      <c r="C18" s="286"/>
      <c r="D18" s="287">
        <v>-2160614.81</v>
      </c>
      <c r="E18" s="287">
        <v>0</v>
      </c>
      <c r="F18" s="287">
        <f>+E18-D18</f>
        <v>2160614.81</v>
      </c>
      <c r="G18" s="287">
        <f>E18</f>
        <v>0</v>
      </c>
      <c r="H18" s="287">
        <f>+G18-E18</f>
        <v>0</v>
      </c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</row>
    <row r="19" spans="1:20" ht="13.5" thickBot="1" x14ac:dyDescent="0.25">
      <c r="A19" s="280">
        <f t="shared" si="0"/>
        <v>7</v>
      </c>
      <c r="B19" s="283" t="s">
        <v>118</v>
      </c>
      <c r="C19" s="288"/>
      <c r="D19" s="289">
        <f>-D16-D17-D18</f>
        <v>-12686833.16732973</v>
      </c>
      <c r="E19" s="289">
        <f>-E16-E17-E18</f>
        <v>0</v>
      </c>
      <c r="F19" s="289">
        <f>-F16-F17-F18</f>
        <v>12686833.16732973</v>
      </c>
      <c r="G19" s="289">
        <f>-G16-G17-G18</f>
        <v>0</v>
      </c>
      <c r="H19" s="289">
        <f>-H16-H17-H18</f>
        <v>0</v>
      </c>
      <c r="I19" s="261"/>
      <c r="O19" s="261"/>
    </row>
    <row r="20" spans="1:20" ht="13.5" thickTop="1" x14ac:dyDescent="0.2">
      <c r="A20" s="280">
        <f t="shared" si="0"/>
        <v>8</v>
      </c>
      <c r="B20" s="290"/>
      <c r="C20" s="290"/>
      <c r="D20" s="290"/>
      <c r="E20" s="290"/>
      <c r="I20" s="261"/>
      <c r="O20" s="261"/>
    </row>
    <row r="21" spans="1:20" x14ac:dyDescent="0.2">
      <c r="A21" s="280">
        <f t="shared" si="0"/>
        <v>9</v>
      </c>
      <c r="B21" s="278" t="s">
        <v>224</v>
      </c>
      <c r="C21" s="290"/>
      <c r="D21" s="290"/>
      <c r="E21" s="290"/>
      <c r="I21" s="261"/>
      <c r="O21" s="261"/>
    </row>
    <row r="22" spans="1:20" x14ac:dyDescent="0.2">
      <c r="A22" s="280">
        <f t="shared" si="0"/>
        <v>10</v>
      </c>
      <c r="B22" s="278"/>
      <c r="C22" s="290"/>
      <c r="D22" s="290"/>
      <c r="E22" s="290"/>
      <c r="I22" s="261"/>
      <c r="O22" s="261"/>
    </row>
    <row r="23" spans="1:20" x14ac:dyDescent="0.2">
      <c r="A23" s="280">
        <f t="shared" si="0"/>
        <v>11</v>
      </c>
      <c r="B23" s="281" t="s">
        <v>220</v>
      </c>
      <c r="C23" s="290"/>
      <c r="D23" s="290"/>
      <c r="E23" s="290"/>
      <c r="I23" s="261"/>
      <c r="O23" s="261"/>
    </row>
    <row r="24" spans="1:20" x14ac:dyDescent="0.2">
      <c r="A24" s="280">
        <f t="shared" si="0"/>
        <v>12</v>
      </c>
      <c r="B24" s="283" t="s">
        <v>225</v>
      </c>
      <c r="C24" s="284"/>
      <c r="D24" s="284">
        <v>23551517.436357476</v>
      </c>
      <c r="E24" s="284">
        <v>39996900.554010905</v>
      </c>
      <c r="F24" s="284">
        <f>+E24-D24</f>
        <v>16445383.11765343</v>
      </c>
      <c r="G24" s="284">
        <v>39996900.554010905</v>
      </c>
      <c r="H24" s="284">
        <f>+G24-E24</f>
        <v>0</v>
      </c>
      <c r="I24" s="261"/>
      <c r="O24" s="261"/>
    </row>
    <row r="25" spans="1:20" x14ac:dyDescent="0.2">
      <c r="A25" s="280">
        <f t="shared" si="0"/>
        <v>13</v>
      </c>
      <c r="B25" s="283" t="s">
        <v>226</v>
      </c>
      <c r="C25" s="286">
        <f>C17</f>
        <v>0.21</v>
      </c>
      <c r="D25" s="287">
        <f>-D24*$C25</f>
        <v>-4945818.6616350701</v>
      </c>
      <c r="E25" s="287">
        <f>-E24*$C25</f>
        <v>-8399349.1163422894</v>
      </c>
      <c r="F25" s="287">
        <f>+E25-D25</f>
        <v>-3453530.4547072193</v>
      </c>
      <c r="G25" s="287">
        <f>E25</f>
        <v>-8399349.1163422894</v>
      </c>
      <c r="H25" s="287">
        <f>+G25-E25</f>
        <v>0</v>
      </c>
      <c r="I25" s="261"/>
      <c r="O25" s="261"/>
    </row>
    <row r="26" spans="1:20" x14ac:dyDescent="0.2">
      <c r="A26" s="280">
        <f t="shared" si="0"/>
        <v>14</v>
      </c>
      <c r="B26" s="283" t="s">
        <v>227</v>
      </c>
      <c r="C26" s="286">
        <v>0.12000000000000002</v>
      </c>
      <c r="D26" s="287">
        <f>-D24*$C26</f>
        <v>-2826182.0923628975</v>
      </c>
      <c r="E26" s="287">
        <f t="shared" ref="E26" si="2">-E24*$C26</f>
        <v>-4799628.0664813099</v>
      </c>
      <c r="F26" s="287">
        <f>+E26-D26</f>
        <v>-1973445.9741184125</v>
      </c>
      <c r="G26" s="287">
        <f>-G24*$C26</f>
        <v>-4799628.0664813099</v>
      </c>
      <c r="H26" s="287">
        <f>+G26-E26</f>
        <v>0</v>
      </c>
      <c r="I26" s="261"/>
      <c r="O26" s="261"/>
    </row>
    <row r="27" spans="1:20" ht="13.5" thickBot="1" x14ac:dyDescent="0.25">
      <c r="A27" s="280">
        <f t="shared" si="0"/>
        <v>15</v>
      </c>
      <c r="B27" s="283" t="s">
        <v>118</v>
      </c>
      <c r="C27" s="284"/>
      <c r="D27" s="291">
        <f>-D24-D25-D26</f>
        <v>-15779516.682359507</v>
      </c>
      <c r="E27" s="291">
        <f t="shared" ref="E27:H27" si="3">-E24-E25-E26</f>
        <v>-26797923.371187303</v>
      </c>
      <c r="F27" s="291">
        <f t="shared" si="3"/>
        <v>-11018406.688827798</v>
      </c>
      <c r="G27" s="291">
        <f t="shared" si="3"/>
        <v>-26797923.371187303</v>
      </c>
      <c r="H27" s="291">
        <f t="shared" si="3"/>
        <v>0</v>
      </c>
      <c r="I27" s="261"/>
      <c r="O27" s="261"/>
    </row>
    <row r="28" spans="1:20" ht="13.5" thickTop="1" x14ac:dyDescent="0.2">
      <c r="A28" s="280">
        <f t="shared" si="0"/>
        <v>16</v>
      </c>
      <c r="B28" s="292"/>
      <c r="C28" s="284"/>
      <c r="D28" s="284"/>
      <c r="E28" s="284"/>
      <c r="F28" s="284"/>
      <c r="G28" s="284"/>
      <c r="H28" s="284"/>
      <c r="I28" s="261"/>
      <c r="O28" s="261"/>
    </row>
    <row r="29" spans="1:20" x14ac:dyDescent="0.2">
      <c r="A29" s="280">
        <f t="shared" si="0"/>
        <v>17</v>
      </c>
      <c r="B29" s="281" t="s">
        <v>228</v>
      </c>
      <c r="C29" s="284"/>
      <c r="D29" s="284"/>
      <c r="E29" s="284"/>
      <c r="F29" s="284"/>
      <c r="G29" s="284"/>
      <c r="H29" s="284"/>
      <c r="I29" s="261"/>
      <c r="O29" s="261"/>
    </row>
    <row r="30" spans="1:20" x14ac:dyDescent="0.2">
      <c r="A30" s="280">
        <f t="shared" si="0"/>
        <v>18</v>
      </c>
      <c r="B30" s="283" t="s">
        <v>229</v>
      </c>
      <c r="D30" s="284">
        <f t="shared" ref="D30:E32" si="4">-D24</f>
        <v>-23551517.436357476</v>
      </c>
      <c r="E30" s="293">
        <f t="shared" si="4"/>
        <v>-39996900.554010905</v>
      </c>
      <c r="F30" s="293">
        <f t="shared" ref="F30:F32" si="5">+E30-D30</f>
        <v>-16445383.11765343</v>
      </c>
      <c r="G30" s="293">
        <f>-G24</f>
        <v>-39996900.554010905</v>
      </c>
      <c r="H30" s="293">
        <f t="shared" ref="H30:H32" si="6">+G30-E30</f>
        <v>0</v>
      </c>
      <c r="I30" s="261"/>
      <c r="O30" s="261"/>
    </row>
    <row r="31" spans="1:20" s="295" customFormat="1" x14ac:dyDescent="0.2">
      <c r="A31" s="280">
        <f t="shared" si="0"/>
        <v>19</v>
      </c>
      <c r="B31" s="294" t="s">
        <v>230</v>
      </c>
      <c r="D31" s="296">
        <f t="shared" si="4"/>
        <v>4945818.6616350701</v>
      </c>
      <c r="E31" s="296">
        <f t="shared" si="4"/>
        <v>8399349.1163422894</v>
      </c>
      <c r="F31" s="296">
        <f t="shared" si="5"/>
        <v>3453530.4547072193</v>
      </c>
      <c r="G31" s="296">
        <f>E31</f>
        <v>8399349.1163422894</v>
      </c>
      <c r="H31" s="296">
        <f t="shared" si="6"/>
        <v>0</v>
      </c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</row>
    <row r="32" spans="1:20" s="295" customFormat="1" x14ac:dyDescent="0.2">
      <c r="A32" s="280">
        <f t="shared" si="0"/>
        <v>20</v>
      </c>
      <c r="B32" s="294" t="s">
        <v>231</v>
      </c>
      <c r="D32" s="296">
        <f t="shared" si="4"/>
        <v>2826182.0923628975</v>
      </c>
      <c r="E32" s="296">
        <f t="shared" si="4"/>
        <v>4799628.0664813099</v>
      </c>
      <c r="F32" s="296">
        <f t="shared" si="5"/>
        <v>1973445.9741184125</v>
      </c>
      <c r="G32" s="296">
        <f>E32</f>
        <v>4799628.0664813099</v>
      </c>
      <c r="H32" s="296">
        <f t="shared" si="6"/>
        <v>0</v>
      </c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</row>
    <row r="33" spans="1:15" ht="13.5" thickBot="1" x14ac:dyDescent="0.25">
      <c r="A33" s="280">
        <f t="shared" si="0"/>
        <v>21</v>
      </c>
      <c r="B33" s="283" t="s">
        <v>232</v>
      </c>
      <c r="D33" s="297">
        <f>SUM(D30:D32)</f>
        <v>-15779516.682359507</v>
      </c>
      <c r="E33" s="297">
        <f>SUM(E30:E32)</f>
        <v>-26797923.371187303</v>
      </c>
      <c r="F33" s="297">
        <f>SUM(F30:F32)</f>
        <v>-11018406.688827798</v>
      </c>
      <c r="G33" s="297">
        <f>SUM(G30:G32)</f>
        <v>-26797923.371187303</v>
      </c>
      <c r="H33" s="297">
        <f>SUM(H30:H32)</f>
        <v>0</v>
      </c>
      <c r="O33" s="261"/>
    </row>
    <row r="34" spans="1:15" ht="13.5" thickTop="1" x14ac:dyDescent="0.2">
      <c r="A34" s="280"/>
      <c r="O34" s="261"/>
    </row>
    <row r="35" spans="1:15" x14ac:dyDescent="0.2">
      <c r="E35" s="298"/>
      <c r="F35" s="298"/>
      <c r="O35" s="261"/>
    </row>
    <row r="36" spans="1:15" x14ac:dyDescent="0.2">
      <c r="O36" s="261"/>
    </row>
    <row r="37" spans="1:15" x14ac:dyDescent="0.2">
      <c r="O37" s="261"/>
    </row>
    <row r="38" spans="1:15" x14ac:dyDescent="0.2">
      <c r="O38" s="261"/>
    </row>
  </sheetData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2020-10-01T07:00:00+00:00</OpenedDate>
    <SignificantOrder xmlns="dc463f71-b30c-4ab2-9473-d307f9d35888">false</SignificantOrder>
    <Date1 xmlns="dc463f71-b30c-4ab2-9473-d307f9d35888">2020-10-01T07:00:00+00:00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200843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34219B5A81C3A4CA6A27AEDD6075115" ma:contentTypeVersion="52" ma:contentTypeDescription="" ma:contentTypeScope="" ma:versionID="d8852cce972a73de2f2f29abdaa61f3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C0A745-C7F3-44B1-A267-D0F731047928}"/>
</file>

<file path=customXml/itemProps2.xml><?xml version="1.0" encoding="utf-8"?>
<ds:datastoreItem xmlns:ds="http://schemas.openxmlformats.org/officeDocument/2006/customXml" ds:itemID="{1ABD9063-2C1E-45D7-8AFD-C81FA8023C02}"/>
</file>

<file path=customXml/itemProps3.xml><?xml version="1.0" encoding="utf-8"?>
<ds:datastoreItem xmlns:ds="http://schemas.openxmlformats.org/officeDocument/2006/customXml" ds:itemID="{38F19334-6099-4AA9-BC74-04659707054F}"/>
</file>

<file path=customXml/itemProps4.xml><?xml version="1.0" encoding="utf-8"?>
<ds:datastoreItem xmlns:ds="http://schemas.openxmlformats.org/officeDocument/2006/customXml" ds:itemID="{2B36FA96-E42A-4ECA-AF8F-B990AB61C2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Rev Req Under Stay</vt:lpstr>
      <vt:lpstr>Electric</vt:lpstr>
      <vt:lpstr>Gas</vt:lpstr>
      <vt:lpstr>PSE ARAM Reversal</vt:lpstr>
      <vt:lpstr>141X&amp;141Z</vt:lpstr>
      <vt:lpstr>BR13 141X thru Jan</vt:lpstr>
      <vt:lpstr>BR13 141X thru May</vt:lpstr>
      <vt:lpstr>Exh. SEF-7E p.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Order</dc:title>
  <dc:creator>Pearson, Rayne (UTC)</dc:creator>
  <cp:lastModifiedBy>Free, Susan</cp:lastModifiedBy>
  <cp:lastPrinted>2020-07-21T18:50:59Z</cp:lastPrinted>
  <dcterms:created xsi:type="dcterms:W3CDTF">2020-07-08T15:53:42Z</dcterms:created>
  <dcterms:modified xsi:type="dcterms:W3CDTF">2020-10-01T23:19:11Z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0x0101006E56B4D1795A2E4DB2F0B01679ED314A00434219B5A81C3A4CA6A27AEDD6075115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